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J:\FADS\2010\2020\FINAL FILES\Vegetables\REVIEWED\"/>
    </mc:Choice>
  </mc:AlternateContent>
  <xr:revisionPtr revIDLastSave="0" documentId="13_ncr:1_{82FB0B45-1D9D-47DF-81F8-3903240B0058}" xr6:coauthVersionLast="45" xr6:coauthVersionMax="45" xr10:uidLastSave="{00000000-0000-0000-0000-000000000000}"/>
  <bookViews>
    <workbookView xWindow="28680" yWindow="-120" windowWidth="29040" windowHeight="15840" tabRatio="874" xr2:uid="{00000000-000D-0000-FFFF-FFFF00000000}"/>
  </bookViews>
  <sheets>
    <sheet name="TableOfContents" sheetId="45" r:id="rId1"/>
    <sheet name="FarmPcc" sheetId="24" r:id="rId2"/>
    <sheet name="RetailPcc" sheetId="40" r:id="rId3"/>
    <sheet name="Total" sheetId="47" r:id="rId4"/>
    <sheet name="Artichokes" sheetId="1" r:id="rId5"/>
    <sheet name="Asparagus" sheetId="2" r:id="rId6"/>
    <sheet name="LimaBeans" sheetId="3" r:id="rId7"/>
    <sheet name="SnapBeans" sheetId="4" r:id="rId8"/>
    <sheet name="Broccoli" sheetId="5" r:id="rId9"/>
    <sheet name="BrusselsSprouts" sheetId="6" r:id="rId10"/>
    <sheet name="Cabbage" sheetId="7" r:id="rId11"/>
    <sheet name="Carrots" sheetId="8" r:id="rId12"/>
    <sheet name="Cauliflower" sheetId="9" r:id="rId13"/>
    <sheet name="Celery" sheetId="10" r:id="rId14"/>
    <sheet name="Collards" sheetId="34" r:id="rId15"/>
    <sheet name="SweetCorn" sheetId="11" r:id="rId16"/>
    <sheet name="Cucumbers" sheetId="12" r:id="rId17"/>
    <sheet name="Eggplant" sheetId="13" r:id="rId18"/>
    <sheet name="Escarole" sheetId="14" r:id="rId19"/>
    <sheet name="Garlic" sheetId="15" r:id="rId20"/>
    <sheet name="HeadLettuce" sheetId="16" r:id="rId21"/>
    <sheet name="Kale" sheetId="35" r:id="rId22"/>
    <sheet name="Mushrooms" sheetId="50" r:id="rId23"/>
    <sheet name="MustardGreens" sheetId="36" r:id="rId24"/>
    <sheet name="Onions" sheetId="18" r:id="rId25"/>
    <sheet name="Okra" sheetId="37" r:id="rId26"/>
    <sheet name="Peppers" sheetId="19" r:id="rId27"/>
    <sheet name="Squash" sheetId="33" r:id="rId28"/>
    <sheet name="Potatoes" sheetId="49" r:id="rId29"/>
    <sheet name="Pumpkin" sheetId="38" r:id="rId30"/>
    <sheet name="Radishes" sheetId="20" r:id="rId31"/>
    <sheet name="Romaine" sheetId="17" r:id="rId32"/>
    <sheet name="Spinach" sheetId="21" r:id="rId33"/>
    <sheet name="SweetPotatoes" sheetId="51" r:id="rId34"/>
    <sheet name="Tomatoes" sheetId="22" r:id="rId35"/>
    <sheet name="TurnipGreens" sheetId="39" r:id="rId36"/>
  </sheets>
  <definedNames>
    <definedName name="_xlnm.Print_Area" localSheetId="5">Asparagus!$A$1:$J$74</definedName>
    <definedName name="_xlnm.Print_Area" localSheetId="8">Broccoli!$A$1:$J$74</definedName>
    <definedName name="_xlnm.Print_Area" localSheetId="9">BrusselsSprouts!$A$1:$L$74</definedName>
    <definedName name="_xlnm.Print_Area" localSheetId="10">Cabbage!$A$1:$K$72</definedName>
    <definedName name="_xlnm.Print_Area" localSheetId="11">Carrots!$A$1:$J$72</definedName>
    <definedName name="_xlnm.Print_Area" localSheetId="12">Cauliflower!$A$1:$J$73</definedName>
    <definedName name="_xlnm.Print_Area" localSheetId="13">Celery!$A$1:$J$74</definedName>
    <definedName name="_xlnm.Print_Area" localSheetId="14">Collards!$A$1:$L$71</definedName>
    <definedName name="_xlnm.Print_Area" localSheetId="16">Cucumbers!$A$1:$J$74</definedName>
    <definedName name="_xlnm.Print_Area" localSheetId="17">Eggplant!$A$1:$J$74</definedName>
    <definedName name="_xlnm.Print_Area" localSheetId="18">Escarole!$A$1:$J$72</definedName>
    <definedName name="_xlnm.Print_Area" localSheetId="1">FarmPcc!$A$1:$AH$83</definedName>
    <definedName name="_xlnm.Print_Area" localSheetId="20">HeadLettuce!$A$1:$J$72</definedName>
    <definedName name="_xlnm.Print_Area" localSheetId="21">Kale!$A$1:$L$74</definedName>
    <definedName name="_xlnm.Print_Area" localSheetId="6">LimaBeans!$A$1:$J$74</definedName>
    <definedName name="_xlnm.Print_Area" localSheetId="22">Mushrooms!$A$1:$J$74</definedName>
    <definedName name="_xlnm.Print_Area" localSheetId="23">MustardGreens!$A$1:$L$74</definedName>
    <definedName name="_xlnm.Print_Area" localSheetId="25">Okra!$A$1:$L$75</definedName>
    <definedName name="_xlnm.Print_Area" localSheetId="24">Onions!$A$1:$M$74</definedName>
    <definedName name="_xlnm.Print_Area" localSheetId="26">Peppers!$A$1:$J$73</definedName>
    <definedName name="_xlnm.Print_Area" localSheetId="29">Pumpkin!$A$1:$M$74</definedName>
    <definedName name="_xlnm.Print_Area" localSheetId="30">Radishes!$A$1:$J$75</definedName>
    <definedName name="_xlnm.Print_Area" localSheetId="2">RetailPcc!$A$1:$AH$59</definedName>
    <definedName name="_xlnm.Print_Area" localSheetId="31">Romaine!$A$1:$J$74</definedName>
    <definedName name="_xlnm.Print_Area" localSheetId="7">SnapBeans!$A$1:$J$72</definedName>
    <definedName name="_xlnm.Print_Area" localSheetId="32">Spinach!$A$1:$J$74</definedName>
    <definedName name="_xlnm.Print_Area" localSheetId="27">Squash!$A$1:$J$75</definedName>
    <definedName name="_xlnm.Print_Area" localSheetId="15">SweetCorn!$A$1:$J$73</definedName>
    <definedName name="_xlnm.Print_Area" localSheetId="34">Tomatoes!$A$1:$J$73</definedName>
    <definedName name="_xlnm.Print_Area" localSheetId="35">TurnipGreens!$A$1:$L$74</definedName>
    <definedName name="_xlnm.Print_Titles" localSheetId="1">FarmPcc!$A:$A,FarmPcc!$2:$4</definedName>
    <definedName name="_xlnm.Print_Titles" localSheetId="2">RetailPcc!$A:$A</definedName>
    <definedName name="_xlnm.Print_Titles" localSheetId="33">SweetPotatoes!$2:$6</definedName>
    <definedName name="_xlnm.Print_Titles" localSheetId="3">Total!$1:$7</definedName>
    <definedName name="Z_54C66FF3_B451_11D2_8C41_400002400070_.wvu.PrintArea" localSheetId="1" hidden="1">FarmPcc!$A$26:$P$77</definedName>
    <definedName name="Z_54C66FF3_B451_11D2_8C41_400002400070_.wvu.PrintArea" localSheetId="2" hidden="1">RetailPcc!$A$6:$P$39</definedName>
    <definedName name="Z_54C66FF3_B451_11D2_8C41_400002400070_.wvu.PrintTitles" localSheetId="1" hidden="1">FarmPcc!$1:$5</definedName>
    <definedName name="Z_54C66FF3_B451_11D2_8C41_400002400070_.wvu.PrintTitles" localSheetId="2" hidden="1">RetailPcc!$1:$5</definedName>
    <definedName name="Z_54CA0371_B6B1_11D2_8C42_400002400070_.wvu.PrintArea" localSheetId="1" hidden="1">FarmPcc!$A$26:$P$77</definedName>
    <definedName name="Z_54CA0371_B6B1_11D2_8C42_400002400070_.wvu.PrintArea" localSheetId="2" hidden="1">RetailPcc!$A$6:$P$39</definedName>
    <definedName name="Z_54CA0371_B6B1_11D2_8C42_400002400070_.wvu.PrintTitles" localSheetId="1" hidden="1">FarmPcc!$1:$5</definedName>
    <definedName name="Z_54CA0371_B6B1_11D2_8C42_400002400070_.wvu.PrintTitles" localSheetId="2" hidden="1">RetailPcc!$1:$5</definedName>
    <definedName name="Z_9CE49E61_B9D9_11D2_8C46_400002400070_.wvu.PrintArea" localSheetId="1" hidden="1">FarmPcc!$A$26:$P$77</definedName>
    <definedName name="Z_9CE49E61_B9D9_11D2_8C46_400002400070_.wvu.PrintArea" localSheetId="2" hidden="1">RetailPcc!$A$6:$P$39</definedName>
    <definedName name="Z_9CE49E61_B9D9_11D2_8C46_400002400070_.wvu.PrintTitles" localSheetId="1" hidden="1">FarmPcc!$1:$5</definedName>
    <definedName name="Z_9CE49E61_B9D9_11D2_8C46_400002400070_.wvu.PrintTitles" localSheetId="2" hidden="1">RetailPcc!$1:$5</definedName>
    <definedName name="Z_9CE49E62_B9D9_11D2_8C46_400002400070_.wvu.PrintArea" localSheetId="1" hidden="1">FarmPcc!$A$26:$P$77</definedName>
    <definedName name="Z_9CE49E62_B9D9_11D2_8C46_400002400070_.wvu.PrintArea" localSheetId="2" hidden="1">RetailPcc!$A$6:$P$39</definedName>
    <definedName name="Z_9CE49E62_B9D9_11D2_8C46_400002400070_.wvu.PrintTitles" localSheetId="1" hidden="1">FarmPcc!$1:$5</definedName>
    <definedName name="Z_9CE49E62_B9D9_11D2_8C46_400002400070_.wvu.PrintTitles" localSheetId="2" hidden="1">RetailPcc!$1:$5</definedName>
    <definedName name="Z_BD4FAC51_B78D_11D2_8C45_400002400070_.wvu.PrintArea" localSheetId="1" hidden="1">FarmPcc!$A$26:$P$77</definedName>
    <definedName name="Z_BD4FAC51_B78D_11D2_8C45_400002400070_.wvu.PrintArea" localSheetId="2" hidden="1">RetailPcc!$A$6:$P$39</definedName>
    <definedName name="Z_BD4FAC51_B78D_11D2_8C45_400002400070_.wvu.PrintTitles" localSheetId="1" hidden="1">FarmPcc!$1:$5</definedName>
    <definedName name="Z_BD4FAC51_B78D_11D2_8C45_400002400070_.wvu.PrintTitles" localSheetId="2" hidden="1">RetailPcc!$1:$5</definedName>
    <definedName name="Z_E91DC9F9_B471_11D2_8C41_400002400070_.wvu.PrintArea" localSheetId="1" hidden="1">FarmPcc!$A$26:$P$77</definedName>
    <definedName name="Z_E91DC9F9_B471_11D2_8C41_400002400070_.wvu.PrintArea" localSheetId="2" hidden="1">RetailPcc!$A$6:$P$39</definedName>
    <definedName name="Z_E91DC9F9_B471_11D2_8C41_400002400070_.wvu.PrintTitles" localSheetId="1" hidden="1">FarmPcc!$1:$5</definedName>
    <definedName name="Z_E91DC9F9_B471_11D2_8C41_400002400070_.wvu.PrintTitles" localSheetId="2" hidden="1">RetailPcc!$1:$5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76" i="24" l="1"/>
  <c r="T56" i="40"/>
  <c r="F58" i="47" l="1"/>
  <c r="F57" i="47"/>
  <c r="D58" i="47"/>
  <c r="D57" i="47"/>
  <c r="C58" i="47"/>
  <c r="C57" i="47"/>
  <c r="I67" i="3"/>
  <c r="F67" i="39" l="1"/>
  <c r="I67" i="39" s="1"/>
  <c r="J67" i="39" l="1"/>
  <c r="AG76" i="24" s="1"/>
  <c r="E67" i="22"/>
  <c r="G67" i="22" s="1"/>
  <c r="E67" i="17"/>
  <c r="G67" i="17" s="1"/>
  <c r="E67" i="11"/>
  <c r="G67" i="11" s="1"/>
  <c r="H67" i="22" l="1"/>
  <c r="I67" i="22" s="1"/>
  <c r="AF56" i="40" s="1"/>
  <c r="K67" i="39"/>
  <c r="AG56" i="40" s="1"/>
  <c r="H67" i="17"/>
  <c r="H67" i="11"/>
  <c r="I67" i="11" s="1"/>
  <c r="L56" i="40" s="1"/>
  <c r="S76" i="24"/>
  <c r="I67" i="17"/>
  <c r="S56" i="40" s="1"/>
  <c r="L76" i="24"/>
  <c r="F67" i="51"/>
  <c r="K67" i="51" s="1"/>
  <c r="G67" i="33"/>
  <c r="E67" i="33"/>
  <c r="G67" i="21"/>
  <c r="E67" i="21"/>
  <c r="H67" i="21"/>
  <c r="G67" i="4"/>
  <c r="E67" i="4"/>
  <c r="H67" i="4"/>
  <c r="G67" i="20"/>
  <c r="E67" i="20"/>
  <c r="H67" i="20"/>
  <c r="AA76" i="24" s="1"/>
  <c r="F67" i="38"/>
  <c r="J67" i="38" s="1"/>
  <c r="E67" i="49"/>
  <c r="G67" i="49" s="1"/>
  <c r="E67" i="19"/>
  <c r="G67" i="19" s="1"/>
  <c r="I67" i="37"/>
  <c r="F67" i="37"/>
  <c r="AF76" i="24" l="1"/>
  <c r="H67" i="19"/>
  <c r="H67" i="33"/>
  <c r="I67" i="33" s="1"/>
  <c r="AD56" i="40" s="1"/>
  <c r="AB76" i="24"/>
  <c r="I67" i="4"/>
  <c r="AB56" i="40" s="1"/>
  <c r="I67" i="21"/>
  <c r="AC56" i="40" s="1"/>
  <c r="AC76" i="24"/>
  <c r="I67" i="20"/>
  <c r="AA56" i="40" s="1"/>
  <c r="L67" i="51"/>
  <c r="M67" i="51" s="1"/>
  <c r="AE56" i="40" s="1"/>
  <c r="K67" i="38"/>
  <c r="L67" i="38" s="1"/>
  <c r="Z56" i="40" s="1"/>
  <c r="AD76" i="24"/>
  <c r="I67" i="49"/>
  <c r="Y56" i="40" s="1"/>
  <c r="H67" i="49"/>
  <c r="Y76" i="24" s="1"/>
  <c r="D76" i="24"/>
  <c r="I67" i="19"/>
  <c r="D56" i="40" s="1"/>
  <c r="J67" i="37"/>
  <c r="J67" i="18"/>
  <c r="F67" i="18"/>
  <c r="K67" i="18"/>
  <c r="F67" i="36"/>
  <c r="I67" i="36" s="1"/>
  <c r="G66" i="50"/>
  <c r="E66" i="50"/>
  <c r="I66" i="50"/>
  <c r="U55" i="40" s="1"/>
  <c r="I67" i="35"/>
  <c r="F67" i="35"/>
  <c r="J67" i="35"/>
  <c r="J67" i="36" l="1"/>
  <c r="AE76" i="24"/>
  <c r="Z76" i="24"/>
  <c r="L67" i="18"/>
  <c r="X56" i="40" s="1"/>
  <c r="X76" i="24"/>
  <c r="Q76" i="24"/>
  <c r="K67" i="35"/>
  <c r="Q56" i="40" s="1"/>
  <c r="W76" i="24"/>
  <c r="K67" i="37"/>
  <c r="W56" i="40" s="1"/>
  <c r="H66" i="50"/>
  <c r="U75" i="24" s="1"/>
  <c r="K67" i="36"/>
  <c r="V56" i="40" s="1"/>
  <c r="V76" i="24"/>
  <c r="E67" i="16"/>
  <c r="G67" i="16" s="1"/>
  <c r="E67" i="15"/>
  <c r="H67" i="15" s="1"/>
  <c r="G67" i="14"/>
  <c r="E67" i="14"/>
  <c r="H67" i="14"/>
  <c r="G67" i="13"/>
  <c r="E67" i="13"/>
  <c r="H67" i="13"/>
  <c r="E67" i="12"/>
  <c r="G67" i="12" s="1"/>
  <c r="I67" i="34"/>
  <c r="F67" i="34"/>
  <c r="J67" i="34"/>
  <c r="E67" i="10"/>
  <c r="G67" i="10" s="1"/>
  <c r="H67" i="10" s="1"/>
  <c r="E67" i="9"/>
  <c r="G67" i="9" s="1"/>
  <c r="E67" i="8"/>
  <c r="G67" i="8" s="1"/>
  <c r="E67" i="7"/>
  <c r="H67" i="7" s="1"/>
  <c r="I67" i="6"/>
  <c r="F67" i="6"/>
  <c r="J67" i="6"/>
  <c r="E67" i="5"/>
  <c r="G67" i="2"/>
  <c r="E67" i="2"/>
  <c r="H67" i="2"/>
  <c r="E67" i="1"/>
  <c r="G67" i="1" s="1"/>
  <c r="H67" i="1" l="1"/>
  <c r="B76" i="24" s="1"/>
  <c r="H67" i="12"/>
  <c r="I67" i="7"/>
  <c r="G76" i="24" s="1"/>
  <c r="C76" i="24"/>
  <c r="H67" i="16"/>
  <c r="H67" i="9"/>
  <c r="I76" i="24" s="1"/>
  <c r="I67" i="15"/>
  <c r="F76" i="24"/>
  <c r="K67" i="6"/>
  <c r="F56" i="40" s="1"/>
  <c r="I67" i="14"/>
  <c r="O56" i="40" s="1"/>
  <c r="O76" i="24"/>
  <c r="K76" i="24"/>
  <c r="K67" i="34"/>
  <c r="K56" i="40" s="1"/>
  <c r="N76" i="24"/>
  <c r="I67" i="13"/>
  <c r="N56" i="40" s="1"/>
  <c r="H67" i="8"/>
  <c r="I67" i="8" s="1"/>
  <c r="H56" i="40" s="1"/>
  <c r="I67" i="2"/>
  <c r="C56" i="40" s="1"/>
  <c r="I67" i="16"/>
  <c r="R56" i="40" s="1"/>
  <c r="R76" i="24"/>
  <c r="J67" i="15"/>
  <c r="P56" i="40" s="1"/>
  <c r="P76" i="24"/>
  <c r="M76" i="24"/>
  <c r="I67" i="12"/>
  <c r="M56" i="40" s="1"/>
  <c r="E58" i="47"/>
  <c r="J76" i="24"/>
  <c r="I67" i="10"/>
  <c r="J56" i="40" s="1"/>
  <c r="G67" i="5"/>
  <c r="T74" i="24"/>
  <c r="T75" i="24"/>
  <c r="F56" i="47"/>
  <c r="D56" i="47"/>
  <c r="J67" i="7" l="1"/>
  <c r="G56" i="40" s="1"/>
  <c r="I67" i="1"/>
  <c r="B56" i="40" s="1"/>
  <c r="I67" i="9"/>
  <c r="I56" i="40" s="1"/>
  <c r="H76" i="24"/>
  <c r="G58" i="47"/>
  <c r="H67" i="5"/>
  <c r="C56" i="47"/>
  <c r="I66" i="3"/>
  <c r="T55" i="40" s="1"/>
  <c r="F66" i="39"/>
  <c r="I66" i="39" s="1"/>
  <c r="E66" i="22"/>
  <c r="G66" i="22" s="1"/>
  <c r="F66" i="51"/>
  <c r="K66" i="51" s="1"/>
  <c r="E66" i="33"/>
  <c r="G66" i="33" s="1"/>
  <c r="E66" i="21"/>
  <c r="G66" i="21" s="1"/>
  <c r="E66" i="17"/>
  <c r="G66" i="17" s="1"/>
  <c r="E66" i="20"/>
  <c r="G66" i="20" s="1"/>
  <c r="E76" i="24" l="1"/>
  <c r="AH76" i="24" s="1"/>
  <c r="H58" i="47"/>
  <c r="I67" i="5"/>
  <c r="H66" i="20"/>
  <c r="H66" i="33"/>
  <c r="I66" i="33" s="1"/>
  <c r="AD55" i="40" s="1"/>
  <c r="H66" i="22"/>
  <c r="I66" i="22" s="1"/>
  <c r="AF55" i="40" s="1"/>
  <c r="J66" i="39"/>
  <c r="K66" i="39" s="1"/>
  <c r="AG55" i="40" s="1"/>
  <c r="L66" i="51"/>
  <c r="AE75" i="24" s="1"/>
  <c r="H66" i="17"/>
  <c r="I66" i="17" s="1"/>
  <c r="S55" i="40" s="1"/>
  <c r="H66" i="21"/>
  <c r="AC75" i="24" s="1"/>
  <c r="AA75" i="24"/>
  <c r="I66" i="20"/>
  <c r="AA55" i="40" s="1"/>
  <c r="F66" i="38"/>
  <c r="J66" i="38" s="1"/>
  <c r="E66" i="49"/>
  <c r="G66" i="49" s="1"/>
  <c r="E66" i="19"/>
  <c r="G66" i="19" s="1"/>
  <c r="F66" i="37"/>
  <c r="I66" i="37" s="1"/>
  <c r="F66" i="18"/>
  <c r="J66" i="18" s="1"/>
  <c r="F66" i="36"/>
  <c r="I66" i="36" s="1"/>
  <c r="E65" i="50"/>
  <c r="G65" i="50" s="1"/>
  <c r="F66" i="35"/>
  <c r="I66" i="35" s="1"/>
  <c r="E66" i="16"/>
  <c r="G66" i="16" s="1"/>
  <c r="E66" i="15"/>
  <c r="H66" i="15" s="1"/>
  <c r="E66" i="14"/>
  <c r="G66" i="14" s="1"/>
  <c r="E66" i="13"/>
  <c r="G66" i="13" s="1"/>
  <c r="E66" i="12"/>
  <c r="G66" i="12" s="1"/>
  <c r="E66" i="11"/>
  <c r="G66" i="11" s="1"/>
  <c r="F66" i="34"/>
  <c r="I66" i="34" s="1"/>
  <c r="E66" i="10"/>
  <c r="G66" i="10" s="1"/>
  <c r="E66" i="9"/>
  <c r="G66" i="9" s="1"/>
  <c r="E66" i="8"/>
  <c r="G66" i="8" s="1"/>
  <c r="E66" i="7"/>
  <c r="H66" i="7" s="1"/>
  <c r="F66" i="6"/>
  <c r="I66" i="6" s="1"/>
  <c r="E66" i="5"/>
  <c r="E66" i="4"/>
  <c r="G66" i="4" s="1"/>
  <c r="E66" i="2"/>
  <c r="G66" i="2" s="1"/>
  <c r="E66" i="1"/>
  <c r="G66" i="5" l="1"/>
  <c r="E57" i="47"/>
  <c r="E56" i="40"/>
  <c r="AH56" i="40" s="1"/>
  <c r="I58" i="47"/>
  <c r="AD75" i="24"/>
  <c r="AF75" i="24"/>
  <c r="AG75" i="24"/>
  <c r="S75" i="24"/>
  <c r="I66" i="21"/>
  <c r="AC55" i="40" s="1"/>
  <c r="H66" i="13"/>
  <c r="I66" i="13" s="1"/>
  <c r="N55" i="40" s="1"/>
  <c r="J66" i="37"/>
  <c r="K66" i="37" s="1"/>
  <c r="W55" i="40" s="1"/>
  <c r="K66" i="38"/>
  <c r="L66" i="38" s="1"/>
  <c r="Z55" i="40" s="1"/>
  <c r="I65" i="50"/>
  <c r="U54" i="40" s="1"/>
  <c r="H66" i="16"/>
  <c r="I66" i="16" s="1"/>
  <c r="R55" i="40" s="1"/>
  <c r="J66" i="34"/>
  <c r="K66" i="34" s="1"/>
  <c r="K55" i="40" s="1"/>
  <c r="H66" i="11"/>
  <c r="I66" i="11" s="1"/>
  <c r="L55" i="40" s="1"/>
  <c r="J66" i="36"/>
  <c r="K66" i="36" s="1"/>
  <c r="V55" i="40" s="1"/>
  <c r="H66" i="2"/>
  <c r="H66" i="9"/>
  <c r="I66" i="9" s="1"/>
  <c r="I55" i="40" s="1"/>
  <c r="H66" i="14"/>
  <c r="I66" i="14" s="1"/>
  <c r="O55" i="40" s="1"/>
  <c r="H66" i="19"/>
  <c r="D75" i="24" s="1"/>
  <c r="H66" i="10"/>
  <c r="I66" i="10" s="1"/>
  <c r="J55" i="40" s="1"/>
  <c r="J66" i="35"/>
  <c r="K66" i="35" s="1"/>
  <c r="Q55" i="40" s="1"/>
  <c r="M66" i="51"/>
  <c r="AE55" i="40" s="1"/>
  <c r="J66" i="6"/>
  <c r="K66" i="6" s="1"/>
  <c r="F55" i="40" s="1"/>
  <c r="H66" i="4"/>
  <c r="AB75" i="24" s="1"/>
  <c r="I66" i="7"/>
  <c r="J66" i="7" s="1"/>
  <c r="G55" i="40" s="1"/>
  <c r="K66" i="18"/>
  <c r="L66" i="18" s="1"/>
  <c r="X55" i="40" s="1"/>
  <c r="G66" i="1"/>
  <c r="H66" i="12"/>
  <c r="I66" i="12" s="1"/>
  <c r="M55" i="40" s="1"/>
  <c r="H66" i="8"/>
  <c r="I66" i="8" s="1"/>
  <c r="H55" i="40" s="1"/>
  <c r="I66" i="15"/>
  <c r="P75" i="24" s="1"/>
  <c r="H65" i="50"/>
  <c r="H66" i="49"/>
  <c r="I66" i="49"/>
  <c r="Y55" i="40" s="1"/>
  <c r="I65" i="3"/>
  <c r="T54" i="40" s="1"/>
  <c r="T73" i="24"/>
  <c r="C55" i="47"/>
  <c r="D55" i="47"/>
  <c r="F55" i="47"/>
  <c r="F65" i="39"/>
  <c r="I65" i="39" s="1"/>
  <c r="E65" i="22"/>
  <c r="G65" i="22" s="1"/>
  <c r="F65" i="51"/>
  <c r="K65" i="51" s="1"/>
  <c r="E65" i="33"/>
  <c r="G65" i="33" s="1"/>
  <c r="E65" i="21"/>
  <c r="G65" i="21" s="1"/>
  <c r="E65" i="17"/>
  <c r="G65" i="17" s="1"/>
  <c r="E65" i="20"/>
  <c r="G65" i="20" s="1"/>
  <c r="F65" i="38"/>
  <c r="J65" i="38" s="1"/>
  <c r="E65" i="49"/>
  <c r="G65" i="49" s="1"/>
  <c r="E65" i="19"/>
  <c r="G65" i="19" s="1"/>
  <c r="F65" i="37"/>
  <c r="I65" i="37" s="1"/>
  <c r="F65" i="18"/>
  <c r="J65" i="18" s="1"/>
  <c r="F45" i="36"/>
  <c r="F46" i="36"/>
  <c r="F47" i="36"/>
  <c r="F48" i="36"/>
  <c r="F49" i="36"/>
  <c r="F50" i="36"/>
  <c r="F51" i="36"/>
  <c r="F52" i="36"/>
  <c r="F53" i="36"/>
  <c r="F54" i="36"/>
  <c r="F55" i="36"/>
  <c r="F56" i="36"/>
  <c r="F57" i="36"/>
  <c r="F58" i="36"/>
  <c r="F59" i="36"/>
  <c r="F60" i="36"/>
  <c r="F61" i="36"/>
  <c r="F62" i="36"/>
  <c r="F63" i="36"/>
  <c r="F64" i="36"/>
  <c r="F65" i="36"/>
  <c r="I65" i="36" s="1"/>
  <c r="F44" i="36"/>
  <c r="E64" i="50"/>
  <c r="G64" i="50" s="1"/>
  <c r="F65" i="35"/>
  <c r="I65" i="35" s="1"/>
  <c r="E65" i="16"/>
  <c r="G65" i="16" s="1"/>
  <c r="E65" i="15"/>
  <c r="H65" i="15" s="1"/>
  <c r="E65" i="14"/>
  <c r="G65" i="14" s="1"/>
  <c r="E65" i="13"/>
  <c r="G65" i="13" s="1"/>
  <c r="E65" i="12"/>
  <c r="G65" i="12" s="1"/>
  <c r="E65" i="11"/>
  <c r="G65" i="11" s="1"/>
  <c r="F65" i="34"/>
  <c r="I65" i="34" s="1"/>
  <c r="E65" i="10"/>
  <c r="G65" i="10" s="1"/>
  <c r="E65" i="9"/>
  <c r="G65" i="9" s="1"/>
  <c r="E65" i="8"/>
  <c r="G65" i="8" s="1"/>
  <c r="E65" i="7"/>
  <c r="H65" i="7" s="1"/>
  <c r="F65" i="6"/>
  <c r="I65" i="6" s="1"/>
  <c r="E65" i="5"/>
  <c r="G65" i="5" s="1"/>
  <c r="E65" i="4"/>
  <c r="G65" i="4" s="1"/>
  <c r="E65" i="2"/>
  <c r="E65" i="1"/>
  <c r="G57" i="47" l="1"/>
  <c r="I66" i="2"/>
  <c r="C55" i="40" s="1"/>
  <c r="H66" i="5"/>
  <c r="J66" i="15"/>
  <c r="P55" i="40" s="1"/>
  <c r="I66" i="4"/>
  <c r="AB55" i="40" s="1"/>
  <c r="N75" i="24"/>
  <c r="I75" i="24"/>
  <c r="C75" i="24"/>
  <c r="R75" i="24"/>
  <c r="G75" i="24"/>
  <c r="X75" i="24"/>
  <c r="I66" i="19"/>
  <c r="D55" i="40" s="1"/>
  <c r="W75" i="24"/>
  <c r="O75" i="24"/>
  <c r="F75" i="24"/>
  <c r="V75" i="24"/>
  <c r="Z75" i="24"/>
  <c r="H75" i="24"/>
  <c r="Q75" i="24"/>
  <c r="K75" i="24"/>
  <c r="L75" i="24"/>
  <c r="H66" i="1"/>
  <c r="G65" i="1"/>
  <c r="H65" i="1" s="1"/>
  <c r="E56" i="47"/>
  <c r="M75" i="24"/>
  <c r="J75" i="24"/>
  <c r="Y75" i="24"/>
  <c r="U74" i="24"/>
  <c r="H65" i="33"/>
  <c r="I65" i="7"/>
  <c r="K65" i="38"/>
  <c r="H65" i="10"/>
  <c r="G65" i="2"/>
  <c r="H65" i="5"/>
  <c r="H65" i="9"/>
  <c r="H65" i="19"/>
  <c r="J65" i="6"/>
  <c r="H65" i="21"/>
  <c r="H65" i="12"/>
  <c r="H65" i="14"/>
  <c r="J65" i="34"/>
  <c r="J65" i="35"/>
  <c r="H65" i="20"/>
  <c r="L65" i="51"/>
  <c r="H65" i="4"/>
  <c r="I65" i="15"/>
  <c r="H64" i="50"/>
  <c r="U73" i="24" s="1"/>
  <c r="H65" i="22"/>
  <c r="H65" i="17"/>
  <c r="I65" i="49"/>
  <c r="Y54" i="40" s="1"/>
  <c r="H65" i="11"/>
  <c r="H65" i="16"/>
  <c r="J65" i="36"/>
  <c r="K65" i="18"/>
  <c r="H65" i="8"/>
  <c r="H65" i="13"/>
  <c r="J65" i="37"/>
  <c r="J65" i="39"/>
  <c r="H65" i="49"/>
  <c r="Y74" i="24" s="1"/>
  <c r="I64" i="50"/>
  <c r="U53" i="40" s="1"/>
  <c r="I63" i="3"/>
  <c r="I64" i="3"/>
  <c r="T53" i="40" s="1"/>
  <c r="I66" i="5" l="1"/>
  <c r="H57" i="47"/>
  <c r="E75" i="24"/>
  <c r="G56" i="47"/>
  <c r="B75" i="24"/>
  <c r="I66" i="1"/>
  <c r="I65" i="17"/>
  <c r="S54" i="40" s="1"/>
  <c r="S74" i="24"/>
  <c r="I65" i="22"/>
  <c r="AF54" i="40" s="1"/>
  <c r="AF74" i="24"/>
  <c r="L65" i="18"/>
  <c r="X54" i="40" s="1"/>
  <c r="X74" i="24"/>
  <c r="I65" i="12"/>
  <c r="M54" i="40" s="1"/>
  <c r="M74" i="24"/>
  <c r="L65" i="38"/>
  <c r="Z54" i="40" s="1"/>
  <c r="Z74" i="24"/>
  <c r="K65" i="36"/>
  <c r="V54" i="40" s="1"/>
  <c r="V74" i="24"/>
  <c r="J65" i="15"/>
  <c r="P54" i="40" s="1"/>
  <c r="P74" i="24"/>
  <c r="I65" i="21"/>
  <c r="AC54" i="40" s="1"/>
  <c r="AC74" i="24"/>
  <c r="J65" i="7"/>
  <c r="G54" i="40" s="1"/>
  <c r="G74" i="24"/>
  <c r="K65" i="34"/>
  <c r="K54" i="40" s="1"/>
  <c r="K74" i="24"/>
  <c r="I65" i="10"/>
  <c r="J54" i="40" s="1"/>
  <c r="J74" i="24"/>
  <c r="I65" i="16"/>
  <c r="R54" i="40" s="1"/>
  <c r="R74" i="24"/>
  <c r="I65" i="4"/>
  <c r="AB54" i="40" s="1"/>
  <c r="AB74" i="24"/>
  <c r="K65" i="6"/>
  <c r="F54" i="40" s="1"/>
  <c r="F74" i="24"/>
  <c r="I65" i="33"/>
  <c r="AD54" i="40" s="1"/>
  <c r="AD74" i="24"/>
  <c r="I65" i="13"/>
  <c r="N54" i="40" s="1"/>
  <c r="N74" i="24"/>
  <c r="I65" i="14"/>
  <c r="O54" i="40" s="1"/>
  <c r="O74" i="24"/>
  <c r="I65" i="1"/>
  <c r="B74" i="24"/>
  <c r="M65" i="51"/>
  <c r="AE54" i="40" s="1"/>
  <c r="AE74" i="24"/>
  <c r="I65" i="19"/>
  <c r="D54" i="40" s="1"/>
  <c r="D74" i="24"/>
  <c r="I65" i="8"/>
  <c r="H54" i="40" s="1"/>
  <c r="H74" i="24"/>
  <c r="K65" i="39"/>
  <c r="AG54" i="40" s="1"/>
  <c r="AG74" i="24"/>
  <c r="I65" i="11"/>
  <c r="L54" i="40" s="1"/>
  <c r="L74" i="24"/>
  <c r="I65" i="20"/>
  <c r="AA54" i="40" s="1"/>
  <c r="AA74" i="24"/>
  <c r="I65" i="9"/>
  <c r="I54" i="40" s="1"/>
  <c r="I74" i="24"/>
  <c r="K65" i="37"/>
  <c r="W54" i="40" s="1"/>
  <c r="W74" i="24"/>
  <c r="K65" i="35"/>
  <c r="Q54" i="40" s="1"/>
  <c r="Q74" i="24"/>
  <c r="I65" i="5"/>
  <c r="E54" i="40" s="1"/>
  <c r="E74" i="24"/>
  <c r="H65" i="2"/>
  <c r="T72" i="24"/>
  <c r="T52" i="40"/>
  <c r="C54" i="47"/>
  <c r="D54" i="47"/>
  <c r="F54" i="47"/>
  <c r="E63" i="50"/>
  <c r="G63" i="50" s="1"/>
  <c r="AH75" i="24" l="1"/>
  <c r="H56" i="47"/>
  <c r="E55" i="40"/>
  <c r="I57" i="47"/>
  <c r="B55" i="40"/>
  <c r="B54" i="40"/>
  <c r="I65" i="2"/>
  <c r="C54" i="40" s="1"/>
  <c r="C74" i="24"/>
  <c r="AH74" i="24" s="1"/>
  <c r="F63" i="39"/>
  <c r="I63" i="39" s="1"/>
  <c r="F64" i="39"/>
  <c r="I64" i="39" s="1"/>
  <c r="E63" i="22"/>
  <c r="G63" i="22" s="1"/>
  <c r="E64" i="22"/>
  <c r="G64" i="22" s="1"/>
  <c r="F63" i="51"/>
  <c r="K63" i="51" s="1"/>
  <c r="F64" i="51"/>
  <c r="K64" i="51" s="1"/>
  <c r="E63" i="33"/>
  <c r="G63" i="33" s="1"/>
  <c r="E64" i="33"/>
  <c r="G64" i="33" s="1"/>
  <c r="E63" i="21"/>
  <c r="G63" i="21" s="1"/>
  <c r="E64" i="21"/>
  <c r="G64" i="21" s="1"/>
  <c r="E63" i="17"/>
  <c r="G63" i="17" s="1"/>
  <c r="E64" i="17"/>
  <c r="G64" i="17" s="1"/>
  <c r="E63" i="20"/>
  <c r="G63" i="20" s="1"/>
  <c r="E64" i="20"/>
  <c r="G64" i="20" s="1"/>
  <c r="F63" i="38"/>
  <c r="J63" i="38" s="1"/>
  <c r="F64" i="38"/>
  <c r="J64" i="38" s="1"/>
  <c r="E63" i="49"/>
  <c r="G63" i="49" s="1"/>
  <c r="E64" i="49"/>
  <c r="G64" i="49" s="1"/>
  <c r="E63" i="19"/>
  <c r="G63" i="19" s="1"/>
  <c r="E64" i="19"/>
  <c r="G64" i="19" s="1"/>
  <c r="F63" i="37"/>
  <c r="I63" i="37" s="1"/>
  <c r="F64" i="37"/>
  <c r="I64" i="37" s="1"/>
  <c r="F63" i="18"/>
  <c r="J63" i="18" s="1"/>
  <c r="F64" i="18"/>
  <c r="J64" i="18" s="1"/>
  <c r="I63" i="36"/>
  <c r="I64" i="36"/>
  <c r="H63" i="50"/>
  <c r="U72" i="24" s="1"/>
  <c r="F63" i="35"/>
  <c r="I63" i="35" s="1"/>
  <c r="F64" i="35"/>
  <c r="I64" i="35" s="1"/>
  <c r="E63" i="16"/>
  <c r="G63" i="16" s="1"/>
  <c r="E64" i="16"/>
  <c r="G64" i="16" s="1"/>
  <c r="E63" i="15"/>
  <c r="H63" i="15" s="1"/>
  <c r="E64" i="15"/>
  <c r="H64" i="15" s="1"/>
  <c r="E63" i="14"/>
  <c r="G63" i="14" s="1"/>
  <c r="E64" i="14"/>
  <c r="G64" i="14" s="1"/>
  <c r="E63" i="13"/>
  <c r="G63" i="13" s="1"/>
  <c r="E64" i="13"/>
  <c r="G64" i="13" s="1"/>
  <c r="E63" i="12"/>
  <c r="G63" i="12" s="1"/>
  <c r="E64" i="12"/>
  <c r="G64" i="12" s="1"/>
  <c r="E63" i="11"/>
  <c r="G63" i="11" s="1"/>
  <c r="E64" i="11"/>
  <c r="G64" i="11" s="1"/>
  <c r="F63" i="34"/>
  <c r="I63" i="34" s="1"/>
  <c r="F64" i="34"/>
  <c r="I64" i="34" s="1"/>
  <c r="E63" i="10"/>
  <c r="G63" i="10" s="1"/>
  <c r="E64" i="10"/>
  <c r="G64" i="10" s="1"/>
  <c r="E63" i="9"/>
  <c r="G63" i="9" s="1"/>
  <c r="E64" i="9"/>
  <c r="G64" i="9" s="1"/>
  <c r="E63" i="8"/>
  <c r="G63" i="8" s="1"/>
  <c r="E64" i="8"/>
  <c r="G64" i="8" s="1"/>
  <c r="E63" i="7"/>
  <c r="H63" i="7" s="1"/>
  <c r="E64" i="7"/>
  <c r="H64" i="7" s="1"/>
  <c r="F63" i="6"/>
  <c r="I63" i="6" s="1"/>
  <c r="F64" i="6"/>
  <c r="I64" i="6" s="1"/>
  <c r="E63" i="5"/>
  <c r="G63" i="5" s="1"/>
  <c r="E64" i="5"/>
  <c r="G64" i="5" s="1"/>
  <c r="E63" i="4"/>
  <c r="G63" i="4" s="1"/>
  <c r="E64" i="4"/>
  <c r="G64" i="4" s="1"/>
  <c r="E63" i="2"/>
  <c r="G63" i="2" s="1"/>
  <c r="E64" i="2"/>
  <c r="G64" i="2" s="1"/>
  <c r="E63" i="1"/>
  <c r="E64" i="1"/>
  <c r="AH55" i="40" l="1"/>
  <c r="I56" i="47"/>
  <c r="AH54" i="40"/>
  <c r="G64" i="1"/>
  <c r="G55" i="47" s="1"/>
  <c r="E55" i="47"/>
  <c r="H64" i="5"/>
  <c r="H64" i="11"/>
  <c r="H63" i="21"/>
  <c r="I63" i="21" s="1"/>
  <c r="AC52" i="40" s="1"/>
  <c r="H64" i="19"/>
  <c r="K64" i="38"/>
  <c r="H63" i="11"/>
  <c r="I63" i="11" s="1"/>
  <c r="L52" i="40" s="1"/>
  <c r="H64" i="10"/>
  <c r="H63" i="9"/>
  <c r="I63" i="9" s="1"/>
  <c r="I52" i="40" s="1"/>
  <c r="H63" i="5"/>
  <c r="I63" i="5" s="1"/>
  <c r="E52" i="40" s="1"/>
  <c r="H63" i="4"/>
  <c r="AB72" i="24" s="1"/>
  <c r="E54" i="47"/>
  <c r="G63" i="1"/>
  <c r="G54" i="47" s="1"/>
  <c r="H64" i="14"/>
  <c r="H63" i="19"/>
  <c r="D72" i="24" s="1"/>
  <c r="H63" i="17"/>
  <c r="I63" i="17" s="1"/>
  <c r="S52" i="40" s="1"/>
  <c r="H63" i="22"/>
  <c r="I63" i="22" s="1"/>
  <c r="AF52" i="40" s="1"/>
  <c r="H64" i="21"/>
  <c r="J63" i="39"/>
  <c r="J63" i="34"/>
  <c r="K63" i="34" s="1"/>
  <c r="K52" i="40" s="1"/>
  <c r="J64" i="6"/>
  <c r="H63" i="13"/>
  <c r="N72" i="24" s="1"/>
  <c r="H63" i="14"/>
  <c r="J64" i="37"/>
  <c r="H64" i="13"/>
  <c r="J63" i="37"/>
  <c r="K64" i="18"/>
  <c r="J63" i="6"/>
  <c r="K63" i="18"/>
  <c r="H64" i="9"/>
  <c r="I63" i="50"/>
  <c r="U52" i="40" s="1"/>
  <c r="H64" i="2"/>
  <c r="H64" i="4"/>
  <c r="H64" i="17"/>
  <c r="H64" i="22"/>
  <c r="I63" i="7"/>
  <c r="J63" i="35"/>
  <c r="H63" i="10"/>
  <c r="H64" i="12"/>
  <c r="H64" i="16"/>
  <c r="H64" i="20"/>
  <c r="L64" i="51"/>
  <c r="H63" i="12"/>
  <c r="H63" i="16"/>
  <c r="H63" i="20"/>
  <c r="L63" i="51"/>
  <c r="H63" i="2"/>
  <c r="H64" i="8"/>
  <c r="I64" i="15"/>
  <c r="J64" i="36"/>
  <c r="H64" i="49"/>
  <c r="Y73" i="24" s="1"/>
  <c r="H64" i="33"/>
  <c r="J64" i="39"/>
  <c r="H63" i="8"/>
  <c r="J64" i="34"/>
  <c r="I63" i="15"/>
  <c r="J63" i="36"/>
  <c r="H63" i="49"/>
  <c r="Y72" i="24" s="1"/>
  <c r="K63" i="38"/>
  <c r="H63" i="33"/>
  <c r="I64" i="7"/>
  <c r="J64" i="35"/>
  <c r="I64" i="49"/>
  <c r="Y53" i="40" s="1"/>
  <c r="I63" i="49"/>
  <c r="Y52" i="40" s="1"/>
  <c r="I62" i="3"/>
  <c r="K63" i="39" l="1"/>
  <c r="AG52" i="40" s="1"/>
  <c r="AC72" i="24"/>
  <c r="I63" i="4"/>
  <c r="AB52" i="40" s="1"/>
  <c r="H63" i="1"/>
  <c r="H64" i="1"/>
  <c r="L72" i="24"/>
  <c r="K64" i="37"/>
  <c r="W53" i="40" s="1"/>
  <c r="W73" i="24"/>
  <c r="I64" i="10"/>
  <c r="J53" i="40" s="1"/>
  <c r="J73" i="24"/>
  <c r="I64" i="33"/>
  <c r="AD53" i="40" s="1"/>
  <c r="AD73" i="24"/>
  <c r="I72" i="24"/>
  <c r="I64" i="22"/>
  <c r="AF53" i="40" s="1"/>
  <c r="AF73" i="24"/>
  <c r="K64" i="6"/>
  <c r="F53" i="40" s="1"/>
  <c r="F73" i="24"/>
  <c r="I64" i="14"/>
  <c r="O53" i="40" s="1"/>
  <c r="O73" i="24"/>
  <c r="L64" i="38"/>
  <c r="Z53" i="40" s="1"/>
  <c r="Z73" i="24"/>
  <c r="J64" i="7"/>
  <c r="G53" i="40" s="1"/>
  <c r="G73" i="24"/>
  <c r="K64" i="39"/>
  <c r="AG53" i="40" s="1"/>
  <c r="AG73" i="24"/>
  <c r="K64" i="36"/>
  <c r="V53" i="40" s="1"/>
  <c r="V73" i="24"/>
  <c r="M64" i="51"/>
  <c r="AE53" i="40" s="1"/>
  <c r="AE73" i="24"/>
  <c r="I64" i="17"/>
  <c r="S53" i="40" s="1"/>
  <c r="S73" i="24"/>
  <c r="I64" i="9"/>
  <c r="I53" i="40" s="1"/>
  <c r="I73" i="24"/>
  <c r="S72" i="24"/>
  <c r="I64" i="19"/>
  <c r="D53" i="40" s="1"/>
  <c r="D73" i="24"/>
  <c r="L64" i="18"/>
  <c r="X53" i="40" s="1"/>
  <c r="X73" i="24"/>
  <c r="I64" i="20"/>
  <c r="AA53" i="40" s="1"/>
  <c r="AA73" i="24"/>
  <c r="I64" i="8"/>
  <c r="H53" i="40" s="1"/>
  <c r="H73" i="24"/>
  <c r="I64" i="2"/>
  <c r="C53" i="40" s="1"/>
  <c r="C73" i="24"/>
  <c r="I64" i="11"/>
  <c r="L53" i="40" s="1"/>
  <c r="L73" i="24"/>
  <c r="J64" i="15"/>
  <c r="P53" i="40" s="1"/>
  <c r="P73" i="24"/>
  <c r="I64" i="4"/>
  <c r="AB53" i="40" s="1"/>
  <c r="AB73" i="24"/>
  <c r="I64" i="16"/>
  <c r="R53" i="40" s="1"/>
  <c r="R73" i="24"/>
  <c r="I64" i="13"/>
  <c r="N53" i="40" s="1"/>
  <c r="N73" i="24"/>
  <c r="K64" i="35"/>
  <c r="Q53" i="40" s="1"/>
  <c r="Q73" i="24"/>
  <c r="K64" i="34"/>
  <c r="K53" i="40" s="1"/>
  <c r="K73" i="24"/>
  <c r="I64" i="12"/>
  <c r="M53" i="40" s="1"/>
  <c r="M73" i="24"/>
  <c r="AF72" i="24"/>
  <c r="I64" i="21"/>
  <c r="AC53" i="40" s="1"/>
  <c r="AC73" i="24"/>
  <c r="I64" i="5"/>
  <c r="E53" i="40" s="1"/>
  <c r="E73" i="24"/>
  <c r="I63" i="19"/>
  <c r="D52" i="40" s="1"/>
  <c r="E72" i="24"/>
  <c r="AG72" i="24"/>
  <c r="K72" i="24"/>
  <c r="I63" i="13"/>
  <c r="N52" i="40" s="1"/>
  <c r="I63" i="10"/>
  <c r="J52" i="40" s="1"/>
  <c r="J72" i="24"/>
  <c r="K63" i="35"/>
  <c r="Q52" i="40" s="1"/>
  <c r="Q72" i="24"/>
  <c r="J63" i="7"/>
  <c r="G52" i="40" s="1"/>
  <c r="G72" i="24"/>
  <c r="I63" i="8"/>
  <c r="H52" i="40" s="1"/>
  <c r="H72" i="24"/>
  <c r="I63" i="33"/>
  <c r="AD52" i="40" s="1"/>
  <c r="AD72" i="24"/>
  <c r="I63" i="16"/>
  <c r="R52" i="40" s="1"/>
  <c r="R72" i="24"/>
  <c r="L63" i="38"/>
  <c r="Z52" i="40" s="1"/>
  <c r="Z72" i="24"/>
  <c r="I63" i="12"/>
  <c r="M52" i="40" s="1"/>
  <c r="M72" i="24"/>
  <c r="L63" i="18"/>
  <c r="X52" i="40" s="1"/>
  <c r="X72" i="24"/>
  <c r="I63" i="14"/>
  <c r="O52" i="40" s="1"/>
  <c r="O72" i="24"/>
  <c r="K63" i="6"/>
  <c r="F52" i="40" s="1"/>
  <c r="F72" i="24"/>
  <c r="J63" i="15"/>
  <c r="P52" i="40" s="1"/>
  <c r="P72" i="24"/>
  <c r="K63" i="37"/>
  <c r="W52" i="40" s="1"/>
  <c r="W72" i="24"/>
  <c r="I63" i="2"/>
  <c r="C52" i="40" s="1"/>
  <c r="C72" i="24"/>
  <c r="M63" i="51"/>
  <c r="AE52" i="40" s="1"/>
  <c r="AE72" i="24"/>
  <c r="I63" i="20"/>
  <c r="AA52" i="40" s="1"/>
  <c r="AA72" i="24"/>
  <c r="K63" i="36"/>
  <c r="V52" i="40" s="1"/>
  <c r="V72" i="24"/>
  <c r="T71" i="24"/>
  <c r="T51" i="40"/>
  <c r="C53" i="47"/>
  <c r="D53" i="47"/>
  <c r="F53" i="47"/>
  <c r="I64" i="1" l="1"/>
  <c r="I63" i="1"/>
  <c r="H54" i="47"/>
  <c r="B72" i="24"/>
  <c r="AH72" i="24" s="1"/>
  <c r="H55" i="47"/>
  <c r="B73" i="24"/>
  <c r="AH73" i="24" s="1"/>
  <c r="I55" i="47"/>
  <c r="B53" i="40"/>
  <c r="AH53" i="40" s="1"/>
  <c r="B52" i="40"/>
  <c r="AH52" i="40" s="1"/>
  <c r="I54" i="47"/>
  <c r="F62" i="39"/>
  <c r="I62" i="39" s="1"/>
  <c r="E62" i="22"/>
  <c r="G62" i="22" s="1"/>
  <c r="F62" i="51"/>
  <c r="K62" i="51" s="1"/>
  <c r="E62" i="33"/>
  <c r="G62" i="33" s="1"/>
  <c r="E62" i="21"/>
  <c r="G62" i="21" s="1"/>
  <c r="E62" i="17"/>
  <c r="G62" i="17" s="1"/>
  <c r="E62" i="20"/>
  <c r="G62" i="20" s="1"/>
  <c r="F62" i="38"/>
  <c r="J62" i="38" s="1"/>
  <c r="E62" i="49"/>
  <c r="G62" i="49" s="1"/>
  <c r="E62" i="19"/>
  <c r="G62" i="19" s="1"/>
  <c r="F62" i="37"/>
  <c r="I62" i="37" s="1"/>
  <c r="F62" i="18"/>
  <c r="J62" i="18" s="1"/>
  <c r="I62" i="36"/>
  <c r="E62" i="50"/>
  <c r="G62" i="50" s="1"/>
  <c r="F62" i="35"/>
  <c r="I62" i="35" s="1"/>
  <c r="E62" i="16"/>
  <c r="G62" i="16" s="1"/>
  <c r="E62" i="15"/>
  <c r="H62" i="15" s="1"/>
  <c r="E62" i="14"/>
  <c r="G62" i="14" s="1"/>
  <c r="E62" i="13"/>
  <c r="G62" i="13" s="1"/>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2"/>
  <c r="G62" i="12" s="1"/>
  <c r="E62" i="11"/>
  <c r="G62" i="11" s="1"/>
  <c r="F62" i="34"/>
  <c r="I62" i="34" s="1"/>
  <c r="E62" i="10"/>
  <c r="G62" i="10" s="1"/>
  <c r="E62" i="9"/>
  <c r="G62" i="9" s="1"/>
  <c r="E62" i="8"/>
  <c r="G62" i="8" s="1"/>
  <c r="E62" i="7"/>
  <c r="H62" i="7" s="1"/>
  <c r="F62" i="6"/>
  <c r="I62" i="6" s="1"/>
  <c r="E62" i="5"/>
  <c r="G62" i="5" s="1"/>
  <c r="E62" i="4"/>
  <c r="G62" i="4" s="1"/>
  <c r="E62" i="2"/>
  <c r="G62" i="2" s="1"/>
  <c r="E62" i="1"/>
  <c r="E53" i="47" l="1"/>
  <c r="G62" i="1"/>
  <c r="G53" i="47" s="1"/>
  <c r="J62" i="39"/>
  <c r="H62" i="22"/>
  <c r="L62" i="51"/>
  <c r="H62" i="33"/>
  <c r="H62" i="21"/>
  <c r="H62" i="17"/>
  <c r="H62" i="20"/>
  <c r="K62" i="38"/>
  <c r="K62" i="39" l="1"/>
  <c r="AG51" i="40" s="1"/>
  <c r="AG71" i="24"/>
  <c r="I62" i="17"/>
  <c r="S51" i="40" s="1"/>
  <c r="S71" i="24"/>
  <c r="L62" i="38"/>
  <c r="Z51" i="40" s="1"/>
  <c r="Z71" i="24"/>
  <c r="M62" i="51"/>
  <c r="AE51" i="40" s="1"/>
  <c r="AE71" i="24"/>
  <c r="I62" i="20"/>
  <c r="AA51" i="40" s="1"/>
  <c r="AA71" i="24"/>
  <c r="I62" i="21"/>
  <c r="AC51" i="40" s="1"/>
  <c r="AC71" i="24"/>
  <c r="I62" i="33"/>
  <c r="AD51" i="40" s="1"/>
  <c r="AD71" i="24"/>
  <c r="I62" i="22"/>
  <c r="AF51" i="40" s="1"/>
  <c r="AF71" i="24"/>
  <c r="H62" i="19"/>
  <c r="J62" i="37"/>
  <c r="K62" i="18"/>
  <c r="J62" i="36"/>
  <c r="J62" i="35"/>
  <c r="H62" i="16"/>
  <c r="I62" i="15"/>
  <c r="H62" i="14"/>
  <c r="H62" i="13"/>
  <c r="H62" i="12"/>
  <c r="H62" i="11"/>
  <c r="J62" i="34"/>
  <c r="H62" i="10"/>
  <c r="H62" i="9"/>
  <c r="H62" i="8"/>
  <c r="I62" i="7"/>
  <c r="J62" i="6"/>
  <c r="H62" i="5"/>
  <c r="H62" i="4"/>
  <c r="H62" i="2"/>
  <c r="H62" i="1"/>
  <c r="B71" i="24" l="1"/>
  <c r="K62" i="6"/>
  <c r="F51" i="40" s="1"/>
  <c r="F71" i="24"/>
  <c r="I62" i="14"/>
  <c r="O51" i="40" s="1"/>
  <c r="O71" i="24"/>
  <c r="I62" i="19"/>
  <c r="D51" i="40" s="1"/>
  <c r="D71" i="24"/>
  <c r="I62" i="8"/>
  <c r="H51" i="40" s="1"/>
  <c r="H71" i="24"/>
  <c r="J62" i="15"/>
  <c r="P51" i="40" s="1"/>
  <c r="P71" i="24"/>
  <c r="I62" i="13"/>
  <c r="N51" i="40" s="1"/>
  <c r="N71" i="24"/>
  <c r="I62" i="9"/>
  <c r="I51" i="40" s="1"/>
  <c r="I71" i="24"/>
  <c r="I62" i="2"/>
  <c r="C51" i="40" s="1"/>
  <c r="C71" i="24"/>
  <c r="I62" i="10"/>
  <c r="J51" i="40" s="1"/>
  <c r="J71" i="24"/>
  <c r="K62" i="35"/>
  <c r="Q51" i="40" s="1"/>
  <c r="Q71" i="24"/>
  <c r="I62" i="16"/>
  <c r="R51" i="40" s="1"/>
  <c r="R71" i="24"/>
  <c r="K62" i="34"/>
  <c r="K51" i="40" s="1"/>
  <c r="K71" i="24"/>
  <c r="K62" i="37"/>
  <c r="W51" i="40" s="1"/>
  <c r="W71" i="24"/>
  <c r="J62" i="7"/>
  <c r="G51" i="40" s="1"/>
  <c r="G71" i="24"/>
  <c r="I62" i="4"/>
  <c r="AB51" i="40" s="1"/>
  <c r="AB71" i="24"/>
  <c r="I62" i="11"/>
  <c r="L51" i="40" s="1"/>
  <c r="L71" i="24"/>
  <c r="K62" i="36"/>
  <c r="V51" i="40" s="1"/>
  <c r="V71" i="24"/>
  <c r="I62" i="5"/>
  <c r="E51" i="40" s="1"/>
  <c r="E71" i="24"/>
  <c r="I62" i="12"/>
  <c r="M51" i="40" s="1"/>
  <c r="M71" i="24"/>
  <c r="L62" i="18"/>
  <c r="X51" i="40" s="1"/>
  <c r="X71" i="24"/>
  <c r="I62" i="1"/>
  <c r="I62" i="50"/>
  <c r="U51" i="40" s="1"/>
  <c r="H62" i="50"/>
  <c r="U71" i="24" s="1"/>
  <c r="I62" i="49"/>
  <c r="Y51" i="40" s="1"/>
  <c r="H62" i="49"/>
  <c r="Y71" i="24" s="1"/>
  <c r="T70" i="24"/>
  <c r="C52" i="47"/>
  <c r="D52" i="47"/>
  <c r="F52" i="47"/>
  <c r="I61" i="3"/>
  <c r="T50" i="40" s="1"/>
  <c r="H53" i="47" l="1"/>
  <c r="AH71" i="24"/>
  <c r="I53" i="47"/>
  <c r="B51" i="40"/>
  <c r="AH51" i="40" s="1"/>
  <c r="E61" i="17"/>
  <c r="G61" i="17" s="1"/>
  <c r="F61" i="39" l="1"/>
  <c r="I61" i="39" s="1"/>
  <c r="E61" i="22"/>
  <c r="G61" i="22" s="1"/>
  <c r="F61" i="51"/>
  <c r="K61" i="51" s="1"/>
  <c r="E61" i="33"/>
  <c r="G61" i="33" s="1"/>
  <c r="E61" i="21"/>
  <c r="G61" i="21" s="1"/>
  <c r="H61" i="17"/>
  <c r="E61" i="20"/>
  <c r="G61" i="20" s="1"/>
  <c r="F61" i="38"/>
  <c r="J61" i="38" s="1"/>
  <c r="E61" i="49"/>
  <c r="G61" i="49" s="1"/>
  <c r="E61" i="19"/>
  <c r="G61" i="19" s="1"/>
  <c r="F61" i="37"/>
  <c r="I61" i="37" s="1"/>
  <c r="F61" i="18"/>
  <c r="J61" i="18" s="1"/>
  <c r="I61" i="36"/>
  <c r="E61" i="50"/>
  <c r="G61" i="50" s="1"/>
  <c r="F61" i="35"/>
  <c r="I61" i="35" s="1"/>
  <c r="E61" i="16"/>
  <c r="G61" i="16" s="1"/>
  <c r="E61" i="15"/>
  <c r="H61" i="15" s="1"/>
  <c r="E61" i="14"/>
  <c r="G61" i="14" s="1"/>
  <c r="G61" i="13"/>
  <c r="E61" i="12"/>
  <c r="G61" i="12" s="1"/>
  <c r="E61" i="11"/>
  <c r="G61" i="11" s="1"/>
  <c r="F61" i="34"/>
  <c r="I61" i="34" s="1"/>
  <c r="E61" i="10"/>
  <c r="G61" i="10" s="1"/>
  <c r="E61" i="9"/>
  <c r="G61" i="9" s="1"/>
  <c r="E61" i="8"/>
  <c r="G61" i="8" s="1"/>
  <c r="E61" i="7"/>
  <c r="H61" i="7" s="1"/>
  <c r="F61" i="6"/>
  <c r="I61" i="6" s="1"/>
  <c r="J61" i="39" l="1"/>
  <c r="I61" i="17"/>
  <c r="S50" i="40" s="1"/>
  <c r="S70" i="24"/>
  <c r="H61" i="11"/>
  <c r="H61" i="19"/>
  <c r="H61" i="22"/>
  <c r="H61" i="33"/>
  <c r="L61" i="51"/>
  <c r="H61" i="21"/>
  <c r="I61" i="7"/>
  <c r="K61" i="18"/>
  <c r="H61" i="10"/>
  <c r="H61" i="16"/>
  <c r="I61" i="50"/>
  <c r="U50" i="40" s="1"/>
  <c r="J61" i="34"/>
  <c r="J61" i="37"/>
  <c r="H61" i="20"/>
  <c r="H61" i="8"/>
  <c r="H61" i="14"/>
  <c r="H61" i="12"/>
  <c r="J61" i="36"/>
  <c r="H61" i="9"/>
  <c r="K61" i="38"/>
  <c r="H61" i="49"/>
  <c r="Y70" i="24" s="1"/>
  <c r="I61" i="49"/>
  <c r="Y50" i="40" s="1"/>
  <c r="H61" i="50"/>
  <c r="U70" i="24" s="1"/>
  <c r="J61" i="35"/>
  <c r="I61" i="15"/>
  <c r="H61" i="13"/>
  <c r="J61" i="6"/>
  <c r="E61" i="5"/>
  <c r="G61" i="5" s="1"/>
  <c r="E61" i="4"/>
  <c r="G61" i="4" s="1"/>
  <c r="E61" i="2"/>
  <c r="G61" i="2" s="1"/>
  <c r="E61" i="1"/>
  <c r="E52" i="47" l="1"/>
  <c r="H61" i="2"/>
  <c r="G61" i="1"/>
  <c r="G52" i="47" s="1"/>
  <c r="L61" i="38"/>
  <c r="Z50" i="40" s="1"/>
  <c r="Z70" i="24"/>
  <c r="K61" i="34"/>
  <c r="K50" i="40" s="1"/>
  <c r="K70" i="24"/>
  <c r="K61" i="39"/>
  <c r="AG50" i="40" s="1"/>
  <c r="AG70" i="24"/>
  <c r="I61" i="13"/>
  <c r="N50" i="40" s="1"/>
  <c r="N70" i="24"/>
  <c r="K61" i="36"/>
  <c r="V50" i="40" s="1"/>
  <c r="V70" i="24"/>
  <c r="I61" i="16"/>
  <c r="R50" i="40" s="1"/>
  <c r="R70" i="24"/>
  <c r="I61" i="22"/>
  <c r="AF50" i="40" s="1"/>
  <c r="AF70" i="24"/>
  <c r="J61" i="15"/>
  <c r="P50" i="40" s="1"/>
  <c r="P70" i="24"/>
  <c r="I61" i="12"/>
  <c r="M50" i="40" s="1"/>
  <c r="M70" i="24"/>
  <c r="I61" i="10"/>
  <c r="J50" i="40" s="1"/>
  <c r="J70" i="24"/>
  <c r="I61" i="19"/>
  <c r="D50" i="40" s="1"/>
  <c r="D70" i="24"/>
  <c r="K61" i="35"/>
  <c r="Q50" i="40" s="1"/>
  <c r="Q70" i="24"/>
  <c r="I61" i="14"/>
  <c r="O50" i="40" s="1"/>
  <c r="O70" i="24"/>
  <c r="L61" i="18"/>
  <c r="X50" i="40" s="1"/>
  <c r="X70" i="24"/>
  <c r="I61" i="11"/>
  <c r="L50" i="40" s="1"/>
  <c r="L70" i="24"/>
  <c r="M61" i="51"/>
  <c r="AE50" i="40" s="1"/>
  <c r="AE70" i="24"/>
  <c r="K61" i="6"/>
  <c r="F50" i="40" s="1"/>
  <c r="F70" i="24"/>
  <c r="I61" i="9"/>
  <c r="I50" i="40" s="1"/>
  <c r="I70" i="24"/>
  <c r="I61" i="8"/>
  <c r="H50" i="40" s="1"/>
  <c r="H70" i="24"/>
  <c r="J61" i="7"/>
  <c r="G50" i="40" s="1"/>
  <c r="G70" i="24"/>
  <c r="K61" i="37"/>
  <c r="W50" i="40" s="1"/>
  <c r="W70" i="24"/>
  <c r="I61" i="33"/>
  <c r="AD50" i="40" s="1"/>
  <c r="AD70" i="24"/>
  <c r="I61" i="20"/>
  <c r="AA50" i="40" s="1"/>
  <c r="AA70" i="24"/>
  <c r="I61" i="21"/>
  <c r="AC50" i="40" s="1"/>
  <c r="AC70" i="24"/>
  <c r="H61" i="4"/>
  <c r="H61" i="5"/>
  <c r="C23" i="47"/>
  <c r="C22" i="47"/>
  <c r="T69" i="24"/>
  <c r="F51" i="47"/>
  <c r="D51" i="47"/>
  <c r="C51" i="47"/>
  <c r="I61" i="2" l="1"/>
  <c r="C50" i="40" s="1"/>
  <c r="H61" i="1"/>
  <c r="C70" i="24"/>
  <c r="I61" i="4"/>
  <c r="AB50" i="40" s="1"/>
  <c r="AB70" i="24"/>
  <c r="I61" i="5"/>
  <c r="E50" i="40" s="1"/>
  <c r="E70" i="24"/>
  <c r="H52" i="47" l="1"/>
  <c r="I61" i="1"/>
  <c r="B50" i="40" s="1"/>
  <c r="AH50" i="40" s="1"/>
  <c r="B70" i="24"/>
  <c r="AH70" i="24" s="1"/>
  <c r="F59" i="38"/>
  <c r="J59" i="38" s="1"/>
  <c r="F60" i="38"/>
  <c r="J60" i="38" s="1"/>
  <c r="I60" i="36"/>
  <c r="I52" i="47" l="1"/>
  <c r="J60" i="36"/>
  <c r="K60" i="38"/>
  <c r="Z69" i="24" l="1"/>
  <c r="L60" i="38"/>
  <c r="Z49" i="40" s="1"/>
  <c r="K60" i="36"/>
  <c r="V49" i="40" s="1"/>
  <c r="V69" i="24"/>
  <c r="E60" i="20"/>
  <c r="G60" i="20" s="1"/>
  <c r="F60" i="39"/>
  <c r="I60" i="39" s="1"/>
  <c r="E60" i="22"/>
  <c r="F60" i="51"/>
  <c r="K60" i="51" s="1"/>
  <c r="E60" i="33"/>
  <c r="G60" i="33" s="1"/>
  <c r="E60" i="21"/>
  <c r="G60" i="21" s="1"/>
  <c r="E60" i="4"/>
  <c r="G60" i="4" s="1"/>
  <c r="E60" i="49"/>
  <c r="G60" i="49" s="1"/>
  <c r="E60" i="19"/>
  <c r="G60" i="19" s="1"/>
  <c r="F60" i="37"/>
  <c r="I60" i="37" s="1"/>
  <c r="F60" i="18"/>
  <c r="J60" i="18" s="1"/>
  <c r="E60" i="50"/>
  <c r="G60" i="50" s="1"/>
  <c r="E60" i="17"/>
  <c r="G60" i="17" s="1"/>
  <c r="F60" i="35"/>
  <c r="I60" i="35" s="1"/>
  <c r="E60" i="16"/>
  <c r="G60" i="16" s="1"/>
  <c r="E60" i="15"/>
  <c r="H60" i="15" s="1"/>
  <c r="E60" i="14"/>
  <c r="G60" i="14" s="1"/>
  <c r="G60" i="13"/>
  <c r="E60" i="12"/>
  <c r="G60" i="12" s="1"/>
  <c r="E60" i="11"/>
  <c r="G60" i="11" s="1"/>
  <c r="F60" i="34"/>
  <c r="I60" i="34" s="1"/>
  <c r="E60" i="10"/>
  <c r="G60" i="10" s="1"/>
  <c r="G60" i="22" l="1"/>
  <c r="H60" i="22" s="1"/>
  <c r="AF69" i="24" s="1"/>
  <c r="H60" i="14"/>
  <c r="O69" i="24" s="1"/>
  <c r="J60" i="34"/>
  <c r="H60" i="21"/>
  <c r="L60" i="51"/>
  <c r="AE69" i="24" s="1"/>
  <c r="J60" i="39"/>
  <c r="H60" i="11"/>
  <c r="L69" i="24" s="1"/>
  <c r="J60" i="35"/>
  <c r="J60" i="37"/>
  <c r="W69" i="24" s="1"/>
  <c r="H60" i="49"/>
  <c r="Y69" i="24" s="1"/>
  <c r="H60" i="20"/>
  <c r="H60" i="16"/>
  <c r="H60" i="13"/>
  <c r="N69" i="24" s="1"/>
  <c r="H60" i="12"/>
  <c r="M69" i="24" s="1"/>
  <c r="K60" i="18"/>
  <c r="X69" i="24" s="1"/>
  <c r="I60" i="15"/>
  <c r="P69" i="24" s="1"/>
  <c r="H60" i="10"/>
  <c r="J69" i="24" s="1"/>
  <c r="H60" i="17"/>
  <c r="S69" i="24" s="1"/>
  <c r="H60" i="19"/>
  <c r="D69" i="24" s="1"/>
  <c r="H60" i="33"/>
  <c r="AD69" i="24" s="1"/>
  <c r="I60" i="49"/>
  <c r="Y49" i="40" s="1"/>
  <c r="H60" i="50"/>
  <c r="U69" i="24" s="1"/>
  <c r="I60" i="50"/>
  <c r="U49" i="40" s="1"/>
  <c r="E60" i="9"/>
  <c r="G60" i="9" s="1"/>
  <c r="E60" i="8"/>
  <c r="G60" i="8" s="1"/>
  <c r="E60" i="7"/>
  <c r="H60" i="7" s="1"/>
  <c r="F60" i="6"/>
  <c r="I60" i="6" s="1"/>
  <c r="E60" i="5"/>
  <c r="G60" i="5" s="1"/>
  <c r="H60" i="4"/>
  <c r="AB69" i="24" s="1"/>
  <c r="E60" i="2"/>
  <c r="G60" i="2" s="1"/>
  <c r="E60" i="1"/>
  <c r="I60" i="16" l="1"/>
  <c r="R49" i="40" s="1"/>
  <c r="R69" i="24"/>
  <c r="K60" i="35"/>
  <c r="Q49" i="40" s="1"/>
  <c r="Q69" i="24"/>
  <c r="G60" i="1"/>
  <c r="G51" i="47" s="1"/>
  <c r="E51" i="47"/>
  <c r="K60" i="39"/>
  <c r="AG49" i="40" s="1"/>
  <c r="AG69" i="24"/>
  <c r="I60" i="21"/>
  <c r="AC49" i="40" s="1"/>
  <c r="AC69" i="24"/>
  <c r="K60" i="34"/>
  <c r="K49" i="40" s="1"/>
  <c r="K69" i="24"/>
  <c r="I60" i="20"/>
  <c r="AA49" i="40" s="1"/>
  <c r="AA69" i="24"/>
  <c r="I60" i="14"/>
  <c r="O49" i="40" s="1"/>
  <c r="I60" i="11"/>
  <c r="L49" i="40" s="1"/>
  <c r="K60" i="37"/>
  <c r="W49" i="40" s="1"/>
  <c r="J60" i="6"/>
  <c r="F69" i="24" s="1"/>
  <c r="M60" i="51"/>
  <c r="AE49" i="40" s="1"/>
  <c r="I60" i="4"/>
  <c r="AB49" i="40" s="1"/>
  <c r="I60" i="19"/>
  <c r="D49" i="40" s="1"/>
  <c r="L60" i="18"/>
  <c r="X49" i="40" s="1"/>
  <c r="H60" i="5"/>
  <c r="E69" i="24" s="1"/>
  <c r="I60" i="10"/>
  <c r="J49" i="40" s="1"/>
  <c r="I60" i="22"/>
  <c r="AF49" i="40" s="1"/>
  <c r="I60" i="13"/>
  <c r="N49" i="40" s="1"/>
  <c r="I60" i="3"/>
  <c r="T49" i="40" s="1"/>
  <c r="I60" i="33"/>
  <c r="AD49" i="40" s="1"/>
  <c r="J60" i="15"/>
  <c r="P49" i="40" s="1"/>
  <c r="I60" i="12"/>
  <c r="M49" i="40" s="1"/>
  <c r="I60" i="17"/>
  <c r="S49" i="40" s="1"/>
  <c r="H60" i="2"/>
  <c r="I60" i="7"/>
  <c r="G69" i="24" s="1"/>
  <c r="H60" i="9"/>
  <c r="I69" i="24" s="1"/>
  <c r="H60" i="8"/>
  <c r="H69" i="24" s="1"/>
  <c r="C69" i="24" l="1"/>
  <c r="K60" i="6"/>
  <c r="F49" i="40" s="1"/>
  <c r="H60" i="1"/>
  <c r="J60" i="7"/>
  <c r="G49" i="40" s="1"/>
  <c r="I60" i="8"/>
  <c r="H49" i="40" s="1"/>
  <c r="I60" i="2"/>
  <c r="C49" i="40" s="1"/>
  <c r="I60" i="5"/>
  <c r="E49" i="40" s="1"/>
  <c r="I60" i="9"/>
  <c r="I49" i="40" s="1"/>
  <c r="F59" i="37"/>
  <c r="I59" i="37" s="1"/>
  <c r="E27" i="50"/>
  <c r="G27" i="50" s="1"/>
  <c r="E59" i="50"/>
  <c r="G59" i="50" s="1"/>
  <c r="H51" i="47" l="1"/>
  <c r="B69" i="24"/>
  <c r="AH69" i="24" s="1"/>
  <c r="I60" i="1"/>
  <c r="C50" i="47"/>
  <c r="D50" i="47"/>
  <c r="F50" i="47"/>
  <c r="F59" i="39"/>
  <c r="I59" i="39" s="1"/>
  <c r="E59" i="20"/>
  <c r="G59" i="20" s="1"/>
  <c r="I59" i="36"/>
  <c r="F59" i="35"/>
  <c r="I59" i="35" s="1"/>
  <c r="E59" i="14"/>
  <c r="G59" i="14" s="1"/>
  <c r="F59" i="34"/>
  <c r="I59" i="34" s="1"/>
  <c r="F59" i="6"/>
  <c r="I59" i="6" s="1"/>
  <c r="E59" i="3"/>
  <c r="G59" i="3" s="1"/>
  <c r="I51" i="47" l="1"/>
  <c r="B49" i="40"/>
  <c r="AH49" i="40" s="1"/>
  <c r="J59" i="39"/>
  <c r="E59" i="22"/>
  <c r="G59" i="22" s="1"/>
  <c r="F59" i="51"/>
  <c r="K59" i="51" s="1"/>
  <c r="E59" i="33"/>
  <c r="G59" i="33" s="1"/>
  <c r="E59" i="21"/>
  <c r="G59" i="21" s="1"/>
  <c r="E59" i="17"/>
  <c r="G59" i="17" s="1"/>
  <c r="H59" i="20"/>
  <c r="K59" i="38"/>
  <c r="E59" i="49"/>
  <c r="G59" i="49" s="1"/>
  <c r="E59" i="19"/>
  <c r="G59" i="19" s="1"/>
  <c r="J59" i="37"/>
  <c r="L59" i="38" l="1"/>
  <c r="Z48" i="40" s="1"/>
  <c r="Z68" i="24"/>
  <c r="H59" i="21"/>
  <c r="I59" i="21" s="1"/>
  <c r="AC48" i="40" s="1"/>
  <c r="H59" i="19"/>
  <c r="I59" i="19" s="1"/>
  <c r="D48" i="40" s="1"/>
  <c r="H59" i="22"/>
  <c r="AF68" i="24" s="1"/>
  <c r="L59" i="51"/>
  <c r="M59" i="51" s="1"/>
  <c r="AE48" i="40" s="1"/>
  <c r="K59" i="37"/>
  <c r="W48" i="40" s="1"/>
  <c r="W68" i="24"/>
  <c r="K59" i="39"/>
  <c r="AG48" i="40" s="1"/>
  <c r="AG68" i="24"/>
  <c r="I59" i="20"/>
  <c r="AA48" i="40" s="1"/>
  <c r="AA68" i="24"/>
  <c r="I59" i="49"/>
  <c r="Y48" i="40" s="1"/>
  <c r="H59" i="17"/>
  <c r="H59" i="33"/>
  <c r="H59" i="49"/>
  <c r="Y68" i="24" s="1"/>
  <c r="AE68" i="24" l="1"/>
  <c r="I59" i="22"/>
  <c r="AF48" i="40" s="1"/>
  <c r="AC68" i="24"/>
  <c r="D68" i="24"/>
  <c r="I59" i="17"/>
  <c r="S48" i="40" s="1"/>
  <c r="S68" i="24"/>
  <c r="I59" i="33"/>
  <c r="AD48" i="40" s="1"/>
  <c r="AD68" i="24"/>
  <c r="F59" i="18"/>
  <c r="J59" i="18" s="1"/>
  <c r="J59" i="36"/>
  <c r="J59" i="35"/>
  <c r="E59" i="16"/>
  <c r="G59" i="16" s="1"/>
  <c r="E59" i="15"/>
  <c r="H59" i="15" s="1"/>
  <c r="H59" i="14"/>
  <c r="G59" i="13"/>
  <c r="E59" i="12"/>
  <c r="G59" i="12" s="1"/>
  <c r="E59" i="11"/>
  <c r="G59" i="11" s="1"/>
  <c r="J59" i="34"/>
  <c r="E59" i="10"/>
  <c r="G59" i="10" s="1"/>
  <c r="E59" i="9"/>
  <c r="G59" i="9" s="1"/>
  <c r="E59" i="8"/>
  <c r="G59" i="8" s="1"/>
  <c r="E59" i="7"/>
  <c r="H59" i="7" s="1"/>
  <c r="J59" i="6"/>
  <c r="E59" i="5"/>
  <c r="G59" i="5" s="1"/>
  <c r="E59" i="4"/>
  <c r="G59" i="4" s="1"/>
  <c r="E59" i="2"/>
  <c r="G59" i="2" s="1"/>
  <c r="E59" i="1"/>
  <c r="G59" i="1" s="1"/>
  <c r="H59" i="11" l="1"/>
  <c r="L68" i="24" s="1"/>
  <c r="H59" i="4"/>
  <c r="I59" i="4" s="1"/>
  <c r="AB48" i="40" s="1"/>
  <c r="H59" i="10"/>
  <c r="I59" i="10" s="1"/>
  <c r="J48" i="40" s="1"/>
  <c r="G50" i="47"/>
  <c r="H59" i="1"/>
  <c r="H59" i="9"/>
  <c r="I59" i="9" s="1"/>
  <c r="I48" i="40" s="1"/>
  <c r="H59" i="16"/>
  <c r="I59" i="16" s="1"/>
  <c r="R48" i="40" s="1"/>
  <c r="H59" i="8"/>
  <c r="I59" i="8" s="1"/>
  <c r="H48" i="40" s="1"/>
  <c r="I59" i="15"/>
  <c r="J59" i="15" s="1"/>
  <c r="P48" i="40" s="1"/>
  <c r="I59" i="7"/>
  <c r="J59" i="7" s="1"/>
  <c r="G48" i="40" s="1"/>
  <c r="H59" i="12"/>
  <c r="M68" i="24" s="1"/>
  <c r="E50" i="47"/>
  <c r="K59" i="18"/>
  <c r="X68" i="24" s="1"/>
  <c r="H59" i="13"/>
  <c r="I59" i="13" s="1"/>
  <c r="N48" i="40" s="1"/>
  <c r="H59" i="50"/>
  <c r="U68" i="24" s="1"/>
  <c r="I59" i="50"/>
  <c r="U48" i="40" s="1"/>
  <c r="I59" i="3"/>
  <c r="T48" i="40" s="1"/>
  <c r="T68" i="24"/>
  <c r="K59" i="34"/>
  <c r="K48" i="40" s="1"/>
  <c r="K68" i="24"/>
  <c r="K59" i="35"/>
  <c r="Q48" i="40" s="1"/>
  <c r="Q68" i="24"/>
  <c r="I59" i="14"/>
  <c r="O48" i="40" s="1"/>
  <c r="O68" i="24"/>
  <c r="K59" i="6"/>
  <c r="F48" i="40" s="1"/>
  <c r="F68" i="24"/>
  <c r="K59" i="36"/>
  <c r="V48" i="40" s="1"/>
  <c r="V68" i="24"/>
  <c r="H59" i="5"/>
  <c r="H59" i="2"/>
  <c r="E24" i="50"/>
  <c r="G24" i="50" s="1"/>
  <c r="E23" i="50"/>
  <c r="G23" i="50" s="1"/>
  <c r="B68" i="24" l="1"/>
  <c r="I59" i="11"/>
  <c r="L48" i="40" s="1"/>
  <c r="AB68" i="24"/>
  <c r="J68" i="24"/>
  <c r="I68" i="24"/>
  <c r="I59" i="1"/>
  <c r="B48" i="40" s="1"/>
  <c r="R68" i="24"/>
  <c r="I59" i="12"/>
  <c r="M48" i="40" s="1"/>
  <c r="N68" i="24"/>
  <c r="L59" i="18"/>
  <c r="X48" i="40" s="1"/>
  <c r="G68" i="24"/>
  <c r="P68" i="24"/>
  <c r="H68" i="24"/>
  <c r="I59" i="2"/>
  <c r="C48" i="40" s="1"/>
  <c r="C68" i="24"/>
  <c r="H50" i="47"/>
  <c r="I59" i="5"/>
  <c r="E48" i="40" s="1"/>
  <c r="E68" i="24"/>
  <c r="C49" i="47"/>
  <c r="D49" i="47"/>
  <c r="F49" i="47"/>
  <c r="F58" i="37"/>
  <c r="I58" i="37" s="1"/>
  <c r="E58" i="3"/>
  <c r="G58" i="3" s="1"/>
  <c r="I58" i="36"/>
  <c r="F58" i="39"/>
  <c r="I58" i="39" s="1"/>
  <c r="E58" i="20"/>
  <c r="G58" i="20" s="1"/>
  <c r="F58" i="38"/>
  <c r="J58" i="38" s="1"/>
  <c r="E58" i="14"/>
  <c r="G58" i="14" s="1"/>
  <c r="F58" i="35"/>
  <c r="I58" i="35" s="1"/>
  <c r="F58" i="34"/>
  <c r="I58" i="34" s="1"/>
  <c r="F58" i="6"/>
  <c r="I58" i="6" s="1"/>
  <c r="E58" i="22"/>
  <c r="G58" i="22" s="1"/>
  <c r="F58" i="51"/>
  <c r="K58" i="51" s="1"/>
  <c r="E58" i="11"/>
  <c r="G58" i="11" s="1"/>
  <c r="E58" i="33"/>
  <c r="G58" i="33" s="1"/>
  <c r="E58" i="21"/>
  <c r="G58" i="21" s="1"/>
  <c r="E58" i="4"/>
  <c r="G58" i="4" s="1"/>
  <c r="E58" i="49"/>
  <c r="G58" i="49" s="1"/>
  <c r="E58" i="19"/>
  <c r="G58" i="19" s="1"/>
  <c r="F58" i="18"/>
  <c r="J58" i="18" s="1"/>
  <c r="E58" i="50"/>
  <c r="G58" i="50" s="1"/>
  <c r="E58" i="17"/>
  <c r="G58" i="17" s="1"/>
  <c r="E58" i="16"/>
  <c r="G58" i="16" s="1"/>
  <c r="E58" i="15"/>
  <c r="H58" i="15" s="1"/>
  <c r="G58" i="13"/>
  <c r="E58" i="12"/>
  <c r="G58" i="12" s="1"/>
  <c r="E58" i="10"/>
  <c r="G58" i="10" s="1"/>
  <c r="E58" i="9"/>
  <c r="G58" i="9" s="1"/>
  <c r="E58" i="8"/>
  <c r="G58" i="8" s="1"/>
  <c r="E58" i="7"/>
  <c r="H58" i="7" s="1"/>
  <c r="E58" i="5"/>
  <c r="G58" i="5" s="1"/>
  <c r="E58" i="2"/>
  <c r="G58" i="2" s="1"/>
  <c r="E58" i="1"/>
  <c r="G58" i="1" s="1"/>
  <c r="E7" i="11"/>
  <c r="G7" i="11" s="1"/>
  <c r="E8" i="11"/>
  <c r="G8" i="11" s="1"/>
  <c r="E9" i="11"/>
  <c r="G9" i="11" s="1"/>
  <c r="E10" i="11"/>
  <c r="G10" i="11" s="1"/>
  <c r="E11" i="11"/>
  <c r="G11" i="11" s="1"/>
  <c r="E12" i="11"/>
  <c r="G12" i="11" s="1"/>
  <c r="E13" i="11"/>
  <c r="G13" i="11" s="1"/>
  <c r="E14" i="11"/>
  <c r="G14" i="11" s="1"/>
  <c r="E15" i="11"/>
  <c r="G15" i="11" s="1"/>
  <c r="E16" i="11"/>
  <c r="G16" i="11" s="1"/>
  <c r="E17" i="11"/>
  <c r="G17" i="11" s="1"/>
  <c r="E18" i="11"/>
  <c r="G18" i="11" s="1"/>
  <c r="E19" i="11"/>
  <c r="G19" i="11" s="1"/>
  <c r="E20" i="11"/>
  <c r="G20" i="11" s="1"/>
  <c r="E21" i="11"/>
  <c r="G21" i="11" s="1"/>
  <c r="E22" i="11"/>
  <c r="G22" i="11" s="1"/>
  <c r="E23" i="11"/>
  <c r="G23" i="11" s="1"/>
  <c r="E24" i="11"/>
  <c r="G24" i="11" s="1"/>
  <c r="E25" i="11"/>
  <c r="G25" i="11" s="1"/>
  <c r="E26" i="11"/>
  <c r="G26" i="11" s="1"/>
  <c r="E27" i="11"/>
  <c r="G27" i="11" s="1"/>
  <c r="E28" i="11"/>
  <c r="G28" i="11" s="1"/>
  <c r="E29" i="11"/>
  <c r="G29" i="11" s="1"/>
  <c r="E30" i="11"/>
  <c r="G30" i="11" s="1"/>
  <c r="E31" i="11"/>
  <c r="G31" i="11" s="1"/>
  <c r="E32" i="11"/>
  <c r="G32" i="11" s="1"/>
  <c r="E33" i="11"/>
  <c r="G33" i="11" s="1"/>
  <c r="E34" i="11"/>
  <c r="G34" i="11" s="1"/>
  <c r="E35" i="11"/>
  <c r="G35" i="11" s="1"/>
  <c r="E36" i="11"/>
  <c r="G36" i="11" s="1"/>
  <c r="E37" i="11"/>
  <c r="G37" i="11" s="1"/>
  <c r="E38" i="11"/>
  <c r="G38" i="11" s="1"/>
  <c r="E39" i="11"/>
  <c r="G39" i="11" s="1"/>
  <c r="E40" i="11"/>
  <c r="G40" i="11" s="1"/>
  <c r="E41" i="11"/>
  <c r="G41" i="11" s="1"/>
  <c r="E42" i="11"/>
  <c r="G42" i="11" s="1"/>
  <c r="E43" i="11"/>
  <c r="G43" i="11" s="1"/>
  <c r="E44" i="11"/>
  <c r="G44" i="11" s="1"/>
  <c r="E45" i="11"/>
  <c r="G45" i="11" s="1"/>
  <c r="E46" i="11"/>
  <c r="G46" i="11" s="1"/>
  <c r="E47" i="11"/>
  <c r="G47" i="11" s="1"/>
  <c r="E48" i="11"/>
  <c r="G48" i="11" s="1"/>
  <c r="E49" i="11"/>
  <c r="G49" i="11" s="1"/>
  <c r="E50" i="11"/>
  <c r="G50" i="11" s="1"/>
  <c r="E51" i="11"/>
  <c r="G51" i="11" s="1"/>
  <c r="E52" i="11"/>
  <c r="G52" i="11" s="1"/>
  <c r="E53" i="11"/>
  <c r="G53" i="11" s="1"/>
  <c r="E54" i="11"/>
  <c r="G54" i="11" s="1"/>
  <c r="E55" i="11"/>
  <c r="G55" i="11" s="1"/>
  <c r="E56" i="11"/>
  <c r="G56" i="11" s="1"/>
  <c r="E57" i="11"/>
  <c r="G57" i="11" s="1"/>
  <c r="C48" i="47"/>
  <c r="D48" i="47"/>
  <c r="F48" i="47"/>
  <c r="F23" i="37"/>
  <c r="I23" i="37" s="1"/>
  <c r="F22" i="37"/>
  <c r="I22" i="37" s="1"/>
  <c r="F21" i="37"/>
  <c r="I21" i="37" s="1"/>
  <c r="F26" i="37"/>
  <c r="I26" i="37" s="1"/>
  <c r="F25" i="37"/>
  <c r="I25" i="37" s="1"/>
  <c r="F24" i="37"/>
  <c r="I24" i="37" s="1"/>
  <c r="F57" i="37"/>
  <c r="I57" i="37" s="1"/>
  <c r="F57" i="39"/>
  <c r="I57" i="39" s="1"/>
  <c r="F46" i="39"/>
  <c r="I46" i="39" s="1"/>
  <c r="E57" i="22"/>
  <c r="G57" i="22" s="1"/>
  <c r="F57" i="51"/>
  <c r="K57" i="51" s="1"/>
  <c r="E57" i="33"/>
  <c r="G57" i="33" s="1"/>
  <c r="E57" i="21"/>
  <c r="G57" i="21" s="1"/>
  <c r="E32" i="17"/>
  <c r="G32" i="17" s="1"/>
  <c r="E33" i="17"/>
  <c r="G33" i="17" s="1"/>
  <c r="E34" i="17"/>
  <c r="E35" i="17"/>
  <c r="G35" i="17" s="1"/>
  <c r="E36" i="17"/>
  <c r="G36" i="17" s="1"/>
  <c r="E37" i="17"/>
  <c r="G37" i="17" s="1"/>
  <c r="E38" i="17"/>
  <c r="G38" i="17" s="1"/>
  <c r="E39" i="17"/>
  <c r="G39" i="17" s="1"/>
  <c r="E40" i="17"/>
  <c r="E41" i="17"/>
  <c r="G41" i="17" s="1"/>
  <c r="E42" i="17"/>
  <c r="G42" i="17" s="1"/>
  <c r="E43" i="17"/>
  <c r="G43" i="17" s="1"/>
  <c r="E44" i="17"/>
  <c r="G44" i="17" s="1"/>
  <c r="E45" i="17"/>
  <c r="G45" i="17" s="1"/>
  <c r="E46" i="17"/>
  <c r="G46" i="17" s="1"/>
  <c r="E47" i="17"/>
  <c r="G47" i="17" s="1"/>
  <c r="E48" i="17"/>
  <c r="G48" i="17" s="1"/>
  <c r="E49" i="17"/>
  <c r="G49" i="17" s="1"/>
  <c r="E50" i="17"/>
  <c r="G50" i="17" s="1"/>
  <c r="E51" i="17"/>
  <c r="G51" i="17" s="1"/>
  <c r="E52" i="17"/>
  <c r="E53" i="17"/>
  <c r="E54" i="17"/>
  <c r="E55" i="17"/>
  <c r="G55" i="17" s="1"/>
  <c r="E56" i="17"/>
  <c r="G56" i="17" s="1"/>
  <c r="E57" i="17"/>
  <c r="G57" i="17" s="1"/>
  <c r="E57" i="20"/>
  <c r="G57" i="20" s="1"/>
  <c r="F57" i="38"/>
  <c r="J57" i="38" s="1"/>
  <c r="E57" i="49"/>
  <c r="G57" i="49" s="1"/>
  <c r="E57" i="19"/>
  <c r="G57" i="19" s="1"/>
  <c r="F57" i="18"/>
  <c r="J57" i="18" s="1"/>
  <c r="I57" i="36"/>
  <c r="E57" i="50"/>
  <c r="G57" i="50" s="1"/>
  <c r="F57" i="35"/>
  <c r="I57" i="35" s="1"/>
  <c r="E57" i="16"/>
  <c r="G57" i="16" s="1"/>
  <c r="E57" i="15"/>
  <c r="H57" i="15" s="1"/>
  <c r="E57" i="14"/>
  <c r="G57" i="14" s="1"/>
  <c r="G57" i="13"/>
  <c r="E57" i="12"/>
  <c r="G57" i="12" s="1"/>
  <c r="F57" i="34"/>
  <c r="I57" i="34" s="1"/>
  <c r="E57" i="10"/>
  <c r="G57" i="10" s="1"/>
  <c r="E57" i="9"/>
  <c r="G57" i="9" s="1"/>
  <c r="E57" i="8"/>
  <c r="G57" i="8" s="1"/>
  <c r="E57" i="7"/>
  <c r="H57" i="7" s="1"/>
  <c r="F57" i="6"/>
  <c r="I57" i="6" s="1"/>
  <c r="E57" i="5"/>
  <c r="G57" i="5" s="1"/>
  <c r="E57" i="4"/>
  <c r="G57" i="4" s="1"/>
  <c r="E57" i="3"/>
  <c r="G57" i="3" s="1"/>
  <c r="E57" i="2"/>
  <c r="G57" i="2" s="1"/>
  <c r="E57" i="1"/>
  <c r="G57" i="1" s="1"/>
  <c r="C37" i="47"/>
  <c r="D37" i="47"/>
  <c r="F37" i="47"/>
  <c r="C38" i="47"/>
  <c r="D38" i="47"/>
  <c r="F38" i="47"/>
  <c r="C39" i="47"/>
  <c r="D39" i="47"/>
  <c r="F39" i="47"/>
  <c r="C40" i="47"/>
  <c r="D40" i="47"/>
  <c r="F40" i="47"/>
  <c r="C41" i="47"/>
  <c r="D41" i="47"/>
  <c r="F41" i="47"/>
  <c r="C42" i="47"/>
  <c r="D42" i="47"/>
  <c r="F42" i="47"/>
  <c r="C43" i="47"/>
  <c r="D43" i="47"/>
  <c r="F43" i="47"/>
  <c r="C44" i="47"/>
  <c r="D44" i="47"/>
  <c r="F44" i="47"/>
  <c r="C45" i="47"/>
  <c r="D45" i="47"/>
  <c r="F45" i="47"/>
  <c r="C46" i="47"/>
  <c r="D46" i="47"/>
  <c r="F46" i="47"/>
  <c r="C47" i="47"/>
  <c r="D47" i="47"/>
  <c r="F47" i="47"/>
  <c r="C9" i="47"/>
  <c r="D9" i="47"/>
  <c r="F9" i="47"/>
  <c r="C10" i="47"/>
  <c r="D10" i="47"/>
  <c r="F10" i="47"/>
  <c r="C11" i="47"/>
  <c r="D11" i="47"/>
  <c r="F11" i="47"/>
  <c r="C12" i="47"/>
  <c r="D12" i="47"/>
  <c r="F12" i="47"/>
  <c r="C13" i="47"/>
  <c r="D13" i="47"/>
  <c r="F13" i="47"/>
  <c r="C14" i="47"/>
  <c r="D14" i="47"/>
  <c r="F14" i="47"/>
  <c r="C15" i="47"/>
  <c r="D15" i="47"/>
  <c r="F15" i="47"/>
  <c r="C16" i="47"/>
  <c r="D16" i="47"/>
  <c r="F16" i="47"/>
  <c r="C17" i="47"/>
  <c r="D17" i="47"/>
  <c r="F17" i="47"/>
  <c r="C18" i="47"/>
  <c r="D18" i="47"/>
  <c r="F18" i="47"/>
  <c r="C19" i="47"/>
  <c r="D19" i="47"/>
  <c r="F19" i="47"/>
  <c r="C20" i="47"/>
  <c r="D20" i="47"/>
  <c r="F20" i="47"/>
  <c r="C21" i="47"/>
  <c r="D21" i="47"/>
  <c r="F21" i="47"/>
  <c r="D22" i="47"/>
  <c r="F22" i="47"/>
  <c r="D23" i="47"/>
  <c r="F23" i="47"/>
  <c r="C24" i="47"/>
  <c r="D24" i="47"/>
  <c r="F24" i="47"/>
  <c r="C25" i="47"/>
  <c r="D25" i="47"/>
  <c r="F25" i="47"/>
  <c r="C26" i="47"/>
  <c r="D26" i="47"/>
  <c r="F26" i="47"/>
  <c r="C27" i="47"/>
  <c r="D27" i="47"/>
  <c r="F27" i="47"/>
  <c r="C28" i="47"/>
  <c r="D28" i="47"/>
  <c r="F28" i="47"/>
  <c r="C29" i="47"/>
  <c r="D29" i="47"/>
  <c r="F29" i="47"/>
  <c r="C30" i="47"/>
  <c r="D30" i="47"/>
  <c r="F30" i="47"/>
  <c r="C31" i="47"/>
  <c r="D31" i="47"/>
  <c r="F31" i="47"/>
  <c r="C32" i="47"/>
  <c r="D32" i="47"/>
  <c r="F32" i="47"/>
  <c r="C33" i="47"/>
  <c r="D33" i="47"/>
  <c r="F33" i="47"/>
  <c r="C34" i="47"/>
  <c r="D34" i="47"/>
  <c r="F34" i="47"/>
  <c r="C35" i="47"/>
  <c r="D35" i="47"/>
  <c r="F35" i="47"/>
  <c r="C36" i="47"/>
  <c r="D36" i="47"/>
  <c r="F36" i="47"/>
  <c r="Y17" i="24"/>
  <c r="Y18" i="24"/>
  <c r="Y19" i="24"/>
  <c r="Y20" i="24"/>
  <c r="Y21" i="24"/>
  <c r="Y22" i="24"/>
  <c r="Y23" i="24"/>
  <c r="Y24" i="24"/>
  <c r="Y25" i="24"/>
  <c r="Y16" i="24"/>
  <c r="F17" i="24"/>
  <c r="K17" i="24"/>
  <c r="Q17" i="24"/>
  <c r="S17" i="24"/>
  <c r="T17" i="24"/>
  <c r="U17" i="24"/>
  <c r="V17" i="24"/>
  <c r="W17" i="24"/>
  <c r="X17" i="24"/>
  <c r="Z17" i="24"/>
  <c r="AA17" i="24"/>
  <c r="AD17" i="24"/>
  <c r="AE17" i="24"/>
  <c r="AG17" i="24"/>
  <c r="F18" i="24"/>
  <c r="K18" i="24"/>
  <c r="Q18" i="24"/>
  <c r="S18" i="24"/>
  <c r="T18" i="24"/>
  <c r="U18" i="24"/>
  <c r="V18" i="24"/>
  <c r="W18" i="24"/>
  <c r="X18" i="24"/>
  <c r="Z18" i="24"/>
  <c r="AA18" i="24"/>
  <c r="AD18" i="24"/>
  <c r="AE18" i="24"/>
  <c r="AG18" i="24"/>
  <c r="F19" i="24"/>
  <c r="K19" i="24"/>
  <c r="Q19" i="24"/>
  <c r="S19" i="24"/>
  <c r="T19" i="24"/>
  <c r="U19" i="24"/>
  <c r="V19" i="24"/>
  <c r="W19" i="24"/>
  <c r="X19" i="24"/>
  <c r="Z19" i="24"/>
  <c r="AA19" i="24"/>
  <c r="AD19" i="24"/>
  <c r="AE19" i="24"/>
  <c r="AG19" i="24"/>
  <c r="F20" i="24"/>
  <c r="K20" i="24"/>
  <c r="Q20" i="24"/>
  <c r="S20" i="24"/>
  <c r="T20" i="24"/>
  <c r="U20" i="24"/>
  <c r="V20" i="24"/>
  <c r="W20" i="24"/>
  <c r="X20" i="24"/>
  <c r="Z20" i="24"/>
  <c r="AA20" i="24"/>
  <c r="AD20" i="24"/>
  <c r="AE20" i="24"/>
  <c r="AG20" i="24"/>
  <c r="F21" i="24"/>
  <c r="K21" i="24"/>
  <c r="Q21" i="24"/>
  <c r="S21" i="24"/>
  <c r="T21" i="24"/>
  <c r="V21" i="24"/>
  <c r="W21" i="24"/>
  <c r="X21" i="24"/>
  <c r="Z21" i="24"/>
  <c r="AA21" i="24"/>
  <c r="AD21" i="24"/>
  <c r="AG21" i="24"/>
  <c r="F22" i="24"/>
  <c r="K22" i="24"/>
  <c r="Q22" i="24"/>
  <c r="S22" i="24"/>
  <c r="T22" i="24"/>
  <c r="V22" i="24"/>
  <c r="W22" i="24"/>
  <c r="X22" i="24"/>
  <c r="Z22" i="24"/>
  <c r="AA22" i="24"/>
  <c r="AD22" i="24"/>
  <c r="AG22" i="24"/>
  <c r="F23" i="24"/>
  <c r="K23" i="24"/>
  <c r="Q23" i="24"/>
  <c r="S23" i="24"/>
  <c r="T23" i="24"/>
  <c r="V23" i="24"/>
  <c r="W23" i="24"/>
  <c r="X23" i="24"/>
  <c r="Z23" i="24"/>
  <c r="AA23" i="24"/>
  <c r="AD23" i="24"/>
  <c r="AG23" i="24"/>
  <c r="F24" i="24"/>
  <c r="K24" i="24"/>
  <c r="Q24" i="24"/>
  <c r="S24" i="24"/>
  <c r="T24" i="24"/>
  <c r="V24" i="24"/>
  <c r="W24" i="24"/>
  <c r="X24" i="24"/>
  <c r="Z24" i="24"/>
  <c r="AA24" i="24"/>
  <c r="AD24" i="24"/>
  <c r="AG24" i="24"/>
  <c r="F25" i="24"/>
  <c r="K25" i="24"/>
  <c r="Q25" i="24"/>
  <c r="S25" i="24"/>
  <c r="T25" i="24"/>
  <c r="V25" i="24"/>
  <c r="W25" i="24"/>
  <c r="X25" i="24"/>
  <c r="Z25" i="24"/>
  <c r="AA25" i="24"/>
  <c r="AD25" i="24"/>
  <c r="AG25" i="24"/>
  <c r="K26" i="24"/>
  <c r="Q26" i="24"/>
  <c r="S26" i="24"/>
  <c r="T26" i="24"/>
  <c r="V26" i="24"/>
  <c r="W26" i="24"/>
  <c r="Z26" i="24"/>
  <c r="AG26" i="24"/>
  <c r="K27" i="24"/>
  <c r="Q27" i="24"/>
  <c r="S27" i="24"/>
  <c r="T27" i="24"/>
  <c r="V27" i="24"/>
  <c r="W27" i="24"/>
  <c r="Z27" i="24"/>
  <c r="AG27" i="24"/>
  <c r="K28" i="24"/>
  <c r="Q28" i="24"/>
  <c r="S28" i="24"/>
  <c r="T28" i="24"/>
  <c r="V28" i="24"/>
  <c r="W28" i="24"/>
  <c r="Z28" i="24"/>
  <c r="AG28" i="24"/>
  <c r="K29" i="24"/>
  <c r="Q29" i="24"/>
  <c r="S29" i="24"/>
  <c r="T29" i="24"/>
  <c r="V29" i="24"/>
  <c r="W29" i="24"/>
  <c r="Z29" i="24"/>
  <c r="AG29" i="24"/>
  <c r="K30" i="24"/>
  <c r="Q30" i="24"/>
  <c r="S30" i="24"/>
  <c r="T30" i="24"/>
  <c r="V30" i="24"/>
  <c r="Z30" i="24"/>
  <c r="AG30" i="24"/>
  <c r="K31" i="24"/>
  <c r="Q31" i="24"/>
  <c r="S31" i="24"/>
  <c r="T31" i="24"/>
  <c r="V31" i="24"/>
  <c r="Z31" i="24"/>
  <c r="AG31" i="24"/>
  <c r="K32" i="24"/>
  <c r="Q32" i="24"/>
  <c r="S32" i="24"/>
  <c r="T32" i="24"/>
  <c r="V32" i="24"/>
  <c r="Z32" i="24"/>
  <c r="AG32" i="24"/>
  <c r="K33" i="24"/>
  <c r="Q33" i="24"/>
  <c r="S33" i="24"/>
  <c r="T33" i="24"/>
  <c r="V33" i="24"/>
  <c r="Z33" i="24"/>
  <c r="AG33" i="24"/>
  <c r="K34" i="24"/>
  <c r="Q34" i="24"/>
  <c r="S34" i="24"/>
  <c r="T34" i="24"/>
  <c r="V34" i="24"/>
  <c r="Z34" i="24"/>
  <c r="AG34" i="24"/>
  <c r="K35" i="24"/>
  <c r="Q35" i="24"/>
  <c r="S35" i="24"/>
  <c r="T35" i="24"/>
  <c r="V35" i="24"/>
  <c r="Z35" i="24"/>
  <c r="AG35" i="24"/>
  <c r="K36" i="24"/>
  <c r="Q36" i="24"/>
  <c r="S36" i="24"/>
  <c r="T36" i="24"/>
  <c r="V36" i="24"/>
  <c r="Z36" i="24"/>
  <c r="AG36" i="24"/>
  <c r="K37" i="24"/>
  <c r="Q37" i="24"/>
  <c r="S37" i="24"/>
  <c r="T37" i="24"/>
  <c r="V37" i="24"/>
  <c r="Z37" i="24"/>
  <c r="AG37" i="24"/>
  <c r="K38" i="24"/>
  <c r="Q38" i="24"/>
  <c r="S38" i="24"/>
  <c r="T38" i="24"/>
  <c r="V38" i="24"/>
  <c r="Z38" i="24"/>
  <c r="AG38" i="24"/>
  <c r="K39" i="24"/>
  <c r="Q39" i="24"/>
  <c r="S39" i="24"/>
  <c r="T39" i="24"/>
  <c r="V39" i="24"/>
  <c r="Z39" i="24"/>
  <c r="AG39" i="24"/>
  <c r="K40" i="24"/>
  <c r="Q40" i="24"/>
  <c r="S40" i="24"/>
  <c r="T40" i="24"/>
  <c r="V40" i="24"/>
  <c r="Z40" i="24"/>
  <c r="AG40" i="24"/>
  <c r="K41" i="24"/>
  <c r="Q41" i="24"/>
  <c r="T41" i="24"/>
  <c r="V41" i="24"/>
  <c r="Z41" i="24"/>
  <c r="AG41" i="24"/>
  <c r="K42" i="24"/>
  <c r="Q42" i="24"/>
  <c r="T42" i="24"/>
  <c r="V42" i="24"/>
  <c r="Z42" i="24"/>
  <c r="AG42" i="24"/>
  <c r="K43" i="24"/>
  <c r="Q43" i="24"/>
  <c r="T43" i="24"/>
  <c r="V43" i="24"/>
  <c r="AG43" i="24"/>
  <c r="K44" i="24"/>
  <c r="Q44" i="24"/>
  <c r="T44" i="24"/>
  <c r="V44" i="24"/>
  <c r="AG44" i="24"/>
  <c r="K45" i="24"/>
  <c r="Q45" i="24"/>
  <c r="V45" i="24"/>
  <c r="AG45" i="24"/>
  <c r="K46" i="24"/>
  <c r="Q46" i="24"/>
  <c r="V46" i="24"/>
  <c r="AG46" i="24"/>
  <c r="K47" i="24"/>
  <c r="Q47" i="24"/>
  <c r="V47" i="24"/>
  <c r="AG47" i="24"/>
  <c r="K48" i="24"/>
  <c r="Q48" i="24"/>
  <c r="V48" i="24"/>
  <c r="AG48" i="24"/>
  <c r="K49" i="24"/>
  <c r="Q49" i="24"/>
  <c r="V49" i="24"/>
  <c r="AG49" i="24"/>
  <c r="K50" i="24"/>
  <c r="Q50" i="24"/>
  <c r="V50" i="24"/>
  <c r="AG50" i="24"/>
  <c r="K51" i="24"/>
  <c r="Q51" i="24"/>
  <c r="V51" i="24"/>
  <c r="AG51" i="24"/>
  <c r="K52" i="24"/>
  <c r="Q52" i="24"/>
  <c r="V52" i="24"/>
  <c r="AG52" i="24"/>
  <c r="E56" i="2"/>
  <c r="G56" i="2" s="1"/>
  <c r="E56" i="3"/>
  <c r="G56" i="3" s="1"/>
  <c r="E56" i="4"/>
  <c r="G56" i="4" s="1"/>
  <c r="E56" i="5"/>
  <c r="G56" i="5" s="1"/>
  <c r="F56" i="6"/>
  <c r="I56" i="6" s="1"/>
  <c r="E56" i="7"/>
  <c r="H56" i="7" s="1"/>
  <c r="E56" i="8"/>
  <c r="G56" i="8" s="1"/>
  <c r="E56" i="9"/>
  <c r="G56" i="9" s="1"/>
  <c r="E56" i="10"/>
  <c r="G56" i="10" s="1"/>
  <c r="F56" i="34"/>
  <c r="I56" i="34" s="1"/>
  <c r="E56" i="12"/>
  <c r="G56" i="12" s="1"/>
  <c r="G56" i="13"/>
  <c r="E56" i="14"/>
  <c r="G56" i="14" s="1"/>
  <c r="E56" i="15"/>
  <c r="H56" i="15" s="1"/>
  <c r="E56" i="16"/>
  <c r="G56" i="16" s="1"/>
  <c r="F56" i="35"/>
  <c r="I56" i="35" s="1"/>
  <c r="E56" i="50"/>
  <c r="G56" i="50" s="1"/>
  <c r="I56" i="36"/>
  <c r="F56" i="18"/>
  <c r="J56" i="18" s="1"/>
  <c r="F56" i="37"/>
  <c r="I56" i="37" s="1"/>
  <c r="E56" i="19"/>
  <c r="G56" i="19" s="1"/>
  <c r="E56" i="49"/>
  <c r="F56" i="38"/>
  <c r="J56" i="38" s="1"/>
  <c r="E56" i="20"/>
  <c r="G56" i="20" s="1"/>
  <c r="E56" i="21"/>
  <c r="G56" i="21" s="1"/>
  <c r="E56" i="33"/>
  <c r="G56" i="33" s="1"/>
  <c r="F56" i="51"/>
  <c r="K56" i="51" s="1"/>
  <c r="E56" i="22"/>
  <c r="G56" i="22" s="1"/>
  <c r="F56" i="39"/>
  <c r="I56" i="39" s="1"/>
  <c r="E56" i="1"/>
  <c r="G56" i="1" s="1"/>
  <c r="F45" i="39"/>
  <c r="I45" i="39" s="1"/>
  <c r="F47" i="39"/>
  <c r="I47" i="39" s="1"/>
  <c r="F44" i="39"/>
  <c r="I44" i="39" s="1"/>
  <c r="I45" i="36"/>
  <c r="I46" i="36"/>
  <c r="I44" i="36"/>
  <c r="E55" i="2"/>
  <c r="G55" i="2" s="1"/>
  <c r="E55" i="3"/>
  <c r="G55" i="3" s="1"/>
  <c r="E55" i="4"/>
  <c r="G55" i="4" s="1"/>
  <c r="E55" i="5"/>
  <c r="G55" i="5" s="1"/>
  <c r="F55" i="6"/>
  <c r="I55" i="6" s="1"/>
  <c r="E55" i="7"/>
  <c r="H55" i="7" s="1"/>
  <c r="E55" i="8"/>
  <c r="G55" i="8" s="1"/>
  <c r="E55" i="9"/>
  <c r="G55" i="9" s="1"/>
  <c r="E55" i="10"/>
  <c r="G55" i="10" s="1"/>
  <c r="F55" i="34"/>
  <c r="I55" i="34" s="1"/>
  <c r="E55" i="12"/>
  <c r="G55" i="12" s="1"/>
  <c r="G55" i="13"/>
  <c r="E55" i="14"/>
  <c r="G55" i="14" s="1"/>
  <c r="E55" i="15"/>
  <c r="H55" i="15" s="1"/>
  <c r="E55" i="16"/>
  <c r="G55" i="16" s="1"/>
  <c r="F55" i="35"/>
  <c r="I55" i="35" s="1"/>
  <c r="E55" i="50"/>
  <c r="G55" i="50" s="1"/>
  <c r="I55" i="36"/>
  <c r="F55" i="18"/>
  <c r="J55" i="18" s="1"/>
  <c r="F55" i="37"/>
  <c r="I55" i="37" s="1"/>
  <c r="E55" i="19"/>
  <c r="G55" i="19" s="1"/>
  <c r="E55" i="49"/>
  <c r="G55" i="49" s="1"/>
  <c r="F55" i="38"/>
  <c r="J55" i="38" s="1"/>
  <c r="E55" i="20"/>
  <c r="G55" i="20" s="1"/>
  <c r="E55" i="21"/>
  <c r="G55" i="21" s="1"/>
  <c r="E55" i="33"/>
  <c r="G55" i="33" s="1"/>
  <c r="F55" i="51"/>
  <c r="K55" i="51" s="1"/>
  <c r="E55" i="22"/>
  <c r="G55" i="22" s="1"/>
  <c r="F55" i="39"/>
  <c r="I55" i="39" s="1"/>
  <c r="E55" i="1"/>
  <c r="G55" i="1" s="1"/>
  <c r="F36" i="38"/>
  <c r="J36" i="38" s="1"/>
  <c r="F35" i="38"/>
  <c r="J35" i="38" s="1"/>
  <c r="F34" i="38"/>
  <c r="J34" i="38" s="1"/>
  <c r="F45" i="38"/>
  <c r="J45" i="38" s="1"/>
  <c r="F46" i="38"/>
  <c r="J46" i="38" s="1"/>
  <c r="F44" i="38"/>
  <c r="J44" i="38" s="1"/>
  <c r="F43" i="38"/>
  <c r="J43" i="38" s="1"/>
  <c r="F42" i="38"/>
  <c r="J42" i="38" s="1"/>
  <c r="F41" i="38"/>
  <c r="J41" i="38" s="1"/>
  <c r="F40" i="38"/>
  <c r="J40" i="38" s="1"/>
  <c r="F39" i="38"/>
  <c r="J39" i="38" s="1"/>
  <c r="F38" i="38"/>
  <c r="J38" i="38" s="1"/>
  <c r="F37" i="38"/>
  <c r="J37" i="38" s="1"/>
  <c r="E54" i="22"/>
  <c r="G54" i="22" s="1"/>
  <c r="E54" i="19"/>
  <c r="G54" i="19" s="1"/>
  <c r="E54" i="16"/>
  <c r="G54" i="16" s="1"/>
  <c r="F54" i="18"/>
  <c r="J54" i="18" s="1"/>
  <c r="E54" i="8"/>
  <c r="G54" i="8" s="1"/>
  <c r="E54" i="5"/>
  <c r="G54" i="5" s="1"/>
  <c r="E54" i="9"/>
  <c r="G54" i="9" s="1"/>
  <c r="E54" i="2"/>
  <c r="G54" i="2" s="1"/>
  <c r="E54" i="10"/>
  <c r="G54" i="10" s="1"/>
  <c r="H54" i="10" s="1"/>
  <c r="E54" i="12"/>
  <c r="G54" i="12" s="1"/>
  <c r="E54" i="7"/>
  <c r="H54" i="7" s="1"/>
  <c r="E54" i="1"/>
  <c r="G54" i="1" s="1"/>
  <c r="G54" i="13"/>
  <c r="E54" i="15"/>
  <c r="H54" i="15" s="1"/>
  <c r="E54" i="4"/>
  <c r="G54" i="4" s="1"/>
  <c r="E54" i="21"/>
  <c r="G54" i="21" s="1"/>
  <c r="E54" i="49"/>
  <c r="G54" i="49" s="1"/>
  <c r="E54" i="33"/>
  <c r="G54" i="33" s="1"/>
  <c r="F54" i="51"/>
  <c r="K54" i="51" s="1"/>
  <c r="E54" i="50"/>
  <c r="G54" i="50" s="1"/>
  <c r="F54" i="6"/>
  <c r="I54" i="6" s="1"/>
  <c r="E54" i="3"/>
  <c r="G54" i="3" s="1"/>
  <c r="F54" i="34"/>
  <c r="I54" i="34" s="1"/>
  <c r="E54" i="14"/>
  <c r="G54" i="14" s="1"/>
  <c r="F54" i="35"/>
  <c r="I54" i="35" s="1"/>
  <c r="I54" i="36"/>
  <c r="F54" i="39"/>
  <c r="I54" i="39" s="1"/>
  <c r="F54" i="38"/>
  <c r="J54" i="38" s="1"/>
  <c r="E54" i="20"/>
  <c r="G54" i="20" s="1"/>
  <c r="G54" i="17"/>
  <c r="F54" i="37"/>
  <c r="I54" i="37" s="1"/>
  <c r="I52" i="36"/>
  <c r="E52" i="21"/>
  <c r="G52" i="21" s="1"/>
  <c r="F52" i="39"/>
  <c r="I52" i="39" s="1"/>
  <c r="I53" i="36"/>
  <c r="E53" i="21"/>
  <c r="G53" i="21" s="1"/>
  <c r="F53" i="39"/>
  <c r="I53" i="39" s="1"/>
  <c r="E53" i="14"/>
  <c r="G53" i="14" s="1"/>
  <c r="G53" i="17"/>
  <c r="E53" i="5"/>
  <c r="G53" i="5" s="1"/>
  <c r="F53" i="34"/>
  <c r="I53" i="34" s="1"/>
  <c r="F53" i="35"/>
  <c r="I53" i="35" s="1"/>
  <c r="E53" i="8"/>
  <c r="G53" i="8" s="1"/>
  <c r="F53" i="51"/>
  <c r="K53" i="51" s="1"/>
  <c r="F53" i="38"/>
  <c r="J53" i="38" s="1"/>
  <c r="E53" i="49"/>
  <c r="G53" i="49" s="1"/>
  <c r="E53" i="3"/>
  <c r="G53" i="3" s="1"/>
  <c r="E53" i="1"/>
  <c r="G53" i="1" s="1"/>
  <c r="E53" i="2"/>
  <c r="G53" i="2" s="1"/>
  <c r="E53" i="4"/>
  <c r="G53" i="4" s="1"/>
  <c r="F53" i="6"/>
  <c r="I53" i="6" s="1"/>
  <c r="E53" i="7"/>
  <c r="H53" i="7" s="1"/>
  <c r="E53" i="9"/>
  <c r="G53" i="9" s="1"/>
  <c r="E53" i="10"/>
  <c r="G53" i="10" s="1"/>
  <c r="E53" i="12"/>
  <c r="G53" i="12" s="1"/>
  <c r="G53" i="13"/>
  <c r="E53" i="15"/>
  <c r="H53" i="15" s="1"/>
  <c r="E53" i="16"/>
  <c r="G53" i="16" s="1"/>
  <c r="E53" i="50"/>
  <c r="G53" i="50" s="1"/>
  <c r="F53" i="18"/>
  <c r="J53" i="18" s="1"/>
  <c r="E53" i="19"/>
  <c r="G53" i="19" s="1"/>
  <c r="E53" i="20"/>
  <c r="G53" i="20" s="1"/>
  <c r="E53" i="33"/>
  <c r="G53" i="33" s="1"/>
  <c r="E53" i="22"/>
  <c r="G53" i="22" s="1"/>
  <c r="E52" i="49"/>
  <c r="G52" i="49" s="1"/>
  <c r="E52" i="3"/>
  <c r="G52" i="3" s="1"/>
  <c r="E52" i="1"/>
  <c r="G52" i="1" s="1"/>
  <c r="E52" i="2"/>
  <c r="G52" i="2" s="1"/>
  <c r="E52" i="4"/>
  <c r="G52" i="4" s="1"/>
  <c r="E52" i="5"/>
  <c r="G52" i="5" s="1"/>
  <c r="F52" i="6"/>
  <c r="I52" i="6" s="1"/>
  <c r="E52" i="7"/>
  <c r="H52" i="7" s="1"/>
  <c r="E52" i="8"/>
  <c r="G52" i="8" s="1"/>
  <c r="E52" i="9"/>
  <c r="G52" i="9" s="1"/>
  <c r="E52" i="10"/>
  <c r="G52" i="10" s="1"/>
  <c r="F52" i="34"/>
  <c r="I52" i="34" s="1"/>
  <c r="E52" i="12"/>
  <c r="G52" i="12" s="1"/>
  <c r="G52" i="13"/>
  <c r="E52" i="14"/>
  <c r="G52" i="14" s="1"/>
  <c r="E52" i="15"/>
  <c r="H52" i="15" s="1"/>
  <c r="F52" i="35"/>
  <c r="I52" i="35" s="1"/>
  <c r="E52" i="16"/>
  <c r="G52" i="16" s="1"/>
  <c r="G52" i="17"/>
  <c r="E52" i="50"/>
  <c r="G52" i="50" s="1"/>
  <c r="F52" i="18"/>
  <c r="J52" i="18" s="1"/>
  <c r="E52" i="19"/>
  <c r="G52" i="19" s="1"/>
  <c r="F52" i="38"/>
  <c r="J52" i="38" s="1"/>
  <c r="E52" i="20"/>
  <c r="G52" i="20" s="1"/>
  <c r="E52" i="33"/>
  <c r="G52" i="33" s="1"/>
  <c r="F52" i="51"/>
  <c r="K52" i="51" s="1"/>
  <c r="E52" i="22"/>
  <c r="G52" i="22" s="1"/>
  <c r="E17" i="50"/>
  <c r="G17" i="50" s="1"/>
  <c r="E51" i="5"/>
  <c r="G51" i="5" s="1"/>
  <c r="E51" i="21"/>
  <c r="G51" i="21" s="1"/>
  <c r="E51" i="8"/>
  <c r="G51" i="8" s="1"/>
  <c r="E51" i="49"/>
  <c r="G51" i="49" s="1"/>
  <c r="E51" i="3"/>
  <c r="G51" i="3" s="1"/>
  <c r="E50" i="5"/>
  <c r="G50" i="5" s="1"/>
  <c r="E50" i="21"/>
  <c r="G50" i="21" s="1"/>
  <c r="E50" i="8"/>
  <c r="G50" i="8" s="1"/>
  <c r="E50" i="49"/>
  <c r="G50" i="49" s="1"/>
  <c r="E50" i="3"/>
  <c r="G50" i="3" s="1"/>
  <c r="E49" i="5"/>
  <c r="G49" i="5" s="1"/>
  <c r="E49" i="21"/>
  <c r="G49" i="21" s="1"/>
  <c r="E49" i="8"/>
  <c r="G49" i="8" s="1"/>
  <c r="E49" i="49"/>
  <c r="G49" i="49" s="1"/>
  <c r="E49" i="3"/>
  <c r="G49" i="3" s="1"/>
  <c r="E48" i="5"/>
  <c r="G48" i="5" s="1"/>
  <c r="E48" i="21"/>
  <c r="G48" i="21" s="1"/>
  <c r="E48" i="8"/>
  <c r="G48" i="8" s="1"/>
  <c r="E48" i="49"/>
  <c r="G48" i="49" s="1"/>
  <c r="E48" i="3"/>
  <c r="G48" i="3" s="1"/>
  <c r="E47" i="5"/>
  <c r="G47" i="5" s="1"/>
  <c r="E47" i="21"/>
  <c r="G47" i="21" s="1"/>
  <c r="E47" i="8"/>
  <c r="G47" i="8" s="1"/>
  <c r="E47" i="49"/>
  <c r="G47" i="49" s="1"/>
  <c r="E47" i="3"/>
  <c r="G47" i="3" s="1"/>
  <c r="F51" i="38"/>
  <c r="J51" i="38" s="1"/>
  <c r="F51" i="51"/>
  <c r="K51" i="51" s="1"/>
  <c r="F50" i="38"/>
  <c r="J50" i="38" s="1"/>
  <c r="F50" i="51"/>
  <c r="K50" i="51" s="1"/>
  <c r="F49" i="38"/>
  <c r="J49" i="38" s="1"/>
  <c r="F49" i="51"/>
  <c r="K49" i="51" s="1"/>
  <c r="F48" i="38"/>
  <c r="J48" i="38" s="1"/>
  <c r="F48" i="51"/>
  <c r="K48" i="51" s="1"/>
  <c r="F47" i="38"/>
  <c r="J47" i="38" s="1"/>
  <c r="F47" i="51"/>
  <c r="K47" i="51" s="1"/>
  <c r="F44" i="34"/>
  <c r="I44" i="34" s="1"/>
  <c r="F45" i="34"/>
  <c r="I45" i="34" s="1"/>
  <c r="F46" i="34"/>
  <c r="I46" i="34" s="1"/>
  <c r="E47" i="14"/>
  <c r="G47" i="14" s="1"/>
  <c r="E48" i="14"/>
  <c r="G48" i="14" s="1"/>
  <c r="E49" i="14"/>
  <c r="G49" i="14" s="1"/>
  <c r="E50" i="14"/>
  <c r="G50" i="14" s="1"/>
  <c r="E51" i="14"/>
  <c r="G51" i="14" s="1"/>
  <c r="F47" i="34"/>
  <c r="I47" i="34" s="1"/>
  <c r="F48" i="34"/>
  <c r="I48" i="34" s="1"/>
  <c r="F49" i="34"/>
  <c r="I49" i="34" s="1"/>
  <c r="F50" i="34"/>
  <c r="I50" i="34" s="1"/>
  <c r="F51" i="34"/>
  <c r="I51" i="34" s="1"/>
  <c r="F47" i="35"/>
  <c r="I47" i="35" s="1"/>
  <c r="F48" i="35"/>
  <c r="I48" i="35" s="1"/>
  <c r="F49" i="35"/>
  <c r="I49" i="35" s="1"/>
  <c r="F50" i="35"/>
  <c r="I50" i="35" s="1"/>
  <c r="F51" i="35"/>
  <c r="I51" i="35" s="1"/>
  <c r="I47" i="36"/>
  <c r="I48" i="36"/>
  <c r="I49" i="36"/>
  <c r="I50" i="36"/>
  <c r="I51" i="36"/>
  <c r="J47" i="39"/>
  <c r="F48" i="39"/>
  <c r="I48" i="39" s="1"/>
  <c r="F49" i="39"/>
  <c r="I49" i="39" s="1"/>
  <c r="F50" i="39"/>
  <c r="I50" i="39" s="1"/>
  <c r="F51" i="39"/>
  <c r="I51" i="39" s="1"/>
  <c r="E51" i="4"/>
  <c r="G51" i="4" s="1"/>
  <c r="E51" i="9"/>
  <c r="G51" i="9" s="1"/>
  <c r="E51" i="2"/>
  <c r="G51" i="2" s="1"/>
  <c r="E51" i="22"/>
  <c r="G51" i="22" s="1"/>
  <c r="E51" i="12"/>
  <c r="G51" i="12" s="1"/>
  <c r="E51" i="7"/>
  <c r="H51" i="7" s="1"/>
  <c r="E51" i="50"/>
  <c r="G51" i="50" s="1"/>
  <c r="E51" i="15"/>
  <c r="H51" i="15" s="1"/>
  <c r="E51" i="33"/>
  <c r="G51" i="33" s="1"/>
  <c r="E51" i="1"/>
  <c r="G51" i="1" s="1"/>
  <c r="F51" i="6"/>
  <c r="I51" i="6" s="1"/>
  <c r="E51" i="10"/>
  <c r="G51" i="10" s="1"/>
  <c r="G51" i="13"/>
  <c r="E51" i="16"/>
  <c r="G51" i="16" s="1"/>
  <c r="F51" i="18"/>
  <c r="J51" i="18" s="1"/>
  <c r="E51" i="19"/>
  <c r="G51" i="19" s="1"/>
  <c r="E51" i="20"/>
  <c r="G51" i="20" s="1"/>
  <c r="E50" i="22"/>
  <c r="G50" i="22" s="1"/>
  <c r="E50" i="33"/>
  <c r="G50" i="33" s="1"/>
  <c r="E50" i="20"/>
  <c r="G50" i="20" s="1"/>
  <c r="E50" i="19"/>
  <c r="G50" i="19" s="1"/>
  <c r="E50" i="16"/>
  <c r="G50" i="16" s="1"/>
  <c r="E50" i="15"/>
  <c r="H50" i="15" s="1"/>
  <c r="G50" i="13"/>
  <c r="E50" i="12"/>
  <c r="G50" i="12" s="1"/>
  <c r="E50" i="10"/>
  <c r="G50" i="10" s="1"/>
  <c r="E50" i="9"/>
  <c r="G50" i="9" s="1"/>
  <c r="E50" i="7"/>
  <c r="H50" i="7" s="1"/>
  <c r="F50" i="6"/>
  <c r="I50" i="6" s="1"/>
  <c r="E50" i="4"/>
  <c r="G50" i="4" s="1"/>
  <c r="E50" i="2"/>
  <c r="E50" i="1"/>
  <c r="G50" i="1" s="1"/>
  <c r="E50" i="50"/>
  <c r="G50" i="50" s="1"/>
  <c r="F50" i="18"/>
  <c r="J50" i="18" s="1"/>
  <c r="E49" i="1"/>
  <c r="G49" i="1" s="1"/>
  <c r="E49" i="2"/>
  <c r="G49" i="2" s="1"/>
  <c r="E49" i="4"/>
  <c r="G49" i="4" s="1"/>
  <c r="F49" i="6"/>
  <c r="I49" i="6" s="1"/>
  <c r="E49" i="7"/>
  <c r="H49" i="7" s="1"/>
  <c r="E49" i="9"/>
  <c r="G49" i="9" s="1"/>
  <c r="E49" i="10"/>
  <c r="G49" i="10" s="1"/>
  <c r="E49" i="12"/>
  <c r="G49" i="12" s="1"/>
  <c r="G49" i="13"/>
  <c r="E49" i="15"/>
  <c r="H49" i="15" s="1"/>
  <c r="E49" i="16"/>
  <c r="G49" i="16" s="1"/>
  <c r="E49" i="50"/>
  <c r="G49" i="50" s="1"/>
  <c r="F49" i="18"/>
  <c r="J49" i="18" s="1"/>
  <c r="E49" i="19"/>
  <c r="G49" i="19" s="1"/>
  <c r="E49" i="20"/>
  <c r="G49" i="20" s="1"/>
  <c r="E49" i="33"/>
  <c r="G49" i="33" s="1"/>
  <c r="E49" i="22"/>
  <c r="G49" i="22" s="1"/>
  <c r="E48" i="1"/>
  <c r="G48" i="1" s="1"/>
  <c r="E42" i="1"/>
  <c r="G42" i="1" s="1"/>
  <c r="E43" i="1"/>
  <c r="G43" i="1" s="1"/>
  <c r="E44" i="1"/>
  <c r="G44" i="1" s="1"/>
  <c r="E45" i="1"/>
  <c r="G45" i="1" s="1"/>
  <c r="E46" i="1"/>
  <c r="G46" i="1" s="1"/>
  <c r="E37" i="1"/>
  <c r="G37" i="1" s="1"/>
  <c r="E38" i="1"/>
  <c r="G38" i="1" s="1"/>
  <c r="E39" i="1"/>
  <c r="G39" i="1" s="1"/>
  <c r="E40" i="1"/>
  <c r="G40" i="1" s="1"/>
  <c r="E41" i="1"/>
  <c r="G41" i="1" s="1"/>
  <c r="E36" i="1"/>
  <c r="G36" i="1" s="1"/>
  <c r="E47" i="1"/>
  <c r="G47" i="1" s="1"/>
  <c r="E48" i="2"/>
  <c r="G48" i="2" s="1"/>
  <c r="E47" i="2"/>
  <c r="G47" i="2" s="1"/>
  <c r="E48" i="19"/>
  <c r="G48" i="19" s="1"/>
  <c r="E47" i="19"/>
  <c r="G47" i="19" s="1"/>
  <c r="F48" i="6"/>
  <c r="I48" i="6" s="1"/>
  <c r="F47" i="6"/>
  <c r="I47" i="6" s="1"/>
  <c r="E48" i="7"/>
  <c r="H48" i="7" s="1"/>
  <c r="E47" i="7"/>
  <c r="H47" i="7" s="1"/>
  <c r="E48" i="9"/>
  <c r="G48" i="9" s="1"/>
  <c r="E47" i="9"/>
  <c r="G47" i="9" s="1"/>
  <c r="E48" i="10"/>
  <c r="G48" i="10" s="1"/>
  <c r="E47" i="10"/>
  <c r="G47" i="10" s="1"/>
  <c r="E48" i="12"/>
  <c r="G48" i="12" s="1"/>
  <c r="E47" i="12"/>
  <c r="G47" i="12" s="1"/>
  <c r="E48" i="33"/>
  <c r="G48" i="33" s="1"/>
  <c r="E47" i="33"/>
  <c r="G47" i="33" s="1"/>
  <c r="G48" i="13"/>
  <c r="G47" i="13"/>
  <c r="E48" i="15"/>
  <c r="H48" i="15" s="1"/>
  <c r="E47" i="15"/>
  <c r="H47" i="15" s="1"/>
  <c r="E48" i="16"/>
  <c r="G48" i="16" s="1"/>
  <c r="E47" i="16"/>
  <c r="G47" i="16" s="1"/>
  <c r="E48" i="50"/>
  <c r="G48" i="50" s="1"/>
  <c r="E47" i="50"/>
  <c r="G47" i="50" s="1"/>
  <c r="E46" i="50"/>
  <c r="G46" i="50" s="1"/>
  <c r="E45" i="50"/>
  <c r="G45" i="50" s="1"/>
  <c r="E44" i="50"/>
  <c r="G44" i="50" s="1"/>
  <c r="E43" i="50"/>
  <c r="G43" i="50" s="1"/>
  <c r="E42" i="50"/>
  <c r="G42" i="50" s="1"/>
  <c r="E41" i="50"/>
  <c r="G41" i="50" s="1"/>
  <c r="E40" i="50"/>
  <c r="G40" i="50" s="1"/>
  <c r="E39" i="50"/>
  <c r="G39" i="50" s="1"/>
  <c r="E38" i="50"/>
  <c r="G38" i="50" s="1"/>
  <c r="E37" i="50"/>
  <c r="G37" i="50" s="1"/>
  <c r="E36" i="50"/>
  <c r="G36" i="50" s="1"/>
  <c r="E35" i="50"/>
  <c r="G35" i="50" s="1"/>
  <c r="E34" i="50"/>
  <c r="G34" i="50" s="1"/>
  <c r="E33" i="50"/>
  <c r="G33" i="50" s="1"/>
  <c r="E32" i="50"/>
  <c r="G32" i="50" s="1"/>
  <c r="E31" i="50"/>
  <c r="G31" i="50" s="1"/>
  <c r="E30" i="50"/>
  <c r="G30" i="50" s="1"/>
  <c r="E29" i="50"/>
  <c r="G29" i="50" s="1"/>
  <c r="E28" i="50"/>
  <c r="G28" i="50" s="1"/>
  <c r="E26" i="50"/>
  <c r="G26" i="50" s="1"/>
  <c r="E25" i="50"/>
  <c r="G25" i="50" s="1"/>
  <c r="E22" i="50"/>
  <c r="G22" i="50" s="1"/>
  <c r="E21" i="50"/>
  <c r="G21" i="50" s="1"/>
  <c r="E20" i="50"/>
  <c r="G20" i="50" s="1"/>
  <c r="E19" i="50"/>
  <c r="E18" i="50"/>
  <c r="G18" i="50" s="1"/>
  <c r="F48" i="18"/>
  <c r="J48" i="18" s="1"/>
  <c r="F43" i="18"/>
  <c r="J43" i="18" s="1"/>
  <c r="F44" i="18"/>
  <c r="J44" i="18" s="1"/>
  <c r="F45" i="18"/>
  <c r="J45" i="18" s="1"/>
  <c r="F46" i="18"/>
  <c r="J46" i="18" s="1"/>
  <c r="F42" i="18"/>
  <c r="J42" i="18" s="1"/>
  <c r="F38" i="18"/>
  <c r="J38" i="18" s="1"/>
  <c r="F39" i="18"/>
  <c r="J39" i="18" s="1"/>
  <c r="F40" i="18"/>
  <c r="J40" i="18" s="1"/>
  <c r="F41" i="18"/>
  <c r="J41" i="18" s="1"/>
  <c r="F37" i="18"/>
  <c r="J37" i="18" s="1"/>
  <c r="F33" i="18"/>
  <c r="J33" i="18" s="1"/>
  <c r="F34" i="18"/>
  <c r="J34" i="18" s="1"/>
  <c r="F35" i="18"/>
  <c r="J35" i="18" s="1"/>
  <c r="F36" i="18"/>
  <c r="J36" i="18" s="1"/>
  <c r="F32" i="18"/>
  <c r="J32" i="18" s="1"/>
  <c r="F28" i="18"/>
  <c r="J28" i="18" s="1"/>
  <c r="F29" i="18"/>
  <c r="J29" i="18" s="1"/>
  <c r="F30" i="18"/>
  <c r="J30" i="18" s="1"/>
  <c r="F31" i="18"/>
  <c r="J31" i="18" s="1"/>
  <c r="F27" i="18"/>
  <c r="J27" i="18" s="1"/>
  <c r="F47" i="18"/>
  <c r="J47" i="18" s="1"/>
  <c r="E48" i="20"/>
  <c r="G48" i="20" s="1"/>
  <c r="E47" i="20"/>
  <c r="G47" i="20" s="1"/>
  <c r="E48" i="4"/>
  <c r="G48" i="4" s="1"/>
  <c r="E47" i="4"/>
  <c r="G47" i="4" s="1"/>
  <c r="E48" i="22"/>
  <c r="G48" i="22" s="1"/>
  <c r="E47" i="22"/>
  <c r="G47" i="22" s="1"/>
  <c r="E37" i="3"/>
  <c r="G37" i="3" s="1"/>
  <c r="E38" i="3"/>
  <c r="G38" i="3" s="1"/>
  <c r="E39" i="3"/>
  <c r="G39" i="3" s="1"/>
  <c r="E36" i="3"/>
  <c r="G36" i="3" s="1"/>
  <c r="AG26" i="40"/>
  <c r="E18" i="1"/>
  <c r="G18" i="1" s="1"/>
  <c r="E18" i="2"/>
  <c r="G18" i="2" s="1"/>
  <c r="E18" i="4"/>
  <c r="G18" i="4" s="1"/>
  <c r="E18" i="5"/>
  <c r="G18" i="5" s="1"/>
  <c r="F18" i="6"/>
  <c r="I18" i="6" s="1"/>
  <c r="E18" i="7"/>
  <c r="H18" i="7" s="1"/>
  <c r="E18" i="8"/>
  <c r="G18" i="8" s="1"/>
  <c r="E18" i="9"/>
  <c r="G18" i="9" s="1"/>
  <c r="E18" i="10"/>
  <c r="G18" i="10" s="1"/>
  <c r="E18" i="12"/>
  <c r="G18" i="12" s="1"/>
  <c r="G18" i="13"/>
  <c r="E18" i="14"/>
  <c r="G18" i="14" s="1"/>
  <c r="E18" i="15"/>
  <c r="H18" i="15" s="1"/>
  <c r="E18" i="16"/>
  <c r="G18" i="16" s="1"/>
  <c r="F18" i="18"/>
  <c r="J18" i="18" s="1"/>
  <c r="E18" i="19"/>
  <c r="G18" i="19" s="1"/>
  <c r="E18" i="49"/>
  <c r="G18" i="49" s="1"/>
  <c r="E18" i="20"/>
  <c r="G18" i="20" s="1"/>
  <c r="E18" i="21"/>
  <c r="G18" i="21" s="1"/>
  <c r="E18" i="33"/>
  <c r="G18" i="33" s="1"/>
  <c r="F18" i="51"/>
  <c r="K18" i="51" s="1"/>
  <c r="E18" i="22"/>
  <c r="G18" i="22" s="1"/>
  <c r="E19" i="1"/>
  <c r="G19" i="1" s="1"/>
  <c r="E19" i="2"/>
  <c r="G19" i="2" s="1"/>
  <c r="E19" i="4"/>
  <c r="G19" i="4" s="1"/>
  <c r="E19" i="5"/>
  <c r="G19" i="5" s="1"/>
  <c r="F19" i="6"/>
  <c r="I19" i="6" s="1"/>
  <c r="E19" i="7"/>
  <c r="H19" i="7" s="1"/>
  <c r="E19" i="8"/>
  <c r="G19" i="8" s="1"/>
  <c r="E19" i="9"/>
  <c r="G19" i="9" s="1"/>
  <c r="E19" i="10"/>
  <c r="G19" i="10" s="1"/>
  <c r="E19" i="12"/>
  <c r="G19" i="12" s="1"/>
  <c r="G19" i="13"/>
  <c r="E19" i="14"/>
  <c r="G19" i="14" s="1"/>
  <c r="E19" i="15"/>
  <c r="H19" i="15" s="1"/>
  <c r="E19" i="16"/>
  <c r="G19" i="16" s="1"/>
  <c r="F19" i="18"/>
  <c r="J19" i="18" s="1"/>
  <c r="E19" i="19"/>
  <c r="G19" i="19" s="1"/>
  <c r="E19" i="49"/>
  <c r="G19" i="49" s="1"/>
  <c r="E19" i="20"/>
  <c r="G19" i="20" s="1"/>
  <c r="E19" i="21"/>
  <c r="G19" i="21" s="1"/>
  <c r="E19" i="33"/>
  <c r="G19" i="33" s="1"/>
  <c r="F19" i="51"/>
  <c r="K19" i="51" s="1"/>
  <c r="E19" i="22"/>
  <c r="G19" i="22" s="1"/>
  <c r="E20" i="1"/>
  <c r="G20" i="1" s="1"/>
  <c r="E20" i="2"/>
  <c r="G20" i="2" s="1"/>
  <c r="E20" i="4"/>
  <c r="G20" i="4" s="1"/>
  <c r="E20" i="5"/>
  <c r="G20" i="5" s="1"/>
  <c r="F20" i="6"/>
  <c r="I20" i="6" s="1"/>
  <c r="E20" i="7"/>
  <c r="H20" i="7" s="1"/>
  <c r="E20" i="8"/>
  <c r="G20" i="8" s="1"/>
  <c r="E20" i="9"/>
  <c r="G20" i="9" s="1"/>
  <c r="E20" i="10"/>
  <c r="G20" i="10" s="1"/>
  <c r="E20" i="12"/>
  <c r="G20" i="12" s="1"/>
  <c r="G20" i="13"/>
  <c r="E20" i="14"/>
  <c r="G20" i="14" s="1"/>
  <c r="E20" i="15"/>
  <c r="H20" i="15" s="1"/>
  <c r="E20" i="16"/>
  <c r="G20" i="16" s="1"/>
  <c r="F20" i="18"/>
  <c r="J20" i="18" s="1"/>
  <c r="E20" i="19"/>
  <c r="G20" i="19" s="1"/>
  <c r="E20" i="49"/>
  <c r="G20" i="49" s="1"/>
  <c r="E20" i="20"/>
  <c r="G20" i="20" s="1"/>
  <c r="E20" i="21"/>
  <c r="G20" i="21" s="1"/>
  <c r="E20" i="33"/>
  <c r="G20" i="33" s="1"/>
  <c r="F20" i="51"/>
  <c r="K20" i="51" s="1"/>
  <c r="E20" i="22"/>
  <c r="G20" i="22" s="1"/>
  <c r="E21" i="1"/>
  <c r="G21" i="1" s="1"/>
  <c r="E21" i="2"/>
  <c r="G21" i="2" s="1"/>
  <c r="E21" i="4"/>
  <c r="G21" i="4" s="1"/>
  <c r="E21" i="5"/>
  <c r="G21" i="5" s="1"/>
  <c r="F21" i="6"/>
  <c r="I21" i="6" s="1"/>
  <c r="E21" i="7"/>
  <c r="H21" i="7" s="1"/>
  <c r="E21" i="8"/>
  <c r="G21" i="8" s="1"/>
  <c r="E21" i="9"/>
  <c r="G21" i="9" s="1"/>
  <c r="E21" i="10"/>
  <c r="G21" i="10" s="1"/>
  <c r="E21" i="12"/>
  <c r="G21" i="12" s="1"/>
  <c r="G21" i="13"/>
  <c r="E21" i="14"/>
  <c r="G21" i="14" s="1"/>
  <c r="E21" i="15"/>
  <c r="H21" i="15" s="1"/>
  <c r="E21" i="16"/>
  <c r="G21" i="16" s="1"/>
  <c r="F21" i="18"/>
  <c r="J21" i="18" s="1"/>
  <c r="E21" i="19"/>
  <c r="G21" i="19" s="1"/>
  <c r="E21" i="49"/>
  <c r="G21" i="49" s="1"/>
  <c r="E21" i="20"/>
  <c r="G21" i="20" s="1"/>
  <c r="E21" i="21"/>
  <c r="G21" i="21" s="1"/>
  <c r="E21" i="33"/>
  <c r="G21" i="33" s="1"/>
  <c r="F21" i="51"/>
  <c r="K21" i="51" s="1"/>
  <c r="E21" i="22"/>
  <c r="G21" i="22" s="1"/>
  <c r="E22" i="1"/>
  <c r="E22" i="2"/>
  <c r="G22" i="2" s="1"/>
  <c r="E22" i="4"/>
  <c r="G22" i="4" s="1"/>
  <c r="E22" i="5"/>
  <c r="G22" i="5" s="1"/>
  <c r="F22" i="6"/>
  <c r="I22" i="6" s="1"/>
  <c r="E22" i="7"/>
  <c r="H22" i="7" s="1"/>
  <c r="E22" i="8"/>
  <c r="G22" i="8" s="1"/>
  <c r="E22" i="9"/>
  <c r="G22" i="9" s="1"/>
  <c r="H22" i="9" s="1"/>
  <c r="E22" i="10"/>
  <c r="G22" i="10" s="1"/>
  <c r="E22" i="12"/>
  <c r="G22" i="12" s="1"/>
  <c r="G22" i="13"/>
  <c r="E22" i="14"/>
  <c r="G22" i="14" s="1"/>
  <c r="E22" i="15"/>
  <c r="H22" i="15" s="1"/>
  <c r="E22" i="16"/>
  <c r="G22" i="16" s="1"/>
  <c r="F22" i="18"/>
  <c r="J22" i="18" s="1"/>
  <c r="E22" i="19"/>
  <c r="G22" i="19" s="1"/>
  <c r="E22" i="49"/>
  <c r="G22" i="49" s="1"/>
  <c r="E22" i="20"/>
  <c r="G22" i="20" s="1"/>
  <c r="E22" i="21"/>
  <c r="G22" i="21" s="1"/>
  <c r="E22" i="33"/>
  <c r="G22" i="33" s="1"/>
  <c r="F22" i="51"/>
  <c r="K22" i="51" s="1"/>
  <c r="E22" i="22"/>
  <c r="G22" i="22" s="1"/>
  <c r="E23" i="1"/>
  <c r="G23" i="1" s="1"/>
  <c r="E23" i="2"/>
  <c r="G23" i="2" s="1"/>
  <c r="E23" i="4"/>
  <c r="G23" i="4" s="1"/>
  <c r="E23" i="5"/>
  <c r="G23" i="5" s="1"/>
  <c r="F23" i="6"/>
  <c r="I23" i="6" s="1"/>
  <c r="E23" i="7"/>
  <c r="H23" i="7" s="1"/>
  <c r="E23" i="8"/>
  <c r="G23" i="8" s="1"/>
  <c r="E23" i="9"/>
  <c r="G23" i="9" s="1"/>
  <c r="E23" i="10"/>
  <c r="G23" i="10" s="1"/>
  <c r="E23" i="12"/>
  <c r="G23" i="12" s="1"/>
  <c r="G23" i="13"/>
  <c r="E23" i="14"/>
  <c r="G23" i="14" s="1"/>
  <c r="E23" i="15"/>
  <c r="H23" i="15" s="1"/>
  <c r="E23" i="16"/>
  <c r="G23" i="16" s="1"/>
  <c r="F23" i="18"/>
  <c r="J23" i="18" s="1"/>
  <c r="E23" i="19"/>
  <c r="G23" i="19" s="1"/>
  <c r="E23" i="49"/>
  <c r="G23" i="49" s="1"/>
  <c r="E23" i="20"/>
  <c r="G23" i="20" s="1"/>
  <c r="E23" i="21"/>
  <c r="G23" i="21" s="1"/>
  <c r="E23" i="33"/>
  <c r="G23" i="33" s="1"/>
  <c r="F23" i="51"/>
  <c r="K23" i="51" s="1"/>
  <c r="E23" i="22"/>
  <c r="G23" i="22" s="1"/>
  <c r="E24" i="1"/>
  <c r="G24" i="1" s="1"/>
  <c r="E24" i="2"/>
  <c r="G24" i="2" s="1"/>
  <c r="E24" i="4"/>
  <c r="G24" i="4" s="1"/>
  <c r="E24" i="5"/>
  <c r="G24" i="5" s="1"/>
  <c r="F24" i="6"/>
  <c r="I24" i="6" s="1"/>
  <c r="E24" i="7"/>
  <c r="H24" i="7" s="1"/>
  <c r="E24" i="8"/>
  <c r="G24" i="8" s="1"/>
  <c r="E24" i="9"/>
  <c r="G24" i="9" s="1"/>
  <c r="E24" i="10"/>
  <c r="G24" i="10" s="1"/>
  <c r="E24" i="12"/>
  <c r="G24" i="12" s="1"/>
  <c r="G24" i="13"/>
  <c r="E24" i="14"/>
  <c r="G24" i="14" s="1"/>
  <c r="E24" i="15"/>
  <c r="H24" i="15" s="1"/>
  <c r="E24" i="16"/>
  <c r="G24" i="16" s="1"/>
  <c r="F24" i="18"/>
  <c r="J24" i="18" s="1"/>
  <c r="E24" i="19"/>
  <c r="G24" i="19" s="1"/>
  <c r="E24" i="49"/>
  <c r="G24" i="49" s="1"/>
  <c r="E24" i="20"/>
  <c r="G24" i="20" s="1"/>
  <c r="E24" i="21"/>
  <c r="G24" i="21" s="1"/>
  <c r="E24" i="33"/>
  <c r="G24" i="33" s="1"/>
  <c r="F24" i="51"/>
  <c r="K24" i="51" s="1"/>
  <c r="E24" i="22"/>
  <c r="G24" i="22" s="1"/>
  <c r="E25" i="1"/>
  <c r="G25" i="1" s="1"/>
  <c r="E25" i="2"/>
  <c r="G25" i="2" s="1"/>
  <c r="E25" i="4"/>
  <c r="G25" i="4" s="1"/>
  <c r="E25" i="5"/>
  <c r="G25" i="5" s="1"/>
  <c r="F25" i="6"/>
  <c r="I25" i="6" s="1"/>
  <c r="E25" i="7"/>
  <c r="H25" i="7" s="1"/>
  <c r="E25" i="8"/>
  <c r="G25" i="8" s="1"/>
  <c r="E25" i="9"/>
  <c r="G25" i="9" s="1"/>
  <c r="E25" i="10"/>
  <c r="G25" i="10" s="1"/>
  <c r="E25" i="12"/>
  <c r="G25" i="12" s="1"/>
  <c r="G25" i="13"/>
  <c r="E25" i="14"/>
  <c r="G25" i="14" s="1"/>
  <c r="E25" i="15"/>
  <c r="H25" i="15" s="1"/>
  <c r="E25" i="16"/>
  <c r="G25" i="16" s="1"/>
  <c r="F25" i="18"/>
  <c r="J25" i="18" s="1"/>
  <c r="E25" i="19"/>
  <c r="G25" i="19" s="1"/>
  <c r="E25" i="49"/>
  <c r="G25" i="49" s="1"/>
  <c r="E25" i="20"/>
  <c r="G25" i="20" s="1"/>
  <c r="E25" i="21"/>
  <c r="G25" i="21" s="1"/>
  <c r="E25" i="33"/>
  <c r="G25" i="33" s="1"/>
  <c r="F25" i="51"/>
  <c r="K25" i="51" s="1"/>
  <c r="E25" i="22"/>
  <c r="G25" i="22" s="1"/>
  <c r="F44" i="35"/>
  <c r="I44" i="35" s="1"/>
  <c r="F45" i="35"/>
  <c r="I45" i="35" s="1"/>
  <c r="F46" i="35"/>
  <c r="I46" i="35" s="1"/>
  <c r="F17" i="6"/>
  <c r="I17" i="6" s="1"/>
  <c r="E17" i="1"/>
  <c r="G17" i="1" s="1"/>
  <c r="E17" i="2"/>
  <c r="G17" i="2" s="1"/>
  <c r="E17" i="4"/>
  <c r="G17" i="4" s="1"/>
  <c r="E17" i="5"/>
  <c r="G17" i="5" s="1"/>
  <c r="E17" i="7"/>
  <c r="H17" i="7" s="1"/>
  <c r="E17" i="8"/>
  <c r="G17" i="8" s="1"/>
  <c r="E17" i="9"/>
  <c r="G17" i="9" s="1"/>
  <c r="E17" i="10"/>
  <c r="G17" i="10" s="1"/>
  <c r="E17" i="12"/>
  <c r="G17" i="12" s="1"/>
  <c r="G17" i="13"/>
  <c r="E17" i="14"/>
  <c r="G17" i="14" s="1"/>
  <c r="E17" i="15"/>
  <c r="H17" i="15" s="1"/>
  <c r="E17" i="16"/>
  <c r="G17" i="16" s="1"/>
  <c r="F17" i="18"/>
  <c r="J17" i="18" s="1"/>
  <c r="E17" i="19"/>
  <c r="G17" i="19" s="1"/>
  <c r="E17" i="49"/>
  <c r="G17" i="49" s="1"/>
  <c r="E17" i="20"/>
  <c r="G17" i="20" s="1"/>
  <c r="E17" i="21"/>
  <c r="G17" i="21" s="1"/>
  <c r="E17" i="33"/>
  <c r="G17" i="33" s="1"/>
  <c r="F17" i="51"/>
  <c r="K17" i="51" s="1"/>
  <c r="E17" i="22"/>
  <c r="G17" i="22" s="1"/>
  <c r="F8" i="47"/>
  <c r="D8" i="47"/>
  <c r="C8" i="47"/>
  <c r="K7" i="40"/>
  <c r="Q7" i="40"/>
  <c r="S7" i="40"/>
  <c r="T7" i="40"/>
  <c r="V7" i="40"/>
  <c r="W7" i="40"/>
  <c r="Z7" i="40"/>
  <c r="AG7" i="40"/>
  <c r="K8" i="40"/>
  <c r="Q8" i="40"/>
  <c r="S8" i="40"/>
  <c r="T8" i="40"/>
  <c r="V8" i="40"/>
  <c r="W8" i="40"/>
  <c r="Z8" i="40"/>
  <c r="AG8" i="40"/>
  <c r="K9" i="40"/>
  <c r="Q9" i="40"/>
  <c r="S9" i="40"/>
  <c r="T9" i="40"/>
  <c r="V9" i="40"/>
  <c r="W9" i="40"/>
  <c r="Z9" i="40"/>
  <c r="AG9" i="40"/>
  <c r="K10" i="40"/>
  <c r="Q10" i="40"/>
  <c r="S10" i="40"/>
  <c r="T10" i="40"/>
  <c r="V10" i="40"/>
  <c r="Z10" i="40"/>
  <c r="AG10" i="40"/>
  <c r="K11" i="40"/>
  <c r="Q11" i="40"/>
  <c r="S11" i="40"/>
  <c r="T11" i="40"/>
  <c r="V11" i="40"/>
  <c r="Z11" i="40"/>
  <c r="AG11" i="40"/>
  <c r="K12" i="40"/>
  <c r="Q12" i="40"/>
  <c r="S12" i="40"/>
  <c r="T12" i="40"/>
  <c r="V12" i="40"/>
  <c r="Z12" i="40"/>
  <c r="AG12" i="40"/>
  <c r="K13" i="40"/>
  <c r="Q13" i="40"/>
  <c r="S13" i="40"/>
  <c r="T13" i="40"/>
  <c r="V13" i="40"/>
  <c r="Z13" i="40"/>
  <c r="AG13" i="40"/>
  <c r="K14" i="40"/>
  <c r="Q14" i="40"/>
  <c r="S14" i="40"/>
  <c r="T14" i="40"/>
  <c r="V14" i="40"/>
  <c r="Z14" i="40"/>
  <c r="AG14" i="40"/>
  <c r="K15" i="40"/>
  <c r="Q15" i="40"/>
  <c r="S15" i="40"/>
  <c r="T15" i="40"/>
  <c r="V15" i="40"/>
  <c r="Z15" i="40"/>
  <c r="AG15" i="40"/>
  <c r="K16" i="40"/>
  <c r="Q16" i="40"/>
  <c r="S16" i="40"/>
  <c r="T16" i="40"/>
  <c r="V16" i="40"/>
  <c r="Z16" i="40"/>
  <c r="AG16" i="40"/>
  <c r="K17" i="40"/>
  <c r="Q17" i="40"/>
  <c r="S17" i="40"/>
  <c r="T17" i="40"/>
  <c r="V17" i="40"/>
  <c r="Z17" i="40"/>
  <c r="AG17" i="40"/>
  <c r="K18" i="40"/>
  <c r="Q18" i="40"/>
  <c r="S18" i="40"/>
  <c r="T18" i="40"/>
  <c r="V18" i="40"/>
  <c r="Z18" i="40"/>
  <c r="AG18" i="40"/>
  <c r="K19" i="40"/>
  <c r="Q19" i="40"/>
  <c r="S19" i="40"/>
  <c r="T19" i="40"/>
  <c r="V19" i="40"/>
  <c r="Z19" i="40"/>
  <c r="AG19" i="40"/>
  <c r="K20" i="40"/>
  <c r="Q20" i="40"/>
  <c r="S20" i="40"/>
  <c r="T20" i="40"/>
  <c r="V20" i="40"/>
  <c r="Z20" i="40"/>
  <c r="AG20" i="40"/>
  <c r="K21" i="40"/>
  <c r="Q21" i="40"/>
  <c r="T21" i="40"/>
  <c r="V21" i="40"/>
  <c r="Z21" i="40"/>
  <c r="AG21" i="40"/>
  <c r="K22" i="40"/>
  <c r="Q22" i="40"/>
  <c r="T22" i="40"/>
  <c r="V22" i="40"/>
  <c r="Z22" i="40"/>
  <c r="AG22" i="40"/>
  <c r="K23" i="40"/>
  <c r="Q23" i="40"/>
  <c r="T23" i="40"/>
  <c r="V23" i="40"/>
  <c r="AG23" i="40"/>
  <c r="K24" i="40"/>
  <c r="Q24" i="40"/>
  <c r="T24" i="40"/>
  <c r="V24" i="40"/>
  <c r="AG24" i="40"/>
  <c r="K25" i="40"/>
  <c r="Q25" i="40"/>
  <c r="V25" i="40"/>
  <c r="AG25" i="40"/>
  <c r="K26" i="40"/>
  <c r="Q26" i="40"/>
  <c r="V26" i="40"/>
  <c r="K27" i="40"/>
  <c r="Q27" i="40"/>
  <c r="V27" i="40"/>
  <c r="AG27" i="40"/>
  <c r="K28" i="40"/>
  <c r="Q28" i="40"/>
  <c r="V28" i="40"/>
  <c r="AG28" i="40"/>
  <c r="K29" i="40"/>
  <c r="Q29" i="40"/>
  <c r="V29" i="40"/>
  <c r="AG29" i="40"/>
  <c r="K30" i="40"/>
  <c r="Q30" i="40"/>
  <c r="V30" i="40"/>
  <c r="AG30" i="40"/>
  <c r="K31" i="40"/>
  <c r="Q31" i="40"/>
  <c r="V31" i="40"/>
  <c r="AG31" i="40"/>
  <c r="K32" i="40"/>
  <c r="Q32" i="40"/>
  <c r="V32" i="40"/>
  <c r="AG32" i="40"/>
  <c r="S6" i="40"/>
  <c r="K6" i="40"/>
  <c r="Q6" i="40"/>
  <c r="T6" i="40"/>
  <c r="V6" i="40"/>
  <c r="W6" i="40"/>
  <c r="Z6" i="40"/>
  <c r="AG6" i="40"/>
  <c r="E16" i="14"/>
  <c r="G16" i="14" s="1"/>
  <c r="E15" i="14"/>
  <c r="G15" i="14" s="1"/>
  <c r="E14" i="14"/>
  <c r="G14" i="14" s="1"/>
  <c r="E13" i="14"/>
  <c r="G13" i="14" s="1"/>
  <c r="E12" i="14"/>
  <c r="G12" i="14" s="1"/>
  <c r="E11" i="14"/>
  <c r="G11" i="14" s="1"/>
  <c r="E10" i="14"/>
  <c r="G10" i="14" s="1"/>
  <c r="E9" i="14"/>
  <c r="G9" i="14" s="1"/>
  <c r="E8" i="14"/>
  <c r="G8" i="14" s="1"/>
  <c r="E7" i="14"/>
  <c r="G7" i="14" s="1"/>
  <c r="F51" i="37"/>
  <c r="I51" i="37" s="1"/>
  <c r="F52" i="37"/>
  <c r="I52" i="37" s="1"/>
  <c r="E26" i="1"/>
  <c r="G26" i="1" s="1"/>
  <c r="E27" i="1"/>
  <c r="G27" i="1" s="1"/>
  <c r="E28" i="1"/>
  <c r="G28" i="1" s="1"/>
  <c r="E29" i="1"/>
  <c r="G29" i="1" s="1"/>
  <c r="E30" i="1"/>
  <c r="G30" i="1" s="1"/>
  <c r="E31" i="1"/>
  <c r="G31" i="1" s="1"/>
  <c r="E32" i="1"/>
  <c r="G32" i="1" s="1"/>
  <c r="E33" i="1"/>
  <c r="G33" i="1" s="1"/>
  <c r="E34" i="1"/>
  <c r="G34" i="1" s="1"/>
  <c r="E35" i="1"/>
  <c r="G35" i="1" s="1"/>
  <c r="G40" i="17"/>
  <c r="F47" i="37"/>
  <c r="I47" i="37" s="1"/>
  <c r="F48" i="37"/>
  <c r="I48" i="37" s="1"/>
  <c r="F49" i="37"/>
  <c r="I49" i="37" s="1"/>
  <c r="F50" i="37"/>
  <c r="I50" i="37" s="1"/>
  <c r="F53" i="37"/>
  <c r="I53" i="37" s="1"/>
  <c r="E8" i="1"/>
  <c r="G8" i="1" s="1"/>
  <c r="E8" i="2"/>
  <c r="G8" i="2" s="1"/>
  <c r="E8" i="19"/>
  <c r="G8" i="19" s="1"/>
  <c r="E8" i="5"/>
  <c r="G8" i="5" s="1"/>
  <c r="E8" i="7"/>
  <c r="H8" i="7" s="1"/>
  <c r="E8" i="8"/>
  <c r="G8" i="8" s="1"/>
  <c r="E8" i="9"/>
  <c r="G8" i="9" s="1"/>
  <c r="E8" i="10"/>
  <c r="G8" i="10" s="1"/>
  <c r="E8" i="12"/>
  <c r="G8" i="12" s="1"/>
  <c r="E8" i="13"/>
  <c r="G8" i="13" s="1"/>
  <c r="E8" i="15"/>
  <c r="H8" i="15" s="1"/>
  <c r="E8" i="16"/>
  <c r="G8" i="16" s="1"/>
  <c r="E8" i="4"/>
  <c r="G8" i="4" s="1"/>
  <c r="E8" i="21"/>
  <c r="G8" i="21" s="1"/>
  <c r="E8" i="22"/>
  <c r="G8" i="22" s="1"/>
  <c r="E9" i="1"/>
  <c r="G9" i="1" s="1"/>
  <c r="E9" i="2"/>
  <c r="G9" i="2" s="1"/>
  <c r="E9" i="19"/>
  <c r="G9" i="19" s="1"/>
  <c r="E9" i="5"/>
  <c r="G9" i="5" s="1"/>
  <c r="E9" i="7"/>
  <c r="H9" i="7" s="1"/>
  <c r="E9" i="8"/>
  <c r="G9" i="8" s="1"/>
  <c r="E9" i="9"/>
  <c r="G9" i="9" s="1"/>
  <c r="E9" i="10"/>
  <c r="G9" i="10" s="1"/>
  <c r="E9" i="12"/>
  <c r="G9" i="12" s="1"/>
  <c r="E9" i="13"/>
  <c r="G9" i="13" s="1"/>
  <c r="E9" i="15"/>
  <c r="H9" i="15" s="1"/>
  <c r="E9" i="16"/>
  <c r="G9" i="16" s="1"/>
  <c r="E9" i="4"/>
  <c r="G9" i="4" s="1"/>
  <c r="E9" i="21"/>
  <c r="G9" i="21" s="1"/>
  <c r="E9" i="22"/>
  <c r="G9" i="22" s="1"/>
  <c r="E10" i="1"/>
  <c r="G10" i="1" s="1"/>
  <c r="E10" i="2"/>
  <c r="G10" i="2" s="1"/>
  <c r="E10" i="19"/>
  <c r="G10" i="19" s="1"/>
  <c r="E10" i="5"/>
  <c r="G10" i="5" s="1"/>
  <c r="E10" i="7"/>
  <c r="H10" i="7" s="1"/>
  <c r="E10" i="8"/>
  <c r="G10" i="8" s="1"/>
  <c r="E10" i="9"/>
  <c r="G10" i="9" s="1"/>
  <c r="E10" i="10"/>
  <c r="G10" i="10" s="1"/>
  <c r="E10" i="12"/>
  <c r="G10" i="12" s="1"/>
  <c r="E10" i="13"/>
  <c r="G10" i="13" s="1"/>
  <c r="E10" i="15"/>
  <c r="H10" i="15" s="1"/>
  <c r="E10" i="16"/>
  <c r="G10" i="16" s="1"/>
  <c r="E10" i="4"/>
  <c r="G10" i="4" s="1"/>
  <c r="E10" i="21"/>
  <c r="G10" i="21" s="1"/>
  <c r="E10" i="22"/>
  <c r="G10" i="22" s="1"/>
  <c r="E11" i="1"/>
  <c r="G11" i="1" s="1"/>
  <c r="E11" i="2"/>
  <c r="G11" i="2" s="1"/>
  <c r="E11" i="19"/>
  <c r="G11" i="19" s="1"/>
  <c r="E11" i="5"/>
  <c r="G11" i="5" s="1"/>
  <c r="E11" i="7"/>
  <c r="H11" i="7" s="1"/>
  <c r="E11" i="8"/>
  <c r="G11" i="8" s="1"/>
  <c r="E11" i="9"/>
  <c r="G11" i="9" s="1"/>
  <c r="E11" i="10"/>
  <c r="G11" i="10" s="1"/>
  <c r="E11" i="12"/>
  <c r="G11" i="12" s="1"/>
  <c r="E11" i="13"/>
  <c r="G11" i="13" s="1"/>
  <c r="E11" i="15"/>
  <c r="H11" i="15" s="1"/>
  <c r="E11" i="16"/>
  <c r="G11" i="16" s="1"/>
  <c r="E11" i="4"/>
  <c r="G11" i="4" s="1"/>
  <c r="E11" i="21"/>
  <c r="G11" i="21" s="1"/>
  <c r="E11" i="22"/>
  <c r="G11" i="22" s="1"/>
  <c r="E12" i="1"/>
  <c r="G12" i="1" s="1"/>
  <c r="E12" i="2"/>
  <c r="G12" i="2" s="1"/>
  <c r="E12" i="19"/>
  <c r="G12" i="19" s="1"/>
  <c r="E12" i="5"/>
  <c r="G12" i="5" s="1"/>
  <c r="E12" i="7"/>
  <c r="H12" i="7" s="1"/>
  <c r="E12" i="8"/>
  <c r="G12" i="8" s="1"/>
  <c r="E12" i="9"/>
  <c r="G12" i="9" s="1"/>
  <c r="E12" i="10"/>
  <c r="G12" i="10" s="1"/>
  <c r="E12" i="12"/>
  <c r="G12" i="12" s="1"/>
  <c r="E12" i="13"/>
  <c r="G12" i="13" s="1"/>
  <c r="E12" i="15"/>
  <c r="H12" i="15" s="1"/>
  <c r="E12" i="16"/>
  <c r="G12" i="16" s="1"/>
  <c r="E12" i="50"/>
  <c r="G12" i="50" s="1"/>
  <c r="E12" i="4"/>
  <c r="G12" i="4" s="1"/>
  <c r="E12" i="21"/>
  <c r="G12" i="21" s="1"/>
  <c r="F12" i="51"/>
  <c r="K12" i="51" s="1"/>
  <c r="E12" i="22"/>
  <c r="G12" i="22" s="1"/>
  <c r="E13" i="1"/>
  <c r="G13" i="1" s="1"/>
  <c r="E13" i="2"/>
  <c r="G13" i="2" s="1"/>
  <c r="E13" i="19"/>
  <c r="G13" i="19" s="1"/>
  <c r="E13" i="5"/>
  <c r="G13" i="5" s="1"/>
  <c r="E13" i="7"/>
  <c r="H13" i="7" s="1"/>
  <c r="E13" i="8"/>
  <c r="G13" i="8" s="1"/>
  <c r="E13" i="9"/>
  <c r="G13" i="9" s="1"/>
  <c r="E13" i="10"/>
  <c r="G13" i="10" s="1"/>
  <c r="E13" i="12"/>
  <c r="G13" i="12" s="1"/>
  <c r="E13" i="13"/>
  <c r="G13" i="13" s="1"/>
  <c r="E13" i="15"/>
  <c r="H13" i="15" s="1"/>
  <c r="E13" i="16"/>
  <c r="G13" i="16" s="1"/>
  <c r="E13" i="50"/>
  <c r="G13" i="50" s="1"/>
  <c r="E13" i="4"/>
  <c r="G13" i="4" s="1"/>
  <c r="E13" i="21"/>
  <c r="G13" i="21" s="1"/>
  <c r="F13" i="51"/>
  <c r="K13" i="51" s="1"/>
  <c r="E13" i="22"/>
  <c r="G13" i="22" s="1"/>
  <c r="E14" i="1"/>
  <c r="G14" i="1" s="1"/>
  <c r="E14" i="2"/>
  <c r="G14" i="2" s="1"/>
  <c r="E14" i="19"/>
  <c r="G14" i="19" s="1"/>
  <c r="E14" i="5"/>
  <c r="G14" i="5" s="1"/>
  <c r="E14" i="7"/>
  <c r="H14" i="7" s="1"/>
  <c r="E14" i="8"/>
  <c r="G14" i="8" s="1"/>
  <c r="E14" i="9"/>
  <c r="G14" i="9" s="1"/>
  <c r="E14" i="10"/>
  <c r="G14" i="10" s="1"/>
  <c r="E14" i="12"/>
  <c r="G14" i="12" s="1"/>
  <c r="E14" i="13"/>
  <c r="G14" i="13" s="1"/>
  <c r="E14" i="15"/>
  <c r="H14" i="15" s="1"/>
  <c r="E14" i="16"/>
  <c r="G14" i="16" s="1"/>
  <c r="E14" i="50"/>
  <c r="G14" i="50" s="1"/>
  <c r="E14" i="4"/>
  <c r="G14" i="4" s="1"/>
  <c r="E14" i="21"/>
  <c r="G14" i="21" s="1"/>
  <c r="F14" i="51"/>
  <c r="K14" i="51" s="1"/>
  <c r="E14" i="22"/>
  <c r="G14" i="22" s="1"/>
  <c r="E15" i="1"/>
  <c r="G15" i="1" s="1"/>
  <c r="E15" i="2"/>
  <c r="G15" i="2" s="1"/>
  <c r="E15" i="19"/>
  <c r="G15" i="19" s="1"/>
  <c r="E15" i="5"/>
  <c r="G15" i="5" s="1"/>
  <c r="E15" i="7"/>
  <c r="H15" i="7" s="1"/>
  <c r="E15" i="8"/>
  <c r="G15" i="8" s="1"/>
  <c r="E15" i="9"/>
  <c r="G15" i="9" s="1"/>
  <c r="E15" i="10"/>
  <c r="G15" i="10" s="1"/>
  <c r="E15" i="12"/>
  <c r="G15" i="12" s="1"/>
  <c r="E15" i="13"/>
  <c r="G15" i="13" s="1"/>
  <c r="E15" i="15"/>
  <c r="H15" i="15" s="1"/>
  <c r="E15" i="16"/>
  <c r="G15" i="16" s="1"/>
  <c r="E15" i="50"/>
  <c r="G15" i="50" s="1"/>
  <c r="E15" i="4"/>
  <c r="G15" i="4" s="1"/>
  <c r="E15" i="21"/>
  <c r="G15" i="21" s="1"/>
  <c r="F15" i="51"/>
  <c r="K15" i="51" s="1"/>
  <c r="E15" i="22"/>
  <c r="G15" i="22" s="1"/>
  <c r="E16" i="1"/>
  <c r="G16" i="1" s="1"/>
  <c r="E16" i="2"/>
  <c r="G16" i="2" s="1"/>
  <c r="E16" i="19"/>
  <c r="G16" i="19" s="1"/>
  <c r="E16" i="5"/>
  <c r="G16" i="5" s="1"/>
  <c r="E16" i="7"/>
  <c r="H16" i="7" s="1"/>
  <c r="E16" i="8"/>
  <c r="G16" i="8" s="1"/>
  <c r="E16" i="9"/>
  <c r="G16" i="9" s="1"/>
  <c r="E16" i="10"/>
  <c r="G16" i="10" s="1"/>
  <c r="E16" i="12"/>
  <c r="G16" i="12" s="1"/>
  <c r="E16" i="13"/>
  <c r="G16" i="13" s="1"/>
  <c r="E16" i="15"/>
  <c r="H16" i="15" s="1"/>
  <c r="E16" i="16"/>
  <c r="G16" i="16" s="1"/>
  <c r="E16" i="50"/>
  <c r="E16" i="4"/>
  <c r="G16" i="4" s="1"/>
  <c r="E16" i="21"/>
  <c r="G16" i="21" s="1"/>
  <c r="F16" i="51"/>
  <c r="K16" i="51" s="1"/>
  <c r="E16" i="22"/>
  <c r="G16" i="22" s="1"/>
  <c r="E7" i="1"/>
  <c r="G7" i="1" s="1"/>
  <c r="E7" i="2"/>
  <c r="G7" i="2" s="1"/>
  <c r="E7" i="19"/>
  <c r="G7" i="19" s="1"/>
  <c r="E7" i="5"/>
  <c r="G7" i="5" s="1"/>
  <c r="F16" i="24"/>
  <c r="E7" i="7"/>
  <c r="H7" i="7" s="1"/>
  <c r="E7" i="8"/>
  <c r="G7" i="8" s="1"/>
  <c r="E7" i="9"/>
  <c r="G7" i="9" s="1"/>
  <c r="E7" i="10"/>
  <c r="G7" i="10" s="1"/>
  <c r="K16" i="24"/>
  <c r="E7" i="12"/>
  <c r="G7" i="12" s="1"/>
  <c r="E7" i="13"/>
  <c r="G7" i="13" s="1"/>
  <c r="E7" i="15"/>
  <c r="H7" i="15" s="1"/>
  <c r="Q16" i="24"/>
  <c r="E7" i="16"/>
  <c r="G7" i="16" s="1"/>
  <c r="S16" i="24"/>
  <c r="T16" i="24"/>
  <c r="U16" i="24"/>
  <c r="V16" i="24"/>
  <c r="W16" i="24"/>
  <c r="X16" i="24"/>
  <c r="Z16" i="24"/>
  <c r="AA16" i="24"/>
  <c r="E7" i="4"/>
  <c r="G7" i="4" s="1"/>
  <c r="E7" i="21"/>
  <c r="G7" i="21" s="1"/>
  <c r="AD16" i="24"/>
  <c r="AE16" i="24"/>
  <c r="E7" i="22"/>
  <c r="G7" i="22" s="1"/>
  <c r="AG16" i="24"/>
  <c r="F46" i="51"/>
  <c r="K46" i="51" s="1"/>
  <c r="F45" i="51"/>
  <c r="K45" i="51" s="1"/>
  <c r="F44" i="51"/>
  <c r="K44" i="51" s="1"/>
  <c r="F43" i="51"/>
  <c r="K43" i="51" s="1"/>
  <c r="F42" i="51"/>
  <c r="K42" i="51" s="1"/>
  <c r="F41" i="51"/>
  <c r="K41" i="51" s="1"/>
  <c r="F40" i="51"/>
  <c r="K40" i="51" s="1"/>
  <c r="F39" i="51"/>
  <c r="K39" i="51" s="1"/>
  <c r="F38" i="51"/>
  <c r="K38" i="51" s="1"/>
  <c r="F37" i="51"/>
  <c r="K37" i="51" s="1"/>
  <c r="F36" i="51"/>
  <c r="K36" i="51" s="1"/>
  <c r="F35" i="51"/>
  <c r="K35" i="51" s="1"/>
  <c r="F34" i="51"/>
  <c r="K34" i="51" s="1"/>
  <c r="F33" i="51"/>
  <c r="K33" i="51" s="1"/>
  <c r="F32" i="51"/>
  <c r="K32" i="51" s="1"/>
  <c r="F31" i="51"/>
  <c r="K31" i="51" s="1"/>
  <c r="F30" i="51"/>
  <c r="K30" i="51" s="1"/>
  <c r="F29" i="51"/>
  <c r="K29" i="51" s="1"/>
  <c r="F28" i="51"/>
  <c r="K28" i="51" s="1"/>
  <c r="F27" i="51"/>
  <c r="K27" i="51" s="1"/>
  <c r="F26" i="51"/>
  <c r="K26" i="51" s="1"/>
  <c r="E26" i="2"/>
  <c r="G26" i="2" s="1"/>
  <c r="E26" i="19"/>
  <c r="G26" i="19" s="1"/>
  <c r="E26" i="5"/>
  <c r="G26" i="5" s="1"/>
  <c r="F26" i="6"/>
  <c r="I26" i="6" s="1"/>
  <c r="E26" i="7"/>
  <c r="H26" i="7" s="1"/>
  <c r="E26" i="8"/>
  <c r="G26" i="8" s="1"/>
  <c r="E26" i="9"/>
  <c r="G26" i="9" s="1"/>
  <c r="E26" i="10"/>
  <c r="G26" i="10" s="1"/>
  <c r="E26" i="12"/>
  <c r="G26" i="12" s="1"/>
  <c r="G26" i="13"/>
  <c r="E26" i="14"/>
  <c r="G26" i="14" s="1"/>
  <c r="E26" i="15"/>
  <c r="H26" i="15" s="1"/>
  <c r="E26" i="16"/>
  <c r="G26" i="16" s="1"/>
  <c r="F26" i="18"/>
  <c r="J26" i="18" s="1"/>
  <c r="E26" i="20"/>
  <c r="G26" i="20" s="1"/>
  <c r="E26" i="4"/>
  <c r="G26" i="4" s="1"/>
  <c r="E26" i="21"/>
  <c r="G26" i="21" s="1"/>
  <c r="E26" i="33"/>
  <c r="G26" i="33" s="1"/>
  <c r="E26" i="22"/>
  <c r="G26" i="22" s="1"/>
  <c r="E27" i="2"/>
  <c r="G27" i="2" s="1"/>
  <c r="E27" i="19"/>
  <c r="G27" i="19" s="1"/>
  <c r="E27" i="5"/>
  <c r="G27" i="5" s="1"/>
  <c r="F27" i="6"/>
  <c r="I27" i="6" s="1"/>
  <c r="E27" i="7"/>
  <c r="H27" i="7" s="1"/>
  <c r="E27" i="8"/>
  <c r="G27" i="8" s="1"/>
  <c r="E27" i="9"/>
  <c r="G27" i="9" s="1"/>
  <c r="E27" i="10"/>
  <c r="G27" i="10" s="1"/>
  <c r="E27" i="12"/>
  <c r="G27" i="12" s="1"/>
  <c r="G27" i="13"/>
  <c r="E27" i="14"/>
  <c r="G27" i="14" s="1"/>
  <c r="E27" i="15"/>
  <c r="H27" i="15" s="1"/>
  <c r="E27" i="16"/>
  <c r="G27" i="16" s="1"/>
  <c r="E27" i="20"/>
  <c r="G27" i="20" s="1"/>
  <c r="E27" i="4"/>
  <c r="G27" i="4" s="1"/>
  <c r="E27" i="21"/>
  <c r="G27" i="21" s="1"/>
  <c r="E27" i="33"/>
  <c r="G27" i="33" s="1"/>
  <c r="E27" i="22"/>
  <c r="G27" i="22" s="1"/>
  <c r="E28" i="2"/>
  <c r="G28" i="2" s="1"/>
  <c r="E28" i="19"/>
  <c r="G28" i="19" s="1"/>
  <c r="E28" i="5"/>
  <c r="G28" i="5" s="1"/>
  <c r="F28" i="6"/>
  <c r="I28" i="6" s="1"/>
  <c r="E28" i="7"/>
  <c r="H28" i="7" s="1"/>
  <c r="E28" i="8"/>
  <c r="G28" i="8" s="1"/>
  <c r="E28" i="9"/>
  <c r="G28" i="9" s="1"/>
  <c r="E28" i="10"/>
  <c r="G28" i="10" s="1"/>
  <c r="E28" i="12"/>
  <c r="G28" i="12" s="1"/>
  <c r="G28" i="13"/>
  <c r="E28" i="14"/>
  <c r="G28" i="14" s="1"/>
  <c r="E28" i="15"/>
  <c r="H28" i="15" s="1"/>
  <c r="E28" i="16"/>
  <c r="G28" i="16" s="1"/>
  <c r="E28" i="20"/>
  <c r="G28" i="20" s="1"/>
  <c r="E28" i="4"/>
  <c r="G28" i="4" s="1"/>
  <c r="E28" i="21"/>
  <c r="G28" i="21" s="1"/>
  <c r="E28" i="33"/>
  <c r="G28" i="33" s="1"/>
  <c r="E28" i="22"/>
  <c r="G28" i="22" s="1"/>
  <c r="E29" i="2"/>
  <c r="G29" i="2" s="1"/>
  <c r="E29" i="19"/>
  <c r="G29" i="19" s="1"/>
  <c r="E29" i="5"/>
  <c r="G29" i="5" s="1"/>
  <c r="F29" i="6"/>
  <c r="I29" i="6" s="1"/>
  <c r="E29" i="7"/>
  <c r="H29" i="7" s="1"/>
  <c r="E29" i="8"/>
  <c r="G29" i="8" s="1"/>
  <c r="E29" i="9"/>
  <c r="G29" i="9" s="1"/>
  <c r="E29" i="10"/>
  <c r="G29" i="10" s="1"/>
  <c r="E29" i="12"/>
  <c r="G29" i="12" s="1"/>
  <c r="G29" i="13"/>
  <c r="E29" i="14"/>
  <c r="G29" i="14" s="1"/>
  <c r="E29" i="15"/>
  <c r="H29" i="15" s="1"/>
  <c r="E29" i="16"/>
  <c r="G29" i="16" s="1"/>
  <c r="E29" i="20"/>
  <c r="G29" i="20" s="1"/>
  <c r="E29" i="4"/>
  <c r="G29" i="4" s="1"/>
  <c r="E29" i="21"/>
  <c r="G29" i="21" s="1"/>
  <c r="E29" i="33"/>
  <c r="G29" i="33" s="1"/>
  <c r="E29" i="22"/>
  <c r="G29" i="22" s="1"/>
  <c r="E30" i="2"/>
  <c r="G30" i="2" s="1"/>
  <c r="E30" i="19"/>
  <c r="G30" i="19" s="1"/>
  <c r="E30" i="5"/>
  <c r="G30" i="5" s="1"/>
  <c r="F30" i="6"/>
  <c r="I30" i="6" s="1"/>
  <c r="E30" i="7"/>
  <c r="H30" i="7" s="1"/>
  <c r="E30" i="8"/>
  <c r="G30" i="8" s="1"/>
  <c r="E30" i="9"/>
  <c r="G30" i="9" s="1"/>
  <c r="E30" i="10"/>
  <c r="G30" i="10" s="1"/>
  <c r="E30" i="12"/>
  <c r="G30" i="12" s="1"/>
  <c r="G30" i="13"/>
  <c r="E30" i="14"/>
  <c r="G30" i="14" s="1"/>
  <c r="E30" i="15"/>
  <c r="H30" i="15" s="1"/>
  <c r="E30" i="16"/>
  <c r="G30" i="16" s="1"/>
  <c r="E30" i="20"/>
  <c r="G30" i="20" s="1"/>
  <c r="E30" i="4"/>
  <c r="G30" i="4" s="1"/>
  <c r="E30" i="21"/>
  <c r="G30" i="21" s="1"/>
  <c r="E30" i="33"/>
  <c r="G30" i="33" s="1"/>
  <c r="E30" i="22"/>
  <c r="G30" i="22" s="1"/>
  <c r="E31" i="2"/>
  <c r="G31" i="2" s="1"/>
  <c r="E31" i="19"/>
  <c r="G31" i="19" s="1"/>
  <c r="E31" i="5"/>
  <c r="G31" i="5" s="1"/>
  <c r="F31" i="6"/>
  <c r="I31" i="6" s="1"/>
  <c r="E31" i="7"/>
  <c r="H31" i="7" s="1"/>
  <c r="E31" i="8"/>
  <c r="G31" i="8" s="1"/>
  <c r="E31" i="9"/>
  <c r="G31" i="9" s="1"/>
  <c r="E31" i="10"/>
  <c r="G31" i="10" s="1"/>
  <c r="E31" i="12"/>
  <c r="G31" i="12" s="1"/>
  <c r="G31" i="13"/>
  <c r="E31" i="14"/>
  <c r="G31" i="14" s="1"/>
  <c r="E31" i="15"/>
  <c r="H31" i="15" s="1"/>
  <c r="E31" i="16"/>
  <c r="G31" i="16" s="1"/>
  <c r="E31" i="20"/>
  <c r="G31" i="20" s="1"/>
  <c r="E31" i="4"/>
  <c r="G31" i="4" s="1"/>
  <c r="E31" i="21"/>
  <c r="G31" i="21" s="1"/>
  <c r="E31" i="33"/>
  <c r="G31" i="33" s="1"/>
  <c r="E31" i="22"/>
  <c r="G31" i="22" s="1"/>
  <c r="E32" i="2"/>
  <c r="G32" i="2" s="1"/>
  <c r="E32" i="19"/>
  <c r="G32" i="19" s="1"/>
  <c r="E32" i="5"/>
  <c r="G32" i="5" s="1"/>
  <c r="F32" i="6"/>
  <c r="I32" i="6" s="1"/>
  <c r="E32" i="7"/>
  <c r="H32" i="7" s="1"/>
  <c r="E32" i="8"/>
  <c r="G32" i="8" s="1"/>
  <c r="E32" i="9"/>
  <c r="G32" i="9" s="1"/>
  <c r="E32" i="10"/>
  <c r="G32" i="10" s="1"/>
  <c r="E32" i="12"/>
  <c r="G32" i="12" s="1"/>
  <c r="G32" i="13"/>
  <c r="E32" i="14"/>
  <c r="G32" i="14" s="1"/>
  <c r="E32" i="15"/>
  <c r="H32" i="15" s="1"/>
  <c r="E32" i="16"/>
  <c r="G32" i="16" s="1"/>
  <c r="E32" i="20"/>
  <c r="G32" i="20" s="1"/>
  <c r="E32" i="4"/>
  <c r="G32" i="4" s="1"/>
  <c r="E32" i="21"/>
  <c r="G32" i="21" s="1"/>
  <c r="E32" i="33"/>
  <c r="E32" i="22"/>
  <c r="G32" i="22" s="1"/>
  <c r="E33" i="2"/>
  <c r="G33" i="2" s="1"/>
  <c r="E33" i="19"/>
  <c r="G33" i="19" s="1"/>
  <c r="E33" i="5"/>
  <c r="G33" i="5" s="1"/>
  <c r="F33" i="6"/>
  <c r="I33" i="6" s="1"/>
  <c r="E33" i="7"/>
  <c r="H33" i="7" s="1"/>
  <c r="E33" i="8"/>
  <c r="G33" i="8" s="1"/>
  <c r="E33" i="9"/>
  <c r="G33" i="9" s="1"/>
  <c r="E33" i="10"/>
  <c r="G33" i="10" s="1"/>
  <c r="E33" i="12"/>
  <c r="G33" i="12" s="1"/>
  <c r="G33" i="13"/>
  <c r="E33" i="14"/>
  <c r="G33" i="14" s="1"/>
  <c r="E33" i="15"/>
  <c r="H33" i="15" s="1"/>
  <c r="E33" i="16"/>
  <c r="G33" i="16" s="1"/>
  <c r="E33" i="20"/>
  <c r="G33" i="20" s="1"/>
  <c r="E33" i="4"/>
  <c r="G33" i="4" s="1"/>
  <c r="E33" i="21"/>
  <c r="G33" i="21" s="1"/>
  <c r="E33" i="33"/>
  <c r="G33" i="33" s="1"/>
  <c r="E33" i="22"/>
  <c r="G33" i="22" s="1"/>
  <c r="E34" i="2"/>
  <c r="G34" i="2" s="1"/>
  <c r="E34" i="19"/>
  <c r="G34" i="19" s="1"/>
  <c r="E34" i="5"/>
  <c r="G34" i="5" s="1"/>
  <c r="F34" i="6"/>
  <c r="I34" i="6" s="1"/>
  <c r="E34" i="7"/>
  <c r="H34" i="7" s="1"/>
  <c r="E34" i="8"/>
  <c r="G34" i="8" s="1"/>
  <c r="E34" i="9"/>
  <c r="G34" i="9" s="1"/>
  <c r="E34" i="10"/>
  <c r="G34" i="10" s="1"/>
  <c r="E34" i="12"/>
  <c r="G34" i="12" s="1"/>
  <c r="G34" i="13"/>
  <c r="E34" i="14"/>
  <c r="G34" i="14" s="1"/>
  <c r="E34" i="15"/>
  <c r="H34" i="15" s="1"/>
  <c r="E34" i="16"/>
  <c r="G34" i="16" s="1"/>
  <c r="G34" i="17"/>
  <c r="E34" i="20"/>
  <c r="G34" i="20" s="1"/>
  <c r="E34" i="4"/>
  <c r="G34" i="4" s="1"/>
  <c r="E34" i="21"/>
  <c r="G34" i="21" s="1"/>
  <c r="E34" i="33"/>
  <c r="G34" i="33" s="1"/>
  <c r="E34" i="22"/>
  <c r="G34" i="22" s="1"/>
  <c r="E35" i="2"/>
  <c r="G35" i="2" s="1"/>
  <c r="E35" i="19"/>
  <c r="G35" i="19" s="1"/>
  <c r="E35" i="5"/>
  <c r="G35" i="5" s="1"/>
  <c r="F35" i="6"/>
  <c r="I35" i="6" s="1"/>
  <c r="E35" i="7"/>
  <c r="H35" i="7" s="1"/>
  <c r="E35" i="8"/>
  <c r="G35" i="8" s="1"/>
  <c r="E35" i="9"/>
  <c r="G35" i="9" s="1"/>
  <c r="E35" i="10"/>
  <c r="G35" i="10" s="1"/>
  <c r="E35" i="12"/>
  <c r="G35" i="12" s="1"/>
  <c r="G35" i="13"/>
  <c r="E35" i="14"/>
  <c r="G35" i="14" s="1"/>
  <c r="E35" i="15"/>
  <c r="H35" i="15" s="1"/>
  <c r="E35" i="16"/>
  <c r="G35" i="16" s="1"/>
  <c r="E35" i="20"/>
  <c r="G35" i="20" s="1"/>
  <c r="E35" i="4"/>
  <c r="G35" i="4" s="1"/>
  <c r="E35" i="21"/>
  <c r="G35" i="21" s="1"/>
  <c r="E35" i="33"/>
  <c r="G35" i="33" s="1"/>
  <c r="E35" i="22"/>
  <c r="G35" i="22" s="1"/>
  <c r="E36" i="2"/>
  <c r="G36" i="2" s="1"/>
  <c r="E36" i="19"/>
  <c r="G36" i="19" s="1"/>
  <c r="E36" i="5"/>
  <c r="G36" i="5" s="1"/>
  <c r="F36" i="6"/>
  <c r="I36" i="6" s="1"/>
  <c r="E36" i="7"/>
  <c r="H36" i="7" s="1"/>
  <c r="E36" i="8"/>
  <c r="G36" i="8" s="1"/>
  <c r="E36" i="9"/>
  <c r="G36" i="9" s="1"/>
  <c r="E36" i="10"/>
  <c r="G36" i="10" s="1"/>
  <c r="E36" i="12"/>
  <c r="G36" i="12" s="1"/>
  <c r="G36" i="13"/>
  <c r="E36" i="14"/>
  <c r="G36" i="14" s="1"/>
  <c r="E36" i="15"/>
  <c r="H36" i="15" s="1"/>
  <c r="E36" i="16"/>
  <c r="G36" i="16" s="1"/>
  <c r="E36" i="20"/>
  <c r="G36" i="20" s="1"/>
  <c r="E36" i="4"/>
  <c r="G36" i="4" s="1"/>
  <c r="E36" i="21"/>
  <c r="G36" i="21" s="1"/>
  <c r="E36" i="33"/>
  <c r="G36" i="33" s="1"/>
  <c r="E36" i="22"/>
  <c r="G36" i="22" s="1"/>
  <c r="E37" i="2"/>
  <c r="G37" i="2" s="1"/>
  <c r="E37" i="19"/>
  <c r="G37" i="19" s="1"/>
  <c r="E37" i="5"/>
  <c r="G37" i="5" s="1"/>
  <c r="F37" i="6"/>
  <c r="I37" i="6" s="1"/>
  <c r="E37" i="7"/>
  <c r="H37" i="7" s="1"/>
  <c r="E37" i="8"/>
  <c r="G37" i="8" s="1"/>
  <c r="E37" i="9"/>
  <c r="G37" i="9" s="1"/>
  <c r="E37" i="10"/>
  <c r="G37" i="10" s="1"/>
  <c r="E37" i="12"/>
  <c r="G37" i="12" s="1"/>
  <c r="G37" i="13"/>
  <c r="E37" i="14"/>
  <c r="G37" i="14" s="1"/>
  <c r="E37" i="15"/>
  <c r="H37" i="15" s="1"/>
  <c r="E37" i="16"/>
  <c r="G37" i="16" s="1"/>
  <c r="E37" i="20"/>
  <c r="G37" i="20" s="1"/>
  <c r="E37" i="4"/>
  <c r="G37" i="4" s="1"/>
  <c r="E37" i="21"/>
  <c r="G37" i="21" s="1"/>
  <c r="E37" i="33"/>
  <c r="G37" i="33" s="1"/>
  <c r="E37" i="22"/>
  <c r="G37" i="22" s="1"/>
  <c r="E38" i="2"/>
  <c r="G38" i="2" s="1"/>
  <c r="E38" i="19"/>
  <c r="G38" i="19" s="1"/>
  <c r="E38" i="5"/>
  <c r="G38" i="5" s="1"/>
  <c r="F38" i="6"/>
  <c r="I38" i="6" s="1"/>
  <c r="E38" i="7"/>
  <c r="H38" i="7" s="1"/>
  <c r="E38" i="8"/>
  <c r="G38" i="8" s="1"/>
  <c r="E38" i="9"/>
  <c r="G38" i="9" s="1"/>
  <c r="E38" i="10"/>
  <c r="G38" i="10" s="1"/>
  <c r="E38" i="12"/>
  <c r="G38" i="12" s="1"/>
  <c r="G38" i="13"/>
  <c r="E38" i="14"/>
  <c r="G38" i="14" s="1"/>
  <c r="E38" i="15"/>
  <c r="H38" i="15" s="1"/>
  <c r="E38" i="16"/>
  <c r="G38" i="16" s="1"/>
  <c r="E38" i="20"/>
  <c r="G38" i="20" s="1"/>
  <c r="E38" i="4"/>
  <c r="G38" i="4" s="1"/>
  <c r="E38" i="21"/>
  <c r="G38" i="21" s="1"/>
  <c r="E38" i="33"/>
  <c r="G38" i="33" s="1"/>
  <c r="E38" i="22"/>
  <c r="G38" i="22" s="1"/>
  <c r="E39" i="2"/>
  <c r="G39" i="2" s="1"/>
  <c r="E39" i="19"/>
  <c r="G39" i="19" s="1"/>
  <c r="E39" i="5"/>
  <c r="G39" i="5" s="1"/>
  <c r="F39" i="6"/>
  <c r="I39" i="6" s="1"/>
  <c r="E39" i="7"/>
  <c r="H39" i="7" s="1"/>
  <c r="E39" i="8"/>
  <c r="G39" i="8" s="1"/>
  <c r="E39" i="9"/>
  <c r="G39" i="9" s="1"/>
  <c r="E39" i="10"/>
  <c r="G39" i="10" s="1"/>
  <c r="E39" i="12"/>
  <c r="G39" i="12" s="1"/>
  <c r="G39" i="13"/>
  <c r="E39" i="14"/>
  <c r="G39" i="14" s="1"/>
  <c r="E39" i="15"/>
  <c r="H39" i="15" s="1"/>
  <c r="E39" i="16"/>
  <c r="G39" i="16" s="1"/>
  <c r="E39" i="20"/>
  <c r="G39" i="20" s="1"/>
  <c r="E39" i="4"/>
  <c r="G39" i="4" s="1"/>
  <c r="E39" i="21"/>
  <c r="G39" i="21" s="1"/>
  <c r="E39" i="33"/>
  <c r="G39" i="33" s="1"/>
  <c r="E39" i="22"/>
  <c r="G39" i="22" s="1"/>
  <c r="E40" i="2"/>
  <c r="G40" i="2" s="1"/>
  <c r="E40" i="19"/>
  <c r="G40" i="19" s="1"/>
  <c r="E40" i="5"/>
  <c r="G40" i="5" s="1"/>
  <c r="F40" i="6"/>
  <c r="I40" i="6" s="1"/>
  <c r="E40" i="7"/>
  <c r="H40" i="7" s="1"/>
  <c r="E40" i="8"/>
  <c r="G40" i="8" s="1"/>
  <c r="E40" i="9"/>
  <c r="G40" i="9" s="1"/>
  <c r="E40" i="10"/>
  <c r="G40" i="10" s="1"/>
  <c r="E40" i="12"/>
  <c r="G40" i="12" s="1"/>
  <c r="G40" i="13"/>
  <c r="E40" i="14"/>
  <c r="G40" i="14" s="1"/>
  <c r="E40" i="15"/>
  <c r="H40" i="15" s="1"/>
  <c r="E40" i="16"/>
  <c r="G40" i="16" s="1"/>
  <c r="E40" i="3"/>
  <c r="G40" i="3" s="1"/>
  <c r="E40" i="20"/>
  <c r="G40" i="20" s="1"/>
  <c r="E40" i="4"/>
  <c r="G40" i="4" s="1"/>
  <c r="E40" i="21"/>
  <c r="G40" i="21" s="1"/>
  <c r="E40" i="33"/>
  <c r="G40" i="33" s="1"/>
  <c r="E40" i="22"/>
  <c r="G40" i="22" s="1"/>
  <c r="E41" i="2"/>
  <c r="G41" i="2" s="1"/>
  <c r="E41" i="19"/>
  <c r="G41" i="19" s="1"/>
  <c r="E41" i="5"/>
  <c r="G41" i="5" s="1"/>
  <c r="F41" i="6"/>
  <c r="I41" i="6" s="1"/>
  <c r="E41" i="7"/>
  <c r="H41" i="7" s="1"/>
  <c r="E41" i="8"/>
  <c r="G41" i="8" s="1"/>
  <c r="E41" i="9"/>
  <c r="G41" i="9" s="1"/>
  <c r="E41" i="10"/>
  <c r="G41" i="10" s="1"/>
  <c r="E41" i="12"/>
  <c r="G41" i="12" s="1"/>
  <c r="G41" i="13"/>
  <c r="E41" i="14"/>
  <c r="G41" i="14" s="1"/>
  <c r="E41" i="15"/>
  <c r="H41" i="15" s="1"/>
  <c r="E41" i="16"/>
  <c r="G41" i="16" s="1"/>
  <c r="E41" i="3"/>
  <c r="G41" i="3" s="1"/>
  <c r="E41" i="20"/>
  <c r="G41" i="20" s="1"/>
  <c r="E41" i="4"/>
  <c r="G41" i="4" s="1"/>
  <c r="E41" i="21"/>
  <c r="G41" i="21" s="1"/>
  <c r="E41" i="33"/>
  <c r="G41" i="33" s="1"/>
  <c r="E41" i="22"/>
  <c r="G41" i="22" s="1"/>
  <c r="E42" i="2"/>
  <c r="G42" i="2" s="1"/>
  <c r="E42" i="19"/>
  <c r="G42" i="19" s="1"/>
  <c r="E42" i="5"/>
  <c r="G42" i="5" s="1"/>
  <c r="F42" i="6"/>
  <c r="I42" i="6" s="1"/>
  <c r="E42" i="7"/>
  <c r="H42" i="7" s="1"/>
  <c r="E42" i="8"/>
  <c r="G42" i="8" s="1"/>
  <c r="E42" i="9"/>
  <c r="G42" i="9" s="1"/>
  <c r="E42" i="10"/>
  <c r="G42" i="10" s="1"/>
  <c r="E42" i="12"/>
  <c r="G42" i="12" s="1"/>
  <c r="G42" i="13"/>
  <c r="E42" i="14"/>
  <c r="G42" i="14" s="1"/>
  <c r="E42" i="15"/>
  <c r="H42" i="15" s="1"/>
  <c r="E42" i="16"/>
  <c r="G42" i="16" s="1"/>
  <c r="E42" i="3"/>
  <c r="G42" i="3" s="1"/>
  <c r="E42" i="20"/>
  <c r="G42" i="20" s="1"/>
  <c r="E42" i="4"/>
  <c r="G42" i="4" s="1"/>
  <c r="E42" i="21"/>
  <c r="G42" i="21" s="1"/>
  <c r="E42" i="33"/>
  <c r="G42" i="33" s="1"/>
  <c r="E42" i="22"/>
  <c r="G42" i="22" s="1"/>
  <c r="E43" i="2"/>
  <c r="G43" i="2" s="1"/>
  <c r="E43" i="19"/>
  <c r="G43" i="19" s="1"/>
  <c r="E43" i="5"/>
  <c r="G43" i="5" s="1"/>
  <c r="F43" i="6"/>
  <c r="I43" i="6" s="1"/>
  <c r="E43" i="7"/>
  <c r="H43" i="7" s="1"/>
  <c r="E43" i="8"/>
  <c r="G43" i="8" s="1"/>
  <c r="E43" i="9"/>
  <c r="G43" i="9" s="1"/>
  <c r="E43" i="10"/>
  <c r="G43" i="10" s="1"/>
  <c r="E43" i="12"/>
  <c r="G43" i="12" s="1"/>
  <c r="G43" i="13"/>
  <c r="E43" i="14"/>
  <c r="G43" i="14" s="1"/>
  <c r="E43" i="15"/>
  <c r="H43" i="15" s="1"/>
  <c r="E43" i="16"/>
  <c r="G43" i="16" s="1"/>
  <c r="E43" i="3"/>
  <c r="G43" i="3" s="1"/>
  <c r="E43" i="20"/>
  <c r="G43" i="20" s="1"/>
  <c r="E43" i="4"/>
  <c r="G43" i="4" s="1"/>
  <c r="E43" i="21"/>
  <c r="G43" i="21" s="1"/>
  <c r="E43" i="33"/>
  <c r="G43" i="33" s="1"/>
  <c r="E43" i="22"/>
  <c r="G43" i="22" s="1"/>
  <c r="E44" i="2"/>
  <c r="G44" i="2" s="1"/>
  <c r="E44" i="19"/>
  <c r="G44" i="19" s="1"/>
  <c r="E44" i="5"/>
  <c r="G44" i="5" s="1"/>
  <c r="F44" i="6"/>
  <c r="I44" i="6" s="1"/>
  <c r="E44" i="7"/>
  <c r="H44" i="7" s="1"/>
  <c r="E44" i="8"/>
  <c r="G44" i="8" s="1"/>
  <c r="E44" i="9"/>
  <c r="G44" i="9" s="1"/>
  <c r="E44" i="10"/>
  <c r="G44" i="10" s="1"/>
  <c r="E44" i="12"/>
  <c r="G44" i="12" s="1"/>
  <c r="G44" i="13"/>
  <c r="E44" i="14"/>
  <c r="G44" i="14" s="1"/>
  <c r="E44" i="15"/>
  <c r="H44" i="15" s="1"/>
  <c r="E44" i="16"/>
  <c r="G44" i="16" s="1"/>
  <c r="E44" i="3"/>
  <c r="G44" i="3" s="1"/>
  <c r="E44" i="20"/>
  <c r="G44" i="20" s="1"/>
  <c r="E44" i="4"/>
  <c r="G44" i="4" s="1"/>
  <c r="E44" i="21"/>
  <c r="G44" i="21" s="1"/>
  <c r="E44" i="33"/>
  <c r="G44" i="33" s="1"/>
  <c r="E44" i="22"/>
  <c r="G44" i="22" s="1"/>
  <c r="E45" i="2"/>
  <c r="G45" i="2" s="1"/>
  <c r="E45" i="19"/>
  <c r="G45" i="19" s="1"/>
  <c r="E45" i="5"/>
  <c r="G45" i="5" s="1"/>
  <c r="F45" i="6"/>
  <c r="I45" i="6" s="1"/>
  <c r="E45" i="7"/>
  <c r="H45" i="7" s="1"/>
  <c r="E45" i="8"/>
  <c r="G45" i="8" s="1"/>
  <c r="E45" i="9"/>
  <c r="G45" i="9" s="1"/>
  <c r="E45" i="10"/>
  <c r="G45" i="10" s="1"/>
  <c r="E45" i="12"/>
  <c r="G45" i="12" s="1"/>
  <c r="G45" i="13"/>
  <c r="E45" i="14"/>
  <c r="G45" i="14" s="1"/>
  <c r="E45" i="15"/>
  <c r="H45" i="15" s="1"/>
  <c r="E45" i="16"/>
  <c r="G45" i="16" s="1"/>
  <c r="E45" i="3"/>
  <c r="G45" i="3" s="1"/>
  <c r="E45" i="20"/>
  <c r="G45" i="20" s="1"/>
  <c r="E45" i="4"/>
  <c r="G45" i="4" s="1"/>
  <c r="E45" i="21"/>
  <c r="G45" i="21" s="1"/>
  <c r="E45" i="33"/>
  <c r="G45" i="33" s="1"/>
  <c r="E45" i="22"/>
  <c r="G45" i="22" s="1"/>
  <c r="E46" i="2"/>
  <c r="G46" i="2" s="1"/>
  <c r="E46" i="19"/>
  <c r="G46" i="19" s="1"/>
  <c r="E46" i="5"/>
  <c r="G46" i="5" s="1"/>
  <c r="F46" i="6"/>
  <c r="I46" i="6" s="1"/>
  <c r="E46" i="7"/>
  <c r="H46" i="7" s="1"/>
  <c r="E46" i="8"/>
  <c r="G46" i="8" s="1"/>
  <c r="E46" i="9"/>
  <c r="G46" i="9" s="1"/>
  <c r="E46" i="10"/>
  <c r="G46" i="10" s="1"/>
  <c r="E46" i="12"/>
  <c r="G46" i="12" s="1"/>
  <c r="G46" i="13"/>
  <c r="E46" i="14"/>
  <c r="G46" i="14" s="1"/>
  <c r="E46" i="15"/>
  <c r="H46" i="15" s="1"/>
  <c r="E46" i="16"/>
  <c r="G46" i="16" s="1"/>
  <c r="E46" i="3"/>
  <c r="G46" i="3" s="1"/>
  <c r="E46" i="20"/>
  <c r="G46" i="20" s="1"/>
  <c r="E46" i="4"/>
  <c r="G46" i="4" s="1"/>
  <c r="E46" i="21"/>
  <c r="G46" i="21" s="1"/>
  <c r="E46" i="33"/>
  <c r="G46" i="33" s="1"/>
  <c r="E46" i="22"/>
  <c r="G46" i="22" s="1"/>
  <c r="E46" i="49"/>
  <c r="G46" i="49" s="1"/>
  <c r="E45" i="49"/>
  <c r="G45" i="49" s="1"/>
  <c r="E44" i="49"/>
  <c r="G44" i="49" s="1"/>
  <c r="E43" i="49"/>
  <c r="G43" i="49" s="1"/>
  <c r="E42" i="49"/>
  <c r="G42" i="49" s="1"/>
  <c r="E41" i="49"/>
  <c r="G41" i="49" s="1"/>
  <c r="E40" i="49"/>
  <c r="G40" i="49" s="1"/>
  <c r="E39" i="49"/>
  <c r="G39" i="49" s="1"/>
  <c r="E38" i="49"/>
  <c r="G38" i="49" s="1"/>
  <c r="E37" i="49"/>
  <c r="G37" i="49" s="1"/>
  <c r="E36" i="49"/>
  <c r="G36" i="49" s="1"/>
  <c r="E35" i="49"/>
  <c r="G35" i="49" s="1"/>
  <c r="E34" i="49"/>
  <c r="G34" i="49" s="1"/>
  <c r="E33" i="49"/>
  <c r="G33" i="49" s="1"/>
  <c r="E32" i="49"/>
  <c r="G32" i="49" s="1"/>
  <c r="E31" i="49"/>
  <c r="G31" i="49" s="1"/>
  <c r="E30" i="49"/>
  <c r="G30" i="49" s="1"/>
  <c r="E29" i="49"/>
  <c r="G29" i="49" s="1"/>
  <c r="E28" i="49"/>
  <c r="G28" i="49" s="1"/>
  <c r="E27" i="49"/>
  <c r="G27" i="49" s="1"/>
  <c r="E26" i="49"/>
  <c r="G26" i="49" s="1"/>
  <c r="F27" i="37"/>
  <c r="I27" i="37" s="1"/>
  <c r="F28" i="37"/>
  <c r="I28" i="37" s="1"/>
  <c r="F29" i="37"/>
  <c r="I29" i="37" s="1"/>
  <c r="F30" i="37"/>
  <c r="I30" i="37" s="1"/>
  <c r="F31" i="37"/>
  <c r="I31" i="37" s="1"/>
  <c r="F32" i="37"/>
  <c r="I32" i="37" s="1"/>
  <c r="F33" i="37"/>
  <c r="I33" i="37" s="1"/>
  <c r="F34" i="37"/>
  <c r="I34" i="37" s="1"/>
  <c r="F35" i="37"/>
  <c r="I35" i="37" s="1"/>
  <c r="F36" i="37"/>
  <c r="I36" i="37" s="1"/>
  <c r="F37" i="37"/>
  <c r="I37" i="37" s="1"/>
  <c r="F38" i="37"/>
  <c r="I38" i="37" s="1"/>
  <c r="F39" i="37"/>
  <c r="I39" i="37" s="1"/>
  <c r="F40" i="37"/>
  <c r="I40" i="37" s="1"/>
  <c r="F41" i="37"/>
  <c r="I41" i="37" s="1"/>
  <c r="F42" i="37"/>
  <c r="I42" i="37" s="1"/>
  <c r="F43" i="37"/>
  <c r="I43" i="37" s="1"/>
  <c r="F44" i="37"/>
  <c r="I44" i="37" s="1"/>
  <c r="F45" i="37"/>
  <c r="I45" i="37" s="1"/>
  <c r="F46" i="37"/>
  <c r="I46" i="37" s="1"/>
  <c r="G22" i="1"/>
  <c r="G56" i="49"/>
  <c r="H22" i="13" l="1"/>
  <c r="H20" i="20"/>
  <c r="I20" i="20" s="1"/>
  <c r="AA9" i="40" s="1"/>
  <c r="H12" i="1"/>
  <c r="I12" i="1" s="1"/>
  <c r="H54" i="4"/>
  <c r="I54" i="4" s="1"/>
  <c r="AB43" i="40" s="1"/>
  <c r="H18" i="22"/>
  <c r="J54" i="35"/>
  <c r="K54" i="35" s="1"/>
  <c r="Q43" i="40" s="1"/>
  <c r="J54" i="39"/>
  <c r="J53" i="39"/>
  <c r="I35" i="7"/>
  <c r="G44" i="24" s="1"/>
  <c r="I34" i="15"/>
  <c r="P43" i="24" s="1"/>
  <c r="L22" i="51"/>
  <c r="AE31" i="24" s="1"/>
  <c r="H44" i="1"/>
  <c r="H41" i="1"/>
  <c r="H35" i="17"/>
  <c r="I35" i="17" s="1"/>
  <c r="S24" i="40" s="1"/>
  <c r="H55" i="50"/>
  <c r="U64" i="24" s="1"/>
  <c r="AH68" i="24"/>
  <c r="L56" i="51"/>
  <c r="M56" i="51" s="1"/>
  <c r="AE45" i="40" s="1"/>
  <c r="I50" i="47"/>
  <c r="T48" i="24"/>
  <c r="AH48" i="40"/>
  <c r="J57" i="39"/>
  <c r="J44" i="39"/>
  <c r="J56" i="39"/>
  <c r="J19" i="6"/>
  <c r="F28" i="24" s="1"/>
  <c r="I40" i="15"/>
  <c r="J40" i="15" s="1"/>
  <c r="P29" i="40" s="1"/>
  <c r="H51" i="1"/>
  <c r="H56" i="22"/>
  <c r="AF65" i="24" s="1"/>
  <c r="H57" i="22"/>
  <c r="I57" i="22" s="1"/>
  <c r="AF46" i="40" s="1"/>
  <c r="L58" i="51"/>
  <c r="M58" i="51" s="1"/>
  <c r="AE47" i="40" s="1"/>
  <c r="G32" i="33"/>
  <c r="H32" i="33" s="1"/>
  <c r="H41" i="17"/>
  <c r="I41" i="17" s="1"/>
  <c r="S30" i="40" s="1"/>
  <c r="H54" i="17"/>
  <c r="S63" i="24" s="1"/>
  <c r="H41" i="13"/>
  <c r="I41" i="13" s="1"/>
  <c r="N30" i="40" s="1"/>
  <c r="H37" i="1"/>
  <c r="H55" i="1"/>
  <c r="G16" i="50"/>
  <c r="H16" i="50" s="1"/>
  <c r="U25" i="24" s="1"/>
  <c r="G19" i="50"/>
  <c r="I19" i="50" s="1"/>
  <c r="U8" i="40" s="1"/>
  <c r="H50" i="1"/>
  <c r="H46" i="1"/>
  <c r="H58" i="1"/>
  <c r="H39" i="1"/>
  <c r="H27" i="1"/>
  <c r="H46" i="22"/>
  <c r="AF55" i="24" s="1"/>
  <c r="H27" i="21"/>
  <c r="I27" i="21" s="1"/>
  <c r="AC16" i="40" s="1"/>
  <c r="H26" i="14"/>
  <c r="I26" i="14" s="1"/>
  <c r="O15" i="40" s="1"/>
  <c r="I21" i="50"/>
  <c r="U10" i="40" s="1"/>
  <c r="I30" i="15"/>
  <c r="P39" i="24" s="1"/>
  <c r="H29" i="13"/>
  <c r="I29" i="13" s="1"/>
  <c r="N18" i="40" s="1"/>
  <c r="H47" i="1"/>
  <c r="J52" i="39"/>
  <c r="J55" i="39"/>
  <c r="J58" i="39"/>
  <c r="J51" i="39"/>
  <c r="J49" i="39"/>
  <c r="L18" i="51"/>
  <c r="AE27" i="24" s="1"/>
  <c r="L54" i="51"/>
  <c r="M54" i="51" s="1"/>
  <c r="AE43" i="40" s="1"/>
  <c r="H17" i="33"/>
  <c r="AD26" i="24" s="1"/>
  <c r="H56" i="33"/>
  <c r="AD65" i="24" s="1"/>
  <c r="H25" i="33"/>
  <c r="I25" i="33" s="1"/>
  <c r="AD14" i="40" s="1"/>
  <c r="H23" i="21"/>
  <c r="AC32" i="24" s="1"/>
  <c r="H46" i="17"/>
  <c r="S55" i="24" s="1"/>
  <c r="H42" i="17"/>
  <c r="S51" i="24" s="1"/>
  <c r="H58" i="17"/>
  <c r="I58" i="17" s="1"/>
  <c r="S47" i="40" s="1"/>
  <c r="H54" i="20"/>
  <c r="AA63" i="24" s="1"/>
  <c r="H52" i="20"/>
  <c r="I52" i="20" s="1"/>
  <c r="AA41" i="40" s="1"/>
  <c r="I55" i="50"/>
  <c r="U44" i="40" s="1"/>
  <c r="H58" i="16"/>
  <c r="I58" i="16" s="1"/>
  <c r="R47" i="40" s="1"/>
  <c r="H44" i="9"/>
  <c r="I44" i="9" s="1"/>
  <c r="I33" i="40" s="1"/>
  <c r="H22" i="8"/>
  <c r="H31" i="24" s="1"/>
  <c r="H11" i="1"/>
  <c r="B20" i="24" s="1"/>
  <c r="H16" i="1"/>
  <c r="B25" i="24" s="1"/>
  <c r="H10" i="1"/>
  <c r="I10" i="1" s="1"/>
  <c r="H25" i="1"/>
  <c r="H21" i="1"/>
  <c r="H48" i="1"/>
  <c r="H52" i="1"/>
  <c r="H7" i="1"/>
  <c r="B16" i="24" s="1"/>
  <c r="H13" i="1"/>
  <c r="I13" i="1" s="1"/>
  <c r="H9" i="1"/>
  <c r="B18" i="24" s="1"/>
  <c r="H8" i="1"/>
  <c r="B17" i="24" s="1"/>
  <c r="H20" i="1"/>
  <c r="H35" i="1"/>
  <c r="H40" i="1"/>
  <c r="H45" i="1"/>
  <c r="H43" i="1"/>
  <c r="H49" i="1"/>
  <c r="H15" i="1"/>
  <c r="I15" i="1" s="1"/>
  <c r="H19" i="1"/>
  <c r="H38" i="1"/>
  <c r="H56" i="1"/>
  <c r="H18" i="1"/>
  <c r="H23" i="1"/>
  <c r="H33" i="1"/>
  <c r="H17" i="1"/>
  <c r="H22" i="1"/>
  <c r="H28" i="1"/>
  <c r="H36" i="1"/>
  <c r="H32" i="1"/>
  <c r="H42" i="1"/>
  <c r="H53" i="1"/>
  <c r="H57" i="1"/>
  <c r="I46" i="15"/>
  <c r="P55" i="24" s="1"/>
  <c r="H43" i="21"/>
  <c r="AC52" i="24" s="1"/>
  <c r="H43" i="16"/>
  <c r="I43" i="16" s="1"/>
  <c r="R32" i="40" s="1"/>
  <c r="I43" i="7"/>
  <c r="J43" i="7" s="1"/>
  <c r="G32" i="40" s="1"/>
  <c r="I42" i="15"/>
  <c r="P51" i="24" s="1"/>
  <c r="H40" i="9"/>
  <c r="I40" i="9" s="1"/>
  <c r="I29" i="40" s="1"/>
  <c r="H39" i="16"/>
  <c r="R48" i="24" s="1"/>
  <c r="H34" i="20"/>
  <c r="H33" i="17"/>
  <c r="I33" i="17" s="1"/>
  <c r="S22" i="40" s="1"/>
  <c r="H31" i="4"/>
  <c r="I31" i="4" s="1"/>
  <c r="AB20" i="40" s="1"/>
  <c r="H37" i="49"/>
  <c r="Y46" i="24" s="1"/>
  <c r="H46" i="20"/>
  <c r="AA55" i="24" s="1"/>
  <c r="H46" i="5"/>
  <c r="I46" i="5" s="1"/>
  <c r="E35" i="40" s="1"/>
  <c r="H42" i="20"/>
  <c r="AA51" i="24" s="1"/>
  <c r="H42" i="5"/>
  <c r="E51" i="24" s="1"/>
  <c r="H40" i="8"/>
  <c r="H49" i="24" s="1"/>
  <c r="H31" i="19"/>
  <c r="D40" i="24" s="1"/>
  <c r="H28" i="21"/>
  <c r="I28" i="21" s="1"/>
  <c r="AC17" i="40" s="1"/>
  <c r="H26" i="21"/>
  <c r="I26" i="21" s="1"/>
  <c r="AC15" i="40" s="1"/>
  <c r="L29" i="51"/>
  <c r="AE38" i="24" s="1"/>
  <c r="L33" i="51"/>
  <c r="AE42" i="24" s="1"/>
  <c r="L37" i="51"/>
  <c r="AE46" i="24" s="1"/>
  <c r="J52" i="37"/>
  <c r="W61" i="24" s="1"/>
  <c r="I56" i="49"/>
  <c r="Y45" i="40" s="1"/>
  <c r="H24" i="1"/>
  <c r="J30" i="37"/>
  <c r="K30" i="37" s="1"/>
  <c r="W19" i="40" s="1"/>
  <c r="T55" i="24"/>
  <c r="T51" i="24"/>
  <c r="H36" i="9"/>
  <c r="I36" i="9" s="1"/>
  <c r="I25" i="40" s="1"/>
  <c r="H34" i="21"/>
  <c r="I34" i="21" s="1"/>
  <c r="AC23" i="40" s="1"/>
  <c r="I31" i="7"/>
  <c r="G40" i="24" s="1"/>
  <c r="H28" i="9"/>
  <c r="I28" i="9" s="1"/>
  <c r="I27" i="7"/>
  <c r="J27" i="7" s="1"/>
  <c r="G16" i="40" s="1"/>
  <c r="H46" i="33"/>
  <c r="I46" i="33" s="1"/>
  <c r="AD35" i="40" s="1"/>
  <c r="I44" i="15"/>
  <c r="J44" i="15" s="1"/>
  <c r="P33" i="40" s="1"/>
  <c r="H41" i="21"/>
  <c r="AC50" i="24" s="1"/>
  <c r="H36" i="5"/>
  <c r="E45" i="24" s="1"/>
  <c r="H32" i="20"/>
  <c r="I32" i="20" s="1"/>
  <c r="AA21" i="40" s="1"/>
  <c r="H31" i="12"/>
  <c r="M40" i="24" s="1"/>
  <c r="H30" i="20"/>
  <c r="I30" i="20" s="1"/>
  <c r="AA19" i="40" s="1"/>
  <c r="L31" i="51"/>
  <c r="AE40" i="24" s="1"/>
  <c r="L39" i="51"/>
  <c r="AE48" i="24" s="1"/>
  <c r="H24" i="14"/>
  <c r="I24" i="14" s="1"/>
  <c r="O13" i="40" s="1"/>
  <c r="J42" i="6"/>
  <c r="K42" i="6" s="1"/>
  <c r="F31" i="40" s="1"/>
  <c r="H33" i="13"/>
  <c r="I33" i="13" s="1"/>
  <c r="N22" i="40" s="1"/>
  <c r="K26" i="18"/>
  <c r="L26" i="18" s="1"/>
  <c r="X15" i="40" s="1"/>
  <c r="I52" i="50"/>
  <c r="U41" i="40" s="1"/>
  <c r="H35" i="22"/>
  <c r="I35" i="22" s="1"/>
  <c r="AF24" i="40" s="1"/>
  <c r="H31" i="20"/>
  <c r="I31" i="20" s="1"/>
  <c r="AA20" i="40" s="1"/>
  <c r="H29" i="22"/>
  <c r="AF38" i="24" s="1"/>
  <c r="J45" i="37"/>
  <c r="K45" i="37" s="1"/>
  <c r="W34" i="40" s="1"/>
  <c r="J41" i="37"/>
  <c r="W50" i="24" s="1"/>
  <c r="J33" i="37"/>
  <c r="K33" i="37" s="1"/>
  <c r="W22" i="40" s="1"/>
  <c r="J29" i="37"/>
  <c r="K29" i="37" s="1"/>
  <c r="W18" i="40" s="1"/>
  <c r="H37" i="5"/>
  <c r="I37" i="5" s="1"/>
  <c r="E26" i="40" s="1"/>
  <c r="H27" i="10"/>
  <c r="J36" i="24" s="1"/>
  <c r="H57" i="33"/>
  <c r="I57" i="33" s="1"/>
  <c r="AD46" i="40" s="1"/>
  <c r="H45" i="5"/>
  <c r="E54" i="24" s="1"/>
  <c r="H35" i="10"/>
  <c r="I35" i="10" s="1"/>
  <c r="J24" i="40" s="1"/>
  <c r="H33" i="33"/>
  <c r="AD42" i="24" s="1"/>
  <c r="H27" i="14"/>
  <c r="I27" i="14" s="1"/>
  <c r="O16" i="40" s="1"/>
  <c r="H27" i="9"/>
  <c r="I36" i="24" s="1"/>
  <c r="H26" i="13"/>
  <c r="N35" i="24" s="1"/>
  <c r="H26" i="8"/>
  <c r="H35" i="24" s="1"/>
  <c r="H26" i="19"/>
  <c r="I26" i="19" s="1"/>
  <c r="D15" i="40" s="1"/>
  <c r="L28" i="51"/>
  <c r="M28" i="51" s="1"/>
  <c r="AE17" i="40" s="1"/>
  <c r="L36" i="51"/>
  <c r="AE45" i="24" s="1"/>
  <c r="L40" i="51"/>
  <c r="AE49" i="24" s="1"/>
  <c r="L44" i="51"/>
  <c r="AE53" i="24" s="1"/>
  <c r="H46" i="14"/>
  <c r="O55" i="24" s="1"/>
  <c r="H45" i="33"/>
  <c r="AD54" i="24" s="1"/>
  <c r="H44" i="12"/>
  <c r="M53" i="24" s="1"/>
  <c r="I43" i="15"/>
  <c r="P52" i="24" s="1"/>
  <c r="H35" i="14"/>
  <c r="I35" i="14" s="1"/>
  <c r="O24" i="40" s="1"/>
  <c r="H35" i="9"/>
  <c r="I35" i="9" s="1"/>
  <c r="H34" i="17"/>
  <c r="I34" i="17" s="1"/>
  <c r="S23" i="40" s="1"/>
  <c r="H31" i="8"/>
  <c r="H40" i="24" s="1"/>
  <c r="H27" i="8"/>
  <c r="H36" i="24" s="1"/>
  <c r="H31" i="1"/>
  <c r="H17" i="22"/>
  <c r="I17" i="22" s="1"/>
  <c r="AF6" i="40" s="1"/>
  <c r="H17" i="20"/>
  <c r="I17" i="20" s="1"/>
  <c r="AA6" i="40" s="1"/>
  <c r="H25" i="8"/>
  <c r="H34" i="24" s="1"/>
  <c r="H46" i="19"/>
  <c r="D55" i="24" s="1"/>
  <c r="H42" i="19"/>
  <c r="D51" i="24" s="1"/>
  <c r="H40" i="12"/>
  <c r="M49" i="24" s="1"/>
  <c r="H27" i="33"/>
  <c r="AD36" i="24" s="1"/>
  <c r="H44" i="17"/>
  <c r="I19" i="15"/>
  <c r="J19" i="15" s="1"/>
  <c r="P8" i="40" s="1"/>
  <c r="H7" i="22"/>
  <c r="I7" i="22" s="1"/>
  <c r="H16" i="22"/>
  <c r="I16" i="22" s="1"/>
  <c r="H49" i="20"/>
  <c r="I49" i="20" s="1"/>
  <c r="AA38" i="40" s="1"/>
  <c r="H49" i="13"/>
  <c r="N58" i="24" s="1"/>
  <c r="H51" i="33"/>
  <c r="AD60" i="24" s="1"/>
  <c r="I24" i="15"/>
  <c r="P33" i="24" s="1"/>
  <c r="I28" i="15"/>
  <c r="P37" i="24" s="1"/>
  <c r="I22" i="15"/>
  <c r="P31" i="24" s="1"/>
  <c r="H39" i="4"/>
  <c r="I39" i="4" s="1"/>
  <c r="AB28" i="40" s="1"/>
  <c r="I26" i="15"/>
  <c r="J26" i="15" s="1"/>
  <c r="P15" i="40" s="1"/>
  <c r="J46" i="35"/>
  <c r="K46" i="35" s="1"/>
  <c r="Q35" i="40" s="1"/>
  <c r="I21" i="15"/>
  <c r="J21" i="15" s="1"/>
  <c r="P10" i="40" s="1"/>
  <c r="H20" i="21"/>
  <c r="AC29" i="24" s="1"/>
  <c r="H20" i="9"/>
  <c r="I29" i="24" s="1"/>
  <c r="H19" i="16"/>
  <c r="I19" i="16" s="1"/>
  <c r="R8" i="40" s="1"/>
  <c r="I19" i="7"/>
  <c r="J19" i="7" s="1"/>
  <c r="H18" i="14"/>
  <c r="O27" i="24" s="1"/>
  <c r="H29" i="20"/>
  <c r="I29" i="20" s="1"/>
  <c r="AA18" i="40" s="1"/>
  <c r="H54" i="22"/>
  <c r="I54" i="22" s="1"/>
  <c r="AF43" i="40" s="1"/>
  <c r="H35" i="20"/>
  <c r="I35" i="20" s="1"/>
  <c r="AA24" i="40" s="1"/>
  <c r="H47" i="17"/>
  <c r="I47" i="17" s="1"/>
  <c r="S36" i="40" s="1"/>
  <c r="H43" i="5"/>
  <c r="I43" i="5" s="1"/>
  <c r="H39" i="5"/>
  <c r="I39" i="5" s="1"/>
  <c r="E28" i="40" s="1"/>
  <c r="H35" i="33"/>
  <c r="I35" i="33" s="1"/>
  <c r="AD24" i="40" s="1"/>
  <c r="H30" i="4"/>
  <c r="I30" i="4" s="1"/>
  <c r="AB19" i="40" s="1"/>
  <c r="L30" i="51"/>
  <c r="M30" i="51" s="1"/>
  <c r="AE19" i="40" s="1"/>
  <c r="H22" i="5"/>
  <c r="E31" i="24" s="1"/>
  <c r="H18" i="11"/>
  <c r="I18" i="11" s="1"/>
  <c r="L7" i="40" s="1"/>
  <c r="H16" i="11"/>
  <c r="I16" i="11" s="1"/>
  <c r="H14" i="11"/>
  <c r="L23" i="24" s="1"/>
  <c r="H12" i="11"/>
  <c r="L21" i="24" s="1"/>
  <c r="H39" i="20"/>
  <c r="AA48" i="24" s="1"/>
  <c r="H33" i="20"/>
  <c r="AA42" i="24" s="1"/>
  <c r="H32" i="17"/>
  <c r="I32" i="17" s="1"/>
  <c r="S21" i="40" s="1"/>
  <c r="H26" i="5"/>
  <c r="E35" i="24" s="1"/>
  <c r="H23" i="5"/>
  <c r="E32" i="24" s="1"/>
  <c r="H41" i="22"/>
  <c r="I41" i="22" s="1"/>
  <c r="AF30" i="40" s="1"/>
  <c r="H40" i="14"/>
  <c r="I40" i="14" s="1"/>
  <c r="O29" i="40" s="1"/>
  <c r="H38" i="4"/>
  <c r="AB47" i="24" s="1"/>
  <c r="H29" i="14"/>
  <c r="O38" i="24" s="1"/>
  <c r="J45" i="35"/>
  <c r="K45" i="35" s="1"/>
  <c r="Q34" i="40" s="1"/>
  <c r="H25" i="14"/>
  <c r="O34" i="24" s="1"/>
  <c r="H25" i="5"/>
  <c r="E34" i="24" s="1"/>
  <c r="H24" i="5"/>
  <c r="I24" i="5" s="1"/>
  <c r="E13" i="40" s="1"/>
  <c r="H21" i="5"/>
  <c r="E30" i="24" s="1"/>
  <c r="H52" i="16"/>
  <c r="R61" i="24" s="1"/>
  <c r="J50" i="39"/>
  <c r="J48" i="39"/>
  <c r="I54" i="3"/>
  <c r="T43" i="40" s="1"/>
  <c r="H56" i="10"/>
  <c r="I56" i="10" s="1"/>
  <c r="J45" i="40" s="1"/>
  <c r="H58" i="33"/>
  <c r="AD67" i="24" s="1"/>
  <c r="H50" i="17"/>
  <c r="H53" i="33"/>
  <c r="I53" i="33" s="1"/>
  <c r="AD42" i="40" s="1"/>
  <c r="H54" i="16"/>
  <c r="R63" i="24" s="1"/>
  <c r="H55" i="22"/>
  <c r="I55" i="22" s="1"/>
  <c r="AF44" i="40" s="1"/>
  <c r="H55" i="8"/>
  <c r="I55" i="8" s="1"/>
  <c r="H44" i="40" s="1"/>
  <c r="J46" i="39"/>
  <c r="J45" i="39"/>
  <c r="H31" i="22"/>
  <c r="AF40" i="24" s="1"/>
  <c r="H32" i="22"/>
  <c r="I32" i="22" s="1"/>
  <c r="AF21" i="40" s="1"/>
  <c r="H13" i="22"/>
  <c r="I13" i="22" s="1"/>
  <c r="H10" i="22"/>
  <c r="I10" i="22" s="1"/>
  <c r="H8" i="22"/>
  <c r="I8" i="22" s="1"/>
  <c r="H25" i="22"/>
  <c r="AF34" i="24" s="1"/>
  <c r="H24" i="22"/>
  <c r="I24" i="22" s="1"/>
  <c r="AF13" i="40" s="1"/>
  <c r="H53" i="22"/>
  <c r="I53" i="22" s="1"/>
  <c r="AF42" i="40" s="1"/>
  <c r="H38" i="22"/>
  <c r="AF47" i="24" s="1"/>
  <c r="H30" i="22"/>
  <c r="I30" i="22" s="1"/>
  <c r="AF19" i="40" s="1"/>
  <c r="H26" i="22"/>
  <c r="I26" i="22" s="1"/>
  <c r="AF15" i="40" s="1"/>
  <c r="H48" i="22"/>
  <c r="AF57" i="24" s="1"/>
  <c r="H52" i="22"/>
  <c r="I52" i="22" s="1"/>
  <c r="AF41" i="40" s="1"/>
  <c r="H58" i="22"/>
  <c r="H47" i="22"/>
  <c r="L17" i="51"/>
  <c r="M17" i="51" s="1"/>
  <c r="AE6" i="40" s="1"/>
  <c r="L53" i="51"/>
  <c r="AE62" i="24" s="1"/>
  <c r="L13" i="51"/>
  <c r="M13" i="51" s="1"/>
  <c r="L21" i="51"/>
  <c r="AE30" i="24" s="1"/>
  <c r="L41" i="51"/>
  <c r="M41" i="51" s="1"/>
  <c r="AE30" i="40" s="1"/>
  <c r="L45" i="51"/>
  <c r="L15" i="51"/>
  <c r="M15" i="51" s="1"/>
  <c r="L25" i="51"/>
  <c r="M25" i="51" s="1"/>
  <c r="AE14" i="40" s="1"/>
  <c r="L51" i="51"/>
  <c r="AE60" i="24" s="1"/>
  <c r="L48" i="51"/>
  <c r="L16" i="51"/>
  <c r="M16" i="51" s="1"/>
  <c r="L19" i="51"/>
  <c r="AE28" i="24" s="1"/>
  <c r="L43" i="51"/>
  <c r="M43" i="51" s="1"/>
  <c r="AE32" i="40" s="1"/>
  <c r="H21" i="33"/>
  <c r="AD30" i="24" s="1"/>
  <c r="H34" i="33"/>
  <c r="I34" i="33" s="1"/>
  <c r="AD23" i="40" s="1"/>
  <c r="H28" i="33"/>
  <c r="I28" i="33" s="1"/>
  <c r="AD17" i="40" s="1"/>
  <c r="H26" i="33"/>
  <c r="I26" i="33" s="1"/>
  <c r="AD15" i="40" s="1"/>
  <c r="H49" i="33"/>
  <c r="I49" i="33" s="1"/>
  <c r="AD38" i="40" s="1"/>
  <c r="H50" i="33"/>
  <c r="AD59" i="24" s="1"/>
  <c r="H55" i="33"/>
  <c r="AD64" i="24" s="1"/>
  <c r="H42" i="33"/>
  <c r="H22" i="33"/>
  <c r="I22" i="33" s="1"/>
  <c r="AD11" i="40" s="1"/>
  <c r="H48" i="33"/>
  <c r="AD57" i="24" s="1"/>
  <c r="H19" i="33"/>
  <c r="I19" i="33" s="1"/>
  <c r="AD8" i="40" s="1"/>
  <c r="H47" i="33"/>
  <c r="H52" i="33"/>
  <c r="AD61" i="24" s="1"/>
  <c r="H51" i="21"/>
  <c r="I51" i="21" s="1"/>
  <c r="AC40" i="40" s="1"/>
  <c r="H52" i="21"/>
  <c r="AC61" i="24" s="1"/>
  <c r="H47" i="21"/>
  <c r="I47" i="21" s="1"/>
  <c r="AC36" i="40" s="1"/>
  <c r="H49" i="21"/>
  <c r="I49" i="21" s="1"/>
  <c r="AC38" i="40" s="1"/>
  <c r="H58" i="21"/>
  <c r="H57" i="21"/>
  <c r="AC66" i="24" s="1"/>
  <c r="H11" i="21"/>
  <c r="H16" i="21"/>
  <c r="AC25" i="24" s="1"/>
  <c r="H56" i="21"/>
  <c r="H55" i="21"/>
  <c r="I55" i="21" s="1"/>
  <c r="AC44" i="40" s="1"/>
  <c r="H51" i="17"/>
  <c r="I51" i="17" s="1"/>
  <c r="S40" i="40" s="1"/>
  <c r="H39" i="17"/>
  <c r="I39" i="17" s="1"/>
  <c r="S28" i="40" s="1"/>
  <c r="H56" i="17"/>
  <c r="H53" i="17"/>
  <c r="H53" i="20"/>
  <c r="AA62" i="24" s="1"/>
  <c r="H56" i="20"/>
  <c r="I56" i="20" s="1"/>
  <c r="AA45" i="40" s="1"/>
  <c r="H24" i="20"/>
  <c r="I24" i="20" s="1"/>
  <c r="AA13" i="40" s="1"/>
  <c r="H51" i="20"/>
  <c r="AA60" i="24" s="1"/>
  <c r="H57" i="20"/>
  <c r="I57" i="20" s="1"/>
  <c r="AA46" i="40" s="1"/>
  <c r="H48" i="20"/>
  <c r="AA29" i="24"/>
  <c r="H55" i="20"/>
  <c r="K33" i="18"/>
  <c r="L33" i="18" s="1"/>
  <c r="X22" i="40" s="1"/>
  <c r="H49" i="22"/>
  <c r="T56" i="24"/>
  <c r="I52" i="15"/>
  <c r="J52" i="15" s="1"/>
  <c r="P41" i="40" s="1"/>
  <c r="I56" i="15"/>
  <c r="J56" i="15" s="1"/>
  <c r="H56" i="5"/>
  <c r="E65" i="24" s="1"/>
  <c r="T67" i="24"/>
  <c r="H51" i="22"/>
  <c r="H49" i="8"/>
  <c r="H58" i="24" s="1"/>
  <c r="H10" i="21"/>
  <c r="L57" i="51"/>
  <c r="I58" i="15"/>
  <c r="J58" i="15" s="1"/>
  <c r="P47" i="40" s="1"/>
  <c r="H14" i="22"/>
  <c r="I14" i="22" s="1"/>
  <c r="H15" i="21"/>
  <c r="L12" i="51"/>
  <c r="H9" i="10"/>
  <c r="J18" i="24" s="1"/>
  <c r="H14" i="21"/>
  <c r="H14" i="1"/>
  <c r="H12" i="22"/>
  <c r="H9" i="21"/>
  <c r="H7" i="21"/>
  <c r="H15" i="22"/>
  <c r="L14" i="51"/>
  <c r="H13" i="21"/>
  <c r="H11" i="22"/>
  <c r="H12" i="21"/>
  <c r="H9" i="22"/>
  <c r="H8" i="21"/>
  <c r="H22" i="19"/>
  <c r="I22" i="19" s="1"/>
  <c r="D11" i="40" s="1"/>
  <c r="H21" i="13"/>
  <c r="I21" i="13" s="1"/>
  <c r="N10" i="40" s="1"/>
  <c r="H20" i="12"/>
  <c r="I20" i="12" s="1"/>
  <c r="M9" i="40" s="1"/>
  <c r="J18" i="6"/>
  <c r="F27" i="24" s="1"/>
  <c r="H19" i="22"/>
  <c r="H36" i="22"/>
  <c r="H44" i="22"/>
  <c r="H25" i="20"/>
  <c r="H22" i="20"/>
  <c r="H36" i="20"/>
  <c r="H41" i="20"/>
  <c r="H37" i="20"/>
  <c r="H43" i="20"/>
  <c r="I48" i="15"/>
  <c r="P57" i="24" s="1"/>
  <c r="H24" i="33"/>
  <c r="H41" i="33"/>
  <c r="H37" i="33"/>
  <c r="H44" i="33"/>
  <c r="H26" i="1"/>
  <c r="H29" i="1"/>
  <c r="H50" i="19"/>
  <c r="D59" i="24" s="1"/>
  <c r="H50" i="20"/>
  <c r="H48" i="17"/>
  <c r="H40" i="17"/>
  <c r="L24" i="51"/>
  <c r="L27" i="51"/>
  <c r="L46" i="51"/>
  <c r="L50" i="51"/>
  <c r="H21" i="21"/>
  <c r="H37" i="21"/>
  <c r="H40" i="21"/>
  <c r="H48" i="8"/>
  <c r="H57" i="24" s="1"/>
  <c r="H48" i="21"/>
  <c r="H49" i="5"/>
  <c r="E58" i="24" s="1"/>
  <c r="L52" i="51"/>
  <c r="H52" i="17"/>
  <c r="J54" i="34"/>
  <c r="K54" i="34" s="1"/>
  <c r="K43" i="40" s="1"/>
  <c r="H54" i="21"/>
  <c r="H28" i="22"/>
  <c r="H37" i="22"/>
  <c r="H43" i="22"/>
  <c r="H19" i="20"/>
  <c r="H40" i="20"/>
  <c r="H18" i="33"/>
  <c r="H23" i="33"/>
  <c r="H30" i="33"/>
  <c r="H36" i="33"/>
  <c r="H40" i="33"/>
  <c r="H43" i="33"/>
  <c r="H43" i="17"/>
  <c r="L34" i="51"/>
  <c r="L38" i="51"/>
  <c r="H22" i="21"/>
  <c r="H24" i="21"/>
  <c r="H25" i="21"/>
  <c r="H38" i="21"/>
  <c r="H44" i="21"/>
  <c r="H21" i="22"/>
  <c r="H23" i="22"/>
  <c r="AF32" i="24" s="1"/>
  <c r="H27" i="22"/>
  <c r="H34" i="22"/>
  <c r="H40" i="22"/>
  <c r="H42" i="22"/>
  <c r="H47" i="20"/>
  <c r="H18" i="20"/>
  <c r="H28" i="20"/>
  <c r="H45" i="20"/>
  <c r="H29" i="33"/>
  <c r="H39" i="33"/>
  <c r="H50" i="22"/>
  <c r="H49" i="17"/>
  <c r="H45" i="17"/>
  <c r="H38" i="17"/>
  <c r="H36" i="17"/>
  <c r="L23" i="51"/>
  <c r="L26" i="51"/>
  <c r="L35" i="51"/>
  <c r="L42" i="51"/>
  <c r="L49" i="51"/>
  <c r="H18" i="21"/>
  <c r="H19" i="21"/>
  <c r="H29" i="21"/>
  <c r="H30" i="21"/>
  <c r="H31" i="21"/>
  <c r="H32" i="21"/>
  <c r="H33" i="21"/>
  <c r="H35" i="21"/>
  <c r="H42" i="21"/>
  <c r="H45" i="21"/>
  <c r="H50" i="21"/>
  <c r="H53" i="8"/>
  <c r="I53" i="8" s="1"/>
  <c r="H42" i="40" s="1"/>
  <c r="H54" i="1"/>
  <c r="L55" i="51"/>
  <c r="H20" i="22"/>
  <c r="I20" i="22" s="1"/>
  <c r="AF9" i="40" s="1"/>
  <c r="H22" i="22"/>
  <c r="H33" i="22"/>
  <c r="H39" i="22"/>
  <c r="H45" i="22"/>
  <c r="H21" i="20"/>
  <c r="H26" i="20"/>
  <c r="H23" i="20"/>
  <c r="H27" i="20"/>
  <c r="H38" i="20"/>
  <c r="H44" i="20"/>
  <c r="H20" i="33"/>
  <c r="H31" i="33"/>
  <c r="H38" i="33"/>
  <c r="H30" i="1"/>
  <c r="H34" i="1"/>
  <c r="H37" i="17"/>
  <c r="L20" i="51"/>
  <c r="L32" i="51"/>
  <c r="L47" i="51"/>
  <c r="H36" i="21"/>
  <c r="H39" i="21"/>
  <c r="H46" i="21"/>
  <c r="H17" i="21"/>
  <c r="H53" i="21"/>
  <c r="H54" i="33"/>
  <c r="H55" i="17"/>
  <c r="H57" i="17"/>
  <c r="H58" i="20"/>
  <c r="K55" i="38"/>
  <c r="K37" i="38"/>
  <c r="K41" i="38"/>
  <c r="K46" i="38"/>
  <c r="K36" i="38"/>
  <c r="K42" i="38"/>
  <c r="K45" i="38"/>
  <c r="K50" i="38"/>
  <c r="K58" i="38"/>
  <c r="K51" i="38"/>
  <c r="K52" i="38"/>
  <c r="K35" i="38"/>
  <c r="K49" i="38"/>
  <c r="K38" i="38"/>
  <c r="K48" i="38"/>
  <c r="K43" i="38"/>
  <c r="K34" i="38"/>
  <c r="K47" i="38"/>
  <c r="K53" i="38"/>
  <c r="K40" i="38"/>
  <c r="K44" i="38"/>
  <c r="K56" i="38"/>
  <c r="K57" i="38"/>
  <c r="K54" i="38"/>
  <c r="K39" i="38"/>
  <c r="H24" i="49"/>
  <c r="Y33" i="24" s="1"/>
  <c r="I23" i="49"/>
  <c r="Y12" i="40" s="1"/>
  <c r="H55" i="49"/>
  <c r="Y64" i="24" s="1"/>
  <c r="H56" i="49"/>
  <c r="Y65" i="24" s="1"/>
  <c r="H31" i="49"/>
  <c r="Y40" i="24" s="1"/>
  <c r="I39" i="49"/>
  <c r="Y28" i="40" s="1"/>
  <c r="H39" i="49"/>
  <c r="Y48" i="24" s="1"/>
  <c r="I24" i="49"/>
  <c r="Y13" i="40" s="1"/>
  <c r="I27" i="49"/>
  <c r="Y16" i="40" s="1"/>
  <c r="H27" i="49"/>
  <c r="Y36" i="24" s="1"/>
  <c r="I41" i="49"/>
  <c r="Y30" i="40" s="1"/>
  <c r="H41" i="49"/>
  <c r="Y50" i="24" s="1"/>
  <c r="H45" i="49"/>
  <c r="Y54" i="24" s="1"/>
  <c r="I45" i="49"/>
  <c r="Y34" i="40" s="1"/>
  <c r="H29" i="49"/>
  <c r="Y38" i="24" s="1"/>
  <c r="I29" i="49"/>
  <c r="Y18" i="40" s="1"/>
  <c r="I43" i="49"/>
  <c r="Y32" i="40" s="1"/>
  <c r="H43" i="49"/>
  <c r="Y52" i="24" s="1"/>
  <c r="H35" i="49"/>
  <c r="Y44" i="24" s="1"/>
  <c r="I35" i="49"/>
  <c r="Y24" i="40" s="1"/>
  <c r="I33" i="49"/>
  <c r="Y22" i="40" s="1"/>
  <c r="H33" i="49"/>
  <c r="Y42" i="24" s="1"/>
  <c r="I46" i="49"/>
  <c r="Y35" i="40" s="1"/>
  <c r="I55" i="49"/>
  <c r="Y44" i="40" s="1"/>
  <c r="I31" i="49"/>
  <c r="Y20" i="40" s="1"/>
  <c r="H17" i="49"/>
  <c r="Y26" i="24" s="1"/>
  <c r="I30" i="49"/>
  <c r="Y19" i="40" s="1"/>
  <c r="H30" i="49"/>
  <c r="Y39" i="24" s="1"/>
  <c r="I38" i="49"/>
  <c r="Y27" i="40" s="1"/>
  <c r="H38" i="49"/>
  <c r="Y47" i="24" s="1"/>
  <c r="H21" i="49"/>
  <c r="Y30" i="24" s="1"/>
  <c r="I21" i="49"/>
  <c r="Y10" i="40" s="1"/>
  <c r="H50" i="49"/>
  <c r="Y59" i="24" s="1"/>
  <c r="I50" i="49"/>
  <c r="Y39" i="40" s="1"/>
  <c r="H53" i="49"/>
  <c r="Y62" i="24" s="1"/>
  <c r="I53" i="49"/>
  <c r="Y42" i="40" s="1"/>
  <c r="I58" i="49"/>
  <c r="Y47" i="40" s="1"/>
  <c r="H58" i="49"/>
  <c r="Y67" i="24" s="1"/>
  <c r="H28" i="49"/>
  <c r="Y37" i="24" s="1"/>
  <c r="I28" i="49"/>
  <c r="Y17" i="40" s="1"/>
  <c r="H36" i="49"/>
  <c r="Y45" i="24" s="1"/>
  <c r="I36" i="49"/>
  <c r="Y25" i="40" s="1"/>
  <c r="H44" i="49"/>
  <c r="Y53" i="24" s="1"/>
  <c r="I44" i="49"/>
  <c r="Y33" i="40" s="1"/>
  <c r="H22" i="49"/>
  <c r="Y31" i="24" s="1"/>
  <c r="I22" i="49"/>
  <c r="Y11" i="40" s="1"/>
  <c r="I19" i="49"/>
  <c r="Y8" i="40" s="1"/>
  <c r="H19" i="49"/>
  <c r="Y28" i="24" s="1"/>
  <c r="H49" i="49"/>
  <c r="Y58" i="24" s="1"/>
  <c r="I49" i="49"/>
  <c r="Y38" i="40" s="1"/>
  <c r="H57" i="49"/>
  <c r="Y66" i="24" s="1"/>
  <c r="I57" i="49"/>
  <c r="Y46" i="40" s="1"/>
  <c r="I26" i="49"/>
  <c r="Y15" i="40" s="1"/>
  <c r="H26" i="49"/>
  <c r="Y35" i="24" s="1"/>
  <c r="H34" i="49"/>
  <c r="Y43" i="24" s="1"/>
  <c r="I34" i="49"/>
  <c r="Y23" i="40" s="1"/>
  <c r="H42" i="49"/>
  <c r="Y51" i="24" s="1"/>
  <c r="I42" i="49"/>
  <c r="Y31" i="40" s="1"/>
  <c r="H25" i="49"/>
  <c r="Y34" i="24" s="1"/>
  <c r="I25" i="49"/>
  <c r="Y14" i="40" s="1"/>
  <c r="H18" i="49"/>
  <c r="Y27" i="24" s="1"/>
  <c r="I18" i="49"/>
  <c r="Y7" i="40" s="1"/>
  <c r="I48" i="49"/>
  <c r="Y37" i="40" s="1"/>
  <c r="H48" i="49"/>
  <c r="Y57" i="24" s="1"/>
  <c r="H52" i="49"/>
  <c r="Y61" i="24" s="1"/>
  <c r="I52" i="49"/>
  <c r="Y41" i="40" s="1"/>
  <c r="H32" i="49"/>
  <c r="Y41" i="24" s="1"/>
  <c r="I32" i="49"/>
  <c r="Y21" i="40" s="1"/>
  <c r="H40" i="49"/>
  <c r="Y49" i="24" s="1"/>
  <c r="I40" i="49"/>
  <c r="Y29" i="40" s="1"/>
  <c r="I20" i="49"/>
  <c r="Y9" i="40" s="1"/>
  <c r="H20" i="49"/>
  <c r="Y29" i="24" s="1"/>
  <c r="H47" i="49"/>
  <c r="Y56" i="24" s="1"/>
  <c r="I47" i="49"/>
  <c r="Y36" i="40" s="1"/>
  <c r="I51" i="49"/>
  <c r="Y40" i="40" s="1"/>
  <c r="H51" i="49"/>
  <c r="Y60" i="24" s="1"/>
  <c r="H54" i="49"/>
  <c r="Y63" i="24" s="1"/>
  <c r="I54" i="49"/>
  <c r="Y43" i="40" s="1"/>
  <c r="I37" i="49"/>
  <c r="Y26" i="40" s="1"/>
  <c r="H46" i="49"/>
  <c r="Y55" i="24" s="1"/>
  <c r="H23" i="49"/>
  <c r="Y32" i="24" s="1"/>
  <c r="I17" i="49"/>
  <c r="Y6" i="40" s="1"/>
  <c r="H23" i="19"/>
  <c r="D32" i="24" s="1"/>
  <c r="H55" i="19"/>
  <c r="I55" i="19" s="1"/>
  <c r="D44" i="40" s="1"/>
  <c r="H11" i="19"/>
  <c r="I11" i="19" s="1"/>
  <c r="H9" i="19"/>
  <c r="I9" i="19" s="1"/>
  <c r="H47" i="19"/>
  <c r="D56" i="24" s="1"/>
  <c r="H41" i="19"/>
  <c r="D50" i="24" s="1"/>
  <c r="H57" i="19"/>
  <c r="D66" i="24" s="1"/>
  <c r="H20" i="19"/>
  <c r="I20" i="19" s="1"/>
  <c r="D9" i="40" s="1"/>
  <c r="H27" i="19"/>
  <c r="I27" i="19" s="1"/>
  <c r="D16" i="40" s="1"/>
  <c r="H18" i="19"/>
  <c r="I18" i="19" s="1"/>
  <c r="D7" i="40" s="1"/>
  <c r="H7" i="19"/>
  <c r="D16" i="24" s="1"/>
  <c r="H24" i="19"/>
  <c r="I24" i="19" s="1"/>
  <c r="D13" i="40" s="1"/>
  <c r="H48" i="19"/>
  <c r="D57" i="24" s="1"/>
  <c r="H38" i="19"/>
  <c r="D47" i="24" s="1"/>
  <c r="H36" i="19"/>
  <c r="D45" i="24" s="1"/>
  <c r="H35" i="19"/>
  <c r="I35" i="19" s="1"/>
  <c r="D24" i="40" s="1"/>
  <c r="H12" i="19"/>
  <c r="D21" i="24" s="1"/>
  <c r="H8" i="19"/>
  <c r="I8" i="19" s="1"/>
  <c r="H51" i="19"/>
  <c r="I51" i="19" s="1"/>
  <c r="D40" i="40" s="1"/>
  <c r="H37" i="19"/>
  <c r="D46" i="24" s="1"/>
  <c r="H13" i="19"/>
  <c r="I13" i="19" s="1"/>
  <c r="H17" i="19"/>
  <c r="I17" i="19" s="1"/>
  <c r="D6" i="40" s="1"/>
  <c r="H53" i="19"/>
  <c r="D62" i="24" s="1"/>
  <c r="H25" i="19"/>
  <c r="D34" i="24" s="1"/>
  <c r="H39" i="19"/>
  <c r="D48" i="24" s="1"/>
  <c r="H14" i="19"/>
  <c r="D23" i="24" s="1"/>
  <c r="H10" i="19"/>
  <c r="I10" i="19" s="1"/>
  <c r="H28" i="19"/>
  <c r="H56" i="19"/>
  <c r="D65" i="24" s="1"/>
  <c r="H16" i="19"/>
  <c r="D25" i="24" s="1"/>
  <c r="H45" i="19"/>
  <c r="I45" i="19" s="1"/>
  <c r="D34" i="40" s="1"/>
  <c r="H52" i="19"/>
  <c r="D61" i="24" s="1"/>
  <c r="H15" i="19"/>
  <c r="H29" i="19"/>
  <c r="H34" i="19"/>
  <c r="H49" i="19"/>
  <c r="H33" i="19"/>
  <c r="H40" i="19"/>
  <c r="H44" i="19"/>
  <c r="H54" i="19"/>
  <c r="H58" i="19"/>
  <c r="H21" i="19"/>
  <c r="H19" i="19"/>
  <c r="H30" i="19"/>
  <c r="H32" i="19"/>
  <c r="H43" i="19"/>
  <c r="J58" i="37"/>
  <c r="W67" i="24" s="1"/>
  <c r="J46" i="37"/>
  <c r="K46" i="37" s="1"/>
  <c r="W35" i="40" s="1"/>
  <c r="J47" i="37"/>
  <c r="W56" i="24" s="1"/>
  <c r="J55" i="37"/>
  <c r="W64" i="24" s="1"/>
  <c r="J27" i="37"/>
  <c r="W36" i="24" s="1"/>
  <c r="J35" i="37"/>
  <c r="W44" i="24" s="1"/>
  <c r="J32" i="37"/>
  <c r="K32" i="37" s="1"/>
  <c r="W21" i="40" s="1"/>
  <c r="J24" i="37"/>
  <c r="W33" i="24" s="1"/>
  <c r="J36" i="37"/>
  <c r="K36" i="37" s="1"/>
  <c r="W25" i="40" s="1"/>
  <c r="J37" i="37"/>
  <c r="J48" i="37"/>
  <c r="W57" i="24" s="1"/>
  <c r="J54" i="37"/>
  <c r="K54" i="37" s="1"/>
  <c r="W43" i="40" s="1"/>
  <c r="J21" i="37"/>
  <c r="W30" i="24" s="1"/>
  <c r="J28" i="37"/>
  <c r="J38" i="37"/>
  <c r="J56" i="37"/>
  <c r="J31" i="37"/>
  <c r="J25" i="37"/>
  <c r="J39" i="37"/>
  <c r="J42" i="37"/>
  <c r="J49" i="37"/>
  <c r="J50" i="37"/>
  <c r="J57" i="37"/>
  <c r="J23" i="37"/>
  <c r="K23" i="37" s="1"/>
  <c r="W12" i="40" s="1"/>
  <c r="J34" i="37"/>
  <c r="J44" i="37"/>
  <c r="J51" i="37"/>
  <c r="J22" i="37"/>
  <c r="J26" i="37"/>
  <c r="J40" i="37"/>
  <c r="J43" i="37"/>
  <c r="J53" i="37"/>
  <c r="K20" i="18"/>
  <c r="L20" i="18" s="1"/>
  <c r="X9" i="40" s="1"/>
  <c r="K38" i="18"/>
  <c r="X47" i="24" s="1"/>
  <c r="K46" i="18"/>
  <c r="L46" i="18" s="1"/>
  <c r="X35" i="40" s="1"/>
  <c r="K44" i="18"/>
  <c r="X53" i="24" s="1"/>
  <c r="K47" i="18"/>
  <c r="L47" i="18" s="1"/>
  <c r="X36" i="40" s="1"/>
  <c r="K57" i="18"/>
  <c r="L57" i="18" s="1"/>
  <c r="X46" i="40" s="1"/>
  <c r="K48" i="18"/>
  <c r="L48" i="18" s="1"/>
  <c r="X37" i="40" s="1"/>
  <c r="K51" i="18"/>
  <c r="L51" i="18" s="1"/>
  <c r="X40" i="40" s="1"/>
  <c r="K56" i="18"/>
  <c r="X65" i="24" s="1"/>
  <c r="K35" i="18"/>
  <c r="L35" i="18" s="1"/>
  <c r="X24" i="40" s="1"/>
  <c r="K50" i="18"/>
  <c r="X59" i="24" s="1"/>
  <c r="K28" i="18"/>
  <c r="L28" i="18" s="1"/>
  <c r="X17" i="40" s="1"/>
  <c r="K36" i="18"/>
  <c r="L36" i="18" s="1"/>
  <c r="X25" i="40" s="1"/>
  <c r="K53" i="18"/>
  <c r="X62" i="24" s="1"/>
  <c r="K55" i="18"/>
  <c r="L55" i="18" s="1"/>
  <c r="X44" i="40" s="1"/>
  <c r="K31" i="18"/>
  <c r="L31" i="18" s="1"/>
  <c r="X20" i="40" s="1"/>
  <c r="K37" i="18"/>
  <c r="X46" i="24" s="1"/>
  <c r="K49" i="18"/>
  <c r="X58" i="24" s="1"/>
  <c r="K52" i="18"/>
  <c r="X61" i="24" s="1"/>
  <c r="K58" i="18"/>
  <c r="L58" i="18" s="1"/>
  <c r="X47" i="40" s="1"/>
  <c r="K27" i="18"/>
  <c r="X36" i="24" s="1"/>
  <c r="K39" i="18"/>
  <c r="L39" i="18" s="1"/>
  <c r="X28" i="40" s="1"/>
  <c r="K42" i="18"/>
  <c r="X51" i="24" s="1"/>
  <c r="K23" i="18"/>
  <c r="K29" i="18"/>
  <c r="K41" i="18"/>
  <c r="K45" i="18"/>
  <c r="K21" i="18"/>
  <c r="K30" i="18"/>
  <c r="K25" i="18"/>
  <c r="K34" i="18"/>
  <c r="K19" i="18"/>
  <c r="K17" i="18"/>
  <c r="K22" i="18"/>
  <c r="K24" i="18"/>
  <c r="K32" i="18"/>
  <c r="K40" i="18"/>
  <c r="K43" i="18"/>
  <c r="K18" i="18"/>
  <c r="K54" i="18"/>
  <c r="J48" i="36"/>
  <c r="K48" i="36" s="1"/>
  <c r="V37" i="40" s="1"/>
  <c r="J51" i="36"/>
  <c r="V60" i="24" s="1"/>
  <c r="J49" i="36"/>
  <c r="V58" i="24" s="1"/>
  <c r="J47" i="36"/>
  <c r="K47" i="36" s="1"/>
  <c r="V36" i="40" s="1"/>
  <c r="J53" i="36"/>
  <c r="V62" i="24" s="1"/>
  <c r="J52" i="36"/>
  <c r="V61" i="24" s="1"/>
  <c r="J46" i="36"/>
  <c r="J45" i="36"/>
  <c r="V54" i="24" s="1"/>
  <c r="J57" i="36"/>
  <c r="V66" i="24" s="1"/>
  <c r="J44" i="36"/>
  <c r="K44" i="36" s="1"/>
  <c r="V33" i="40" s="1"/>
  <c r="J58" i="36"/>
  <c r="V67" i="24" s="1"/>
  <c r="J55" i="36"/>
  <c r="J50" i="36"/>
  <c r="J54" i="36"/>
  <c r="J56" i="36"/>
  <c r="H17" i="50"/>
  <c r="U26" i="24" s="1"/>
  <c r="I57" i="50"/>
  <c r="U46" i="40" s="1"/>
  <c r="H57" i="50"/>
  <c r="U66" i="24" s="1"/>
  <c r="I18" i="50"/>
  <c r="U7" i="40" s="1"/>
  <c r="H18" i="50"/>
  <c r="U27" i="24" s="1"/>
  <c r="I14" i="50"/>
  <c r="H14" i="50"/>
  <c r="U23" i="24" s="1"/>
  <c r="I20" i="50"/>
  <c r="U9" i="40" s="1"/>
  <c r="H20" i="50"/>
  <c r="U29" i="24" s="1"/>
  <c r="I53" i="50"/>
  <c r="U42" i="40" s="1"/>
  <c r="H53" i="50"/>
  <c r="U62" i="24" s="1"/>
  <c r="I58" i="50"/>
  <c r="U47" i="40" s="1"/>
  <c r="H58" i="50"/>
  <c r="U67" i="24" s="1"/>
  <c r="I50" i="50"/>
  <c r="U39" i="40" s="1"/>
  <c r="H50" i="50"/>
  <c r="U59" i="24" s="1"/>
  <c r="H54" i="50"/>
  <c r="U63" i="24" s="1"/>
  <c r="I54" i="50"/>
  <c r="U43" i="40" s="1"/>
  <c r="H52" i="50"/>
  <c r="U61" i="24" s="1"/>
  <c r="I23" i="50"/>
  <c r="U12" i="40" s="1"/>
  <c r="H23" i="50"/>
  <c r="U32" i="24" s="1"/>
  <c r="H27" i="50"/>
  <c r="U36" i="24" s="1"/>
  <c r="I27" i="50"/>
  <c r="U16" i="40" s="1"/>
  <c r="H31" i="50"/>
  <c r="U40" i="24" s="1"/>
  <c r="I31" i="50"/>
  <c r="U20" i="40" s="1"/>
  <c r="I35" i="50"/>
  <c r="U24" i="40" s="1"/>
  <c r="H35" i="50"/>
  <c r="U44" i="24" s="1"/>
  <c r="I39" i="50"/>
  <c r="U28" i="40" s="1"/>
  <c r="H39" i="50"/>
  <c r="U48" i="24" s="1"/>
  <c r="I43" i="50"/>
  <c r="U32" i="40" s="1"/>
  <c r="H43" i="50"/>
  <c r="U52" i="24" s="1"/>
  <c r="H47" i="50"/>
  <c r="U56" i="24" s="1"/>
  <c r="I47" i="50"/>
  <c r="U36" i="40" s="1"/>
  <c r="I15" i="50"/>
  <c r="H15" i="50"/>
  <c r="U24" i="24" s="1"/>
  <c r="H12" i="50"/>
  <c r="U21" i="24" s="1"/>
  <c r="I12" i="50"/>
  <c r="I24" i="50"/>
  <c r="U13" i="40" s="1"/>
  <c r="H24" i="50"/>
  <c r="U33" i="24" s="1"/>
  <c r="I28" i="50"/>
  <c r="U17" i="40" s="1"/>
  <c r="H28" i="50"/>
  <c r="U37" i="24" s="1"/>
  <c r="I32" i="50"/>
  <c r="U21" i="40" s="1"/>
  <c r="H32" i="50"/>
  <c r="U41" i="24" s="1"/>
  <c r="H36" i="50"/>
  <c r="U45" i="24" s="1"/>
  <c r="I36" i="50"/>
  <c r="U25" i="40" s="1"/>
  <c r="I40" i="50"/>
  <c r="U29" i="40" s="1"/>
  <c r="H40" i="50"/>
  <c r="U49" i="24" s="1"/>
  <c r="H44" i="50"/>
  <c r="U53" i="24" s="1"/>
  <c r="I44" i="50"/>
  <c r="U33" i="40" s="1"/>
  <c r="H48" i="50"/>
  <c r="U57" i="24" s="1"/>
  <c r="I48" i="50"/>
  <c r="U37" i="40" s="1"/>
  <c r="I13" i="50"/>
  <c r="H13" i="50"/>
  <c r="U22" i="24" s="1"/>
  <c r="H25" i="50"/>
  <c r="U34" i="24" s="1"/>
  <c r="I25" i="50"/>
  <c r="U14" i="40" s="1"/>
  <c r="H29" i="50"/>
  <c r="U38" i="24" s="1"/>
  <c r="I29" i="50"/>
  <c r="U18" i="40" s="1"/>
  <c r="I33" i="50"/>
  <c r="U22" i="40" s="1"/>
  <c r="H33" i="50"/>
  <c r="U42" i="24" s="1"/>
  <c r="H37" i="50"/>
  <c r="U46" i="24" s="1"/>
  <c r="I37" i="50"/>
  <c r="U26" i="40" s="1"/>
  <c r="H41" i="50"/>
  <c r="U50" i="24" s="1"/>
  <c r="I41" i="50"/>
  <c r="U30" i="40" s="1"/>
  <c r="I45" i="50"/>
  <c r="U34" i="40" s="1"/>
  <c r="H45" i="50"/>
  <c r="U54" i="24" s="1"/>
  <c r="I49" i="50"/>
  <c r="U38" i="40" s="1"/>
  <c r="H49" i="50"/>
  <c r="U58" i="24" s="1"/>
  <c r="I56" i="50"/>
  <c r="U45" i="40" s="1"/>
  <c r="H56" i="50"/>
  <c r="U65" i="24" s="1"/>
  <c r="I22" i="50"/>
  <c r="U11" i="40" s="1"/>
  <c r="H22" i="50"/>
  <c r="U31" i="24" s="1"/>
  <c r="H26" i="50"/>
  <c r="U35" i="24" s="1"/>
  <c r="I26" i="50"/>
  <c r="U15" i="40" s="1"/>
  <c r="H30" i="50"/>
  <c r="U39" i="24" s="1"/>
  <c r="I30" i="50"/>
  <c r="U19" i="40" s="1"/>
  <c r="H34" i="50"/>
  <c r="U43" i="24" s="1"/>
  <c r="I34" i="50"/>
  <c r="U23" i="40" s="1"/>
  <c r="H38" i="50"/>
  <c r="U47" i="24" s="1"/>
  <c r="I38" i="50"/>
  <c r="U27" i="40" s="1"/>
  <c r="H42" i="50"/>
  <c r="U51" i="24" s="1"/>
  <c r="I42" i="50"/>
  <c r="U31" i="40" s="1"/>
  <c r="I46" i="50"/>
  <c r="U35" i="40" s="1"/>
  <c r="H46" i="50"/>
  <c r="U55" i="24" s="1"/>
  <c r="I51" i="50"/>
  <c r="U40" i="40" s="1"/>
  <c r="H51" i="50"/>
  <c r="U60" i="24" s="1"/>
  <c r="H21" i="50"/>
  <c r="U30" i="24" s="1"/>
  <c r="I17" i="50"/>
  <c r="U6" i="40" s="1"/>
  <c r="J48" i="35"/>
  <c r="K48" i="35" s="1"/>
  <c r="J56" i="35"/>
  <c r="K56" i="35" s="1"/>
  <c r="Q45" i="40" s="1"/>
  <c r="J53" i="35"/>
  <c r="Q62" i="24" s="1"/>
  <c r="J49" i="35"/>
  <c r="Q58" i="24" s="1"/>
  <c r="J55" i="35"/>
  <c r="Q64" i="24" s="1"/>
  <c r="J57" i="35"/>
  <c r="K57" i="35" s="1"/>
  <c r="Q46" i="40" s="1"/>
  <c r="Q63" i="24"/>
  <c r="J50" i="35"/>
  <c r="J58" i="35"/>
  <c r="J52" i="35"/>
  <c r="J51" i="35"/>
  <c r="J47" i="35"/>
  <c r="J44" i="35"/>
  <c r="H36" i="16"/>
  <c r="I36" i="16" s="1"/>
  <c r="R25" i="40" s="1"/>
  <c r="H57" i="16"/>
  <c r="R66" i="24" s="1"/>
  <c r="H33" i="16"/>
  <c r="R42" i="24" s="1"/>
  <c r="H34" i="16"/>
  <c r="I34" i="16" s="1"/>
  <c r="R23" i="40" s="1"/>
  <c r="H22" i="16"/>
  <c r="I22" i="16" s="1"/>
  <c r="R11" i="40" s="1"/>
  <c r="H50" i="16"/>
  <c r="R59" i="24" s="1"/>
  <c r="H44" i="16"/>
  <c r="I44" i="16" s="1"/>
  <c r="R33" i="40" s="1"/>
  <c r="H42" i="16"/>
  <c r="R51" i="24" s="1"/>
  <c r="H38" i="16"/>
  <c r="R47" i="24" s="1"/>
  <c r="H24" i="16"/>
  <c r="I24" i="16" s="1"/>
  <c r="R13" i="40" s="1"/>
  <c r="H53" i="16"/>
  <c r="R62" i="24" s="1"/>
  <c r="H10" i="16"/>
  <c r="R19" i="24" s="1"/>
  <c r="H41" i="16"/>
  <c r="I41" i="16" s="1"/>
  <c r="R30" i="40" s="1"/>
  <c r="H21" i="16"/>
  <c r="R30" i="24" s="1"/>
  <c r="H40" i="16"/>
  <c r="I40" i="16" s="1"/>
  <c r="R29" i="40" s="1"/>
  <c r="H28" i="16"/>
  <c r="R37" i="24" s="1"/>
  <c r="H48" i="16"/>
  <c r="I48" i="16" s="1"/>
  <c r="R37" i="40" s="1"/>
  <c r="H49" i="16"/>
  <c r="I49" i="16" s="1"/>
  <c r="R38" i="40" s="1"/>
  <c r="H37" i="16"/>
  <c r="I37" i="16" s="1"/>
  <c r="R26" i="40" s="1"/>
  <c r="H17" i="16"/>
  <c r="I17" i="16" s="1"/>
  <c r="R6" i="40" s="1"/>
  <c r="H18" i="16"/>
  <c r="H51" i="16"/>
  <c r="I51" i="16" s="1"/>
  <c r="R40" i="40" s="1"/>
  <c r="H12" i="16"/>
  <c r="H7" i="16"/>
  <c r="H30" i="16"/>
  <c r="H26" i="16"/>
  <c r="H23" i="16"/>
  <c r="H45" i="16"/>
  <c r="H32" i="16"/>
  <c r="H16" i="16"/>
  <c r="H15" i="16"/>
  <c r="H14" i="16"/>
  <c r="I14" i="16" s="1"/>
  <c r="H13" i="16"/>
  <c r="H46" i="16"/>
  <c r="H29" i="16"/>
  <c r="H25" i="16"/>
  <c r="H47" i="16"/>
  <c r="H55" i="16"/>
  <c r="H56" i="16"/>
  <c r="H11" i="16"/>
  <c r="H9" i="16"/>
  <c r="H8" i="16"/>
  <c r="H35" i="16"/>
  <c r="H31" i="16"/>
  <c r="H27" i="16"/>
  <c r="H20" i="16"/>
  <c r="I38" i="15"/>
  <c r="P47" i="24" s="1"/>
  <c r="I32" i="15"/>
  <c r="P41" i="24" s="1"/>
  <c r="I20" i="15"/>
  <c r="P29" i="24" s="1"/>
  <c r="I12" i="15"/>
  <c r="J12" i="15" s="1"/>
  <c r="I51" i="15"/>
  <c r="J51" i="15" s="1"/>
  <c r="P40" i="40" s="1"/>
  <c r="I50" i="15"/>
  <c r="P59" i="24" s="1"/>
  <c r="I16" i="15"/>
  <c r="J16" i="15" s="1"/>
  <c r="I15" i="15"/>
  <c r="J15" i="15" s="1"/>
  <c r="I10" i="15"/>
  <c r="P19" i="24" s="1"/>
  <c r="I41" i="15"/>
  <c r="J41" i="15" s="1"/>
  <c r="P30" i="40" s="1"/>
  <c r="I17" i="15"/>
  <c r="P26" i="24" s="1"/>
  <c r="I31" i="15"/>
  <c r="P40" i="24" s="1"/>
  <c r="I27" i="15"/>
  <c r="J27" i="15" s="1"/>
  <c r="P16" i="40" s="1"/>
  <c r="I39" i="15"/>
  <c r="J39" i="15" s="1"/>
  <c r="P28" i="40" s="1"/>
  <c r="I8" i="15"/>
  <c r="P17" i="24" s="1"/>
  <c r="I7" i="15"/>
  <c r="P16" i="24" s="1"/>
  <c r="I13" i="15"/>
  <c r="I29" i="15"/>
  <c r="I36" i="15"/>
  <c r="I49" i="15"/>
  <c r="I54" i="15"/>
  <c r="I57" i="15"/>
  <c r="I25" i="15"/>
  <c r="I35" i="15"/>
  <c r="I45" i="15"/>
  <c r="I53" i="15"/>
  <c r="I9" i="15"/>
  <c r="I47" i="15"/>
  <c r="I14" i="15"/>
  <c r="J14" i="15" s="1"/>
  <c r="I11" i="15"/>
  <c r="I18" i="15"/>
  <c r="I23" i="15"/>
  <c r="I33" i="15"/>
  <c r="I37" i="15"/>
  <c r="I55" i="15"/>
  <c r="H8" i="14"/>
  <c r="I8" i="14" s="1"/>
  <c r="H43" i="14"/>
  <c r="I43" i="14" s="1"/>
  <c r="O32" i="40" s="1"/>
  <c r="H30" i="14"/>
  <c r="I30" i="14" s="1"/>
  <c r="O19" i="40" s="1"/>
  <c r="H51" i="14"/>
  <c r="O60" i="24" s="1"/>
  <c r="H49" i="14"/>
  <c r="I49" i="14" s="1"/>
  <c r="O38" i="40" s="1"/>
  <c r="H47" i="14"/>
  <c r="O56" i="24" s="1"/>
  <c r="H9" i="14"/>
  <c r="O18" i="24" s="1"/>
  <c r="H57" i="14"/>
  <c r="O66" i="24" s="1"/>
  <c r="H28" i="14"/>
  <c r="I28" i="14" s="1"/>
  <c r="O17" i="40" s="1"/>
  <c r="H45" i="14"/>
  <c r="I45" i="14" s="1"/>
  <c r="O34" i="40" s="1"/>
  <c r="H50" i="14"/>
  <c r="O59" i="24" s="1"/>
  <c r="H48" i="14"/>
  <c r="O57" i="24" s="1"/>
  <c r="H54" i="14"/>
  <c r="O63" i="24" s="1"/>
  <c r="H55" i="14"/>
  <c r="I55" i="14" s="1"/>
  <c r="O44" i="40" s="1"/>
  <c r="H56" i="14"/>
  <c r="I56" i="14" s="1"/>
  <c r="O45" i="40" s="1"/>
  <c r="H58" i="14"/>
  <c r="I58" i="14" s="1"/>
  <c r="O47" i="40" s="1"/>
  <c r="H7" i="14"/>
  <c r="I7" i="14" s="1"/>
  <c r="H11" i="14"/>
  <c r="O20" i="24" s="1"/>
  <c r="H10" i="14"/>
  <c r="O19" i="24" s="1"/>
  <c r="H16" i="14"/>
  <c r="H12" i="14"/>
  <c r="O21" i="24" s="1"/>
  <c r="H15" i="14"/>
  <c r="H42" i="14"/>
  <c r="H53" i="14"/>
  <c r="H44" i="14"/>
  <c r="O53" i="24" s="1"/>
  <c r="H31" i="14"/>
  <c r="I31" i="14" s="1"/>
  <c r="O20" i="40" s="1"/>
  <c r="H14" i="14"/>
  <c r="H37" i="14"/>
  <c r="H36" i="14"/>
  <c r="H21" i="14"/>
  <c r="H19" i="14"/>
  <c r="H13" i="14"/>
  <c r="H33" i="14"/>
  <c r="H20" i="14"/>
  <c r="H17" i="14"/>
  <c r="H39" i="14"/>
  <c r="H23" i="14"/>
  <c r="O32" i="24" s="1"/>
  <c r="H41" i="14"/>
  <c r="H38" i="14"/>
  <c r="H34" i="14"/>
  <c r="H32" i="14"/>
  <c r="H22" i="14"/>
  <c r="H52" i="14"/>
  <c r="H47" i="13"/>
  <c r="I47" i="13" s="1"/>
  <c r="N36" i="40" s="1"/>
  <c r="H56" i="13"/>
  <c r="I56" i="13" s="1"/>
  <c r="N45" i="40" s="1"/>
  <c r="H44" i="13"/>
  <c r="I44" i="13" s="1"/>
  <c r="N33" i="40" s="1"/>
  <c r="H38" i="13"/>
  <c r="N47" i="24" s="1"/>
  <c r="H18" i="13"/>
  <c r="N27" i="24" s="1"/>
  <c r="H45" i="13"/>
  <c r="N54" i="24" s="1"/>
  <c r="H37" i="13"/>
  <c r="N46" i="24" s="1"/>
  <c r="H25" i="13"/>
  <c r="I25" i="13" s="1"/>
  <c r="N14" i="40" s="1"/>
  <c r="H51" i="13"/>
  <c r="N60" i="24" s="1"/>
  <c r="H9" i="13"/>
  <c r="H8" i="13"/>
  <c r="N17" i="24" s="1"/>
  <c r="H48" i="13"/>
  <c r="N57" i="24" s="1"/>
  <c r="H54" i="13"/>
  <c r="N63" i="24" s="1"/>
  <c r="H55" i="13"/>
  <c r="N64" i="24" s="1"/>
  <c r="H57" i="13"/>
  <c r="I57" i="13" s="1"/>
  <c r="N46" i="40" s="1"/>
  <c r="H42" i="13"/>
  <c r="N51" i="24" s="1"/>
  <c r="H32" i="13"/>
  <c r="I32" i="13" s="1"/>
  <c r="N21" i="40" s="1"/>
  <c r="H15" i="13"/>
  <c r="N24" i="24" s="1"/>
  <c r="H50" i="13"/>
  <c r="N59" i="24" s="1"/>
  <c r="H34" i="13"/>
  <c r="I34" i="13" s="1"/>
  <c r="N23" i="40" s="1"/>
  <c r="H23" i="13"/>
  <c r="H14" i="13"/>
  <c r="H40" i="13"/>
  <c r="I22" i="13"/>
  <c r="N11" i="40" s="1"/>
  <c r="N31" i="24"/>
  <c r="H30" i="13"/>
  <c r="H16" i="13"/>
  <c r="H11" i="13"/>
  <c r="N20" i="24" s="1"/>
  <c r="H10" i="13"/>
  <c r="N19" i="24" s="1"/>
  <c r="H24" i="13"/>
  <c r="H28" i="13"/>
  <c r="H35" i="13"/>
  <c r="H52" i="13"/>
  <c r="H53" i="13"/>
  <c r="H58" i="13"/>
  <c r="H7" i="13"/>
  <c r="H12" i="13"/>
  <c r="H19" i="13"/>
  <c r="H36" i="13"/>
  <c r="H39" i="13"/>
  <c r="H43" i="13"/>
  <c r="H46" i="13"/>
  <c r="H17" i="13"/>
  <c r="H13" i="13"/>
  <c r="H20" i="13"/>
  <c r="H27" i="13"/>
  <c r="H31" i="13"/>
  <c r="H49" i="12"/>
  <c r="M58" i="24" s="1"/>
  <c r="H55" i="12"/>
  <c r="I55" i="12" s="1"/>
  <c r="M44" i="40" s="1"/>
  <c r="H53" i="12"/>
  <c r="M62" i="24" s="1"/>
  <c r="H46" i="12"/>
  <c r="M55" i="24" s="1"/>
  <c r="H36" i="12"/>
  <c r="M45" i="24" s="1"/>
  <c r="H15" i="12"/>
  <c r="M24" i="24" s="1"/>
  <c r="H17" i="12"/>
  <c r="M26" i="24" s="1"/>
  <c r="H24" i="12"/>
  <c r="I24" i="12" s="1"/>
  <c r="M13" i="40" s="1"/>
  <c r="H19" i="12"/>
  <c r="I19" i="12" s="1"/>
  <c r="M8" i="40" s="1"/>
  <c r="H26" i="12"/>
  <c r="I26" i="12" s="1"/>
  <c r="M15" i="40" s="1"/>
  <c r="H18" i="12"/>
  <c r="I18" i="12" s="1"/>
  <c r="M7" i="40" s="1"/>
  <c r="H38" i="12"/>
  <c r="M47" i="24" s="1"/>
  <c r="H48" i="12"/>
  <c r="I48" i="12" s="1"/>
  <c r="M37" i="40" s="1"/>
  <c r="H43" i="12"/>
  <c r="M52" i="24" s="1"/>
  <c r="H23" i="12"/>
  <c r="I23" i="12" s="1"/>
  <c r="M12" i="40" s="1"/>
  <c r="H39" i="12"/>
  <c r="I39" i="12" s="1"/>
  <c r="M28" i="40" s="1"/>
  <c r="H27" i="12"/>
  <c r="I27" i="12" s="1"/>
  <c r="M16" i="40" s="1"/>
  <c r="H54" i="12"/>
  <c r="M63" i="24" s="1"/>
  <c r="H11" i="12"/>
  <c r="M20" i="24" s="1"/>
  <c r="H32" i="12"/>
  <c r="M41" i="24" s="1"/>
  <c r="H51" i="12"/>
  <c r="M60" i="24" s="1"/>
  <c r="H52" i="12"/>
  <c r="M61" i="24" s="1"/>
  <c r="H41" i="12"/>
  <c r="M50" i="24" s="1"/>
  <c r="H9" i="12"/>
  <c r="H47" i="12"/>
  <c r="M56" i="24" s="1"/>
  <c r="H57" i="12"/>
  <c r="M66" i="24" s="1"/>
  <c r="H12" i="12"/>
  <c r="H28" i="12"/>
  <c r="H7" i="12"/>
  <c r="H22" i="12"/>
  <c r="H30" i="12"/>
  <c r="H34" i="12"/>
  <c r="H56" i="12"/>
  <c r="H13" i="12"/>
  <c r="I13" i="12" s="1"/>
  <c r="H8" i="12"/>
  <c r="H35" i="12"/>
  <c r="H45" i="12"/>
  <c r="H58" i="12"/>
  <c r="H42" i="12"/>
  <c r="H16" i="12"/>
  <c r="I16" i="12" s="1"/>
  <c r="H14" i="12"/>
  <c r="H10" i="12"/>
  <c r="H21" i="12"/>
  <c r="H25" i="12"/>
  <c r="H29" i="12"/>
  <c r="H33" i="12"/>
  <c r="H37" i="12"/>
  <c r="H50" i="12"/>
  <c r="H10" i="11"/>
  <c r="I10" i="11" s="1"/>
  <c r="H56" i="11"/>
  <c r="I56" i="11" s="1"/>
  <c r="L45" i="40" s="1"/>
  <c r="H48" i="11"/>
  <c r="L57" i="24" s="1"/>
  <c r="H42" i="11"/>
  <c r="I42" i="11" s="1"/>
  <c r="L31" i="40" s="1"/>
  <c r="H40" i="11"/>
  <c r="I40" i="11" s="1"/>
  <c r="L29" i="40" s="1"/>
  <c r="H38" i="11"/>
  <c r="I38" i="11" s="1"/>
  <c r="L27" i="40" s="1"/>
  <c r="H36" i="11"/>
  <c r="I36" i="11" s="1"/>
  <c r="L25" i="40" s="1"/>
  <c r="H30" i="11"/>
  <c r="L39" i="24" s="1"/>
  <c r="H25" i="11"/>
  <c r="L34" i="24" s="1"/>
  <c r="H57" i="11"/>
  <c r="L66" i="24" s="1"/>
  <c r="H51" i="11"/>
  <c r="L60" i="24" s="1"/>
  <c r="H49" i="11"/>
  <c r="I49" i="11" s="1"/>
  <c r="L38" i="40" s="1"/>
  <c r="H41" i="11"/>
  <c r="I41" i="11" s="1"/>
  <c r="L30" i="40" s="1"/>
  <c r="H35" i="11"/>
  <c r="I35" i="11" s="1"/>
  <c r="L24" i="40" s="1"/>
  <c r="H33" i="11"/>
  <c r="L42" i="24" s="1"/>
  <c r="H31" i="11"/>
  <c r="I31" i="11" s="1"/>
  <c r="L20" i="40" s="1"/>
  <c r="H27" i="11"/>
  <c r="I27" i="11" s="1"/>
  <c r="L16" i="40" s="1"/>
  <c r="H22" i="11"/>
  <c r="L31" i="24" s="1"/>
  <c r="H20" i="11"/>
  <c r="L29" i="24" s="1"/>
  <c r="H37" i="11"/>
  <c r="I37" i="11" s="1"/>
  <c r="L26" i="40" s="1"/>
  <c r="H26" i="11"/>
  <c r="I26" i="11" s="1"/>
  <c r="L15" i="40" s="1"/>
  <c r="H17" i="11"/>
  <c r="L26" i="24" s="1"/>
  <c r="H15" i="11"/>
  <c r="L24" i="24" s="1"/>
  <c r="H58" i="11"/>
  <c r="I58" i="11" s="1"/>
  <c r="L47" i="40" s="1"/>
  <c r="H45" i="11"/>
  <c r="I45" i="11" s="1"/>
  <c r="L34" i="40" s="1"/>
  <c r="H21" i="11"/>
  <c r="L30" i="24" s="1"/>
  <c r="H19" i="11"/>
  <c r="I19" i="11" s="1"/>
  <c r="L8" i="40" s="1"/>
  <c r="H13" i="11"/>
  <c r="L22" i="24" s="1"/>
  <c r="H54" i="11"/>
  <c r="L63" i="24" s="1"/>
  <c r="H52" i="11"/>
  <c r="L61" i="24" s="1"/>
  <c r="H47" i="11"/>
  <c r="I47" i="11" s="1"/>
  <c r="L36" i="40" s="1"/>
  <c r="H28" i="11"/>
  <c r="L37" i="24" s="1"/>
  <c r="H23" i="11"/>
  <c r="L32" i="24" s="1"/>
  <c r="H7" i="11"/>
  <c r="L16" i="24" s="1"/>
  <c r="H55" i="11"/>
  <c r="L64" i="24" s="1"/>
  <c r="H53" i="11"/>
  <c r="L62" i="24" s="1"/>
  <c r="H46" i="11"/>
  <c r="L55" i="24" s="1"/>
  <c r="H39" i="11"/>
  <c r="I39" i="11" s="1"/>
  <c r="L28" i="40" s="1"/>
  <c r="H34" i="11"/>
  <c r="I34" i="11" s="1"/>
  <c r="L23" i="40" s="1"/>
  <c r="H29" i="11"/>
  <c r="I29" i="11" s="1"/>
  <c r="L18" i="40" s="1"/>
  <c r="H50" i="11"/>
  <c r="L59" i="24" s="1"/>
  <c r="H32" i="11"/>
  <c r="L41" i="24" s="1"/>
  <c r="H43" i="11"/>
  <c r="L52" i="24" s="1"/>
  <c r="H24" i="11"/>
  <c r="I24" i="11" s="1"/>
  <c r="L13" i="40" s="1"/>
  <c r="H8" i="11"/>
  <c r="I8" i="11" s="1"/>
  <c r="H11" i="11"/>
  <c r="H44" i="11"/>
  <c r="H9" i="11"/>
  <c r="J55" i="34"/>
  <c r="K64" i="24" s="1"/>
  <c r="J56" i="34"/>
  <c r="K56" i="34" s="1"/>
  <c r="K45" i="40" s="1"/>
  <c r="J58" i="34"/>
  <c r="K58" i="34" s="1"/>
  <c r="K47" i="40" s="1"/>
  <c r="J51" i="34"/>
  <c r="K60" i="24" s="1"/>
  <c r="J45" i="34"/>
  <c r="K45" i="34" s="1"/>
  <c r="K34" i="40" s="1"/>
  <c r="J48" i="34"/>
  <c r="K57" i="24" s="1"/>
  <c r="J46" i="34"/>
  <c r="K55" i="24" s="1"/>
  <c r="J44" i="34"/>
  <c r="K53" i="24" s="1"/>
  <c r="J47" i="34"/>
  <c r="K56" i="24" s="1"/>
  <c r="J57" i="34"/>
  <c r="J49" i="34"/>
  <c r="J50" i="34"/>
  <c r="J52" i="34"/>
  <c r="J53" i="34"/>
  <c r="H44" i="10"/>
  <c r="I44" i="10" s="1"/>
  <c r="J33" i="40" s="1"/>
  <c r="H53" i="10"/>
  <c r="J62" i="24" s="1"/>
  <c r="H37" i="10"/>
  <c r="I37" i="10" s="1"/>
  <c r="J26" i="40" s="1"/>
  <c r="H7" i="10"/>
  <c r="I7" i="10" s="1"/>
  <c r="H21" i="10"/>
  <c r="I21" i="10" s="1"/>
  <c r="J10" i="40" s="1"/>
  <c r="H16" i="10"/>
  <c r="I16" i="10" s="1"/>
  <c r="H48" i="10"/>
  <c r="I48" i="10" s="1"/>
  <c r="J37" i="40" s="1"/>
  <c r="H15" i="10"/>
  <c r="J24" i="24" s="1"/>
  <c r="H17" i="10"/>
  <c r="J26" i="24" s="1"/>
  <c r="H30" i="10"/>
  <c r="J39" i="24" s="1"/>
  <c r="H18" i="10"/>
  <c r="I18" i="10" s="1"/>
  <c r="J7" i="40" s="1"/>
  <c r="H20" i="10"/>
  <c r="J29" i="24" s="1"/>
  <c r="H41" i="10"/>
  <c r="I41" i="10" s="1"/>
  <c r="H49" i="10"/>
  <c r="I49" i="10" s="1"/>
  <c r="J38" i="40" s="1"/>
  <c r="H58" i="10"/>
  <c r="J67" i="24" s="1"/>
  <c r="H38" i="10"/>
  <c r="J47" i="24" s="1"/>
  <c r="H51" i="10"/>
  <c r="J60" i="24" s="1"/>
  <c r="H34" i="10"/>
  <c r="J43" i="24" s="1"/>
  <c r="H22" i="10"/>
  <c r="J31" i="24" s="1"/>
  <c r="H25" i="10"/>
  <c r="I25" i="10" s="1"/>
  <c r="J14" i="40" s="1"/>
  <c r="H57" i="10"/>
  <c r="H45" i="10"/>
  <c r="J54" i="24" s="1"/>
  <c r="H33" i="10"/>
  <c r="I33" i="10" s="1"/>
  <c r="J22" i="40" s="1"/>
  <c r="H52" i="10"/>
  <c r="H13" i="10"/>
  <c r="J22" i="24" s="1"/>
  <c r="H50" i="10"/>
  <c r="J59" i="24" s="1"/>
  <c r="H14" i="10"/>
  <c r="J23" i="24" s="1"/>
  <c r="H10" i="10"/>
  <c r="H23" i="10"/>
  <c r="H26" i="10"/>
  <c r="H29" i="10"/>
  <c r="H32" i="10"/>
  <c r="H39" i="10"/>
  <c r="H43" i="10"/>
  <c r="H12" i="10"/>
  <c r="H8" i="10"/>
  <c r="H24" i="10"/>
  <c r="H40" i="10"/>
  <c r="H11" i="10"/>
  <c r="H19" i="10"/>
  <c r="H28" i="10"/>
  <c r="H47" i="10"/>
  <c r="H55" i="10"/>
  <c r="H31" i="10"/>
  <c r="H36" i="10"/>
  <c r="H42" i="10"/>
  <c r="H46" i="10"/>
  <c r="H43" i="9"/>
  <c r="I43" i="9" s="1"/>
  <c r="I32" i="40" s="1"/>
  <c r="H39" i="9"/>
  <c r="I48" i="24" s="1"/>
  <c r="H31" i="9"/>
  <c r="I40" i="24" s="1"/>
  <c r="H19" i="9"/>
  <c r="I28" i="24" s="1"/>
  <c r="H23" i="9"/>
  <c r="I32" i="24" s="1"/>
  <c r="H53" i="9"/>
  <c r="I53" i="9" s="1"/>
  <c r="I42" i="40" s="1"/>
  <c r="H55" i="9"/>
  <c r="I55" i="9" s="1"/>
  <c r="I44" i="40" s="1"/>
  <c r="H14" i="9"/>
  <c r="I14" i="9" s="1"/>
  <c r="H10" i="9"/>
  <c r="I10" i="9" s="1"/>
  <c r="H56" i="9"/>
  <c r="I56" i="9" s="1"/>
  <c r="I45" i="40" s="1"/>
  <c r="H48" i="9"/>
  <c r="I57" i="24" s="1"/>
  <c r="H51" i="9"/>
  <c r="I60" i="24" s="1"/>
  <c r="H57" i="9"/>
  <c r="I66" i="24" s="1"/>
  <c r="H42" i="9"/>
  <c r="I42" i="9" s="1"/>
  <c r="I31" i="40" s="1"/>
  <c r="H29" i="9"/>
  <c r="I38" i="24" s="1"/>
  <c r="H16" i="9"/>
  <c r="I25" i="24" s="1"/>
  <c r="H12" i="9"/>
  <c r="I21" i="24" s="1"/>
  <c r="H9" i="9"/>
  <c r="I9" i="9" s="1"/>
  <c r="H49" i="9"/>
  <c r="I49" i="9" s="1"/>
  <c r="I38" i="40" s="1"/>
  <c r="H11" i="9"/>
  <c r="I11" i="9" s="1"/>
  <c r="H8" i="9"/>
  <c r="I17" i="24" s="1"/>
  <c r="H50" i="9"/>
  <c r="I59" i="24" s="1"/>
  <c r="I31" i="24"/>
  <c r="I22" i="9"/>
  <c r="I11" i="40" s="1"/>
  <c r="H15" i="9"/>
  <c r="H18" i="9"/>
  <c r="H24" i="9"/>
  <c r="H30" i="9"/>
  <c r="H33" i="9"/>
  <c r="H37" i="9"/>
  <c r="H41" i="9"/>
  <c r="H45" i="9"/>
  <c r="H47" i="9"/>
  <c r="H54" i="9"/>
  <c r="H34" i="9"/>
  <c r="H38" i="9"/>
  <c r="H46" i="9"/>
  <c r="H13" i="9"/>
  <c r="H25" i="9"/>
  <c r="H17" i="9"/>
  <c r="H52" i="9"/>
  <c r="H58" i="9"/>
  <c r="H7" i="9"/>
  <c r="H21" i="9"/>
  <c r="H26" i="9"/>
  <c r="H32" i="9"/>
  <c r="H38" i="8"/>
  <c r="H47" i="24" s="1"/>
  <c r="H35" i="8"/>
  <c r="H44" i="24" s="1"/>
  <c r="H23" i="8"/>
  <c r="H32" i="24" s="1"/>
  <c r="H28" i="8"/>
  <c r="H37" i="24" s="1"/>
  <c r="H15" i="8"/>
  <c r="H24" i="24" s="1"/>
  <c r="H18" i="8"/>
  <c r="I18" i="8" s="1"/>
  <c r="H7" i="40" s="1"/>
  <c r="H56" i="8"/>
  <c r="H65" i="24" s="1"/>
  <c r="H34" i="8"/>
  <c r="H43" i="24" s="1"/>
  <c r="H44" i="8"/>
  <c r="H53" i="24" s="1"/>
  <c r="H30" i="8"/>
  <c r="I30" i="8" s="1"/>
  <c r="H19" i="40" s="1"/>
  <c r="H45" i="8"/>
  <c r="H54" i="24" s="1"/>
  <c r="H57" i="8"/>
  <c r="H66" i="24" s="1"/>
  <c r="H13" i="8"/>
  <c r="H22" i="24" s="1"/>
  <c r="H11" i="8"/>
  <c r="I11" i="8" s="1"/>
  <c r="H9" i="8"/>
  <c r="H18" i="24" s="1"/>
  <c r="H20" i="8"/>
  <c r="H29" i="24" s="1"/>
  <c r="H19" i="8"/>
  <c r="I19" i="8" s="1"/>
  <c r="H8" i="40" s="1"/>
  <c r="H54" i="8"/>
  <c r="H63" i="24" s="1"/>
  <c r="H51" i="8"/>
  <c r="H60" i="24" s="1"/>
  <c r="H52" i="8"/>
  <c r="H61" i="24" s="1"/>
  <c r="H43" i="8"/>
  <c r="H52" i="24" s="1"/>
  <c r="H37" i="8"/>
  <c r="I37" i="8" s="1"/>
  <c r="H21" i="8"/>
  <c r="H30" i="24" s="1"/>
  <c r="H29" i="8"/>
  <c r="H38" i="24" s="1"/>
  <c r="H32" i="8"/>
  <c r="I32" i="8" s="1"/>
  <c r="H21" i="40" s="1"/>
  <c r="H33" i="8"/>
  <c r="H42" i="24" s="1"/>
  <c r="H10" i="8"/>
  <c r="I10" i="8" s="1"/>
  <c r="H8" i="8"/>
  <c r="H17" i="24" s="1"/>
  <c r="H24" i="8"/>
  <c r="H33" i="24" s="1"/>
  <c r="H16" i="8"/>
  <c r="H41" i="8"/>
  <c r="H50" i="8"/>
  <c r="H7" i="8"/>
  <c r="H46" i="8"/>
  <c r="H14" i="8"/>
  <c r="H39" i="8"/>
  <c r="H12" i="8"/>
  <c r="H36" i="8"/>
  <c r="H42" i="8"/>
  <c r="H47" i="8"/>
  <c r="H17" i="8"/>
  <c r="H58" i="8"/>
  <c r="I25" i="7"/>
  <c r="J25" i="7" s="1"/>
  <c r="G14" i="40" s="1"/>
  <c r="I51" i="7"/>
  <c r="J51" i="7" s="1"/>
  <c r="G40" i="40" s="1"/>
  <c r="I45" i="7"/>
  <c r="J45" i="7" s="1"/>
  <c r="G34" i="40" s="1"/>
  <c r="I41" i="7"/>
  <c r="J41" i="7" s="1"/>
  <c r="G30" i="40" s="1"/>
  <c r="I37" i="7"/>
  <c r="J37" i="7" s="1"/>
  <c r="G26" i="40" s="1"/>
  <c r="I33" i="7"/>
  <c r="J33" i="7" s="1"/>
  <c r="G22" i="40" s="1"/>
  <c r="I18" i="7"/>
  <c r="J18" i="7" s="1"/>
  <c r="G7" i="40" s="1"/>
  <c r="I42" i="7"/>
  <c r="G51" i="24" s="1"/>
  <c r="I10" i="7"/>
  <c r="J10" i="7" s="1"/>
  <c r="I48" i="7"/>
  <c r="J48" i="7" s="1"/>
  <c r="G37" i="40" s="1"/>
  <c r="I53" i="7"/>
  <c r="G62" i="24" s="1"/>
  <c r="I55" i="7"/>
  <c r="G64" i="24" s="1"/>
  <c r="I56" i="7"/>
  <c r="G65" i="24" s="1"/>
  <c r="I22" i="7"/>
  <c r="G31" i="24" s="1"/>
  <c r="I44" i="7"/>
  <c r="J44" i="7" s="1"/>
  <c r="G33" i="40" s="1"/>
  <c r="I15" i="7"/>
  <c r="J15" i="7" s="1"/>
  <c r="I13" i="7"/>
  <c r="J13" i="7" s="1"/>
  <c r="I9" i="7"/>
  <c r="G18" i="24" s="1"/>
  <c r="I7" i="7"/>
  <c r="G16" i="24" s="1"/>
  <c r="I12" i="7"/>
  <c r="J12" i="7" s="1"/>
  <c r="I8" i="7"/>
  <c r="J8" i="7" s="1"/>
  <c r="I36" i="7"/>
  <c r="J36" i="7" s="1"/>
  <c r="G25" i="40" s="1"/>
  <c r="I50" i="7"/>
  <c r="J50" i="7" s="1"/>
  <c r="G39" i="40" s="1"/>
  <c r="I52" i="7"/>
  <c r="G61" i="24" s="1"/>
  <c r="I16" i="7"/>
  <c r="G25" i="24" s="1"/>
  <c r="I11" i="7"/>
  <c r="J11" i="7" s="1"/>
  <c r="I17" i="7"/>
  <c r="J17" i="7" s="1"/>
  <c r="G6" i="40" s="1"/>
  <c r="I20" i="7"/>
  <c r="J20" i="7" s="1"/>
  <c r="I47" i="7"/>
  <c r="J47" i="7" s="1"/>
  <c r="G36" i="40" s="1"/>
  <c r="I58" i="7"/>
  <c r="J58" i="7" s="1"/>
  <c r="G47" i="40" s="1"/>
  <c r="I29" i="7"/>
  <c r="I32" i="7"/>
  <c r="I40" i="7"/>
  <c r="I49" i="7"/>
  <c r="I23" i="7"/>
  <c r="I26" i="7"/>
  <c r="I30" i="7"/>
  <c r="I54" i="7"/>
  <c r="I57" i="7"/>
  <c r="I14" i="7"/>
  <c r="I24" i="7"/>
  <c r="I34" i="7"/>
  <c r="I38" i="7"/>
  <c r="I46" i="7"/>
  <c r="I21" i="7"/>
  <c r="I28" i="7"/>
  <c r="I39" i="7"/>
  <c r="J39" i="6"/>
  <c r="F48" i="24" s="1"/>
  <c r="J34" i="6"/>
  <c r="F43" i="24" s="1"/>
  <c r="J49" i="6"/>
  <c r="K49" i="6" s="1"/>
  <c r="F38" i="40" s="1"/>
  <c r="J17" i="6"/>
  <c r="F26" i="24" s="1"/>
  <c r="J45" i="6"/>
  <c r="K45" i="6" s="1"/>
  <c r="F34" i="40" s="1"/>
  <c r="J27" i="6"/>
  <c r="K27" i="6" s="1"/>
  <c r="F16" i="40" s="1"/>
  <c r="J56" i="6"/>
  <c r="K56" i="6" s="1"/>
  <c r="F45" i="40" s="1"/>
  <c r="J43" i="6"/>
  <c r="K43" i="6" s="1"/>
  <c r="F32" i="40" s="1"/>
  <c r="J47" i="6"/>
  <c r="K47" i="6" s="1"/>
  <c r="J51" i="6"/>
  <c r="F60" i="24" s="1"/>
  <c r="J53" i="6"/>
  <c r="K53" i="6" s="1"/>
  <c r="F42" i="40" s="1"/>
  <c r="J41" i="6"/>
  <c r="F50" i="24" s="1"/>
  <c r="J57" i="6"/>
  <c r="K57" i="6" s="1"/>
  <c r="F46" i="40" s="1"/>
  <c r="J50" i="6"/>
  <c r="F59" i="24" s="1"/>
  <c r="J36" i="6"/>
  <c r="K36" i="6" s="1"/>
  <c r="F25" i="40" s="1"/>
  <c r="J44" i="6"/>
  <c r="F53" i="24" s="1"/>
  <c r="J28" i="6"/>
  <c r="F37" i="24" s="1"/>
  <c r="J26" i="6"/>
  <c r="F35" i="24" s="1"/>
  <c r="J31" i="6"/>
  <c r="J37" i="6"/>
  <c r="J52" i="6"/>
  <c r="J20" i="6"/>
  <c r="J24" i="6"/>
  <c r="J30" i="6"/>
  <c r="J33" i="6"/>
  <c r="J40" i="6"/>
  <c r="J46" i="6"/>
  <c r="J54" i="6"/>
  <c r="J58" i="6"/>
  <c r="J23" i="6"/>
  <c r="J29" i="6"/>
  <c r="J32" i="6"/>
  <c r="J48" i="6"/>
  <c r="J55" i="6"/>
  <c r="J21" i="6"/>
  <c r="J25" i="6"/>
  <c r="J22" i="6"/>
  <c r="J35" i="6"/>
  <c r="J38" i="6"/>
  <c r="H12" i="5"/>
  <c r="E21" i="24" s="1"/>
  <c r="H33" i="5"/>
  <c r="E42" i="24" s="1"/>
  <c r="H29" i="5"/>
  <c r="I29" i="5" s="1"/>
  <c r="E18" i="40" s="1"/>
  <c r="H28" i="5"/>
  <c r="I28" i="5" s="1"/>
  <c r="E17" i="40" s="1"/>
  <c r="H27" i="5"/>
  <c r="I27" i="5" s="1"/>
  <c r="E16" i="40" s="1"/>
  <c r="H35" i="5"/>
  <c r="I35" i="5" s="1"/>
  <c r="E24" i="40" s="1"/>
  <c r="H10" i="5"/>
  <c r="I10" i="5" s="1"/>
  <c r="H31" i="5"/>
  <c r="I31" i="5" s="1"/>
  <c r="E20" i="40" s="1"/>
  <c r="H15" i="5"/>
  <c r="E24" i="24" s="1"/>
  <c r="H17" i="5"/>
  <c r="E26" i="24" s="1"/>
  <c r="H50" i="5"/>
  <c r="I50" i="5" s="1"/>
  <c r="E39" i="40" s="1"/>
  <c r="H58" i="5"/>
  <c r="E67" i="24" s="1"/>
  <c r="H30" i="5"/>
  <c r="I30" i="5" s="1"/>
  <c r="E19" i="40" s="1"/>
  <c r="H7" i="5"/>
  <c r="I7" i="5" s="1"/>
  <c r="H14" i="5"/>
  <c r="I14" i="5" s="1"/>
  <c r="H11" i="5"/>
  <c r="I11" i="5" s="1"/>
  <c r="H9" i="5"/>
  <c r="E18" i="24" s="1"/>
  <c r="H48" i="5"/>
  <c r="E57" i="24" s="1"/>
  <c r="H55" i="5"/>
  <c r="E64" i="24" s="1"/>
  <c r="H57" i="5"/>
  <c r="I57" i="5" s="1"/>
  <c r="E46" i="40" s="1"/>
  <c r="H53" i="5"/>
  <c r="I53" i="5" s="1"/>
  <c r="H51" i="5"/>
  <c r="E60" i="24" s="1"/>
  <c r="H54" i="5"/>
  <c r="E63" i="24" s="1"/>
  <c r="H16" i="5"/>
  <c r="E25" i="24" s="1"/>
  <c r="H13" i="5"/>
  <c r="E22" i="24" s="1"/>
  <c r="H47" i="5"/>
  <c r="I47" i="5" s="1"/>
  <c r="E36" i="40" s="1"/>
  <c r="H19" i="5"/>
  <c r="H34" i="5"/>
  <c r="H40" i="5"/>
  <c r="H8" i="5"/>
  <c r="H20" i="5"/>
  <c r="H18" i="5"/>
  <c r="H38" i="5"/>
  <c r="H52" i="5"/>
  <c r="H32" i="5"/>
  <c r="G19" i="47"/>
  <c r="H41" i="5"/>
  <c r="H44" i="5"/>
  <c r="H49" i="4"/>
  <c r="I49" i="4" s="1"/>
  <c r="AB38" i="40" s="1"/>
  <c r="H51" i="4"/>
  <c r="AB60" i="24" s="1"/>
  <c r="E15" i="47"/>
  <c r="E16" i="47"/>
  <c r="H42" i="4"/>
  <c r="I42" i="4" s="1"/>
  <c r="AB31" i="40" s="1"/>
  <c r="H11" i="4"/>
  <c r="I11" i="4" s="1"/>
  <c r="H12" i="4"/>
  <c r="I12" i="4" s="1"/>
  <c r="H10" i="4"/>
  <c r="AB19" i="24" s="1"/>
  <c r="H9" i="4"/>
  <c r="AB18" i="24" s="1"/>
  <c r="H43" i="4"/>
  <c r="AB52" i="24" s="1"/>
  <c r="H40" i="4"/>
  <c r="I40" i="4" s="1"/>
  <c r="AB29" i="40" s="1"/>
  <c r="H26" i="4"/>
  <c r="AB35" i="24" s="1"/>
  <c r="H22" i="4"/>
  <c r="AB31" i="24" s="1"/>
  <c r="H14" i="4"/>
  <c r="AB23" i="24" s="1"/>
  <c r="E19" i="47"/>
  <c r="H18" i="4"/>
  <c r="AB27" i="24" s="1"/>
  <c r="H50" i="4"/>
  <c r="AB59" i="24" s="1"/>
  <c r="H53" i="4"/>
  <c r="I53" i="4" s="1"/>
  <c r="AB42" i="40" s="1"/>
  <c r="H57" i="4"/>
  <c r="I57" i="4" s="1"/>
  <c r="AB46" i="40" s="1"/>
  <c r="H8" i="4"/>
  <c r="AB17" i="24" s="1"/>
  <c r="G8" i="47"/>
  <c r="H21" i="4"/>
  <c r="H45" i="4"/>
  <c r="G20" i="47"/>
  <c r="H7" i="4"/>
  <c r="H16" i="4"/>
  <c r="H15" i="4"/>
  <c r="G12" i="47"/>
  <c r="H19" i="4"/>
  <c r="H24" i="4"/>
  <c r="H28" i="4"/>
  <c r="H34" i="4"/>
  <c r="H37" i="4"/>
  <c r="H36" i="4"/>
  <c r="G21" i="47"/>
  <c r="G17" i="47"/>
  <c r="H13" i="4"/>
  <c r="H47" i="4"/>
  <c r="H23" i="4"/>
  <c r="H27" i="4"/>
  <c r="I27" i="4" s="1"/>
  <c r="H33" i="4"/>
  <c r="H46" i="4"/>
  <c r="H48" i="4"/>
  <c r="H17" i="4"/>
  <c r="H55" i="4"/>
  <c r="H56" i="4"/>
  <c r="H32" i="4"/>
  <c r="H52" i="4"/>
  <c r="H58" i="4"/>
  <c r="G24" i="47"/>
  <c r="G13" i="47"/>
  <c r="G9" i="47"/>
  <c r="H20" i="4"/>
  <c r="H25" i="4"/>
  <c r="I25" i="4" s="1"/>
  <c r="H29" i="4"/>
  <c r="H35" i="4"/>
  <c r="H41" i="4"/>
  <c r="H44" i="4"/>
  <c r="E41" i="47"/>
  <c r="T54" i="24"/>
  <c r="T59" i="24"/>
  <c r="T49" i="24"/>
  <c r="T66" i="24"/>
  <c r="H36" i="3"/>
  <c r="I36" i="3" s="1"/>
  <c r="T25" i="40" s="1"/>
  <c r="I53" i="3"/>
  <c r="T42" i="40" s="1"/>
  <c r="G49" i="47"/>
  <c r="I48" i="3"/>
  <c r="T37" i="40" s="1"/>
  <c r="G39" i="47"/>
  <c r="H37" i="3"/>
  <c r="G44" i="47"/>
  <c r="G45" i="47"/>
  <c r="G48" i="47"/>
  <c r="G35" i="47"/>
  <c r="G30" i="47"/>
  <c r="G38" i="47"/>
  <c r="H38" i="3"/>
  <c r="G27" i="47"/>
  <c r="E13" i="47"/>
  <c r="E18" i="47"/>
  <c r="E26" i="47"/>
  <c r="E48" i="47"/>
  <c r="E42" i="47"/>
  <c r="E45" i="47"/>
  <c r="E29" i="47"/>
  <c r="E17" i="47"/>
  <c r="E9" i="47"/>
  <c r="H11" i="2"/>
  <c r="C20" i="24" s="1"/>
  <c r="H28" i="2"/>
  <c r="E46" i="47"/>
  <c r="E10" i="47"/>
  <c r="E27" i="47"/>
  <c r="E38" i="47"/>
  <c r="E11" i="47"/>
  <c r="E32" i="47"/>
  <c r="E44" i="47"/>
  <c r="H35" i="2"/>
  <c r="H16" i="2"/>
  <c r="C25" i="24" s="1"/>
  <c r="H12" i="2"/>
  <c r="I12" i="2" s="1"/>
  <c r="H9" i="2"/>
  <c r="I9" i="2" s="1"/>
  <c r="G50" i="2"/>
  <c r="G41" i="47" s="1"/>
  <c r="H57" i="2"/>
  <c r="E40" i="47"/>
  <c r="E49" i="47"/>
  <c r="E30" i="47"/>
  <c r="E14" i="47"/>
  <c r="E36" i="47"/>
  <c r="E35" i="47"/>
  <c r="E43" i="47"/>
  <c r="E34" i="47"/>
  <c r="G26" i="47"/>
  <c r="E39" i="47"/>
  <c r="E31" i="47"/>
  <c r="E23" i="47"/>
  <c r="H27" i="2"/>
  <c r="G18" i="47"/>
  <c r="H31" i="2"/>
  <c r="G22" i="47"/>
  <c r="G43" i="47"/>
  <c r="H52" i="2"/>
  <c r="G42" i="47"/>
  <c r="H51" i="2"/>
  <c r="H24" i="2"/>
  <c r="G15" i="47"/>
  <c r="H55" i="2"/>
  <c r="G46" i="47"/>
  <c r="E24" i="47"/>
  <c r="E8" i="47"/>
  <c r="E47" i="47"/>
  <c r="H48" i="2"/>
  <c r="E37" i="47"/>
  <c r="E20" i="47"/>
  <c r="H13" i="2"/>
  <c r="C22" i="24" s="1"/>
  <c r="E22" i="47"/>
  <c r="E12" i="47"/>
  <c r="E25" i="47"/>
  <c r="H15" i="2"/>
  <c r="C24" i="24" s="1"/>
  <c r="H10" i="2"/>
  <c r="C19" i="24" s="1"/>
  <c r="H8" i="2"/>
  <c r="I8" i="2" s="1"/>
  <c r="E21" i="47"/>
  <c r="E33" i="47"/>
  <c r="H7" i="2"/>
  <c r="C16" i="24" s="1"/>
  <c r="H14" i="2"/>
  <c r="I14" i="2" s="1"/>
  <c r="G47" i="47"/>
  <c r="H56" i="2"/>
  <c r="H45" i="2"/>
  <c r="G36" i="47"/>
  <c r="H43" i="2"/>
  <c r="G34" i="47"/>
  <c r="H38" i="2"/>
  <c r="G29" i="47"/>
  <c r="H46" i="2"/>
  <c r="G37" i="47"/>
  <c r="G25" i="47"/>
  <c r="H34" i="2"/>
  <c r="H41" i="2"/>
  <c r="G32" i="47"/>
  <c r="G16" i="47"/>
  <c r="H25" i="2"/>
  <c r="H20" i="2"/>
  <c r="G11" i="47"/>
  <c r="H19" i="2"/>
  <c r="H49" i="2"/>
  <c r="G40" i="47"/>
  <c r="H42" i="2"/>
  <c r="G33" i="47"/>
  <c r="G28" i="47"/>
  <c r="H37" i="2"/>
  <c r="G31" i="47"/>
  <c r="H40" i="2"/>
  <c r="H32" i="2"/>
  <c r="H23" i="2"/>
  <c r="G14" i="47"/>
  <c r="H30" i="2"/>
  <c r="H33" i="2"/>
  <c r="H44" i="2"/>
  <c r="H47" i="2"/>
  <c r="H54" i="2"/>
  <c r="H21" i="2"/>
  <c r="H39" i="2"/>
  <c r="E28" i="47"/>
  <c r="H17" i="2"/>
  <c r="H58" i="2"/>
  <c r="H18" i="2"/>
  <c r="H22" i="2"/>
  <c r="H26" i="2"/>
  <c r="H29" i="2"/>
  <c r="H36" i="2"/>
  <c r="H53" i="2"/>
  <c r="AG56" i="24"/>
  <c r="K47" i="39"/>
  <c r="AG36" i="40" s="1"/>
  <c r="AF27" i="24"/>
  <c r="I18" i="22"/>
  <c r="AF7" i="40" s="1"/>
  <c r="J63" i="24"/>
  <c r="I54" i="10"/>
  <c r="I57" i="2" l="1"/>
  <c r="C46" i="40" s="1"/>
  <c r="I28" i="1"/>
  <c r="B17" i="40" s="1"/>
  <c r="B54" i="24"/>
  <c r="I44" i="1"/>
  <c r="B33" i="40" s="1"/>
  <c r="I28" i="2"/>
  <c r="C17" i="40" s="1"/>
  <c r="I22" i="1"/>
  <c r="B11" i="40" s="1"/>
  <c r="I40" i="1"/>
  <c r="B29" i="40" s="1"/>
  <c r="B64" i="24"/>
  <c r="B26" i="24"/>
  <c r="I35" i="1"/>
  <c r="B24" i="40" s="1"/>
  <c r="B46" i="24"/>
  <c r="C67" i="24"/>
  <c r="I33" i="1"/>
  <c r="I20" i="1"/>
  <c r="B9" i="40" s="1"/>
  <c r="I23" i="1"/>
  <c r="B12" i="40" s="1"/>
  <c r="C44" i="24"/>
  <c r="I18" i="1"/>
  <c r="B7" i="40" s="1"/>
  <c r="B33" i="24"/>
  <c r="B65" i="24"/>
  <c r="B36" i="24"/>
  <c r="I57" i="1"/>
  <c r="B46" i="40" s="1"/>
  <c r="I38" i="1"/>
  <c r="B48" i="24"/>
  <c r="B62" i="24"/>
  <c r="I19" i="1"/>
  <c r="B8" i="40" s="1"/>
  <c r="I52" i="1"/>
  <c r="B41" i="40" s="1"/>
  <c r="I58" i="1"/>
  <c r="B47" i="40" s="1"/>
  <c r="B51" i="24"/>
  <c r="I48" i="1"/>
  <c r="B37" i="40" s="1"/>
  <c r="B55" i="24"/>
  <c r="B41" i="24"/>
  <c r="B58" i="24"/>
  <c r="I21" i="1"/>
  <c r="B10" i="40" s="1"/>
  <c r="I50" i="1"/>
  <c r="B39" i="40" s="1"/>
  <c r="B60" i="24"/>
  <c r="C36" i="24"/>
  <c r="I36" i="1"/>
  <c r="B25" i="40" s="1"/>
  <c r="B52" i="24"/>
  <c r="I25" i="1"/>
  <c r="B14" i="40" s="1"/>
  <c r="I47" i="1"/>
  <c r="B36" i="40" s="1"/>
  <c r="B50" i="24"/>
  <c r="I24" i="1"/>
  <c r="B13" i="40" s="1"/>
  <c r="K50" i="39"/>
  <c r="AG39" i="40" s="1"/>
  <c r="K51" i="39"/>
  <c r="AG40" i="40" s="1"/>
  <c r="AG66" i="24"/>
  <c r="AG64" i="24"/>
  <c r="AG67" i="24"/>
  <c r="AG61" i="24"/>
  <c r="AG54" i="24"/>
  <c r="AG62" i="24"/>
  <c r="K46" i="39"/>
  <c r="AG35" i="40" s="1"/>
  <c r="K56" i="39"/>
  <c r="AG45" i="40" s="1"/>
  <c r="K54" i="39"/>
  <c r="AG43" i="40" s="1"/>
  <c r="K48" i="39"/>
  <c r="AG37" i="40" s="1"/>
  <c r="K49" i="39"/>
  <c r="AG38" i="40" s="1"/>
  <c r="K44" i="39"/>
  <c r="AG33" i="40" s="1"/>
  <c r="L51" i="38"/>
  <c r="Z40" i="40" s="1"/>
  <c r="Z46" i="24"/>
  <c r="L55" i="38"/>
  <c r="Z44" i="40" s="1"/>
  <c r="L48" i="38"/>
  <c r="Z37" i="40" s="1"/>
  <c r="Z54" i="24"/>
  <c r="L50" i="38"/>
  <c r="Z39" i="40" s="1"/>
  <c r="L38" i="38"/>
  <c r="Z27" i="40" s="1"/>
  <c r="L42" i="38"/>
  <c r="Z31" i="40" s="1"/>
  <c r="Z58" i="24"/>
  <c r="L36" i="38"/>
  <c r="Z25" i="40" s="1"/>
  <c r="Z44" i="24"/>
  <c r="L46" i="38"/>
  <c r="Z35" i="40" s="1"/>
  <c r="Z61" i="24"/>
  <c r="Z50" i="24"/>
  <c r="I53" i="12"/>
  <c r="M42" i="40" s="1"/>
  <c r="B21" i="24"/>
  <c r="H50" i="2"/>
  <c r="AB63" i="24"/>
  <c r="AG63" i="24"/>
  <c r="I36" i="12"/>
  <c r="M25" i="40" s="1"/>
  <c r="AB51" i="24"/>
  <c r="I11" i="2"/>
  <c r="I42" i="19"/>
  <c r="D31" i="40" s="1"/>
  <c r="X40" i="24"/>
  <c r="L37" i="18"/>
  <c r="X26" i="40" s="1"/>
  <c r="G10" i="47"/>
  <c r="Q55" i="24"/>
  <c r="I23" i="24"/>
  <c r="I64" i="24"/>
  <c r="H19" i="50"/>
  <c r="U28" i="24" s="1"/>
  <c r="G23" i="47"/>
  <c r="K53" i="39"/>
  <c r="AG42" i="40" s="1"/>
  <c r="I38" i="4"/>
  <c r="AB27" i="40" s="1"/>
  <c r="S44" i="24"/>
  <c r="J34" i="15"/>
  <c r="P23" i="40" s="1"/>
  <c r="I16" i="50"/>
  <c r="I42" i="1"/>
  <c r="B31" i="40" s="1"/>
  <c r="I39" i="3"/>
  <c r="T28" i="40" s="1"/>
  <c r="I55" i="1"/>
  <c r="B44" i="40" s="1"/>
  <c r="I9" i="1"/>
  <c r="AB40" i="24"/>
  <c r="I31" i="19"/>
  <c r="D20" i="40" s="1"/>
  <c r="J35" i="7"/>
  <c r="G24" i="40" s="1"/>
  <c r="B53" i="24"/>
  <c r="I46" i="22"/>
  <c r="AF35" i="40" s="1"/>
  <c r="B57" i="24"/>
  <c r="I56" i="1"/>
  <c r="B45" i="40" s="1"/>
  <c r="I42" i="20"/>
  <c r="AA31" i="40" s="1"/>
  <c r="S50" i="24"/>
  <c r="K52" i="39"/>
  <c r="AG41" i="40" s="1"/>
  <c r="M22" i="51"/>
  <c r="AE11" i="40" s="1"/>
  <c r="B59" i="24"/>
  <c r="I25" i="5"/>
  <c r="E14" i="40" s="1"/>
  <c r="K19" i="6"/>
  <c r="F8" i="40" s="1"/>
  <c r="I54" i="17"/>
  <c r="S43" i="40" s="1"/>
  <c r="AF66" i="24"/>
  <c r="I21" i="33"/>
  <c r="AD10" i="40" s="1"/>
  <c r="AF26" i="24"/>
  <c r="I41" i="1"/>
  <c r="B30" i="40" s="1"/>
  <c r="AE65" i="24"/>
  <c r="G36" i="24"/>
  <c r="B44" i="24"/>
  <c r="AG53" i="24"/>
  <c r="I49" i="1"/>
  <c r="B38" i="40" s="1"/>
  <c r="I46" i="19"/>
  <c r="D35" i="40" s="1"/>
  <c r="I42" i="17"/>
  <c r="S31" i="40" s="1"/>
  <c r="I45" i="24"/>
  <c r="W42" i="24"/>
  <c r="P49" i="24"/>
  <c r="M44" i="51"/>
  <c r="AE33" i="40" s="1"/>
  <c r="N38" i="24"/>
  <c r="L48" i="24"/>
  <c r="AE63" i="24"/>
  <c r="B67" i="24"/>
  <c r="I45" i="1"/>
  <c r="B34" i="40" s="1"/>
  <c r="O33" i="24"/>
  <c r="J22" i="15"/>
  <c r="P11" i="40" s="1"/>
  <c r="I39" i="16"/>
  <c r="R28" i="40" s="1"/>
  <c r="N50" i="24"/>
  <c r="P53" i="24"/>
  <c r="K57" i="39"/>
  <c r="AG46" i="40" s="1"/>
  <c r="AC56" i="24"/>
  <c r="B47" i="24"/>
  <c r="B56" i="24"/>
  <c r="AG60" i="24"/>
  <c r="I51" i="1"/>
  <c r="B40" i="40" s="1"/>
  <c r="B42" i="24"/>
  <c r="I22" i="8"/>
  <c r="H11" i="40" s="1"/>
  <c r="O35" i="24"/>
  <c r="B29" i="24"/>
  <c r="I39" i="1"/>
  <c r="B28" i="40" s="1"/>
  <c r="AG58" i="24"/>
  <c r="AG65" i="24"/>
  <c r="I42" i="3"/>
  <c r="T31" i="40" s="1"/>
  <c r="AF25" i="24"/>
  <c r="I56" i="22"/>
  <c r="AF45" i="40" s="1"/>
  <c r="AE67" i="24"/>
  <c r="M33" i="51"/>
  <c r="AE22" i="40" s="1"/>
  <c r="I45" i="33"/>
  <c r="AD34" i="40" s="1"/>
  <c r="I56" i="33"/>
  <c r="AD45" i="40" s="1"/>
  <c r="AD41" i="24"/>
  <c r="I32" i="33"/>
  <c r="AD21" i="40" s="1"/>
  <c r="AC36" i="24"/>
  <c r="I23" i="21"/>
  <c r="AC12" i="40" s="1"/>
  <c r="I23" i="22"/>
  <c r="AF12" i="40" s="1"/>
  <c r="J30" i="15"/>
  <c r="P19" i="40" s="1"/>
  <c r="X35" i="24"/>
  <c r="S67" i="24"/>
  <c r="M39" i="51"/>
  <c r="AE28" i="40" s="1"/>
  <c r="K55" i="39"/>
  <c r="AG44" i="40" s="1"/>
  <c r="AC37" i="24"/>
  <c r="I43" i="21"/>
  <c r="AC32" i="40" s="1"/>
  <c r="AD34" i="24"/>
  <c r="AA41" i="24"/>
  <c r="AD55" i="24"/>
  <c r="I51" i="33"/>
  <c r="AD40" i="40" s="1"/>
  <c r="I29" i="22"/>
  <c r="AF18" i="40" s="1"/>
  <c r="I44" i="24"/>
  <c r="M36" i="51"/>
  <c r="AE25" i="40" s="1"/>
  <c r="M18" i="51"/>
  <c r="AE7" i="40" s="1"/>
  <c r="W38" i="24"/>
  <c r="B24" i="24"/>
  <c r="I16" i="1"/>
  <c r="K55" i="35"/>
  <c r="Q44" i="40" s="1"/>
  <c r="I26" i="8"/>
  <c r="H15" i="40" s="1"/>
  <c r="AD66" i="24"/>
  <c r="B45" i="24"/>
  <c r="I7" i="1"/>
  <c r="I43" i="1"/>
  <c r="B32" i="40" s="1"/>
  <c r="I44" i="12"/>
  <c r="M33" i="40" s="1"/>
  <c r="M40" i="51"/>
  <c r="AE29" i="40" s="1"/>
  <c r="Q57" i="24"/>
  <c r="I37" i="1"/>
  <c r="B26" i="40" s="1"/>
  <c r="AE50" i="24"/>
  <c r="B34" i="24"/>
  <c r="I52" i="16"/>
  <c r="R41" i="40" s="1"/>
  <c r="R28" i="24"/>
  <c r="I49" i="24"/>
  <c r="I53" i="24"/>
  <c r="H62" i="24"/>
  <c r="E55" i="24"/>
  <c r="I56" i="5"/>
  <c r="E45" i="40" s="1"/>
  <c r="I32" i="1"/>
  <c r="B21" i="40" s="1"/>
  <c r="I27" i="1"/>
  <c r="B16" i="40" s="1"/>
  <c r="I46" i="1"/>
  <c r="B35" i="40" s="1"/>
  <c r="B27" i="24"/>
  <c r="B66" i="24"/>
  <c r="AG57" i="24"/>
  <c r="K58" i="39"/>
  <c r="AG47" i="40" s="1"/>
  <c r="M37" i="51"/>
  <c r="AE26" i="40" s="1"/>
  <c r="I33" i="33"/>
  <c r="AD22" i="40" s="1"/>
  <c r="I17" i="33"/>
  <c r="AD6" i="40" s="1"/>
  <c r="I46" i="17"/>
  <c r="S35" i="40" s="1"/>
  <c r="I54" i="20"/>
  <c r="AA43" i="40" s="1"/>
  <c r="AA61" i="24"/>
  <c r="R67" i="24"/>
  <c r="I33" i="16"/>
  <c r="R22" i="40" s="1"/>
  <c r="J42" i="15"/>
  <c r="P31" i="40" s="1"/>
  <c r="J46" i="15"/>
  <c r="P35" i="40" s="1"/>
  <c r="I26" i="13"/>
  <c r="N15" i="40" s="1"/>
  <c r="N30" i="24"/>
  <c r="M29" i="24"/>
  <c r="J44" i="24"/>
  <c r="J31" i="7"/>
  <c r="G20" i="40" s="1"/>
  <c r="I42" i="5"/>
  <c r="E31" i="40" s="1"/>
  <c r="I46" i="3"/>
  <c r="T35" i="40" s="1"/>
  <c r="B30" i="24"/>
  <c r="B32" i="24"/>
  <c r="I8" i="1"/>
  <c r="B37" i="24"/>
  <c r="I11" i="1"/>
  <c r="B19" i="24"/>
  <c r="B22" i="24"/>
  <c r="I17" i="1"/>
  <c r="B6" i="40" s="1"/>
  <c r="B61" i="24"/>
  <c r="B28" i="24"/>
  <c r="I53" i="1"/>
  <c r="B42" i="40" s="1"/>
  <c r="B31" i="24"/>
  <c r="B49" i="24"/>
  <c r="I37" i="24"/>
  <c r="I20" i="9"/>
  <c r="I9" i="40" s="1"/>
  <c r="I48" i="8"/>
  <c r="H37" i="40" s="1"/>
  <c r="I40" i="8"/>
  <c r="H29" i="40" s="1"/>
  <c r="I41" i="21"/>
  <c r="AC30" i="40" s="1"/>
  <c r="F36" i="24"/>
  <c r="I31" i="12"/>
  <c r="M20" i="40" s="1"/>
  <c r="J43" i="15"/>
  <c r="P32" i="40" s="1"/>
  <c r="J28" i="15"/>
  <c r="P17" i="40" s="1"/>
  <c r="R52" i="24"/>
  <c r="K52" i="37"/>
  <c r="W41" i="40" s="1"/>
  <c r="M29" i="51"/>
  <c r="AE18" i="40" s="1"/>
  <c r="AF44" i="24"/>
  <c r="AC35" i="24"/>
  <c r="S42" i="24"/>
  <c r="I25" i="11"/>
  <c r="L14" i="40" s="1"/>
  <c r="I14" i="11"/>
  <c r="I34" i="20"/>
  <c r="AA23" i="40" s="1"/>
  <c r="AA43" i="24"/>
  <c r="E52" i="24"/>
  <c r="K18" i="6"/>
  <c r="F7" i="40" s="1"/>
  <c r="I27" i="8"/>
  <c r="H16" i="40" s="1"/>
  <c r="O44" i="24"/>
  <c r="P28" i="24"/>
  <c r="P35" i="24"/>
  <c r="AA38" i="24"/>
  <c r="M25" i="24"/>
  <c r="AC58" i="24"/>
  <c r="I46" i="20"/>
  <c r="AA35" i="40" s="1"/>
  <c r="I26" i="5"/>
  <c r="E15" i="40" s="1"/>
  <c r="G52" i="24"/>
  <c r="I9" i="10"/>
  <c r="W39" i="24"/>
  <c r="AF16" i="24"/>
  <c r="AC43" i="24"/>
  <c r="I25" i="8"/>
  <c r="H14" i="40" s="1"/>
  <c r="K51" i="34"/>
  <c r="K40" i="40" s="1"/>
  <c r="T63" i="24"/>
  <c r="E33" i="24"/>
  <c r="I35" i="8"/>
  <c r="H24" i="40" s="1"/>
  <c r="AA39" i="24"/>
  <c r="I20" i="21"/>
  <c r="AC9" i="40" s="1"/>
  <c r="AB39" i="24"/>
  <c r="E46" i="24"/>
  <c r="F51" i="24"/>
  <c r="I31" i="8"/>
  <c r="H20" i="40" s="1"/>
  <c r="I18" i="14"/>
  <c r="O7" i="40" s="1"/>
  <c r="J48" i="15"/>
  <c r="P37" i="40" s="1"/>
  <c r="M53" i="51"/>
  <c r="AE42" i="40" s="1"/>
  <c r="I27" i="9"/>
  <c r="I16" i="40" s="1"/>
  <c r="I49" i="13"/>
  <c r="N38" i="40" s="1"/>
  <c r="P67" i="24"/>
  <c r="J24" i="15"/>
  <c r="P13" i="40" s="1"/>
  <c r="K41" i="37"/>
  <c r="W30" i="40" s="1"/>
  <c r="AE37" i="24"/>
  <c r="AA40" i="24"/>
  <c r="N42" i="24"/>
  <c r="AF29" i="24"/>
  <c r="I23" i="19"/>
  <c r="D12" i="40" s="1"/>
  <c r="I36" i="5"/>
  <c r="E25" i="40" s="1"/>
  <c r="L25" i="24"/>
  <c r="I45" i="5"/>
  <c r="E34" i="40" s="1"/>
  <c r="I49" i="5"/>
  <c r="E38" i="40" s="1"/>
  <c r="H64" i="24"/>
  <c r="I27" i="10"/>
  <c r="J16" i="40" s="1"/>
  <c r="I29" i="14"/>
  <c r="O18" i="40" s="1"/>
  <c r="I46" i="14"/>
  <c r="O35" i="40" s="1"/>
  <c r="P61" i="24"/>
  <c r="AB48" i="24"/>
  <c r="I27" i="33"/>
  <c r="AD16" i="40" s="1"/>
  <c r="M31" i="51"/>
  <c r="AE20" i="40" s="1"/>
  <c r="I10" i="13"/>
  <c r="J50" i="24"/>
  <c r="I15" i="11"/>
  <c r="W54" i="24"/>
  <c r="D35" i="24"/>
  <c r="I38" i="8"/>
  <c r="H27" i="40" s="1"/>
  <c r="S56" i="24"/>
  <c r="S43" i="24"/>
  <c r="I11" i="13"/>
  <c r="AE22" i="24"/>
  <c r="I58" i="3"/>
  <c r="T47" i="40" s="1"/>
  <c r="I47" i="3"/>
  <c r="T36" i="40" s="1"/>
  <c r="O36" i="24"/>
  <c r="I44" i="17"/>
  <c r="S33" i="40" s="1"/>
  <c r="S53" i="24"/>
  <c r="B40" i="24"/>
  <c r="I31" i="1"/>
  <c r="B20" i="40" s="1"/>
  <c r="I40" i="12"/>
  <c r="M29" i="40" s="1"/>
  <c r="J65" i="24"/>
  <c r="AA26" i="24"/>
  <c r="L36" i="24"/>
  <c r="Q54" i="24"/>
  <c r="AC60" i="24"/>
  <c r="K55" i="34"/>
  <c r="K44" i="40" s="1"/>
  <c r="M22" i="24"/>
  <c r="I54" i="16"/>
  <c r="R43" i="40" s="1"/>
  <c r="L27" i="24"/>
  <c r="I43" i="11"/>
  <c r="L32" i="40" s="1"/>
  <c r="R23" i="24"/>
  <c r="J53" i="7"/>
  <c r="G42" i="40" s="1"/>
  <c r="I21" i="5"/>
  <c r="E10" i="40" s="1"/>
  <c r="I12" i="11"/>
  <c r="O49" i="24"/>
  <c r="I25" i="14"/>
  <c r="O14" i="40" s="1"/>
  <c r="AA58" i="24"/>
  <c r="I39" i="20"/>
  <c r="AA28" i="40" s="1"/>
  <c r="I14" i="19"/>
  <c r="S48" i="24"/>
  <c r="M51" i="51"/>
  <c r="AE40" i="40" s="1"/>
  <c r="I21" i="16"/>
  <c r="R10" i="40" s="1"/>
  <c r="AF23" i="24"/>
  <c r="I49" i="8"/>
  <c r="H38" i="40" s="1"/>
  <c r="K48" i="34"/>
  <c r="K37" i="40" s="1"/>
  <c r="L45" i="24"/>
  <c r="I50" i="19"/>
  <c r="D39" i="40" s="1"/>
  <c r="I33" i="20"/>
  <c r="AA22" i="40" s="1"/>
  <c r="E62" i="24"/>
  <c r="K65" i="24"/>
  <c r="G42" i="24"/>
  <c r="J20" i="15"/>
  <c r="P9" i="40" s="1"/>
  <c r="X42" i="24"/>
  <c r="AF39" i="24"/>
  <c r="G28" i="24"/>
  <c r="P65" i="24"/>
  <c r="I23" i="5"/>
  <c r="E12" i="40" s="1"/>
  <c r="E48" i="24"/>
  <c r="I22" i="5"/>
  <c r="E11" i="40" s="1"/>
  <c r="D31" i="24"/>
  <c r="AA44" i="24"/>
  <c r="AF63" i="24"/>
  <c r="P23" i="24"/>
  <c r="K63" i="24"/>
  <c r="P30" i="24"/>
  <c r="AD62" i="24"/>
  <c r="S60" i="24"/>
  <c r="AF50" i="24"/>
  <c r="L46" i="24"/>
  <c r="I28" i="11"/>
  <c r="L17" i="40" s="1"/>
  <c r="AF19" i="24"/>
  <c r="AF33" i="24"/>
  <c r="I48" i="11"/>
  <c r="L37" i="40" s="1"/>
  <c r="S41" i="24"/>
  <c r="I58" i="33"/>
  <c r="AD47" i="40" s="1"/>
  <c r="AF64" i="24"/>
  <c r="J22" i="7"/>
  <c r="G11" i="40" s="1"/>
  <c r="G50" i="24"/>
  <c r="AE39" i="24"/>
  <c r="R45" i="24"/>
  <c r="K45" i="39"/>
  <c r="AG34" i="40" s="1"/>
  <c r="G60" i="24"/>
  <c r="AF22" i="24"/>
  <c r="AD44" i="24"/>
  <c r="L56" i="24"/>
  <c r="E44" i="24"/>
  <c r="G54" i="24"/>
  <c r="I16" i="21"/>
  <c r="I48" i="5"/>
  <c r="E37" i="40" s="1"/>
  <c r="G34" i="24"/>
  <c r="G46" i="24"/>
  <c r="AC64" i="24"/>
  <c r="AG55" i="24"/>
  <c r="I33" i="5"/>
  <c r="E22" i="40" s="1"/>
  <c r="G27" i="24"/>
  <c r="I62" i="24"/>
  <c r="P48" i="24"/>
  <c r="M21" i="51"/>
  <c r="AE10" i="40" s="1"/>
  <c r="AG59" i="24"/>
  <c r="R49" i="24"/>
  <c r="I52" i="21"/>
  <c r="AC41" i="40" s="1"/>
  <c r="AD43" i="24"/>
  <c r="P25" i="24"/>
  <c r="I27" i="2"/>
  <c r="C16" i="40" s="1"/>
  <c r="I51" i="11"/>
  <c r="L40" i="40" s="1"/>
  <c r="I49" i="12"/>
  <c r="M38" i="40" s="1"/>
  <c r="O52" i="24"/>
  <c r="O17" i="24"/>
  <c r="P50" i="24"/>
  <c r="R53" i="24"/>
  <c r="I53" i="16"/>
  <c r="R42" i="40" s="1"/>
  <c r="X45" i="24"/>
  <c r="AE26" i="24"/>
  <c r="I13" i="2"/>
  <c r="I65" i="24"/>
  <c r="C37" i="24"/>
  <c r="C18" i="24"/>
  <c r="AB58" i="24"/>
  <c r="I39" i="9"/>
  <c r="I28" i="40" s="1"/>
  <c r="I19" i="9"/>
  <c r="I8" i="40" s="1"/>
  <c r="I30" i="10"/>
  <c r="J19" i="40" s="1"/>
  <c r="L49" i="24"/>
  <c r="I33" i="11"/>
  <c r="L22" i="40" s="1"/>
  <c r="I55" i="11"/>
  <c r="L44" i="40" s="1"/>
  <c r="J38" i="15"/>
  <c r="P27" i="40" s="1"/>
  <c r="I55" i="33"/>
  <c r="AD44" i="40" s="1"/>
  <c r="S59" i="24"/>
  <c r="I50" i="17"/>
  <c r="S39" i="40" s="1"/>
  <c r="I58" i="24"/>
  <c r="I50" i="11"/>
  <c r="L39" i="40" s="1"/>
  <c r="N56" i="24"/>
  <c r="I47" i="14"/>
  <c r="O36" i="40" s="1"/>
  <c r="J32" i="15"/>
  <c r="P21" i="40" s="1"/>
  <c r="X56" i="24"/>
  <c r="I31" i="22"/>
  <c r="AF20" i="40" s="1"/>
  <c r="I48" i="22"/>
  <c r="AF37" i="40" s="1"/>
  <c r="I38" i="22"/>
  <c r="AF27" i="40" s="1"/>
  <c r="AF41" i="24"/>
  <c r="AF17" i="24"/>
  <c r="AF62" i="24"/>
  <c r="I25" i="22"/>
  <c r="AF14" i="40" s="1"/>
  <c r="AF35" i="24"/>
  <c r="AF61" i="24"/>
  <c r="I47" i="22"/>
  <c r="AF36" i="40" s="1"/>
  <c r="AF56" i="24"/>
  <c r="AF67" i="24"/>
  <c r="I58" i="22"/>
  <c r="AF47" i="40" s="1"/>
  <c r="AE52" i="24"/>
  <c r="AE34" i="24"/>
  <c r="AE24" i="24"/>
  <c r="M45" i="51"/>
  <c r="AE34" i="40" s="1"/>
  <c r="AE54" i="24"/>
  <c r="M19" i="51"/>
  <c r="AE8" i="40" s="1"/>
  <c r="M48" i="51"/>
  <c r="AE37" i="40" s="1"/>
  <c r="AE57" i="24"/>
  <c r="AE25" i="24"/>
  <c r="AD35" i="24"/>
  <c r="AD58" i="24"/>
  <c r="I48" i="33"/>
  <c r="AD37" i="40" s="1"/>
  <c r="AD37" i="24"/>
  <c r="I52" i="33"/>
  <c r="AD41" i="40" s="1"/>
  <c r="AD31" i="24"/>
  <c r="I50" i="33"/>
  <c r="AD39" i="40" s="1"/>
  <c r="I42" i="33"/>
  <c r="AD31" i="40" s="1"/>
  <c r="AD51" i="24"/>
  <c r="AD28" i="24"/>
  <c r="I47" i="33"/>
  <c r="AD36" i="40" s="1"/>
  <c r="AD56" i="24"/>
  <c r="I57" i="21"/>
  <c r="AC46" i="40" s="1"/>
  <c r="AC67" i="24"/>
  <c r="I58" i="21"/>
  <c r="AC47" i="40" s="1"/>
  <c r="I11" i="21"/>
  <c r="AC20" i="24"/>
  <c r="AC65" i="24"/>
  <c r="I56" i="21"/>
  <c r="AC45" i="40" s="1"/>
  <c r="S65" i="24"/>
  <c r="I56" i="17"/>
  <c r="S45" i="40" s="1"/>
  <c r="I53" i="17"/>
  <c r="S42" i="40" s="1"/>
  <c r="S62" i="24"/>
  <c r="AA65" i="24"/>
  <c r="AA66" i="24"/>
  <c r="I51" i="20"/>
  <c r="AA40" i="40" s="1"/>
  <c r="I53" i="20"/>
  <c r="AA42" i="40" s="1"/>
  <c r="AA33" i="24"/>
  <c r="AA57" i="24"/>
  <c r="I48" i="20"/>
  <c r="AA37" i="40" s="1"/>
  <c r="I55" i="20"/>
  <c r="AA44" i="40" s="1"/>
  <c r="AA64" i="24"/>
  <c r="I52" i="11"/>
  <c r="L41" i="40" s="1"/>
  <c r="I48" i="9"/>
  <c r="I37" i="40" s="1"/>
  <c r="J53" i="24"/>
  <c r="I50" i="16"/>
  <c r="R39" i="40" s="1"/>
  <c r="Q66" i="24"/>
  <c r="I51" i="22"/>
  <c r="AF40" i="40" s="1"/>
  <c r="AF60" i="24"/>
  <c r="I57" i="16"/>
  <c r="R46" i="40" s="1"/>
  <c r="Q65" i="24"/>
  <c r="K51" i="36"/>
  <c r="V40" i="40" s="1"/>
  <c r="AE66" i="24"/>
  <c r="M57" i="51"/>
  <c r="AE46" i="40" s="1"/>
  <c r="AC19" i="24"/>
  <c r="I10" i="21"/>
  <c r="I49" i="22"/>
  <c r="AF38" i="40" s="1"/>
  <c r="AF58" i="24"/>
  <c r="I51" i="5"/>
  <c r="E40" i="40" s="1"/>
  <c r="L28" i="24"/>
  <c r="L40" i="24"/>
  <c r="L47" i="24"/>
  <c r="M64" i="24"/>
  <c r="I15" i="12"/>
  <c r="I45" i="13"/>
  <c r="N34" i="40" s="1"/>
  <c r="I44" i="14"/>
  <c r="O33" i="40" s="1"/>
  <c r="I48" i="14"/>
  <c r="O37" i="40" s="1"/>
  <c r="I51" i="14"/>
  <c r="O40" i="40" s="1"/>
  <c r="J50" i="15"/>
  <c r="P39" i="40" s="1"/>
  <c r="R26" i="24"/>
  <c r="L41" i="38"/>
  <c r="Z30" i="40" s="1"/>
  <c r="AA67" i="24"/>
  <c r="I58" i="20"/>
  <c r="AA47" i="40" s="1"/>
  <c r="AC62" i="24"/>
  <c r="I53" i="21"/>
  <c r="AC42" i="40" s="1"/>
  <c r="I36" i="21"/>
  <c r="AC25" i="40" s="1"/>
  <c r="AC45" i="24"/>
  <c r="S46" i="24"/>
  <c r="I37" i="17"/>
  <c r="S26" i="40" s="1"/>
  <c r="AD40" i="24"/>
  <c r="I31" i="33"/>
  <c r="AD20" i="40" s="1"/>
  <c r="AA36" i="24"/>
  <c r="I27" i="20"/>
  <c r="AA16" i="40" s="1"/>
  <c r="AF54" i="24"/>
  <c r="I45" i="22"/>
  <c r="AF34" i="40" s="1"/>
  <c r="I50" i="21"/>
  <c r="AC39" i="40" s="1"/>
  <c r="AC59" i="24"/>
  <c r="AC42" i="24"/>
  <c r="I33" i="21"/>
  <c r="AC22" i="40" s="1"/>
  <c r="I29" i="21"/>
  <c r="AC18" i="40" s="1"/>
  <c r="AC38" i="24"/>
  <c r="AE51" i="24"/>
  <c r="M42" i="51"/>
  <c r="AE31" i="40" s="1"/>
  <c r="I36" i="17"/>
  <c r="S25" i="40" s="1"/>
  <c r="S45" i="24"/>
  <c r="AF59" i="24"/>
  <c r="I50" i="22"/>
  <c r="AF39" i="40" s="1"/>
  <c r="I28" i="20"/>
  <c r="AA17" i="40" s="1"/>
  <c r="AA37" i="24"/>
  <c r="AF49" i="24"/>
  <c r="I40" i="22"/>
  <c r="AF29" i="40" s="1"/>
  <c r="I21" i="22"/>
  <c r="AF10" i="40" s="1"/>
  <c r="AF30" i="24"/>
  <c r="I24" i="21"/>
  <c r="AC13" i="40" s="1"/>
  <c r="AC33" i="24"/>
  <c r="I43" i="17"/>
  <c r="S32" i="40" s="1"/>
  <c r="S52" i="24"/>
  <c r="AD39" i="24"/>
  <c r="I30" i="33"/>
  <c r="AD19" i="40" s="1"/>
  <c r="AA28" i="24"/>
  <c r="I19" i="20"/>
  <c r="AA8" i="40" s="1"/>
  <c r="I54" i="21"/>
  <c r="AC43" i="40" s="1"/>
  <c r="AC63" i="24"/>
  <c r="I37" i="21"/>
  <c r="AC26" i="40" s="1"/>
  <c r="AC46" i="24"/>
  <c r="M27" i="51"/>
  <c r="AE16" i="40" s="1"/>
  <c r="AE36" i="24"/>
  <c r="AA59" i="24"/>
  <c r="I50" i="20"/>
  <c r="AA39" i="40" s="1"/>
  <c r="AD53" i="24"/>
  <c r="I44" i="33"/>
  <c r="AD33" i="40" s="1"/>
  <c r="AA45" i="24"/>
  <c r="I36" i="20"/>
  <c r="AA25" i="40" s="1"/>
  <c r="I36" i="22"/>
  <c r="AF25" i="40" s="1"/>
  <c r="AF45" i="24"/>
  <c r="AC21" i="24"/>
  <c r="I12" i="21"/>
  <c r="AF24" i="24"/>
  <c r="I15" i="22"/>
  <c r="B23" i="24"/>
  <c r="I14" i="1"/>
  <c r="AC24" i="24"/>
  <c r="I15" i="21"/>
  <c r="I51" i="4"/>
  <c r="AB40" i="40" s="1"/>
  <c r="I50" i="10"/>
  <c r="J39" i="40" s="1"/>
  <c r="I54" i="11"/>
  <c r="L43" i="40" s="1"/>
  <c r="I57" i="11"/>
  <c r="L46" i="40" s="1"/>
  <c r="N65" i="24"/>
  <c r="O54" i="24"/>
  <c r="R46" i="24"/>
  <c r="X66" i="24"/>
  <c r="I47" i="19"/>
  <c r="D36" i="40" s="1"/>
  <c r="I57" i="17"/>
  <c r="S46" i="40" s="1"/>
  <c r="S66" i="24"/>
  <c r="AC26" i="24"/>
  <c r="I17" i="21"/>
  <c r="AC6" i="40" s="1"/>
  <c r="M47" i="51"/>
  <c r="AE36" i="40" s="1"/>
  <c r="AE56" i="24"/>
  <c r="I34" i="1"/>
  <c r="B23" i="40" s="1"/>
  <c r="B43" i="24"/>
  <c r="AD29" i="24"/>
  <c r="I20" i="33"/>
  <c r="AD9" i="40" s="1"/>
  <c r="I23" i="20"/>
  <c r="AA12" i="40" s="1"/>
  <c r="AA32" i="24"/>
  <c r="I39" i="22"/>
  <c r="AF28" i="40" s="1"/>
  <c r="AF48" i="24"/>
  <c r="M55" i="51"/>
  <c r="AE44" i="40" s="1"/>
  <c r="AE64" i="24"/>
  <c r="AC54" i="24"/>
  <c r="I45" i="21"/>
  <c r="AC34" i="40" s="1"/>
  <c r="AC41" i="24"/>
  <c r="I32" i="21"/>
  <c r="AC21" i="40" s="1"/>
  <c r="AC28" i="24"/>
  <c r="I19" i="21"/>
  <c r="AC8" i="40" s="1"/>
  <c r="M35" i="51"/>
  <c r="AE24" i="40" s="1"/>
  <c r="AE44" i="24"/>
  <c r="I38" i="17"/>
  <c r="S27" i="40" s="1"/>
  <c r="S47" i="24"/>
  <c r="I39" i="33"/>
  <c r="AD28" i="40" s="1"/>
  <c r="AD48" i="24"/>
  <c r="I18" i="20"/>
  <c r="AA7" i="40" s="1"/>
  <c r="AA27" i="24"/>
  <c r="AF43" i="24"/>
  <c r="I34" i="22"/>
  <c r="AF23" i="40" s="1"/>
  <c r="I44" i="21"/>
  <c r="AC33" i="40" s="1"/>
  <c r="AC53" i="24"/>
  <c r="AC31" i="24"/>
  <c r="I22" i="21"/>
  <c r="AC11" i="40" s="1"/>
  <c r="AD52" i="24"/>
  <c r="I43" i="33"/>
  <c r="AD32" i="40" s="1"/>
  <c r="AD32" i="24"/>
  <c r="I23" i="33"/>
  <c r="AD12" i="40" s="1"/>
  <c r="AF52" i="24"/>
  <c r="I43" i="22"/>
  <c r="AF32" i="40" s="1"/>
  <c r="AC57" i="24"/>
  <c r="I48" i="21"/>
  <c r="AC37" i="40" s="1"/>
  <c r="I21" i="21"/>
  <c r="AC10" i="40" s="1"/>
  <c r="AC30" i="24"/>
  <c r="M24" i="51"/>
  <c r="AE13" i="40" s="1"/>
  <c r="AE33" i="24"/>
  <c r="I37" i="33"/>
  <c r="AD26" i="40" s="1"/>
  <c r="AD46" i="24"/>
  <c r="I43" i="20"/>
  <c r="AA32" i="40" s="1"/>
  <c r="AA52" i="24"/>
  <c r="AA31" i="24"/>
  <c r="I22" i="20"/>
  <c r="AA11" i="40" s="1"/>
  <c r="AF28" i="24"/>
  <c r="I19" i="22"/>
  <c r="AF8" i="40" s="1"/>
  <c r="I11" i="22"/>
  <c r="AF20" i="24"/>
  <c r="AC16" i="24"/>
  <c r="I7" i="21"/>
  <c r="I14" i="21"/>
  <c r="AC23" i="24"/>
  <c r="S64" i="24"/>
  <c r="I55" i="17"/>
  <c r="S44" i="40" s="1"/>
  <c r="AC55" i="24"/>
  <c r="I46" i="21"/>
  <c r="AC35" i="40" s="1"/>
  <c r="M32" i="51"/>
  <c r="AE21" i="40" s="1"/>
  <c r="AE41" i="24"/>
  <c r="B39" i="24"/>
  <c r="I30" i="1"/>
  <c r="B19" i="40" s="1"/>
  <c r="I44" i="20"/>
  <c r="AA33" i="40" s="1"/>
  <c r="AA53" i="24"/>
  <c r="I26" i="20"/>
  <c r="AA15" i="40" s="1"/>
  <c r="AA35" i="24"/>
  <c r="AF42" i="24"/>
  <c r="I33" i="22"/>
  <c r="AF22" i="40" s="1"/>
  <c r="B63" i="24"/>
  <c r="I54" i="1"/>
  <c r="B43" i="40" s="1"/>
  <c r="AC51" i="24"/>
  <c r="I42" i="21"/>
  <c r="AC31" i="40" s="1"/>
  <c r="I31" i="21"/>
  <c r="AC20" i="40" s="1"/>
  <c r="AC40" i="24"/>
  <c r="AC27" i="24"/>
  <c r="I18" i="21"/>
  <c r="AC7" i="40" s="1"/>
  <c r="AE35" i="24"/>
  <c r="M26" i="51"/>
  <c r="AE15" i="40" s="1"/>
  <c r="S54" i="24"/>
  <c r="I45" i="17"/>
  <c r="S34" i="40" s="1"/>
  <c r="I29" i="33"/>
  <c r="AD18" i="40" s="1"/>
  <c r="AD38" i="24"/>
  <c r="I47" i="20"/>
  <c r="AA36" i="40" s="1"/>
  <c r="AA56" i="24"/>
  <c r="AF36" i="24"/>
  <c r="I27" i="22"/>
  <c r="AF16" i="40" s="1"/>
  <c r="AC47" i="24"/>
  <c r="I38" i="21"/>
  <c r="AC27" i="40" s="1"/>
  <c r="M38" i="51"/>
  <c r="AE27" i="40" s="1"/>
  <c r="AE47" i="24"/>
  <c r="AD49" i="24"/>
  <c r="I40" i="33"/>
  <c r="AD29" i="40" s="1"/>
  <c r="I18" i="33"/>
  <c r="AD7" i="40" s="1"/>
  <c r="AD27" i="24"/>
  <c r="I37" i="22"/>
  <c r="AF26" i="40" s="1"/>
  <c r="AF46" i="24"/>
  <c r="I52" i="17"/>
  <c r="S41" i="40" s="1"/>
  <c r="S61" i="24"/>
  <c r="M50" i="51"/>
  <c r="AE39" i="40" s="1"/>
  <c r="AE59" i="24"/>
  <c r="S49" i="24"/>
  <c r="I40" i="17"/>
  <c r="S29" i="40" s="1"/>
  <c r="I29" i="1"/>
  <c r="B18" i="40" s="1"/>
  <c r="B38" i="24"/>
  <c r="I41" i="33"/>
  <c r="AD30" i="40" s="1"/>
  <c r="AD50" i="24"/>
  <c r="AA46" i="24"/>
  <c r="I37" i="20"/>
  <c r="AA26" i="40" s="1"/>
  <c r="AA34" i="24"/>
  <c r="I25" i="20"/>
  <c r="AA14" i="40" s="1"/>
  <c r="AC17" i="24"/>
  <c r="I8" i="21"/>
  <c r="I13" i="21"/>
  <c r="AC22" i="24"/>
  <c r="AC18" i="24"/>
  <c r="I9" i="21"/>
  <c r="I54" i="33"/>
  <c r="AD43" i="40" s="1"/>
  <c r="AD63" i="24"/>
  <c r="I39" i="21"/>
  <c r="AC28" i="40" s="1"/>
  <c r="AC48" i="24"/>
  <c r="AE29" i="24"/>
  <c r="M20" i="51"/>
  <c r="AE9" i="40" s="1"/>
  <c r="AD47" i="24"/>
  <c r="I38" i="33"/>
  <c r="AD27" i="40" s="1"/>
  <c r="AA47" i="24"/>
  <c r="I38" i="20"/>
  <c r="AA27" i="40" s="1"/>
  <c r="I21" i="20"/>
  <c r="AA10" i="40" s="1"/>
  <c r="AA30" i="24"/>
  <c r="AF31" i="24"/>
  <c r="I22" i="22"/>
  <c r="AF11" i="40" s="1"/>
  <c r="AC44" i="24"/>
  <c r="I35" i="21"/>
  <c r="AC24" i="40" s="1"/>
  <c r="AC39" i="24"/>
  <c r="I30" i="21"/>
  <c r="AC19" i="40" s="1"/>
  <c r="AE58" i="24"/>
  <c r="M49" i="51"/>
  <c r="AE38" i="40" s="1"/>
  <c r="AE32" i="24"/>
  <c r="M23" i="51"/>
  <c r="AE12" i="40" s="1"/>
  <c r="S58" i="24"/>
  <c r="I49" i="17"/>
  <c r="S38" i="40" s="1"/>
  <c r="AA54" i="24"/>
  <c r="I45" i="20"/>
  <c r="AA34" i="40" s="1"/>
  <c r="AF51" i="24"/>
  <c r="I42" i="22"/>
  <c r="AF31" i="40" s="1"/>
  <c r="I25" i="21"/>
  <c r="AC14" i="40" s="1"/>
  <c r="AC34" i="24"/>
  <c r="M34" i="51"/>
  <c r="AE23" i="40" s="1"/>
  <c r="AE43" i="24"/>
  <c r="I36" i="33"/>
  <c r="AD25" i="40" s="1"/>
  <c r="AD45" i="24"/>
  <c r="AA49" i="24"/>
  <c r="I40" i="20"/>
  <c r="AA29" i="40" s="1"/>
  <c r="AF37" i="24"/>
  <c r="I28" i="22"/>
  <c r="AF17" i="40" s="1"/>
  <c r="M52" i="51"/>
  <c r="AE41" i="40" s="1"/>
  <c r="AE61" i="24"/>
  <c r="I40" i="21"/>
  <c r="AC29" i="40" s="1"/>
  <c r="AC49" i="24"/>
  <c r="M46" i="51"/>
  <c r="AE35" i="40" s="1"/>
  <c r="AE55" i="24"/>
  <c r="S57" i="24"/>
  <c r="I48" i="17"/>
  <c r="S37" i="40" s="1"/>
  <c r="B35" i="24"/>
  <c r="I26" i="1"/>
  <c r="B15" i="40" s="1"/>
  <c r="AD33" i="24"/>
  <c r="I24" i="33"/>
  <c r="AD13" i="40" s="1"/>
  <c r="AA50" i="24"/>
  <c r="I41" i="20"/>
  <c r="AA30" i="40" s="1"/>
  <c r="I44" i="22"/>
  <c r="AF33" i="40" s="1"/>
  <c r="AF53" i="24"/>
  <c r="I9" i="22"/>
  <c r="AF18" i="24"/>
  <c r="AE23" i="24"/>
  <c r="M14" i="51"/>
  <c r="AF21" i="24"/>
  <c r="I12" i="22"/>
  <c r="M12" i="51"/>
  <c r="AE21" i="24"/>
  <c r="L37" i="38"/>
  <c r="Z26" i="40" s="1"/>
  <c r="Z64" i="24"/>
  <c r="Z45" i="24"/>
  <c r="Z51" i="24"/>
  <c r="Z59" i="24"/>
  <c r="L35" i="38"/>
  <c r="Z24" i="40" s="1"/>
  <c r="L45" i="38"/>
  <c r="Z34" i="40" s="1"/>
  <c r="Z55" i="24"/>
  <c r="L52" i="38"/>
  <c r="Z41" i="40" s="1"/>
  <c r="Z47" i="24"/>
  <c r="Z60" i="24"/>
  <c r="L49" i="38"/>
  <c r="Z38" i="40" s="1"/>
  <c r="Z67" i="24"/>
  <c r="L58" i="38"/>
  <c r="Z47" i="40" s="1"/>
  <c r="Z57" i="24"/>
  <c r="Z66" i="24"/>
  <c r="L57" i="38"/>
  <c r="Z46" i="40" s="1"/>
  <c r="L53" i="38"/>
  <c r="Z42" i="40" s="1"/>
  <c r="Z62" i="24"/>
  <c r="Z63" i="24"/>
  <c r="L54" i="38"/>
  <c r="Z43" i="40" s="1"/>
  <c r="L40" i="38"/>
  <c r="Z29" i="40" s="1"/>
  <c r="Z49" i="24"/>
  <c r="Z52" i="24"/>
  <c r="L43" i="38"/>
  <c r="Z32" i="40" s="1"/>
  <c r="L56" i="38"/>
  <c r="Z45" i="40" s="1"/>
  <c r="Z65" i="24"/>
  <c r="L47" i="38"/>
  <c r="Z36" i="40" s="1"/>
  <c r="Z56" i="24"/>
  <c r="Z48" i="24"/>
  <c r="L39" i="38"/>
  <c r="Z28" i="40" s="1"/>
  <c r="Z53" i="24"/>
  <c r="L44" i="38"/>
  <c r="Z33" i="40" s="1"/>
  <c r="Z43" i="24"/>
  <c r="L34" i="38"/>
  <c r="Z23" i="40" s="1"/>
  <c r="D29" i="24"/>
  <c r="D33" i="24"/>
  <c r="I36" i="19"/>
  <c r="D25" i="40" s="1"/>
  <c r="I52" i="19"/>
  <c r="D41" i="40" s="1"/>
  <c r="I16" i="19"/>
  <c r="I41" i="19"/>
  <c r="D30" i="40" s="1"/>
  <c r="D19" i="24"/>
  <c r="D36" i="24"/>
  <c r="D20" i="24"/>
  <c r="I7" i="19"/>
  <c r="I57" i="19"/>
  <c r="D46" i="40" s="1"/>
  <c r="D18" i="24"/>
  <c r="D64" i="24"/>
  <c r="D60" i="24"/>
  <c r="I25" i="19"/>
  <c r="D14" i="40" s="1"/>
  <c r="D26" i="24"/>
  <c r="I38" i="19"/>
  <c r="D27" i="40" s="1"/>
  <c r="D27" i="24"/>
  <c r="D17" i="24"/>
  <c r="I48" i="19"/>
  <c r="D37" i="40" s="1"/>
  <c r="I12" i="19"/>
  <c r="I39" i="19"/>
  <c r="D28" i="40" s="1"/>
  <c r="I53" i="19"/>
  <c r="D42" i="40" s="1"/>
  <c r="D54" i="24"/>
  <c r="D22" i="24"/>
  <c r="D44" i="24"/>
  <c r="I37" i="19"/>
  <c r="D26" i="40" s="1"/>
  <c r="I56" i="19"/>
  <c r="D45" i="40" s="1"/>
  <c r="I28" i="19"/>
  <c r="D17" i="40" s="1"/>
  <c r="D37" i="24"/>
  <c r="I19" i="19"/>
  <c r="D8" i="40" s="1"/>
  <c r="D28" i="24"/>
  <c r="I44" i="19"/>
  <c r="D33" i="40" s="1"/>
  <c r="D53" i="24"/>
  <c r="I34" i="19"/>
  <c r="D23" i="40" s="1"/>
  <c r="D43" i="24"/>
  <c r="D52" i="24"/>
  <c r="I43" i="19"/>
  <c r="D32" i="40" s="1"/>
  <c r="I21" i="19"/>
  <c r="D10" i="40" s="1"/>
  <c r="D30" i="24"/>
  <c r="D49" i="24"/>
  <c r="I40" i="19"/>
  <c r="D29" i="40" s="1"/>
  <c r="I29" i="19"/>
  <c r="D18" i="40" s="1"/>
  <c r="D38" i="24"/>
  <c r="D41" i="24"/>
  <c r="I32" i="19"/>
  <c r="D21" i="40" s="1"/>
  <c r="I58" i="19"/>
  <c r="D47" i="40" s="1"/>
  <c r="D67" i="24"/>
  <c r="D42" i="24"/>
  <c r="I33" i="19"/>
  <c r="D22" i="40" s="1"/>
  <c r="I15" i="19"/>
  <c r="D24" i="24"/>
  <c r="D39" i="24"/>
  <c r="I30" i="19"/>
  <c r="D19" i="40" s="1"/>
  <c r="D63" i="24"/>
  <c r="I54" i="19"/>
  <c r="D43" i="40" s="1"/>
  <c r="D58" i="24"/>
  <c r="I49" i="19"/>
  <c r="D38" i="40" s="1"/>
  <c r="K35" i="37"/>
  <c r="W24" i="40" s="1"/>
  <c r="K58" i="37"/>
  <c r="W47" i="40" s="1"/>
  <c r="W41" i="24"/>
  <c r="K24" i="37"/>
  <c r="W13" i="40" s="1"/>
  <c r="K55" i="37"/>
  <c r="W44" i="40" s="1"/>
  <c r="K21" i="37"/>
  <c r="W10" i="40" s="1"/>
  <c r="W55" i="24"/>
  <c r="K47" i="37"/>
  <c r="W36" i="40" s="1"/>
  <c r="K27" i="37"/>
  <c r="W16" i="40" s="1"/>
  <c r="W45" i="24"/>
  <c r="K48" i="37"/>
  <c r="W37" i="40" s="1"/>
  <c r="W32" i="24"/>
  <c r="W63" i="24"/>
  <c r="W46" i="24"/>
  <c r="K37" i="37"/>
  <c r="W26" i="40" s="1"/>
  <c r="K34" i="37"/>
  <c r="W23" i="40" s="1"/>
  <c r="W43" i="24"/>
  <c r="W65" i="24"/>
  <c r="K56" i="37"/>
  <c r="W45" i="40" s="1"/>
  <c r="W49" i="24"/>
  <c r="K40" i="37"/>
  <c r="W29" i="40" s="1"/>
  <c r="K44" i="37"/>
  <c r="W33" i="40" s="1"/>
  <c r="W53" i="24"/>
  <c r="W59" i="24"/>
  <c r="K50" i="37"/>
  <c r="W39" i="40" s="1"/>
  <c r="K25" i="37"/>
  <c r="W14" i="40" s="1"/>
  <c r="W34" i="24"/>
  <c r="K31" i="37"/>
  <c r="W20" i="40" s="1"/>
  <c r="W40" i="24"/>
  <c r="W62" i="24"/>
  <c r="K53" i="37"/>
  <c r="W42" i="40" s="1"/>
  <c r="K22" i="37"/>
  <c r="W11" i="40" s="1"/>
  <c r="W31" i="24"/>
  <c r="K42" i="37"/>
  <c r="W31" i="40" s="1"/>
  <c r="W51" i="24"/>
  <c r="K38" i="37"/>
  <c r="W27" i="40" s="1"/>
  <c r="W47" i="24"/>
  <c r="W35" i="24"/>
  <c r="K26" i="37"/>
  <c r="W15" i="40" s="1"/>
  <c r="K49" i="37"/>
  <c r="W38" i="40" s="1"/>
  <c r="W58" i="24"/>
  <c r="W52" i="24"/>
  <c r="K43" i="37"/>
  <c r="W32" i="40" s="1"/>
  <c r="K51" i="37"/>
  <c r="W40" i="40" s="1"/>
  <c r="W60" i="24"/>
  <c r="W66" i="24"/>
  <c r="K57" i="37"/>
  <c r="W46" i="40" s="1"/>
  <c r="K39" i="37"/>
  <c r="W28" i="40" s="1"/>
  <c r="W48" i="24"/>
  <c r="K28" i="37"/>
  <c r="W17" i="40" s="1"/>
  <c r="W37" i="24"/>
  <c r="X29" i="24"/>
  <c r="X55" i="24"/>
  <c r="X64" i="24"/>
  <c r="L38" i="18"/>
  <c r="X27" i="40" s="1"/>
  <c r="X37" i="24"/>
  <c r="L44" i="18"/>
  <c r="X33" i="40" s="1"/>
  <c r="X60" i="24"/>
  <c r="L27" i="18"/>
  <c r="X16" i="40" s="1"/>
  <c r="L50" i="18"/>
  <c r="X39" i="40" s="1"/>
  <c r="X67" i="24"/>
  <c r="X57" i="24"/>
  <c r="L52" i="18"/>
  <c r="X41" i="40" s="1"/>
  <c r="L56" i="18"/>
  <c r="X45" i="40" s="1"/>
  <c r="L42" i="18"/>
  <c r="X31" i="40" s="1"/>
  <c r="L49" i="18"/>
  <c r="X38" i="40" s="1"/>
  <c r="X44" i="24"/>
  <c r="L53" i="18"/>
  <c r="X42" i="40" s="1"/>
  <c r="X48" i="24"/>
  <c r="X63" i="24"/>
  <c r="L54" i="18"/>
  <c r="X43" i="40" s="1"/>
  <c r="L32" i="18"/>
  <c r="X21" i="40" s="1"/>
  <c r="X41" i="24"/>
  <c r="X28" i="24"/>
  <c r="L19" i="18"/>
  <c r="X8" i="40" s="1"/>
  <c r="X38" i="24"/>
  <c r="L29" i="18"/>
  <c r="X18" i="40" s="1"/>
  <c r="L18" i="18"/>
  <c r="X7" i="40" s="1"/>
  <c r="X27" i="24"/>
  <c r="L24" i="18"/>
  <c r="X13" i="40" s="1"/>
  <c r="X33" i="24"/>
  <c r="X43" i="24"/>
  <c r="L34" i="18"/>
  <c r="X23" i="40" s="1"/>
  <c r="L21" i="18"/>
  <c r="X10" i="40" s="1"/>
  <c r="X30" i="24"/>
  <c r="L23" i="18"/>
  <c r="X12" i="40" s="1"/>
  <c r="X32" i="24"/>
  <c r="X52" i="24"/>
  <c r="L43" i="18"/>
  <c r="X32" i="40" s="1"/>
  <c r="X31" i="24"/>
  <c r="L22" i="18"/>
  <c r="X11" i="40" s="1"/>
  <c r="L25" i="18"/>
  <c r="X14" i="40" s="1"/>
  <c r="X34" i="24"/>
  <c r="L45" i="18"/>
  <c r="X34" i="40" s="1"/>
  <c r="X54" i="24"/>
  <c r="X49" i="24"/>
  <c r="L40" i="18"/>
  <c r="X29" i="40" s="1"/>
  <c r="X26" i="24"/>
  <c r="L17" i="18"/>
  <c r="X6" i="40" s="1"/>
  <c r="X39" i="24"/>
  <c r="L30" i="18"/>
  <c r="X19" i="40" s="1"/>
  <c r="X50" i="24"/>
  <c r="L41" i="18"/>
  <c r="X30" i="40" s="1"/>
  <c r="K52" i="36"/>
  <c r="V41" i="40" s="1"/>
  <c r="K57" i="36"/>
  <c r="V46" i="40" s="1"/>
  <c r="K49" i="36"/>
  <c r="V38" i="40" s="1"/>
  <c r="V57" i="24"/>
  <c r="V56" i="24"/>
  <c r="V53" i="24"/>
  <c r="K53" i="36"/>
  <c r="V42" i="40" s="1"/>
  <c r="K58" i="36"/>
  <c r="V47" i="40" s="1"/>
  <c r="K45" i="36"/>
  <c r="V34" i="40" s="1"/>
  <c r="K46" i="36"/>
  <c r="V35" i="40" s="1"/>
  <c r="V55" i="24"/>
  <c r="V59" i="24"/>
  <c r="K50" i="36"/>
  <c r="V39" i="40" s="1"/>
  <c r="V63" i="24"/>
  <c r="K54" i="36"/>
  <c r="V43" i="40" s="1"/>
  <c r="K55" i="36"/>
  <c r="V44" i="40" s="1"/>
  <c r="V64" i="24"/>
  <c r="V65" i="24"/>
  <c r="K56" i="36"/>
  <c r="V45" i="40" s="1"/>
  <c r="K49" i="35"/>
  <c r="Q38" i="40" s="1"/>
  <c r="K53" i="35"/>
  <c r="Q42" i="40" s="1"/>
  <c r="Q53" i="24"/>
  <c r="K44" i="35"/>
  <c r="Q33" i="40" s="1"/>
  <c r="Q67" i="24"/>
  <c r="K58" i="35"/>
  <c r="Q47" i="40" s="1"/>
  <c r="K47" i="35"/>
  <c r="Q36" i="40" s="1"/>
  <c r="Q56" i="24"/>
  <c r="Q59" i="24"/>
  <c r="K50" i="35"/>
  <c r="Q39" i="40" s="1"/>
  <c r="K51" i="35"/>
  <c r="Q40" i="40" s="1"/>
  <c r="Q60" i="24"/>
  <c r="Q61" i="24"/>
  <c r="K52" i="35"/>
  <c r="Q41" i="40" s="1"/>
  <c r="I28" i="16"/>
  <c r="R17" i="40" s="1"/>
  <c r="I10" i="16"/>
  <c r="R43" i="24"/>
  <c r="I42" i="16"/>
  <c r="R31" i="40" s="1"/>
  <c r="R31" i="24"/>
  <c r="R33" i="24"/>
  <c r="R58" i="24"/>
  <c r="R57" i="24"/>
  <c r="I38" i="16"/>
  <c r="R27" i="40" s="1"/>
  <c r="R60" i="24"/>
  <c r="R50" i="24"/>
  <c r="I18" i="16"/>
  <c r="R7" i="40" s="1"/>
  <c r="R27" i="24"/>
  <c r="I27" i="16"/>
  <c r="R16" i="40" s="1"/>
  <c r="R36" i="24"/>
  <c r="R56" i="24"/>
  <c r="I47" i="16"/>
  <c r="R36" i="40" s="1"/>
  <c r="R21" i="24"/>
  <c r="I12" i="16"/>
  <c r="R29" i="24"/>
  <c r="I20" i="16"/>
  <c r="R9" i="40" s="1"/>
  <c r="I8" i="16"/>
  <c r="R17" i="24"/>
  <c r="R64" i="24"/>
  <c r="I55" i="16"/>
  <c r="R44" i="40" s="1"/>
  <c r="I46" i="16"/>
  <c r="R35" i="40" s="1"/>
  <c r="R55" i="24"/>
  <c r="R25" i="24"/>
  <c r="I16" i="16"/>
  <c r="I23" i="16"/>
  <c r="R12" i="40" s="1"/>
  <c r="R32" i="24"/>
  <c r="I31" i="16"/>
  <c r="R20" i="40" s="1"/>
  <c r="R40" i="24"/>
  <c r="R20" i="24"/>
  <c r="I11" i="16"/>
  <c r="I25" i="16"/>
  <c r="R14" i="40" s="1"/>
  <c r="R34" i="24"/>
  <c r="R41" i="24"/>
  <c r="I32" i="16"/>
  <c r="R21" i="40" s="1"/>
  <c r="I30" i="16"/>
  <c r="R19" i="40" s="1"/>
  <c r="R39" i="24"/>
  <c r="R18" i="24"/>
  <c r="I9" i="16"/>
  <c r="I13" i="16"/>
  <c r="R22" i="24"/>
  <c r="I26" i="16"/>
  <c r="R15" i="40" s="1"/>
  <c r="R35" i="24"/>
  <c r="I35" i="16"/>
  <c r="R24" i="40" s="1"/>
  <c r="R44" i="24"/>
  <c r="I56" i="16"/>
  <c r="R45" i="40" s="1"/>
  <c r="R65" i="24"/>
  <c r="I29" i="16"/>
  <c r="R18" i="40" s="1"/>
  <c r="R38" i="24"/>
  <c r="R24" i="24"/>
  <c r="I15" i="16"/>
  <c r="I45" i="16"/>
  <c r="R34" i="40" s="1"/>
  <c r="R54" i="24"/>
  <c r="R16" i="24"/>
  <c r="I7" i="16"/>
  <c r="P60" i="24"/>
  <c r="J31" i="15"/>
  <c r="P20" i="40" s="1"/>
  <c r="J10" i="15"/>
  <c r="P24" i="24"/>
  <c r="J8" i="15"/>
  <c r="P21" i="24"/>
  <c r="J7" i="15"/>
  <c r="P36" i="24"/>
  <c r="J17" i="15"/>
  <c r="P6" i="40" s="1"/>
  <c r="J33" i="15"/>
  <c r="P22" i="40" s="1"/>
  <c r="P42" i="24"/>
  <c r="P54" i="24"/>
  <c r="J45" i="15"/>
  <c r="P34" i="40" s="1"/>
  <c r="P63" i="24"/>
  <c r="J54" i="15"/>
  <c r="P43" i="40" s="1"/>
  <c r="J13" i="15"/>
  <c r="P22" i="24"/>
  <c r="P32" i="24"/>
  <c r="J23" i="15"/>
  <c r="P12" i="40" s="1"/>
  <c r="J47" i="15"/>
  <c r="P36" i="40" s="1"/>
  <c r="P56" i="24"/>
  <c r="J35" i="15"/>
  <c r="P24" i="40" s="1"/>
  <c r="P44" i="24"/>
  <c r="J49" i="15"/>
  <c r="P38" i="40" s="1"/>
  <c r="P58" i="24"/>
  <c r="P64" i="24"/>
  <c r="J55" i="15"/>
  <c r="P44" i="40" s="1"/>
  <c r="J18" i="15"/>
  <c r="P7" i="40" s="1"/>
  <c r="P27" i="24"/>
  <c r="J9" i="15"/>
  <c r="P18" i="24"/>
  <c r="J25" i="15"/>
  <c r="P14" i="40" s="1"/>
  <c r="P34" i="24"/>
  <c r="P45" i="24"/>
  <c r="J36" i="15"/>
  <c r="P25" i="40" s="1"/>
  <c r="J37" i="15"/>
  <c r="P26" i="40" s="1"/>
  <c r="P46" i="24"/>
  <c r="J11" i="15"/>
  <c r="P20" i="24"/>
  <c r="P62" i="24"/>
  <c r="J53" i="15"/>
  <c r="P42" i="40" s="1"/>
  <c r="P66" i="24"/>
  <c r="J57" i="15"/>
  <c r="P46" i="40" s="1"/>
  <c r="P38" i="24"/>
  <c r="J29" i="15"/>
  <c r="P18" i="40" s="1"/>
  <c r="I9" i="14"/>
  <c r="O39" i="24"/>
  <c r="I50" i="14"/>
  <c r="O39" i="40" s="1"/>
  <c r="O58" i="24"/>
  <c r="I12" i="14"/>
  <c r="O37" i="24"/>
  <c r="O65" i="24"/>
  <c r="I10" i="14"/>
  <c r="O67" i="24"/>
  <c r="I57" i="14"/>
  <c r="O46" i="40" s="1"/>
  <c r="I11" i="14"/>
  <c r="O64" i="24"/>
  <c r="O16" i="24"/>
  <c r="O40" i="24"/>
  <c r="I54" i="14"/>
  <c r="O43" i="40" s="1"/>
  <c r="I23" i="14"/>
  <c r="O12" i="40" s="1"/>
  <c r="I42" i="14"/>
  <c r="O31" i="40" s="1"/>
  <c r="O51" i="24"/>
  <c r="O62" i="24"/>
  <c r="I53" i="14"/>
  <c r="O42" i="40" s="1"/>
  <c r="I16" i="14"/>
  <c r="O25" i="24"/>
  <c r="I15" i="14"/>
  <c r="O24" i="24"/>
  <c r="O43" i="24"/>
  <c r="I34" i="14"/>
  <c r="O23" i="40" s="1"/>
  <c r="O48" i="24"/>
  <c r="I39" i="14"/>
  <c r="O28" i="40" s="1"/>
  <c r="I13" i="14"/>
  <c r="O22" i="24"/>
  <c r="I37" i="14"/>
  <c r="O26" i="40" s="1"/>
  <c r="O46" i="24"/>
  <c r="O61" i="24"/>
  <c r="I52" i="14"/>
  <c r="O41" i="40" s="1"/>
  <c r="I38" i="14"/>
  <c r="O27" i="40" s="1"/>
  <c r="O47" i="24"/>
  <c r="O26" i="24"/>
  <c r="I17" i="14"/>
  <c r="O6" i="40" s="1"/>
  <c r="O28" i="24"/>
  <c r="I19" i="14"/>
  <c r="O8" i="40" s="1"/>
  <c r="O23" i="24"/>
  <c r="I14" i="14"/>
  <c r="O31" i="24"/>
  <c r="I22" i="14"/>
  <c r="O11" i="40" s="1"/>
  <c r="I41" i="14"/>
  <c r="O30" i="40" s="1"/>
  <c r="O50" i="24"/>
  <c r="I20" i="14"/>
  <c r="O9" i="40" s="1"/>
  <c r="O29" i="24"/>
  <c r="I21" i="14"/>
  <c r="O10" i="40" s="1"/>
  <c r="O30" i="24"/>
  <c r="I32" i="14"/>
  <c r="O21" i="40" s="1"/>
  <c r="O41" i="24"/>
  <c r="I33" i="14"/>
  <c r="O22" i="40" s="1"/>
  <c r="O42" i="24"/>
  <c r="I36" i="14"/>
  <c r="O25" i="40" s="1"/>
  <c r="O45" i="24"/>
  <c r="I38" i="13"/>
  <c r="N27" i="40" s="1"/>
  <c r="I8" i="13"/>
  <c r="I55" i="13"/>
  <c r="N44" i="40" s="1"/>
  <c r="N53" i="24"/>
  <c r="I48" i="13"/>
  <c r="N37" i="40" s="1"/>
  <c r="I50" i="13"/>
  <c r="N39" i="40" s="1"/>
  <c r="I18" i="13"/>
  <c r="N7" i="40" s="1"/>
  <c r="N41" i="24"/>
  <c r="I54" i="13"/>
  <c r="N43" i="40" s="1"/>
  <c r="N34" i="24"/>
  <c r="I15" i="13"/>
  <c r="N66" i="24"/>
  <c r="N43" i="24"/>
  <c r="I42" i="13"/>
  <c r="N31" i="40" s="1"/>
  <c r="I37" i="13"/>
  <c r="N26" i="40" s="1"/>
  <c r="I51" i="13"/>
  <c r="N40" i="40" s="1"/>
  <c r="I9" i="13"/>
  <c r="N18" i="24"/>
  <c r="N49" i="24"/>
  <c r="I40" i="13"/>
  <c r="N29" i="40" s="1"/>
  <c r="N23" i="24"/>
  <c r="I14" i="13"/>
  <c r="N32" i="24"/>
  <c r="I23" i="13"/>
  <c r="N12" i="40" s="1"/>
  <c r="I7" i="13"/>
  <c r="N16" i="24"/>
  <c r="N22" i="24"/>
  <c r="I13" i="13"/>
  <c r="N52" i="24"/>
  <c r="I43" i="13"/>
  <c r="N32" i="40" s="1"/>
  <c r="I12" i="13"/>
  <c r="N21" i="24"/>
  <c r="N61" i="24"/>
  <c r="I52" i="13"/>
  <c r="N41" i="40" s="1"/>
  <c r="I31" i="13"/>
  <c r="N20" i="40" s="1"/>
  <c r="N40" i="24"/>
  <c r="N48" i="24"/>
  <c r="I39" i="13"/>
  <c r="N28" i="40" s="1"/>
  <c r="I35" i="13"/>
  <c r="N24" i="40" s="1"/>
  <c r="N44" i="24"/>
  <c r="I27" i="13"/>
  <c r="N16" i="40" s="1"/>
  <c r="N36" i="24"/>
  <c r="N26" i="24"/>
  <c r="I17" i="13"/>
  <c r="N6" i="40" s="1"/>
  <c r="I36" i="13"/>
  <c r="N25" i="40" s="1"/>
  <c r="N45" i="24"/>
  <c r="N67" i="24"/>
  <c r="I58" i="13"/>
  <c r="N47" i="40" s="1"/>
  <c r="N37" i="24"/>
  <c r="I28" i="13"/>
  <c r="N17" i="40" s="1"/>
  <c r="I16" i="13"/>
  <c r="N25" i="24"/>
  <c r="N29" i="24"/>
  <c r="I20" i="13"/>
  <c r="N9" i="40" s="1"/>
  <c r="N55" i="24"/>
  <c r="I46" i="13"/>
  <c r="N35" i="40" s="1"/>
  <c r="N28" i="24"/>
  <c r="I19" i="13"/>
  <c r="N8" i="40" s="1"/>
  <c r="I53" i="13"/>
  <c r="N42" i="40" s="1"/>
  <c r="N62" i="24"/>
  <c r="N33" i="24"/>
  <c r="I24" i="13"/>
  <c r="N13" i="40" s="1"/>
  <c r="I30" i="13"/>
  <c r="N19" i="40" s="1"/>
  <c r="N39" i="24"/>
  <c r="M33" i="24"/>
  <c r="I46" i="12"/>
  <c r="M35" i="40" s="1"/>
  <c r="I54" i="12"/>
  <c r="M43" i="40" s="1"/>
  <c r="I47" i="12"/>
  <c r="M36" i="40" s="1"/>
  <c r="I51" i="12"/>
  <c r="M40" i="40" s="1"/>
  <c r="M35" i="24"/>
  <c r="M36" i="24"/>
  <c r="M28" i="24"/>
  <c r="M27" i="24"/>
  <c r="M57" i="24"/>
  <c r="M32" i="24"/>
  <c r="I43" i="12"/>
  <c r="M32" i="40" s="1"/>
  <c r="I17" i="12"/>
  <c r="M6" i="40" s="1"/>
  <c r="M48" i="24"/>
  <c r="I32" i="12"/>
  <c r="M21" i="40" s="1"/>
  <c r="I38" i="12"/>
  <c r="M27" i="40" s="1"/>
  <c r="I52" i="12"/>
  <c r="M41" i="40" s="1"/>
  <c r="I57" i="12"/>
  <c r="M46" i="40" s="1"/>
  <c r="M18" i="24"/>
  <c r="I9" i="12"/>
  <c r="I41" i="12"/>
  <c r="M30" i="40" s="1"/>
  <c r="I11" i="12"/>
  <c r="M59" i="24"/>
  <c r="I50" i="12"/>
  <c r="M39" i="40" s="1"/>
  <c r="M44" i="24"/>
  <c r="I35" i="12"/>
  <c r="M24" i="40" s="1"/>
  <c r="M38" i="24"/>
  <c r="I29" i="12"/>
  <c r="M18" i="40" s="1"/>
  <c r="M23" i="24"/>
  <c r="I14" i="12"/>
  <c r="M54" i="24"/>
  <c r="I45" i="12"/>
  <c r="M34" i="40" s="1"/>
  <c r="I56" i="12"/>
  <c r="M45" i="40" s="1"/>
  <c r="M65" i="24"/>
  <c r="I7" i="12"/>
  <c r="M16" i="24"/>
  <c r="M46" i="24"/>
  <c r="I37" i="12"/>
  <c r="M26" i="40" s="1"/>
  <c r="M30" i="24"/>
  <c r="I21" i="12"/>
  <c r="M10" i="40" s="1"/>
  <c r="I42" i="12"/>
  <c r="M31" i="40" s="1"/>
  <c r="M51" i="24"/>
  <c r="I8" i="12"/>
  <c r="M17" i="24"/>
  <c r="M39" i="24"/>
  <c r="I30" i="12"/>
  <c r="M19" i="40" s="1"/>
  <c r="M37" i="24"/>
  <c r="I28" i="12"/>
  <c r="M17" i="40" s="1"/>
  <c r="I25" i="12"/>
  <c r="M14" i="40" s="1"/>
  <c r="M34" i="24"/>
  <c r="M43" i="24"/>
  <c r="I34" i="12"/>
  <c r="M23" i="40" s="1"/>
  <c r="I33" i="12"/>
  <c r="M22" i="40" s="1"/>
  <c r="M42" i="24"/>
  <c r="I10" i="12"/>
  <c r="M19" i="24"/>
  <c r="M67" i="24"/>
  <c r="I58" i="12"/>
  <c r="M47" i="40" s="1"/>
  <c r="I22" i="12"/>
  <c r="M11" i="40" s="1"/>
  <c r="M31" i="24"/>
  <c r="I12" i="12"/>
  <c r="M21" i="24"/>
  <c r="I7" i="11"/>
  <c r="I17" i="11"/>
  <c r="L6" i="40" s="1"/>
  <c r="L44" i="24"/>
  <c r="L65" i="24"/>
  <c r="L54" i="24"/>
  <c r="L50" i="24"/>
  <c r="I20" i="11"/>
  <c r="L9" i="40" s="1"/>
  <c r="L35" i="24"/>
  <c r="L51" i="24"/>
  <c r="I30" i="11"/>
  <c r="L19" i="40" s="1"/>
  <c r="L19" i="24"/>
  <c r="L58" i="24"/>
  <c r="L43" i="24"/>
  <c r="I21" i="11"/>
  <c r="L10" i="40" s="1"/>
  <c r="I46" i="11"/>
  <c r="L35" i="40" s="1"/>
  <c r="I22" i="11"/>
  <c r="L11" i="40" s="1"/>
  <c r="L67" i="24"/>
  <c r="I23" i="11"/>
  <c r="L12" i="40" s="1"/>
  <c r="L17" i="24"/>
  <c r="I13" i="11"/>
  <c r="L38" i="24"/>
  <c r="I32" i="11"/>
  <c r="L21" i="40" s="1"/>
  <c r="I53" i="11"/>
  <c r="L42" i="40" s="1"/>
  <c r="L33" i="24"/>
  <c r="I11" i="11"/>
  <c r="L20" i="24"/>
  <c r="L18" i="24"/>
  <c r="I9" i="11"/>
  <c r="I44" i="11"/>
  <c r="L33" i="40" s="1"/>
  <c r="L53" i="24"/>
  <c r="K46" i="34"/>
  <c r="K35" i="40" s="1"/>
  <c r="K54" i="24"/>
  <c r="K67" i="24"/>
  <c r="K44" i="34"/>
  <c r="K33" i="40" s="1"/>
  <c r="K47" i="34"/>
  <c r="K36" i="40" s="1"/>
  <c r="K66" i="24"/>
  <c r="K57" i="34"/>
  <c r="K46" i="40" s="1"/>
  <c r="K61" i="24"/>
  <c r="K52" i="34"/>
  <c r="K41" i="40" s="1"/>
  <c r="K50" i="34"/>
  <c r="K39" i="40" s="1"/>
  <c r="K59" i="24"/>
  <c r="K53" i="34"/>
  <c r="K42" i="40" s="1"/>
  <c r="K62" i="24"/>
  <c r="K58" i="24"/>
  <c r="K49" i="34"/>
  <c r="K38" i="40" s="1"/>
  <c r="J30" i="24"/>
  <c r="I53" i="10"/>
  <c r="J42" i="40" s="1"/>
  <c r="J25" i="24"/>
  <c r="J58" i="24"/>
  <c r="I34" i="10"/>
  <c r="J23" i="40" s="1"/>
  <c r="I15" i="10"/>
  <c r="J57" i="24"/>
  <c r="J46" i="24"/>
  <c r="I45" i="10"/>
  <c r="J34" i="40" s="1"/>
  <c r="I58" i="10"/>
  <c r="J47" i="40" s="1"/>
  <c r="J27" i="24"/>
  <c r="I17" i="10"/>
  <c r="J6" i="40" s="1"/>
  <c r="I51" i="10"/>
  <c r="J40" i="40" s="1"/>
  <c r="I20" i="10"/>
  <c r="J9" i="40" s="1"/>
  <c r="I13" i="10"/>
  <c r="I38" i="10"/>
  <c r="J27" i="40" s="1"/>
  <c r="J16" i="24"/>
  <c r="I22" i="10"/>
  <c r="J11" i="40" s="1"/>
  <c r="J34" i="24"/>
  <c r="I14" i="10"/>
  <c r="J61" i="24"/>
  <c r="I52" i="10"/>
  <c r="J41" i="40" s="1"/>
  <c r="J66" i="24"/>
  <c r="I57" i="10"/>
  <c r="J46" i="40" s="1"/>
  <c r="J42" i="24"/>
  <c r="I28" i="10"/>
  <c r="J17" i="40" s="1"/>
  <c r="J37" i="24"/>
  <c r="J48" i="24"/>
  <c r="I39" i="10"/>
  <c r="J28" i="40" s="1"/>
  <c r="J32" i="24"/>
  <c r="I23" i="10"/>
  <c r="J12" i="40" s="1"/>
  <c r="I42" i="10"/>
  <c r="J31" i="40" s="1"/>
  <c r="J51" i="24"/>
  <c r="I47" i="10"/>
  <c r="J36" i="40" s="1"/>
  <c r="J56" i="24"/>
  <c r="I40" i="10"/>
  <c r="J29" i="40" s="1"/>
  <c r="J49" i="24"/>
  <c r="J52" i="24"/>
  <c r="I43" i="10"/>
  <c r="J32" i="40" s="1"/>
  <c r="J35" i="24"/>
  <c r="I26" i="10"/>
  <c r="J15" i="40" s="1"/>
  <c r="I31" i="10"/>
  <c r="J20" i="40" s="1"/>
  <c r="J40" i="24"/>
  <c r="J28" i="24"/>
  <c r="I19" i="10"/>
  <c r="J8" i="40" s="1"/>
  <c r="J17" i="24"/>
  <c r="I8" i="10"/>
  <c r="J41" i="24"/>
  <c r="I32" i="10"/>
  <c r="J21" i="40" s="1"/>
  <c r="J19" i="24"/>
  <c r="I10" i="10"/>
  <c r="J45" i="24"/>
  <c r="I36" i="10"/>
  <c r="J25" i="40" s="1"/>
  <c r="I24" i="10"/>
  <c r="J13" i="40" s="1"/>
  <c r="J33" i="24"/>
  <c r="I46" i="10"/>
  <c r="J35" i="40" s="1"/>
  <c r="J55" i="24"/>
  <c r="J64" i="24"/>
  <c r="I55" i="10"/>
  <c r="J44" i="40" s="1"/>
  <c r="I11" i="10"/>
  <c r="J20" i="24"/>
  <c r="I12" i="10"/>
  <c r="J21" i="24"/>
  <c r="I29" i="10"/>
  <c r="J18" i="40" s="1"/>
  <c r="J38" i="24"/>
  <c r="I52" i="24"/>
  <c r="I31" i="9"/>
  <c r="I20" i="40" s="1"/>
  <c r="I23" i="9"/>
  <c r="I12" i="40" s="1"/>
  <c r="I29" i="9"/>
  <c r="I18" i="40" s="1"/>
  <c r="I51" i="24"/>
  <c r="I50" i="9"/>
  <c r="I39" i="40" s="1"/>
  <c r="I19" i="24"/>
  <c r="I18" i="24"/>
  <c r="I57" i="9"/>
  <c r="I46" i="40" s="1"/>
  <c r="I51" i="9"/>
  <c r="I40" i="40" s="1"/>
  <c r="I16" i="9"/>
  <c r="I8" i="9"/>
  <c r="I20" i="24"/>
  <c r="I12" i="9"/>
  <c r="I41" i="24"/>
  <c r="I32" i="9"/>
  <c r="I21" i="40" s="1"/>
  <c r="I67" i="24"/>
  <c r="I58" i="9"/>
  <c r="I47" i="40" s="1"/>
  <c r="I13" i="9"/>
  <c r="I22" i="24"/>
  <c r="I63" i="24"/>
  <c r="I54" i="9"/>
  <c r="I43" i="40" s="1"/>
  <c r="I46" i="24"/>
  <c r="I37" i="9"/>
  <c r="I26" i="40" s="1"/>
  <c r="I27" i="24"/>
  <c r="I18" i="9"/>
  <c r="I7" i="40" s="1"/>
  <c r="I35" i="24"/>
  <c r="I26" i="9"/>
  <c r="I15" i="40" s="1"/>
  <c r="I52" i="9"/>
  <c r="I41" i="40" s="1"/>
  <c r="I61" i="24"/>
  <c r="I46" i="9"/>
  <c r="I35" i="40" s="1"/>
  <c r="I55" i="24"/>
  <c r="I47" i="9"/>
  <c r="I36" i="40" s="1"/>
  <c r="I56" i="24"/>
  <c r="I33" i="9"/>
  <c r="I22" i="40" s="1"/>
  <c r="I42" i="24"/>
  <c r="I24" i="24"/>
  <c r="I15" i="9"/>
  <c r="I21" i="9"/>
  <c r="I10" i="40" s="1"/>
  <c r="I30" i="24"/>
  <c r="I26" i="24"/>
  <c r="I17" i="9"/>
  <c r="I6" i="40" s="1"/>
  <c r="I38" i="9"/>
  <c r="I27" i="40" s="1"/>
  <c r="I47" i="24"/>
  <c r="I45" i="9"/>
  <c r="I34" i="40" s="1"/>
  <c r="I54" i="24"/>
  <c r="I30" i="9"/>
  <c r="I19" i="40" s="1"/>
  <c r="I39" i="24"/>
  <c r="I7" i="9"/>
  <c r="I16" i="24"/>
  <c r="I25" i="9"/>
  <c r="I14" i="40" s="1"/>
  <c r="I34" i="24"/>
  <c r="I34" i="9"/>
  <c r="I23" i="40" s="1"/>
  <c r="I43" i="24"/>
  <c r="I50" i="24"/>
  <c r="I41" i="9"/>
  <c r="I30" i="40" s="1"/>
  <c r="I24" i="9"/>
  <c r="I13" i="40" s="1"/>
  <c r="I33" i="24"/>
  <c r="H14" i="47"/>
  <c r="H30" i="47"/>
  <c r="I28" i="8"/>
  <c r="H17" i="40" s="1"/>
  <c r="I34" i="8"/>
  <c r="H23" i="40" s="1"/>
  <c r="H46" i="24"/>
  <c r="H21" i="47"/>
  <c r="I29" i="8"/>
  <c r="H18" i="40" s="1"/>
  <c r="H39" i="24"/>
  <c r="H20" i="24"/>
  <c r="H27" i="24"/>
  <c r="I54" i="8"/>
  <c r="H43" i="40" s="1"/>
  <c r="I20" i="8"/>
  <c r="H9" i="40" s="1"/>
  <c r="I13" i="8"/>
  <c r="I23" i="8"/>
  <c r="H12" i="40" s="1"/>
  <c r="I51" i="8"/>
  <c r="H40" i="40" s="1"/>
  <c r="I44" i="8"/>
  <c r="H33" i="40" s="1"/>
  <c r="I15" i="8"/>
  <c r="H41" i="24"/>
  <c r="I57" i="8"/>
  <c r="H46" i="40" s="1"/>
  <c r="I24" i="8"/>
  <c r="H13" i="40" s="1"/>
  <c r="H28" i="24"/>
  <c r="H19" i="24"/>
  <c r="I56" i="8"/>
  <c r="H45" i="40" s="1"/>
  <c r="I45" i="8"/>
  <c r="H34" i="40" s="1"/>
  <c r="I9" i="8"/>
  <c r="I43" i="8"/>
  <c r="H32" i="40" s="1"/>
  <c r="I8" i="8"/>
  <c r="I33" i="8"/>
  <c r="H22" i="40" s="1"/>
  <c r="I52" i="8"/>
  <c r="H41" i="40" s="1"/>
  <c r="I21" i="8"/>
  <c r="H10" i="40" s="1"/>
  <c r="H67" i="24"/>
  <c r="I58" i="8"/>
  <c r="H47" i="40" s="1"/>
  <c r="I36" i="8"/>
  <c r="H25" i="40" s="1"/>
  <c r="H45" i="24"/>
  <c r="H23" i="24"/>
  <c r="I14" i="8"/>
  <c r="H59" i="24"/>
  <c r="I50" i="8"/>
  <c r="H39" i="40" s="1"/>
  <c r="H26" i="24"/>
  <c r="I17" i="8"/>
  <c r="H6" i="40" s="1"/>
  <c r="H21" i="24"/>
  <c r="I12" i="8"/>
  <c r="H55" i="24"/>
  <c r="I46" i="8"/>
  <c r="H35" i="40" s="1"/>
  <c r="I41" i="8"/>
  <c r="H30" i="40" s="1"/>
  <c r="H50" i="24"/>
  <c r="H56" i="24"/>
  <c r="I47" i="8"/>
  <c r="H36" i="40" s="1"/>
  <c r="H16" i="24"/>
  <c r="I7" i="8"/>
  <c r="H25" i="24"/>
  <c r="I16" i="8"/>
  <c r="I42" i="8"/>
  <c r="H31" i="40" s="1"/>
  <c r="H51" i="24"/>
  <c r="I39" i="8"/>
  <c r="H28" i="40" s="1"/>
  <c r="H48" i="24"/>
  <c r="G21" i="24"/>
  <c r="H36" i="47"/>
  <c r="G56" i="24"/>
  <c r="G59" i="24"/>
  <c r="G53" i="24"/>
  <c r="G24" i="24"/>
  <c r="J55" i="7"/>
  <c r="G44" i="40" s="1"/>
  <c r="J42" i="7"/>
  <c r="G31" i="40" s="1"/>
  <c r="G19" i="24"/>
  <c r="J56" i="7"/>
  <c r="G45" i="40" s="1"/>
  <c r="G22" i="24"/>
  <c r="J16" i="7"/>
  <c r="G17" i="24"/>
  <c r="G20" i="24"/>
  <c r="G57" i="24"/>
  <c r="J9" i="7"/>
  <c r="G67" i="24"/>
  <c r="G45" i="24"/>
  <c r="J7" i="7"/>
  <c r="G29" i="24"/>
  <c r="G26" i="24"/>
  <c r="J52" i="7"/>
  <c r="G41" i="40" s="1"/>
  <c r="G39" i="24"/>
  <c r="J30" i="7"/>
  <c r="G19" i="40" s="1"/>
  <c r="J28" i="7"/>
  <c r="G17" i="40" s="1"/>
  <c r="G37" i="24"/>
  <c r="G43" i="24"/>
  <c r="J34" i="7"/>
  <c r="G23" i="40" s="1"/>
  <c r="G63" i="24"/>
  <c r="J54" i="7"/>
  <c r="G43" i="40" s="1"/>
  <c r="G58" i="24"/>
  <c r="J49" i="7"/>
  <c r="G38" i="40" s="1"/>
  <c r="G30" i="24"/>
  <c r="J21" i="7"/>
  <c r="G10" i="40" s="1"/>
  <c r="G49" i="24"/>
  <c r="J40" i="7"/>
  <c r="G29" i="40" s="1"/>
  <c r="G55" i="24"/>
  <c r="J46" i="7"/>
  <c r="G35" i="40" s="1"/>
  <c r="G23" i="24"/>
  <c r="J14" i="7"/>
  <c r="G35" i="24"/>
  <c r="J26" i="7"/>
  <c r="G15" i="40" s="1"/>
  <c r="G41" i="24"/>
  <c r="J32" i="7"/>
  <c r="G21" i="40" s="1"/>
  <c r="J24" i="7"/>
  <c r="G13" i="40" s="1"/>
  <c r="G33" i="24"/>
  <c r="G48" i="24"/>
  <c r="J39" i="7"/>
  <c r="G28" i="40" s="1"/>
  <c r="G47" i="24"/>
  <c r="J38" i="7"/>
  <c r="G27" i="40" s="1"/>
  <c r="J57" i="7"/>
  <c r="G46" i="40" s="1"/>
  <c r="G66" i="24"/>
  <c r="J23" i="7"/>
  <c r="G12" i="40" s="1"/>
  <c r="G32" i="24"/>
  <c r="J29" i="7"/>
  <c r="G18" i="40" s="1"/>
  <c r="G38" i="24"/>
  <c r="K39" i="6"/>
  <c r="F28" i="40" s="1"/>
  <c r="H19" i="47"/>
  <c r="F52" i="24"/>
  <c r="K50" i="6"/>
  <c r="F39" i="40" s="1"/>
  <c r="H23" i="47"/>
  <c r="K17" i="6"/>
  <c r="F6" i="40" s="1"/>
  <c r="F58" i="24"/>
  <c r="F45" i="24"/>
  <c r="K34" i="6"/>
  <c r="F23" i="40" s="1"/>
  <c r="K28" i="6"/>
  <c r="F17" i="40" s="1"/>
  <c r="F56" i="24"/>
  <c r="F54" i="24"/>
  <c r="F62" i="24"/>
  <c r="F65" i="24"/>
  <c r="F66" i="24"/>
  <c r="K51" i="6"/>
  <c r="F40" i="40" s="1"/>
  <c r="K41" i="6"/>
  <c r="F30" i="40" s="1"/>
  <c r="K44" i="6"/>
  <c r="F33" i="40" s="1"/>
  <c r="K26" i="6"/>
  <c r="F15" i="40" s="1"/>
  <c r="F57" i="24"/>
  <c r="K48" i="6"/>
  <c r="F37" i="40" s="1"/>
  <c r="F42" i="24"/>
  <c r="K33" i="6"/>
  <c r="F22" i="40" s="1"/>
  <c r="F44" i="24"/>
  <c r="K35" i="6"/>
  <c r="F24" i="40" s="1"/>
  <c r="K55" i="6"/>
  <c r="F44" i="40" s="1"/>
  <c r="F64" i="24"/>
  <c r="F32" i="24"/>
  <c r="K23" i="6"/>
  <c r="F12" i="40" s="1"/>
  <c r="F49" i="24"/>
  <c r="K40" i="6"/>
  <c r="F29" i="40" s="1"/>
  <c r="K20" i="6"/>
  <c r="F9" i="40" s="1"/>
  <c r="F29" i="24"/>
  <c r="F31" i="24"/>
  <c r="K22" i="6"/>
  <c r="F11" i="40" s="1"/>
  <c r="F67" i="24"/>
  <c r="K58" i="6"/>
  <c r="F47" i="40" s="1"/>
  <c r="K52" i="6"/>
  <c r="F41" i="40" s="1"/>
  <c r="F61" i="24"/>
  <c r="K25" i="6"/>
  <c r="F14" i="40" s="1"/>
  <c r="F34" i="24"/>
  <c r="F41" i="24"/>
  <c r="K32" i="6"/>
  <c r="F21" i="40" s="1"/>
  <c r="F63" i="24"/>
  <c r="K54" i="6"/>
  <c r="F43" i="40" s="1"/>
  <c r="K30" i="6"/>
  <c r="F19" i="40" s="1"/>
  <c r="F39" i="24"/>
  <c r="K37" i="6"/>
  <c r="F26" i="40" s="1"/>
  <c r="F46" i="24"/>
  <c r="K38" i="6"/>
  <c r="F27" i="40" s="1"/>
  <c r="F47" i="24"/>
  <c r="F30" i="24"/>
  <c r="K21" i="6"/>
  <c r="F10" i="40" s="1"/>
  <c r="F38" i="24"/>
  <c r="K29" i="6"/>
  <c r="F18" i="40" s="1"/>
  <c r="K46" i="6"/>
  <c r="F35" i="40" s="1"/>
  <c r="F55" i="24"/>
  <c r="K24" i="6"/>
  <c r="F13" i="40" s="1"/>
  <c r="F33" i="24"/>
  <c r="F40" i="24"/>
  <c r="K31" i="6"/>
  <c r="F20" i="40" s="1"/>
  <c r="I12" i="5"/>
  <c r="E20" i="24"/>
  <c r="I17" i="5"/>
  <c r="E6" i="40" s="1"/>
  <c r="I58" i="5"/>
  <c r="E47" i="40" s="1"/>
  <c r="E40" i="24"/>
  <c r="I16" i="5"/>
  <c r="H45" i="47"/>
  <c r="E37" i="24"/>
  <c r="E16" i="24"/>
  <c r="E19" i="24"/>
  <c r="E56" i="24"/>
  <c r="I13" i="5"/>
  <c r="E38" i="24"/>
  <c r="E39" i="24"/>
  <c r="I9" i="5"/>
  <c r="I15" i="5"/>
  <c r="E36" i="24"/>
  <c r="E59" i="24"/>
  <c r="E66" i="24"/>
  <c r="I55" i="5"/>
  <c r="E44" i="40" s="1"/>
  <c r="E23" i="24"/>
  <c r="I54" i="5"/>
  <c r="E43" i="40" s="1"/>
  <c r="H29" i="47"/>
  <c r="E53" i="24"/>
  <c r="I44" i="5"/>
  <c r="E33" i="40" s="1"/>
  <c r="E41" i="24"/>
  <c r="I32" i="5"/>
  <c r="E21" i="40" s="1"/>
  <c r="E27" i="24"/>
  <c r="I18" i="5"/>
  <c r="E7" i="40" s="1"/>
  <c r="E43" i="24"/>
  <c r="I34" i="5"/>
  <c r="E23" i="40" s="1"/>
  <c r="I41" i="5"/>
  <c r="E30" i="40" s="1"/>
  <c r="E50" i="24"/>
  <c r="E61" i="24"/>
  <c r="I52" i="5"/>
  <c r="E41" i="40" s="1"/>
  <c r="E29" i="24"/>
  <c r="I20" i="5"/>
  <c r="E9" i="40" s="1"/>
  <c r="E28" i="24"/>
  <c r="I19" i="5"/>
  <c r="E8" i="40" s="1"/>
  <c r="E47" i="24"/>
  <c r="I38" i="5"/>
  <c r="E27" i="40" s="1"/>
  <c r="E17" i="24"/>
  <c r="I8" i="5"/>
  <c r="E49" i="24"/>
  <c r="I40" i="5"/>
  <c r="E29" i="40" s="1"/>
  <c r="AB34" i="24"/>
  <c r="H27" i="47"/>
  <c r="H17" i="47"/>
  <c r="I26" i="4"/>
  <c r="AB15" i="40" s="1"/>
  <c r="AB20" i="24"/>
  <c r="H47" i="47"/>
  <c r="I22" i="4"/>
  <c r="AB11" i="40" s="1"/>
  <c r="I9" i="4"/>
  <c r="I50" i="4"/>
  <c r="AB39" i="40" s="1"/>
  <c r="I18" i="4"/>
  <c r="AB7" i="40" s="1"/>
  <c r="H20" i="47"/>
  <c r="I10" i="4"/>
  <c r="H49" i="47"/>
  <c r="AB62" i="24"/>
  <c r="AB21" i="24"/>
  <c r="AB49" i="24"/>
  <c r="H11" i="47"/>
  <c r="I43" i="4"/>
  <c r="AB32" i="40" s="1"/>
  <c r="I14" i="4"/>
  <c r="AB36" i="24"/>
  <c r="I8" i="4"/>
  <c r="AB66" i="24"/>
  <c r="H18" i="47"/>
  <c r="H9" i="47"/>
  <c r="H25" i="47"/>
  <c r="AB44" i="24"/>
  <c r="I35" i="4"/>
  <c r="AB24" i="40" s="1"/>
  <c r="AB61" i="24"/>
  <c r="I52" i="4"/>
  <c r="AB41" i="40" s="1"/>
  <c r="AB26" i="24"/>
  <c r="I17" i="4"/>
  <c r="AB6" i="40" s="1"/>
  <c r="I34" i="4"/>
  <c r="AB23" i="40" s="1"/>
  <c r="AB43" i="24"/>
  <c r="I29" i="4"/>
  <c r="AB18" i="40" s="1"/>
  <c r="AB38" i="24"/>
  <c r="I32" i="4"/>
  <c r="AB21" i="40" s="1"/>
  <c r="AB41" i="24"/>
  <c r="I48" i="4"/>
  <c r="AB37" i="40" s="1"/>
  <c r="AB57" i="24"/>
  <c r="I23" i="4"/>
  <c r="AB12" i="40" s="1"/>
  <c r="AB32" i="24"/>
  <c r="I28" i="4"/>
  <c r="AB17" i="40" s="1"/>
  <c r="AB37" i="24"/>
  <c r="AB24" i="24"/>
  <c r="I15" i="4"/>
  <c r="I45" i="4"/>
  <c r="AB34" i="40" s="1"/>
  <c r="AB54" i="24"/>
  <c r="I44" i="4"/>
  <c r="AB33" i="40" s="1"/>
  <c r="AB53" i="24"/>
  <c r="AB65" i="24"/>
  <c r="I56" i="4"/>
  <c r="AB45" i="40" s="1"/>
  <c r="I46" i="4"/>
  <c r="AB35" i="40" s="1"/>
  <c r="AB55" i="24"/>
  <c r="I47" i="4"/>
  <c r="AB36" i="40" s="1"/>
  <c r="AB56" i="24"/>
  <c r="I36" i="4"/>
  <c r="AB25" i="40" s="1"/>
  <c r="AB45" i="24"/>
  <c r="AB33" i="24"/>
  <c r="I24" i="4"/>
  <c r="AB13" i="40" s="1"/>
  <c r="AB25" i="24"/>
  <c r="I16" i="4"/>
  <c r="I21" i="4"/>
  <c r="AB10" i="40" s="1"/>
  <c r="AB30" i="24"/>
  <c r="I41" i="4"/>
  <c r="AB30" i="40" s="1"/>
  <c r="AB50" i="24"/>
  <c r="I20" i="4"/>
  <c r="AB9" i="40" s="1"/>
  <c r="AB29" i="24"/>
  <c r="AB67" i="24"/>
  <c r="I58" i="4"/>
  <c r="AB47" i="40" s="1"/>
  <c r="I55" i="4"/>
  <c r="AB44" i="40" s="1"/>
  <c r="AB64" i="24"/>
  <c r="I33" i="4"/>
  <c r="AB22" i="40" s="1"/>
  <c r="AB42" i="24"/>
  <c r="AB22" i="24"/>
  <c r="I13" i="4"/>
  <c r="I37" i="4"/>
  <c r="AB26" i="40" s="1"/>
  <c r="AB46" i="24"/>
  <c r="I19" i="4"/>
  <c r="AB8" i="40" s="1"/>
  <c r="AB28" i="24"/>
  <c r="I7" i="4"/>
  <c r="AB16" i="24"/>
  <c r="I40" i="3"/>
  <c r="T29" i="40" s="1"/>
  <c r="I45" i="3"/>
  <c r="T34" i="40" s="1"/>
  <c r="H39" i="47"/>
  <c r="H34" i="47"/>
  <c r="H46" i="47"/>
  <c r="T45" i="24"/>
  <c r="I50" i="3"/>
  <c r="T39" i="40" s="1"/>
  <c r="T62" i="24"/>
  <c r="H48" i="47"/>
  <c r="I57" i="3"/>
  <c r="T57" i="24"/>
  <c r="H43" i="47"/>
  <c r="T58" i="24"/>
  <c r="I49" i="3"/>
  <c r="T38" i="40" s="1"/>
  <c r="T52" i="24"/>
  <c r="I43" i="3"/>
  <c r="T32" i="40" s="1"/>
  <c r="I56" i="3"/>
  <c r="T45" i="40" s="1"/>
  <c r="T65" i="24"/>
  <c r="I55" i="3"/>
  <c r="T44" i="40" s="1"/>
  <c r="T64" i="24"/>
  <c r="I44" i="3"/>
  <c r="T33" i="40" s="1"/>
  <c r="T53" i="24"/>
  <c r="T47" i="24"/>
  <c r="I38" i="3"/>
  <c r="T27" i="40" s="1"/>
  <c r="H40" i="47"/>
  <c r="T46" i="24"/>
  <c r="I37" i="3"/>
  <c r="T26" i="40" s="1"/>
  <c r="T50" i="24"/>
  <c r="I41" i="3"/>
  <c r="T30" i="40" s="1"/>
  <c r="T61" i="24"/>
  <c r="I52" i="3"/>
  <c r="T41" i="40" s="1"/>
  <c r="T60" i="24"/>
  <c r="I51" i="3"/>
  <c r="T40" i="40" s="1"/>
  <c r="C17" i="24"/>
  <c r="I10" i="2"/>
  <c r="I7" i="2"/>
  <c r="C21" i="24"/>
  <c r="I35" i="2"/>
  <c r="C24" i="40" s="1"/>
  <c r="H26" i="47"/>
  <c r="I16" i="2"/>
  <c r="I15" i="2"/>
  <c r="C66" i="24"/>
  <c r="C23" i="24"/>
  <c r="C60" i="24"/>
  <c r="H42" i="47"/>
  <c r="I51" i="2"/>
  <c r="C40" i="40" s="1"/>
  <c r="I52" i="2"/>
  <c r="C61" i="24"/>
  <c r="C64" i="24"/>
  <c r="I55" i="2"/>
  <c r="C44" i="40" s="1"/>
  <c r="C40" i="24"/>
  <c r="I31" i="2"/>
  <c r="C57" i="24"/>
  <c r="I48" i="2"/>
  <c r="C37" i="40" s="1"/>
  <c r="H22" i="47"/>
  <c r="I24" i="2"/>
  <c r="C33" i="24"/>
  <c r="H15" i="47"/>
  <c r="H44" i="47"/>
  <c r="I53" i="2"/>
  <c r="C42" i="40" s="1"/>
  <c r="C62" i="24"/>
  <c r="C31" i="24"/>
  <c r="I22" i="2"/>
  <c r="H13" i="47"/>
  <c r="C63" i="24"/>
  <c r="I54" i="2"/>
  <c r="C43" i="40" s="1"/>
  <c r="C42" i="24"/>
  <c r="I33" i="2"/>
  <c r="C22" i="40" s="1"/>
  <c r="H16" i="47"/>
  <c r="C34" i="24"/>
  <c r="I25" i="2"/>
  <c r="C14" i="40" s="1"/>
  <c r="H24" i="47"/>
  <c r="C45" i="24"/>
  <c r="I36" i="2"/>
  <c r="C25" i="40" s="1"/>
  <c r="I18" i="2"/>
  <c r="C7" i="40" s="1"/>
  <c r="C27" i="24"/>
  <c r="I39" i="2"/>
  <c r="C28" i="40" s="1"/>
  <c r="C48" i="24"/>
  <c r="I47" i="2"/>
  <c r="C36" i="40" s="1"/>
  <c r="C56" i="24"/>
  <c r="H38" i="47"/>
  <c r="C39" i="24"/>
  <c r="I30" i="2"/>
  <c r="C19" i="40" s="1"/>
  <c r="C41" i="24"/>
  <c r="I32" i="2"/>
  <c r="I42" i="2"/>
  <c r="C31" i="40" s="1"/>
  <c r="C51" i="24"/>
  <c r="H33" i="47"/>
  <c r="I19" i="2"/>
  <c r="C8" i="40" s="1"/>
  <c r="C28" i="24"/>
  <c r="C50" i="24"/>
  <c r="H32" i="47"/>
  <c r="I41" i="2"/>
  <c r="C30" i="40" s="1"/>
  <c r="I46" i="2"/>
  <c r="C35" i="40" s="1"/>
  <c r="H37" i="47"/>
  <c r="C55" i="24"/>
  <c r="C47" i="24"/>
  <c r="I38" i="2"/>
  <c r="C27" i="40" s="1"/>
  <c r="I45" i="2"/>
  <c r="C54" i="24"/>
  <c r="C38" i="24"/>
  <c r="I29" i="2"/>
  <c r="I58" i="2"/>
  <c r="C47" i="40" s="1"/>
  <c r="C30" i="24"/>
  <c r="I21" i="2"/>
  <c r="C10" i="40" s="1"/>
  <c r="H12" i="47"/>
  <c r="C49" i="24"/>
  <c r="I40" i="2"/>
  <c r="C29" i="40" s="1"/>
  <c r="H31" i="47"/>
  <c r="C46" i="24"/>
  <c r="I37" i="2"/>
  <c r="C26" i="40" s="1"/>
  <c r="H28" i="47"/>
  <c r="I34" i="2"/>
  <c r="C23" i="40" s="1"/>
  <c r="C43" i="24"/>
  <c r="I56" i="2"/>
  <c r="C45" i="40" s="1"/>
  <c r="C65" i="24"/>
  <c r="I26" i="2"/>
  <c r="C35" i="24"/>
  <c r="C26" i="24"/>
  <c r="I17" i="2"/>
  <c r="H8" i="47"/>
  <c r="C53" i="24"/>
  <c r="I44" i="2"/>
  <c r="C33" i="40" s="1"/>
  <c r="H35" i="47"/>
  <c r="I23" i="2"/>
  <c r="C12" i="40" s="1"/>
  <c r="C32" i="24"/>
  <c r="C58" i="24"/>
  <c r="I49" i="2"/>
  <c r="C38" i="40" s="1"/>
  <c r="I20" i="2"/>
  <c r="C9" i="40" s="1"/>
  <c r="C29" i="24"/>
  <c r="C52" i="24"/>
  <c r="I43" i="2"/>
  <c r="C32" i="40" s="1"/>
  <c r="AB16" i="40"/>
  <c r="E32" i="40"/>
  <c r="B22" i="40"/>
  <c r="H26" i="40"/>
  <c r="F36" i="40"/>
  <c r="G8" i="40"/>
  <c r="B27" i="40"/>
  <c r="I24" i="40"/>
  <c r="J43" i="40"/>
  <c r="E42" i="40"/>
  <c r="J30" i="40"/>
  <c r="AB14" i="40"/>
  <c r="Q37" i="40"/>
  <c r="P45" i="40"/>
  <c r="G9" i="40"/>
  <c r="I17" i="40"/>
  <c r="H41" i="47" l="1"/>
  <c r="C59" i="24"/>
  <c r="AH59" i="24" s="1"/>
  <c r="I50" i="2"/>
  <c r="H10" i="47"/>
  <c r="AH18" i="24"/>
  <c r="AH16" i="40"/>
  <c r="AH60" i="24"/>
  <c r="I18" i="47"/>
  <c r="AH25" i="24"/>
  <c r="AH12" i="40"/>
  <c r="AH34" i="24"/>
  <c r="AH51" i="24"/>
  <c r="I48" i="47"/>
  <c r="AH27" i="40"/>
  <c r="AH39" i="24"/>
  <c r="AH7" i="40"/>
  <c r="AH16" i="24"/>
  <c r="AH21" i="24"/>
  <c r="AH19" i="24"/>
  <c r="AH23" i="24"/>
  <c r="AH28" i="40"/>
  <c r="AH24" i="24"/>
  <c r="AH17" i="24"/>
  <c r="I33" i="47"/>
  <c r="AH48" i="24"/>
  <c r="AH22" i="24"/>
  <c r="AH19" i="40"/>
  <c r="AH20" i="24"/>
  <c r="AH66" i="24"/>
  <c r="AH35" i="24"/>
  <c r="I19" i="47"/>
  <c r="AH63" i="24"/>
  <c r="AH52" i="24"/>
  <c r="AH42" i="24"/>
  <c r="I16" i="47"/>
  <c r="AH29" i="40"/>
  <c r="AH31" i="24"/>
  <c r="AH44" i="24"/>
  <c r="AH37" i="24"/>
  <c r="AH40" i="24"/>
  <c r="AH36" i="24"/>
  <c r="AH27" i="24"/>
  <c r="AH17" i="40"/>
  <c r="AH26" i="24"/>
  <c r="AH10" i="40"/>
  <c r="AH65" i="24"/>
  <c r="AH62" i="24"/>
  <c r="AH33" i="24"/>
  <c r="I27" i="47"/>
  <c r="AH35" i="40"/>
  <c r="AH49" i="24"/>
  <c r="AH67" i="24"/>
  <c r="I37" i="47"/>
  <c r="AH47" i="40"/>
  <c r="AH43" i="24"/>
  <c r="AH29" i="24"/>
  <c r="AH54" i="24"/>
  <c r="AH56" i="24"/>
  <c r="AH50" i="24"/>
  <c r="AH32" i="24"/>
  <c r="AH55" i="24"/>
  <c r="AH41" i="24"/>
  <c r="AH45" i="24"/>
  <c r="I26" i="47"/>
  <c r="AH24" i="40"/>
  <c r="AH28" i="24"/>
  <c r="AH30" i="24"/>
  <c r="AH38" i="24"/>
  <c r="AH64" i="24"/>
  <c r="T46" i="40"/>
  <c r="AH46" i="40" s="1"/>
  <c r="AH53" i="24"/>
  <c r="AH46" i="24"/>
  <c r="AH58" i="24"/>
  <c r="AH57" i="24"/>
  <c r="AH61" i="24"/>
  <c r="AH47" i="24"/>
  <c r="AH40" i="40"/>
  <c r="AH25" i="40"/>
  <c r="I25" i="47"/>
  <c r="AH23" i="40"/>
  <c r="AH14" i="40"/>
  <c r="I46" i="47"/>
  <c r="I29" i="47"/>
  <c r="AH33" i="40"/>
  <c r="I31" i="47"/>
  <c r="I9" i="47"/>
  <c r="I28" i="47"/>
  <c r="AH31" i="40"/>
  <c r="I11" i="47"/>
  <c r="I38" i="47"/>
  <c r="C39" i="40"/>
  <c r="AH39" i="40" s="1"/>
  <c r="I41" i="47"/>
  <c r="AH43" i="40"/>
  <c r="I42" i="47"/>
  <c r="AH38" i="40"/>
  <c r="AH32" i="40"/>
  <c r="I45" i="47"/>
  <c r="AH44" i="40"/>
  <c r="I49" i="47"/>
  <c r="I40" i="47"/>
  <c r="I34" i="47"/>
  <c r="I47" i="47"/>
  <c r="I39" i="47"/>
  <c r="I30" i="47"/>
  <c r="AH42" i="40"/>
  <c r="AH37" i="40"/>
  <c r="I44" i="47"/>
  <c r="AH22" i="40"/>
  <c r="C20" i="40"/>
  <c r="AH20" i="40" s="1"/>
  <c r="I22" i="47"/>
  <c r="AH9" i="40"/>
  <c r="I32" i="47"/>
  <c r="I10" i="47"/>
  <c r="AH26" i="40"/>
  <c r="C41" i="40"/>
  <c r="AH41" i="40" s="1"/>
  <c r="I43" i="47"/>
  <c r="AH8" i="40"/>
  <c r="I24" i="47"/>
  <c r="C13" i="40"/>
  <c r="AH13" i="40" s="1"/>
  <c r="I15" i="47"/>
  <c r="C15" i="40"/>
  <c r="AH15" i="40" s="1"/>
  <c r="I17" i="47"/>
  <c r="C18" i="40"/>
  <c r="AH18" i="40" s="1"/>
  <c r="I20" i="47"/>
  <c r="C34" i="40"/>
  <c r="AH34" i="40" s="1"/>
  <c r="I36" i="47"/>
  <c r="AH45" i="40"/>
  <c r="AH30" i="40"/>
  <c r="I35" i="47"/>
  <c r="AH36" i="40"/>
  <c r="C6" i="40"/>
  <c r="AH6" i="40" s="1"/>
  <c r="I8" i="47"/>
  <c r="I12" i="47"/>
  <c r="C21" i="40"/>
  <c r="AH21" i="40" s="1"/>
  <c r="I23" i="47"/>
  <c r="C11" i="40"/>
  <c r="AH11" i="40" s="1"/>
  <c r="I13" i="47"/>
  <c r="I14" i="47"/>
  <c r="I21" i="47"/>
</calcChain>
</file>

<file path=xl/sharedStrings.xml><?xml version="1.0" encoding="utf-8"?>
<sst xmlns="http://schemas.openxmlformats.org/spreadsheetml/2006/main" count="4491" uniqueCount="248">
  <si>
    <t>Lima beans</t>
  </si>
  <si>
    <t>Year</t>
  </si>
  <si>
    <t>Supply</t>
  </si>
  <si>
    <t>NA</t>
  </si>
  <si>
    <t>Farm</t>
  </si>
  <si>
    <t>Retail</t>
  </si>
  <si>
    <r>
      <t>Production</t>
    </r>
    <r>
      <rPr>
        <vertAlign val="superscript"/>
        <sz val="8"/>
        <rFont val="Times New Roman"/>
        <family val="1"/>
      </rPr>
      <t>2</t>
    </r>
  </si>
  <si>
    <r>
      <t>Imports</t>
    </r>
    <r>
      <rPr>
        <vertAlign val="superscript"/>
        <sz val="8"/>
        <rFont val="Times New Roman"/>
        <family val="1"/>
      </rPr>
      <t>3</t>
    </r>
  </si>
  <si>
    <t>NA = Not available.</t>
  </si>
  <si>
    <t>Asparagus</t>
  </si>
  <si>
    <t>Broccoli</t>
  </si>
  <si>
    <t>Cabbage</t>
  </si>
  <si>
    <t>Carrots</t>
  </si>
  <si>
    <t>Cauliflower</t>
  </si>
  <si>
    <t>Cucumbers</t>
  </si>
  <si>
    <t>Onions</t>
  </si>
  <si>
    <t>Potatoes</t>
  </si>
  <si>
    <t>Spinach</t>
  </si>
  <si>
    <t>Tomatoes</t>
  </si>
  <si>
    <t>Filename:   VEGFR</t>
  </si>
  <si>
    <t>Sweet corn</t>
  </si>
  <si>
    <t>Escarole/endive</t>
  </si>
  <si>
    <t>Romaine and leaf</t>
  </si>
  <si>
    <t>Snap beans</t>
  </si>
  <si>
    <r>
      <t>U.S. population, July 1</t>
    </r>
    <r>
      <rPr>
        <vertAlign val="superscript"/>
        <sz val="8"/>
        <rFont val="Times New Roman"/>
        <family val="1"/>
      </rPr>
      <t>1</t>
    </r>
  </si>
  <si>
    <r>
      <t>Total supply</t>
    </r>
    <r>
      <rPr>
        <vertAlign val="superscript"/>
        <sz val="8"/>
        <rFont val="Times New Roman"/>
        <family val="1"/>
      </rPr>
      <t>4</t>
    </r>
  </si>
  <si>
    <t>Filename:</t>
  </si>
  <si>
    <t>Worksheets:</t>
  </si>
  <si>
    <t>Per capita availability</t>
  </si>
  <si>
    <t>1990</t>
  </si>
  <si>
    <t>1991</t>
  </si>
  <si>
    <t>1992</t>
  </si>
  <si>
    <t>1993</t>
  </si>
  <si>
    <t>1994</t>
  </si>
  <si>
    <t>1995</t>
  </si>
  <si>
    <t>1996</t>
  </si>
  <si>
    <t>1997</t>
  </si>
  <si>
    <t>1998</t>
  </si>
  <si>
    <t>1999</t>
  </si>
  <si>
    <t>2000</t>
  </si>
  <si>
    <t>2001</t>
  </si>
  <si>
    <t>2002</t>
  </si>
  <si>
    <t>2003</t>
  </si>
  <si>
    <t>2004</t>
  </si>
  <si>
    <t>2005</t>
  </si>
  <si>
    <t>2006</t>
  </si>
  <si>
    <t>2007</t>
  </si>
  <si>
    <t>2008</t>
  </si>
  <si>
    <t>2009</t>
  </si>
  <si>
    <t>1970</t>
  </si>
  <si>
    <t>1971</t>
  </si>
  <si>
    <t>1972</t>
  </si>
  <si>
    <t>1973</t>
  </si>
  <si>
    <t>1974</t>
  </si>
  <si>
    <t>1975</t>
  </si>
  <si>
    <t>1976</t>
  </si>
  <si>
    <t>1977</t>
  </si>
  <si>
    <t>1978</t>
  </si>
  <si>
    <t>1979</t>
  </si>
  <si>
    <t>1980</t>
  </si>
  <si>
    <t>1981</t>
  </si>
  <si>
    <t>1982</t>
  </si>
  <si>
    <t>1983</t>
  </si>
  <si>
    <t>1984</t>
  </si>
  <si>
    <t>1985</t>
  </si>
  <si>
    <t>1986</t>
  </si>
  <si>
    <t>1987</t>
  </si>
  <si>
    <t>1988</t>
  </si>
  <si>
    <t>1989</t>
  </si>
  <si>
    <t>2010</t>
  </si>
  <si>
    <t>2011</t>
  </si>
  <si>
    <r>
      <t>Artichokes</t>
    </r>
    <r>
      <rPr>
        <vertAlign val="superscript"/>
        <sz val="8"/>
        <rFont val="Arial"/>
        <family val="2"/>
      </rPr>
      <t>2</t>
    </r>
  </si>
  <si>
    <r>
      <t>Bell peppers</t>
    </r>
    <r>
      <rPr>
        <vertAlign val="superscript"/>
        <sz val="8"/>
        <rFont val="Arial"/>
        <family val="2"/>
      </rPr>
      <t>2</t>
    </r>
  </si>
  <si>
    <r>
      <t>Brussels sprouts</t>
    </r>
    <r>
      <rPr>
        <vertAlign val="superscript"/>
        <sz val="8"/>
        <rFont val="Arial"/>
        <family val="2"/>
      </rPr>
      <t>2</t>
    </r>
  </si>
  <si>
    <r>
      <t>Celery</t>
    </r>
    <r>
      <rPr>
        <vertAlign val="superscript"/>
        <sz val="8"/>
        <rFont val="Arial"/>
        <family val="2"/>
      </rPr>
      <t>2</t>
    </r>
  </si>
  <si>
    <r>
      <t>Collard greens</t>
    </r>
    <r>
      <rPr>
        <vertAlign val="superscript"/>
        <sz val="8"/>
        <rFont val="Arial"/>
        <family val="2"/>
      </rPr>
      <t>2</t>
    </r>
  </si>
  <si>
    <r>
      <t>Eggplant</t>
    </r>
    <r>
      <rPr>
        <vertAlign val="superscript"/>
        <sz val="8"/>
        <rFont val="Arial"/>
        <family val="2"/>
      </rPr>
      <t>2</t>
    </r>
  </si>
  <si>
    <r>
      <t>Garlic</t>
    </r>
    <r>
      <rPr>
        <vertAlign val="superscript"/>
        <sz val="8"/>
        <rFont val="Arial"/>
        <family val="2"/>
      </rPr>
      <t>2</t>
    </r>
  </si>
  <si>
    <r>
      <t>Kale</t>
    </r>
    <r>
      <rPr>
        <vertAlign val="superscript"/>
        <sz val="8"/>
        <rFont val="Arial"/>
        <family val="2"/>
      </rPr>
      <t>2</t>
    </r>
  </si>
  <si>
    <r>
      <t>Mustard greens</t>
    </r>
    <r>
      <rPr>
        <vertAlign val="superscript"/>
        <sz val="8"/>
        <rFont val="Arial"/>
        <family val="2"/>
      </rPr>
      <t>2</t>
    </r>
  </si>
  <si>
    <r>
      <t>Okra</t>
    </r>
    <r>
      <rPr>
        <vertAlign val="superscript"/>
        <sz val="8"/>
        <rFont val="Arial"/>
        <family val="2"/>
      </rPr>
      <t>2</t>
    </r>
  </si>
  <si>
    <r>
      <t>Pumpkin</t>
    </r>
    <r>
      <rPr>
        <vertAlign val="superscript"/>
        <sz val="8"/>
        <rFont val="Arial"/>
        <family val="2"/>
      </rPr>
      <t>2</t>
    </r>
  </si>
  <si>
    <r>
      <t>Radishes</t>
    </r>
    <r>
      <rPr>
        <vertAlign val="superscript"/>
        <sz val="8"/>
        <rFont val="Arial"/>
        <family val="2"/>
      </rPr>
      <t>2</t>
    </r>
  </si>
  <si>
    <r>
      <t>Squash</t>
    </r>
    <r>
      <rPr>
        <vertAlign val="superscript"/>
        <sz val="8"/>
        <rFont val="Arial"/>
        <family val="2"/>
      </rPr>
      <t>2</t>
    </r>
  </si>
  <si>
    <r>
      <t>Turnip greens</t>
    </r>
    <r>
      <rPr>
        <vertAlign val="superscript"/>
        <sz val="8"/>
        <rFont val="Arial"/>
        <family val="2"/>
      </rPr>
      <t>2</t>
    </r>
  </si>
  <si>
    <r>
      <t>U.S. population, July 1</t>
    </r>
    <r>
      <rPr>
        <vertAlign val="superscript"/>
        <sz val="8"/>
        <rFont val="Arial"/>
        <family val="2"/>
      </rPr>
      <t>1</t>
    </r>
  </si>
  <si>
    <r>
      <t>Production</t>
    </r>
    <r>
      <rPr>
        <vertAlign val="superscript"/>
        <sz val="8"/>
        <rFont val="Arial"/>
        <family val="2"/>
      </rPr>
      <t>2</t>
    </r>
  </si>
  <si>
    <r>
      <t>Imports</t>
    </r>
    <r>
      <rPr>
        <vertAlign val="superscript"/>
        <sz val="8"/>
        <rFont val="Arial"/>
        <family val="2"/>
      </rPr>
      <t>3</t>
    </r>
  </si>
  <si>
    <r>
      <t>Total supply</t>
    </r>
    <r>
      <rPr>
        <vertAlign val="superscript"/>
        <sz val="8"/>
        <rFont val="Arial"/>
        <family val="2"/>
      </rPr>
      <t>4</t>
    </r>
  </si>
  <si>
    <r>
      <t>Beginning stocks</t>
    </r>
    <r>
      <rPr>
        <vertAlign val="superscript"/>
        <sz val="8"/>
        <rFont val="Arial"/>
        <family val="2"/>
      </rPr>
      <t>4</t>
    </r>
  </si>
  <si>
    <r>
      <t>Total supply</t>
    </r>
    <r>
      <rPr>
        <vertAlign val="superscript"/>
        <sz val="8"/>
        <rFont val="Arial"/>
        <family val="2"/>
      </rPr>
      <t>5</t>
    </r>
  </si>
  <si>
    <r>
      <t>Ending stocks</t>
    </r>
    <r>
      <rPr>
        <vertAlign val="superscript"/>
        <sz val="8"/>
        <rFont val="Arial"/>
        <family val="2"/>
      </rPr>
      <t>4</t>
    </r>
  </si>
  <si>
    <r>
      <t>U.S. population, July 1</t>
    </r>
    <r>
      <rPr>
        <vertAlign val="superscript"/>
        <sz val="8"/>
        <rFont val="Arial"/>
        <family val="2"/>
      </rPr>
      <t>2</t>
    </r>
  </si>
  <si>
    <r>
      <t>Production</t>
    </r>
    <r>
      <rPr>
        <vertAlign val="superscript"/>
        <sz val="8"/>
        <rFont val="Arial"/>
        <family val="2"/>
      </rPr>
      <t>3</t>
    </r>
  </si>
  <si>
    <r>
      <t>Imports</t>
    </r>
    <r>
      <rPr>
        <vertAlign val="superscript"/>
        <sz val="8"/>
        <rFont val="Arial"/>
        <family val="2"/>
      </rPr>
      <t>4</t>
    </r>
  </si>
  <si>
    <r>
      <t>Exports</t>
    </r>
    <r>
      <rPr>
        <vertAlign val="superscript"/>
        <sz val="8"/>
        <rFont val="Arial"/>
        <family val="2"/>
      </rPr>
      <t>3</t>
    </r>
  </si>
  <si>
    <r>
      <t>Retail</t>
    </r>
    <r>
      <rPr>
        <vertAlign val="superscript"/>
        <sz val="8"/>
        <rFont val="Arial"/>
        <family val="2"/>
      </rPr>
      <t>6</t>
    </r>
  </si>
  <si>
    <r>
      <t>Seed use</t>
    </r>
    <r>
      <rPr>
        <vertAlign val="superscript"/>
        <sz val="8"/>
        <rFont val="Arial"/>
        <family val="2"/>
      </rPr>
      <t>5</t>
    </r>
  </si>
  <si>
    <r>
      <t>Total</t>
    </r>
    <r>
      <rPr>
        <vertAlign val="superscript"/>
        <sz val="8"/>
        <rFont val="Arial"/>
        <family val="2"/>
      </rPr>
      <t>5</t>
    </r>
  </si>
  <si>
    <r>
      <t>U.S. population, January 1 of following year</t>
    </r>
    <r>
      <rPr>
        <vertAlign val="superscript"/>
        <sz val="8"/>
        <rFont val="Arial"/>
        <family val="2"/>
      </rPr>
      <t>2</t>
    </r>
  </si>
  <si>
    <r>
      <t>Exports</t>
    </r>
    <r>
      <rPr>
        <vertAlign val="superscript"/>
        <sz val="8"/>
        <rFont val="Arial"/>
        <family val="2"/>
      </rPr>
      <t>4</t>
    </r>
  </si>
  <si>
    <r>
      <t>Total supply</t>
    </r>
    <r>
      <rPr>
        <vertAlign val="superscript"/>
        <sz val="8"/>
        <rFont val="Arial"/>
        <family val="2"/>
      </rPr>
      <t>7</t>
    </r>
  </si>
  <si>
    <r>
      <t>Ending stocks</t>
    </r>
    <r>
      <rPr>
        <vertAlign val="superscript"/>
        <sz val="8"/>
        <rFont val="Arial"/>
        <family val="2"/>
      </rPr>
      <t>6</t>
    </r>
  </si>
  <si>
    <r>
      <t>Shrink and loss</t>
    </r>
    <r>
      <rPr>
        <vertAlign val="superscript"/>
        <sz val="8"/>
        <rFont val="Arial"/>
        <family val="2"/>
      </rPr>
      <t>3</t>
    </r>
  </si>
  <si>
    <r>
      <t>Imports</t>
    </r>
    <r>
      <rPr>
        <vertAlign val="superscript"/>
        <sz val="8"/>
        <rFont val="Arial"/>
        <family val="2"/>
      </rPr>
      <t>5</t>
    </r>
  </si>
  <si>
    <r>
      <t>Exports</t>
    </r>
    <r>
      <rPr>
        <vertAlign val="superscript"/>
        <sz val="8"/>
        <rFont val="Arial"/>
        <family val="2"/>
      </rPr>
      <t>8</t>
    </r>
  </si>
  <si>
    <r>
      <t>Seed use</t>
    </r>
    <r>
      <rPr>
        <vertAlign val="superscript"/>
        <sz val="8"/>
        <rFont val="Arial"/>
        <family val="2"/>
      </rPr>
      <t>9</t>
    </r>
  </si>
  <si>
    <r>
      <t>Feed, shrink and loss</t>
    </r>
    <r>
      <rPr>
        <vertAlign val="superscript"/>
        <sz val="8"/>
        <rFont val="Arial"/>
        <family val="2"/>
      </rPr>
      <t>10</t>
    </r>
  </si>
  <si>
    <r>
      <t>Exports</t>
    </r>
    <r>
      <rPr>
        <vertAlign val="superscript"/>
        <sz val="8"/>
        <rFont val="Arial"/>
        <family val="2"/>
      </rPr>
      <t>5</t>
    </r>
  </si>
  <si>
    <r>
      <t>Feed use, shrink, and loss</t>
    </r>
    <r>
      <rPr>
        <vertAlign val="superscript"/>
        <sz val="8"/>
        <rFont val="Arial"/>
        <family val="2"/>
      </rPr>
      <t>6</t>
    </r>
  </si>
  <si>
    <r>
      <t>Retail</t>
    </r>
    <r>
      <rPr>
        <vertAlign val="superscript"/>
        <sz val="8"/>
        <rFont val="Arial"/>
        <family val="2"/>
      </rPr>
      <t>7</t>
    </r>
  </si>
  <si>
    <r>
      <t>Year</t>
    </r>
    <r>
      <rPr>
        <vertAlign val="superscript"/>
        <sz val="8"/>
        <rFont val="Arial"/>
        <family val="2"/>
      </rPr>
      <t>2</t>
    </r>
  </si>
  <si>
    <r>
      <t>U.S. population, July 1</t>
    </r>
    <r>
      <rPr>
        <vertAlign val="superscript"/>
        <sz val="8"/>
        <rFont val="Arial"/>
        <family val="2"/>
      </rPr>
      <t>3</t>
    </r>
  </si>
  <si>
    <r>
      <t>Production</t>
    </r>
    <r>
      <rPr>
        <vertAlign val="superscript"/>
        <sz val="8"/>
        <rFont val="Arial"/>
        <family val="2"/>
      </rPr>
      <t>4</t>
    </r>
  </si>
  <si>
    <r>
      <t>Total supply</t>
    </r>
    <r>
      <rPr>
        <vertAlign val="superscript"/>
        <sz val="8"/>
        <rFont val="Arial"/>
        <family val="2"/>
      </rPr>
      <t>6</t>
    </r>
  </si>
  <si>
    <t>--------------------------------------------------------------------------------------------------------------------------------------------------------------------- Pounds ---------------------------------------------------------------------------------------------------------------------------------------------------------------------</t>
  </si>
  <si>
    <t>---------------------------------------------------------------------------------------------------------------------------------------------------------------------Pounds ---------------------------------------------------------------------------------------------------------------------------------------</t>
  </si>
  <si>
    <t>---- Millions ----</t>
  </si>
  <si>
    <t>--------------- Pounds ---------------</t>
  </si>
  <si>
    <t>---------------------------------------------------------------------- Million pounds -----------------------------------------------------------------------</t>
  </si>
  <si>
    <t>----------------------------------------------- Million pounds -----------------------------------------------------------------------</t>
  </si>
  <si>
    <t>----- Millions ----</t>
  </si>
  <si>
    <t>--------------------------------------------------- Million pounds -----------------------------------------------------</t>
  </si>
  <si>
    <t>---------------------------------------------------- Million pounds -----------------------------------------------------------------</t>
  </si>
  <si>
    <t>--- Millions ---</t>
  </si>
  <si>
    <t>---------- Pounds ----------</t>
  </si>
  <si>
    <t>----------- Pounds -----------</t>
  </si>
  <si>
    <t>------------------------------------------ Million pounds -----------------------------------------------------</t>
  </si>
  <si>
    <t>----------- Pounds ----------</t>
  </si>
  <si>
    <t>------------ Pounds -----------</t>
  </si>
  <si>
    <t>---------------------------------------------------- Million pounds -----------------------------------------------------</t>
  </si>
  <si>
    <t>------------------------------------------------------------ Million pounds ----------------------------------------------------------</t>
  </si>
  <si>
    <t>------------------------------------------------------------ Million pounds -----------------------------------------------------------------</t>
  </si>
  <si>
    <t>------------ Pounds ------------</t>
  </si>
  <si>
    <t>------------------------------------------------------------------------------------- Million pounds ---------------------------------------------------------------------------------</t>
  </si>
  <si>
    <t>--------- Pounds -----------</t>
  </si>
  <si>
    <t>---------------------------------------------------- Million pounds ---------------------------------------------------</t>
  </si>
  <si>
    <r>
      <t>Total</t>
    </r>
    <r>
      <rPr>
        <vertAlign val="superscript"/>
        <sz val="8"/>
        <rFont val="Arial"/>
        <family val="2"/>
      </rPr>
      <t>4</t>
    </r>
  </si>
  <si>
    <r>
      <t>Total</t>
    </r>
    <r>
      <rPr>
        <vertAlign val="superscript"/>
        <sz val="8"/>
        <rFont val="Arial"/>
        <family val="2"/>
      </rPr>
      <t>7</t>
    </r>
  </si>
  <si>
    <r>
      <t>Retail</t>
    </r>
    <r>
      <rPr>
        <vertAlign val="superscript"/>
        <sz val="8"/>
        <rFont val="Arial"/>
        <family val="2"/>
      </rPr>
      <t>5</t>
    </r>
  </si>
  <si>
    <r>
      <t>Total</t>
    </r>
    <r>
      <rPr>
        <vertAlign val="superscript"/>
        <sz val="8"/>
        <rFont val="Arial"/>
        <family val="2"/>
      </rPr>
      <t>6</t>
    </r>
  </si>
  <si>
    <t>Beginning stocks</t>
  </si>
  <si>
    <t xml:space="preserve"> </t>
  </si>
  <si>
    <r>
      <t>Year</t>
    </r>
    <r>
      <rPr>
        <vertAlign val="superscript"/>
        <sz val="8"/>
        <rFont val="Arial"/>
        <family val="2"/>
      </rPr>
      <t>1</t>
    </r>
  </si>
  <si>
    <r>
      <t>Exports</t>
    </r>
    <r>
      <rPr>
        <vertAlign val="superscript"/>
        <sz val="8"/>
        <rFont val="Times New Roman"/>
        <family val="1"/>
      </rPr>
      <t>3</t>
    </r>
  </si>
  <si>
    <t>Fresh artichokes: Supply and use</t>
  </si>
  <si>
    <t>Nonfood use</t>
  </si>
  <si>
    <t>Food availability</t>
  </si>
  <si>
    <t>Fresh asparagus: Supply and use</t>
  </si>
  <si>
    <t>Fresh lima beans: Supply and use</t>
  </si>
  <si>
    <t>Fresh snap beans: Supply and use</t>
  </si>
  <si>
    <t>Fresh broccoli: Supply and use</t>
  </si>
  <si>
    <t>Fresh Brussels sprouts: Supply and use</t>
  </si>
  <si>
    <r>
      <t>Fresh cabbage: Supply and use</t>
    </r>
    <r>
      <rPr>
        <b/>
        <vertAlign val="superscript"/>
        <sz val="8"/>
        <rFont val="Arial"/>
        <family val="2"/>
      </rPr>
      <t>1</t>
    </r>
  </si>
  <si>
    <t>Fresh carrots: Supply and use</t>
  </si>
  <si>
    <t>Fresh cauliflower: Supply and use</t>
  </si>
  <si>
    <t>Fresh celery: Supply and use</t>
  </si>
  <si>
    <t>Fresh collard greens: Supply and use</t>
  </si>
  <si>
    <t>Fresh sweet corn: Supply and use</t>
  </si>
  <si>
    <t>Fresh cucumbers: Supply and use</t>
  </si>
  <si>
    <t>Fresh eggplant: Supply and use</t>
  </si>
  <si>
    <t>Fresh escarole and endive: Supply and use</t>
  </si>
  <si>
    <t>Fresh garlic: Supply and use</t>
  </si>
  <si>
    <t>Fresh head lettuce: Supply and use</t>
  </si>
  <si>
    <t>Fresh kale: Supply and use</t>
  </si>
  <si>
    <t>Fresh mushrooms: Supply and use</t>
  </si>
  <si>
    <t>Fresh mustard greens: Supply and use</t>
  </si>
  <si>
    <r>
      <t>Fresh onions: Supply and use</t>
    </r>
    <r>
      <rPr>
        <b/>
        <vertAlign val="superscript"/>
        <sz val="8"/>
        <rFont val="Arial"/>
        <family val="2"/>
      </rPr>
      <t>1</t>
    </r>
  </si>
  <si>
    <t>Fresh okra: Supply and use</t>
  </si>
  <si>
    <t>Fresh bell peppers: Supply and use</t>
  </si>
  <si>
    <r>
      <t>Fresh potatoes: Supply and use</t>
    </r>
    <r>
      <rPr>
        <b/>
        <vertAlign val="superscript"/>
        <sz val="8"/>
        <rFont val="Arial"/>
        <family val="2"/>
      </rPr>
      <t>1</t>
    </r>
  </si>
  <si>
    <t>Fresh pumpkin: Supply and use</t>
  </si>
  <si>
    <t>Fresh radishes: Supply and use</t>
  </si>
  <si>
    <t>Fresh romaine and leaf lettuce: Supply and use</t>
  </si>
  <si>
    <t>Fresh spinach: Supply and use</t>
  </si>
  <si>
    <t>Fresh squash: Supply and use</t>
  </si>
  <si>
    <r>
      <t>Fresh sweet potatoes: Supply and use</t>
    </r>
    <r>
      <rPr>
        <b/>
        <vertAlign val="superscript"/>
        <sz val="8"/>
        <rFont val="Arial"/>
        <family val="2"/>
      </rPr>
      <t>1</t>
    </r>
  </si>
  <si>
    <t>Fresh tomatoes (field and hothouse): Supply and use</t>
  </si>
  <si>
    <t>Fresh turnip greens: Supply and use</t>
  </si>
  <si>
    <t>Fresh vegetables: Supply and use</t>
  </si>
  <si>
    <t>Lettuce head</t>
  </si>
  <si>
    <r>
      <t>Total fresh vegetables per capita availability (retail weight)</t>
    </r>
    <r>
      <rPr>
        <vertAlign val="superscript"/>
        <sz val="8"/>
        <rFont val="Arial"/>
        <family val="2"/>
      </rPr>
      <t>3</t>
    </r>
  </si>
  <si>
    <r>
      <t>Total fresh vegetables per capita availability (farm weight)</t>
    </r>
    <r>
      <rPr>
        <vertAlign val="superscript"/>
        <sz val="8"/>
        <rFont val="Arial"/>
        <family val="2"/>
      </rPr>
      <t>3</t>
    </r>
  </si>
  <si>
    <t>CF = 0.88</t>
  </si>
  <si>
    <t>CF = 0.85</t>
  </si>
  <si>
    <t xml:space="preserve"> CF= 0.9</t>
  </si>
  <si>
    <r>
      <t>Retail</t>
    </r>
    <r>
      <rPr>
        <vertAlign val="superscript"/>
        <sz val="8"/>
        <rFont val="Arial"/>
        <family val="2"/>
      </rPr>
      <t>11</t>
    </r>
    <r>
      <rPr>
        <sz val="8"/>
        <rFont val="Arial"/>
        <family val="2"/>
      </rPr>
      <t xml:space="preserve">                </t>
    </r>
  </si>
  <si>
    <t>CF = 0.90</t>
  </si>
  <si>
    <t>CF = 0.93</t>
  </si>
  <si>
    <t>CF = 0.97</t>
  </si>
  <si>
    <t>CF = 0.96</t>
  </si>
  <si>
    <t>CF = 0.92</t>
  </si>
  <si>
    <t>CF = 0.94</t>
  </si>
  <si>
    <t>CF = 0.81</t>
  </si>
  <si>
    <t>CF = 0.91</t>
  </si>
  <si>
    <r>
      <t>Sweet potatoes</t>
    </r>
    <r>
      <rPr>
        <vertAlign val="superscript"/>
        <sz val="8"/>
        <rFont val="Arial"/>
        <family val="2"/>
      </rPr>
      <t>2</t>
    </r>
  </si>
  <si>
    <r>
      <rPr>
        <vertAlign val="superscript"/>
        <sz val="8"/>
        <rFont val="Arial"/>
        <family val="2"/>
      </rPr>
      <t>1</t>
    </r>
    <r>
      <rPr>
        <sz val="8"/>
        <rFont val="Arial"/>
        <family val="2"/>
      </rPr>
      <t xml:space="preserve">Uses U.S. resident population plus the Armed Forces overseas, July 1; except for Mushrooms - January 1. </t>
    </r>
    <r>
      <rPr>
        <vertAlign val="superscript"/>
        <sz val="8"/>
        <rFont val="Arial"/>
        <family val="2"/>
      </rPr>
      <t>2</t>
    </r>
    <r>
      <rPr>
        <sz val="8"/>
        <rFont val="Arial"/>
        <family val="2"/>
      </rPr>
      <t xml:space="preserve">Includes all uses. </t>
    </r>
    <r>
      <rPr>
        <vertAlign val="superscript"/>
        <sz val="8"/>
        <rFont val="Arial"/>
        <family val="2"/>
      </rPr>
      <t>3</t>
    </r>
    <r>
      <rPr>
        <sz val="8"/>
        <rFont val="Arial"/>
        <family val="2"/>
      </rPr>
      <t>Computed from unrounded data.</t>
    </r>
  </si>
  <si>
    <r>
      <t>Mushrooms</t>
    </r>
    <r>
      <rPr>
        <vertAlign val="superscript"/>
        <sz val="8"/>
        <rFont val="Arial"/>
        <family val="2"/>
      </rPr>
      <t>1</t>
    </r>
  </si>
  <si>
    <t>Source: USDA, Economic Research Service - based on data from various sources as documented on the Food Availability Data System home page. Data last updated December 1, 2021.</t>
  </si>
  <si>
    <r>
      <t>Shrink and loss</t>
    </r>
    <r>
      <rPr>
        <vertAlign val="superscript"/>
        <sz val="8"/>
        <rFont val="Arial"/>
        <family val="2"/>
      </rPr>
      <t>5</t>
    </r>
  </si>
  <si>
    <r>
      <t>Imports</t>
    </r>
    <r>
      <rPr>
        <vertAlign val="superscript"/>
        <sz val="8"/>
        <rFont val="Arial"/>
        <family val="2"/>
      </rPr>
      <t>4,5</t>
    </r>
  </si>
  <si>
    <r>
      <t>Exports</t>
    </r>
    <r>
      <rPr>
        <vertAlign val="superscript"/>
        <sz val="8"/>
        <rFont val="Arial"/>
        <family val="2"/>
      </rPr>
      <t>4,5</t>
    </r>
  </si>
  <si>
    <r>
      <t>Retail</t>
    </r>
    <r>
      <rPr>
        <vertAlign val="superscript"/>
        <sz val="8"/>
        <rFont val="Arial"/>
        <family val="2"/>
      </rPr>
      <t>8</t>
    </r>
  </si>
  <si>
    <r>
      <t>Exports</t>
    </r>
    <r>
      <rPr>
        <vertAlign val="superscript"/>
        <sz val="8"/>
        <rFont val="Arial"/>
        <family val="2"/>
      </rPr>
      <t>3,5</t>
    </r>
  </si>
  <si>
    <r>
      <t>Beginning stocks</t>
    </r>
    <r>
      <rPr>
        <vertAlign val="superscript"/>
        <sz val="8"/>
        <rFont val="Arial"/>
        <family val="2"/>
      </rPr>
      <t>4,6</t>
    </r>
  </si>
  <si>
    <r>
      <t>Ending stocks</t>
    </r>
    <r>
      <rPr>
        <vertAlign val="superscript"/>
        <sz val="8"/>
        <rFont val="Arial"/>
        <family val="2"/>
      </rPr>
      <t>4,6</t>
    </r>
  </si>
  <si>
    <r>
      <t>Fresh vegetables (farm weight): Per capita availability</t>
    </r>
    <r>
      <rPr>
        <b/>
        <vertAlign val="superscript"/>
        <sz val="8"/>
        <rFont val="Arial"/>
        <family val="2"/>
      </rPr>
      <t>1</t>
    </r>
  </si>
  <si>
    <t>Fresh vegetables (farm weight): Per capita availability</t>
  </si>
  <si>
    <r>
      <t>Fresh vegetables (retail weight): Per capita availability</t>
    </r>
    <r>
      <rPr>
        <b/>
        <vertAlign val="superscript"/>
        <sz val="8"/>
        <rFont val="Arial"/>
        <family val="2"/>
      </rPr>
      <t>1</t>
    </r>
  </si>
  <si>
    <t>Fresh vegetables (retail weight): Per capita availability</t>
  </si>
  <si>
    <t>Fresh cabbage: Supply and use</t>
  </si>
  <si>
    <t>Fresh onions: Supply and use</t>
  </si>
  <si>
    <t>Fresh potatoes: Supply and use</t>
  </si>
  <si>
    <t>Fresh sweet potatoes: Supply and use</t>
  </si>
  <si>
    <r>
      <t>Fresh vegetables: Supply and use</t>
    </r>
    <r>
      <rPr>
        <b/>
        <vertAlign val="superscript"/>
        <sz val="8"/>
        <rFont val="Arial"/>
        <family val="2"/>
      </rPr>
      <t>1, 2</t>
    </r>
  </si>
  <si>
    <r>
      <t>Fresh vegetables (retail weight): Per capita availability</t>
    </r>
    <r>
      <rPr>
        <b/>
        <vertAlign val="superscript"/>
        <sz val="8"/>
        <rFont val="Arial"/>
        <family val="2"/>
      </rPr>
      <t>1</t>
    </r>
    <r>
      <rPr>
        <b/>
        <sz val="8"/>
        <rFont val="Arial"/>
        <family val="2"/>
      </rPr>
      <t>--continued</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</si>
  <si>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 (2000-01). ERS estimates for other years based on interpolated Census acreage and yield is estimated as 70 percent of the California yield reported by California County Agricultural Commissioners. </t>
    </r>
    <r>
      <rPr>
        <vertAlign val="superscript"/>
        <sz val="8"/>
        <rFont val="Arial"/>
        <family val="2"/>
      </rPr>
      <t>3</t>
    </r>
    <r>
      <rPr>
        <sz val="8"/>
        <rFont val="Arial"/>
        <family val="2"/>
      </rPr>
      <t xml:space="preserve">ERS estimates of imports are based on USDA, Agricultural Marketing Service market import shipments of greens. No exports data available. All product-weight data were converted to a fresh-weight basis using an average factor of 1.33. </t>
    </r>
    <r>
      <rPr>
        <vertAlign val="superscript"/>
        <sz val="8"/>
        <rFont val="Arial"/>
        <family val="2"/>
      </rPr>
      <t>4</t>
    </r>
    <r>
      <rPr>
        <sz val="8"/>
        <rFont val="Arial"/>
        <family val="2"/>
      </rPr>
      <t xml:space="preserve">No ending stocks data available.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Spinach conversion factor.</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</si>
  <si>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 (2000-01). ERS estimates for other years based on interpolated Census acreage and yield is estimated as 70 percent of the California yield reported by California County Agricultural Commissioners. </t>
    </r>
    <r>
      <rPr>
        <vertAlign val="superscript"/>
        <sz val="8"/>
        <rFont val="Arial"/>
        <family val="2"/>
      </rPr>
      <t>3</t>
    </r>
    <r>
      <rPr>
        <sz val="8"/>
        <rFont val="Arial"/>
        <family val="2"/>
      </rPr>
      <t xml:space="preserve">ERS estimates of imports are based on USDA, Agricultural Marketing Service market import shipments of greens. No exports data available. </t>
    </r>
    <r>
      <rPr>
        <vertAlign val="superscript"/>
        <sz val="8"/>
        <rFont val="Arial"/>
        <family val="2"/>
      </rPr>
      <t>4</t>
    </r>
    <r>
      <rPr>
        <sz val="8"/>
        <rFont val="Arial"/>
        <family val="2"/>
      </rPr>
      <t xml:space="preserve">No ending stocks data available.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Spinach conversion factor used, CF = 0.88.</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</si>
  <si>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except production data for 1985-91 which were estimated by ERS based on California County Agricultural Commissioners' Reports. </t>
    </r>
    <r>
      <rPr>
        <vertAlign val="superscript"/>
        <sz val="8"/>
        <rFont val="Arial"/>
        <family val="2"/>
      </rPr>
      <t>3</t>
    </r>
    <r>
      <rPr>
        <sz val="8"/>
        <rFont val="Arial"/>
        <family val="2"/>
      </rPr>
      <t xml:space="preserve">Source: U.S. Department of Commerce, U.S. Census Bureau.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 0.93.</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</si>
  <si>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except for 1982-91 which was estimated by ERS based on available State data. </t>
    </r>
    <r>
      <rPr>
        <vertAlign val="superscript"/>
        <sz val="8"/>
        <rFont val="Arial"/>
        <family val="2"/>
      </rPr>
      <t>3</t>
    </r>
    <r>
      <rPr>
        <sz val="8"/>
        <rFont val="Arial"/>
        <family val="2"/>
      </rPr>
      <t xml:space="preserve">Source: U.S. Department of Commerce, U.S. Census Bureau. From 1980-89, U.S. exports were adjusted using Canadian import data from Statistics Canada.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 0.94.</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</si>
  <si>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 (1979-81 and 1992-2001). Production data prior to 1992 not available. Estimated by ERS after 2001 based on California County Agricultural Commissioners' Reports data. </t>
    </r>
    <r>
      <rPr>
        <vertAlign val="superscript"/>
        <sz val="8"/>
        <rFont val="Arial"/>
        <family val="2"/>
      </rPr>
      <t>3</t>
    </r>
    <r>
      <rPr>
        <sz val="8"/>
        <rFont val="Arial"/>
        <family val="2"/>
      </rPr>
      <t xml:space="preserve">Source: U.S. Department of Commerce, U.S. Census Bureau.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 0.92.</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</si>
  <si>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 (1979-81 and 1992-2001) and California County Agricultural Commissioners' Reports (1982-91 and 2002 to the present). </t>
    </r>
    <r>
      <rPr>
        <vertAlign val="superscript"/>
        <sz val="8"/>
        <rFont val="Arial"/>
        <family val="2"/>
      </rPr>
      <t>3</t>
    </r>
    <r>
      <rPr>
        <sz val="8"/>
        <rFont val="Arial"/>
        <family val="2"/>
      </rPr>
      <t xml:space="preserve">Source: U.S. Department of Commerce, U.S. Census Bureau. Includes canned and fresh. From 1978-89, exports were adjusted using Canadian import data from Statistics Canada. Canned imports were adjusted to a fresh-weight basis using a factor of 3.0.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 0.93.</t>
    </r>
  </si>
  <si>
    <r>
      <rPr>
        <vertAlign val="superscript"/>
        <sz val="8"/>
        <rFont val="Arial"/>
        <family val="2"/>
      </rPr>
      <t>1</t>
    </r>
    <r>
      <rPr>
        <sz val="8"/>
        <rFont val="Arial"/>
        <family val="2"/>
      </rPr>
      <t xml:space="preserve">For most recent year values see individual commodities. </t>
    </r>
    <r>
      <rPr>
        <vertAlign val="superscript"/>
        <sz val="8"/>
        <rFont val="Arial"/>
        <family val="2"/>
      </rPr>
      <t>2</t>
    </r>
    <r>
      <rPr>
        <sz val="8"/>
        <rFont val="Arial"/>
        <family val="2"/>
      </rPr>
      <t xml:space="preserve">Most recent year does not include mushrooms. </t>
    </r>
    <r>
      <rPr>
        <vertAlign val="superscript"/>
        <sz val="8"/>
        <rFont val="Arial"/>
        <family val="2"/>
      </rPr>
      <t>3</t>
    </r>
    <r>
      <rPr>
        <sz val="8"/>
        <rFont val="Arial"/>
        <family val="2"/>
      </rPr>
      <t xml:space="preserve">Resident population plus the Armed Forces overseas. </t>
    </r>
    <r>
      <rPr>
        <vertAlign val="superscript"/>
        <sz val="8"/>
        <rFont val="Arial"/>
        <family val="2"/>
      </rPr>
      <t>4</t>
    </r>
    <r>
      <rPr>
        <sz val="8"/>
        <rFont val="Arial"/>
        <family val="2"/>
      </rPr>
      <t xml:space="preserve">Derived by ERS from data of USDA, National Agricultural Statistics Service (NASS). </t>
    </r>
    <r>
      <rPr>
        <vertAlign val="superscript"/>
        <sz val="8"/>
        <rFont val="Arial"/>
        <family val="2"/>
      </rPr>
      <t>5</t>
    </r>
    <r>
      <rPr>
        <sz val="8"/>
        <rFont val="Arial"/>
        <family val="2"/>
      </rPr>
      <t xml:space="preserve">Source: U.S. Department of Commerce, U.S. Census Bureau. From 1980-89 exports were adjusted using Canadian import data. Includes some processing from dual use commodities. </t>
    </r>
    <r>
      <rPr>
        <vertAlign val="superscript"/>
        <sz val="8"/>
        <rFont val="Arial"/>
        <family val="2"/>
      </rPr>
      <t>6</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</si>
  <si>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Production was adjusted by ERS for 1970-81 to account for States not included in USDA, NASS estimates. Production data for 1982 and 1983 estimated by ERS. </t>
    </r>
    <r>
      <rPr>
        <vertAlign val="superscript"/>
        <sz val="8"/>
        <rFont val="Arial"/>
        <family val="2"/>
      </rPr>
      <t>3</t>
    </r>
    <r>
      <rPr>
        <sz val="8"/>
        <rFont val="Arial"/>
        <family val="2"/>
      </rPr>
      <t xml:space="preserve">Source: U.S. Department of Commerce, U.S. Census Bureau. From 1978 to 1989, U.S. exports were adjusted using Canadian import data.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 0.91.</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</si>
  <si>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Production was adjusted by ERS for 1970-81 to account for States not included in USDA, NASS estimate. </t>
    </r>
    <r>
      <rPr>
        <vertAlign val="superscript"/>
        <sz val="8"/>
        <rFont val="Arial"/>
        <family val="2"/>
      </rPr>
      <t>3</t>
    </r>
    <r>
      <rPr>
        <sz val="8"/>
        <rFont val="Arial"/>
        <family val="2"/>
      </rPr>
      <t xml:space="preserve">Source: U.S. Department of Commerce, U.S. Census Bureau. From 1978-89, U.S. exports were adjusted using Canadian import data.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 0.92.</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</si>
  <si>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Includes fresh and processing uses. Data for 1982-91 and after 2001 from California County Agricultural Commissioners' Reports. </t>
    </r>
    <r>
      <rPr>
        <vertAlign val="superscript"/>
        <sz val="8"/>
        <rFont val="Arial"/>
        <family val="2"/>
      </rPr>
      <t>3</t>
    </r>
    <r>
      <rPr>
        <sz val="8"/>
        <rFont val="Arial"/>
        <family val="2"/>
      </rPr>
      <t xml:space="preserve">Source: U.S. Department of Commerce, U.S. Census Bureau, and Statistics Canada. All processed product-weight data were converted to a fresh basis using an average factor of 1.33. </t>
    </r>
    <r>
      <rPr>
        <vertAlign val="superscript"/>
        <sz val="8"/>
        <rFont val="Arial"/>
        <family val="2"/>
      </rPr>
      <t>4</t>
    </r>
    <r>
      <rPr>
        <sz val="8"/>
        <rFont val="Arial"/>
        <family val="2"/>
      </rPr>
      <t xml:space="preserve">Source: USDA, NASS. Includes cold storage data converted to fresh-weight using a factor of 1.33.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Conversion factor = 0.92.</t>
    </r>
  </si>
  <si>
    <r>
      <rPr>
        <vertAlign val="superscript"/>
        <sz val="8"/>
        <rFont val="Arial"/>
        <family val="2"/>
      </rPr>
      <t>1</t>
    </r>
    <r>
      <rPr>
        <sz val="8"/>
        <rFont val="Arial"/>
        <family val="2"/>
      </rPr>
      <t xml:space="preserve">Largely head cabbage. End of year stocks and shrinkage are not included.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 National Agricultural Statistics Service (NASS). During 1982-91 and 2019, U.S. production and value data were estimated by ERS based on available State reports. </t>
    </r>
    <r>
      <rPr>
        <vertAlign val="superscript"/>
        <sz val="8"/>
        <rFont val="Arial"/>
        <family val="2"/>
      </rPr>
      <t>4</t>
    </r>
    <r>
      <rPr>
        <sz val="8"/>
        <rFont val="Arial"/>
        <family val="2"/>
      </rPr>
      <t xml:space="preserve">Source: U.S. Department of Commerce, U.S. Census Bureau. From 1978-89, U.S. exports were adjusted using Canadian import data. Excludes sauerkraut. </t>
    </r>
    <r>
      <rPr>
        <vertAlign val="superscript"/>
        <sz val="8"/>
        <rFont val="Arial"/>
        <family val="2"/>
      </rPr>
      <t>5</t>
    </r>
    <r>
      <rPr>
        <sz val="8"/>
        <rFont val="Arial"/>
        <family val="2"/>
      </rPr>
      <t xml:space="preserve">New York data through 2002. Estimated by ERS thereafter.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Conversion factor = 0.93.</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</si>
  <si>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Production data were adjusted by ERS for 1970-81 and 2019 to account for States not included in USDA, NASS estimates. </t>
    </r>
    <r>
      <rPr>
        <vertAlign val="superscript"/>
        <sz val="8"/>
        <rFont val="Arial"/>
        <family val="2"/>
      </rPr>
      <t>3</t>
    </r>
    <r>
      <rPr>
        <sz val="8"/>
        <rFont val="Arial"/>
        <family val="2"/>
      </rPr>
      <t xml:space="preserve">Source: U.S. Department of Commerce, U.S. Census Bureau. From 1978-89, U.S. exports were adjusted using Canadian import data.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 0.97.</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</si>
  <si>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Production data were adjusted by ERS for 1980-81 to account for States not included in USDA, NASS estimates. </t>
    </r>
    <r>
      <rPr>
        <vertAlign val="superscript"/>
        <sz val="8"/>
        <rFont val="Arial"/>
        <family val="2"/>
      </rPr>
      <t>3</t>
    </r>
    <r>
      <rPr>
        <sz val="8"/>
        <rFont val="Arial"/>
        <family val="2"/>
      </rPr>
      <t xml:space="preserve">Source: U.S. Department of Commerce, U.S. Census Bureau. From 1978-89, U.S. exports were adjusted using Canadian import data.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 0.92.</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</si>
  <si>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Production data were adjusted by ERS for 1970-81 and from 1992 to the present to account for States not included in USDA, NASS estimates. </t>
    </r>
    <r>
      <rPr>
        <vertAlign val="superscript"/>
        <sz val="8"/>
        <rFont val="Arial"/>
        <family val="2"/>
      </rPr>
      <t>3</t>
    </r>
    <r>
      <rPr>
        <sz val="8"/>
        <rFont val="Arial"/>
        <family val="2"/>
      </rPr>
      <t xml:space="preserve">Source: U.S. Department of Commerce, U.S. Census Bureau. From 1978-89, U.S. exports were adjusted using Canadian import data from Statistics Canada.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 0.93.</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</si>
  <si>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Production data were adjusted by ERS for 1970-81 to account for States not included in USDA, NASS estimates. </t>
    </r>
    <r>
      <rPr>
        <vertAlign val="superscript"/>
        <sz val="8"/>
        <rFont val="Arial"/>
        <family val="2"/>
      </rPr>
      <t>3</t>
    </r>
    <r>
      <rPr>
        <sz val="8"/>
        <rFont val="Arial"/>
        <family val="2"/>
      </rPr>
      <t xml:space="preserve">Source: U.S. Department of Commerce, U.S. Census Bureau. From 1978-89, U.S. exports were adjusted using Canadian import data.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 0.92.</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</si>
  <si>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Data for 1982-91 were adjusted by ERS to account for States not included in USDA, NASS estimates. Excludes domestic protected culture. </t>
    </r>
    <r>
      <rPr>
        <vertAlign val="superscript"/>
        <sz val="8"/>
        <rFont val="Arial"/>
        <family val="2"/>
      </rPr>
      <t>3</t>
    </r>
    <r>
      <rPr>
        <sz val="8"/>
        <rFont val="Arial"/>
        <family val="2"/>
      </rPr>
      <t xml:space="preserve">Source: U.S. Department of Commerce, U.S. Census Bureau. From 1978-89, U.S. exports were adjusted using Canadian import data.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 0.92.</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</si>
  <si>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 (1979-81 and 1992-2001). Production data were adjusted by ERS for other years to account for States not included in USDA, NASS estimates. </t>
    </r>
    <r>
      <rPr>
        <vertAlign val="superscript"/>
        <sz val="8"/>
        <rFont val="Arial"/>
        <family val="2"/>
      </rPr>
      <t>3</t>
    </r>
    <r>
      <rPr>
        <sz val="8"/>
        <rFont val="Arial"/>
        <family val="2"/>
      </rPr>
      <t xml:space="preserve">Source: U.S. Department of Commerce, U.S. Census Bureau, and Statistics Canada. From 1978-89, exports were adjusted using Canadian import data from Statistics Canada.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 0.90.</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</si>
  <si>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Production data were adjusted by ERS for 1982-91 and 2002-05 to account for States not included in USDA, NASS estimates. After 2005, ERS estimates based on census area and California yields. </t>
    </r>
    <r>
      <rPr>
        <vertAlign val="superscript"/>
        <sz val="8"/>
        <rFont val="Arial"/>
        <family val="2"/>
      </rPr>
      <t>3</t>
    </r>
    <r>
      <rPr>
        <sz val="8"/>
        <rFont val="Arial"/>
        <family val="2"/>
      </rPr>
      <t xml:space="preserve">Source: U.S. Department of Commerce, U.S. Census Bureau. Includes whitloof chicory.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 0.90.</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</si>
  <si>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 (1970-81 and 1992-present). Between 1981 and 1991, production data were estimated by ERS as reported in the California County Agricultural Commissioners' annual report. </t>
    </r>
    <r>
      <rPr>
        <vertAlign val="superscript"/>
        <sz val="8"/>
        <rFont val="Arial"/>
        <family val="2"/>
      </rPr>
      <t>3</t>
    </r>
    <r>
      <rPr>
        <sz val="8"/>
        <rFont val="Arial"/>
        <family val="2"/>
      </rPr>
      <t xml:space="preserve">Source: U.S. Department of Commerce, U.S. Census Bureau. From 1978-89, exports were adjusted using Canadian import data from Statistics Canada. Includes dried garlic and garlic flour after 1977. Dried adjusted to fresh basis using the factor 2.7.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 xml:space="preserve">Seed use is estimated as 2 percent of California output until 2000 when seed-producing States were added to the USDA, NASS production estimate. </t>
    </r>
    <r>
      <rPr>
        <vertAlign val="superscript"/>
        <sz val="8"/>
        <rFont val="Arial"/>
        <family val="2"/>
      </rPr>
      <t>6</t>
    </r>
    <r>
      <rPr>
        <sz val="8"/>
        <rFont val="Arial"/>
        <family val="2"/>
      </rPr>
      <t>Conversion factor = 0.81.</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</si>
  <si>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Data were adjusted by ERS for 1970-81 to account for States not included in USDA, NASS estimates. </t>
    </r>
    <r>
      <rPr>
        <vertAlign val="superscript"/>
        <sz val="8"/>
        <rFont val="Arial"/>
        <family val="2"/>
      </rPr>
      <t>3</t>
    </r>
    <r>
      <rPr>
        <sz val="8"/>
        <rFont val="Arial"/>
        <family val="2"/>
      </rPr>
      <t xml:space="preserve">Source: U.S. Department of Commerce, U.S. Census Bureau. Prior to 1989, trade includes leaf lettuce. From 1978-89, exports were adjusted using Canadian import data.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 0.93.</t>
    </r>
  </si>
  <si>
    <r>
      <rPr>
        <vertAlign val="superscript"/>
        <sz val="8"/>
        <rFont val="Arial"/>
        <family val="2"/>
      </rPr>
      <t>1</t>
    </r>
    <r>
      <rPr>
        <sz val="8"/>
        <rFont val="Arial"/>
        <family val="2"/>
      </rPr>
      <t xml:space="preserve">Crop year begins July 1 of the year listed and ends June 30 of the following year.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 National Agricultural Statistics Service (NASS). Sales volume for all fresh mushrooms. Volume adjusted by ERS 1982-91 and 2019 to account for States not included in USDA, NASS estimates. </t>
    </r>
    <r>
      <rPr>
        <vertAlign val="superscript"/>
        <sz val="8"/>
        <rFont val="Arial"/>
        <family val="2"/>
      </rPr>
      <t>4</t>
    </r>
    <r>
      <rPr>
        <sz val="8"/>
        <rFont val="Arial"/>
        <family val="2"/>
      </rPr>
      <t xml:space="preserve">Source: U.S. Department of Commerce, U.S. Census Bureau, and Statistics Canada.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Conversion factor = 0.94.</t>
    </r>
  </si>
  <si>
    <r>
      <rPr>
        <vertAlign val="superscript"/>
        <sz val="8"/>
        <rFont val="Arial"/>
        <family val="2"/>
      </rPr>
      <t>1</t>
    </r>
    <r>
      <rPr>
        <sz val="8"/>
        <rFont val="Arial"/>
        <family val="2"/>
      </rPr>
      <t xml:space="preserve">Includes onions destined for canning or freezing.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 National Agricultural Statistics Service (NASS). Production was adjusted by ERS from 1970-81 to account for States not included in USDA, NASS estimates. </t>
    </r>
    <r>
      <rPr>
        <vertAlign val="superscript"/>
        <sz val="8"/>
        <rFont val="Arial"/>
        <family val="2"/>
      </rPr>
      <t>4</t>
    </r>
    <r>
      <rPr>
        <sz val="8"/>
        <rFont val="Arial"/>
        <family val="2"/>
      </rPr>
      <t xml:space="preserve">Source: U.S. Department of Commerce, U.S. Census Bureau. From 1980-89 exports were adjusted using Canadian import data. </t>
    </r>
    <r>
      <rPr>
        <vertAlign val="superscript"/>
        <sz val="8"/>
        <rFont val="Arial"/>
        <family val="2"/>
      </rPr>
      <t>5</t>
    </r>
    <r>
      <rPr>
        <sz val="8"/>
        <rFont val="Arial"/>
        <family val="2"/>
      </rPr>
      <t xml:space="preserve">Includes green onions, onion sets and canned onions (fresh-weight equivalent factor - 1.29), but excludes dehydrated onions. </t>
    </r>
    <r>
      <rPr>
        <vertAlign val="superscript"/>
        <sz val="8"/>
        <rFont val="Arial"/>
        <family val="2"/>
      </rPr>
      <t>6</t>
    </r>
    <r>
      <rPr>
        <sz val="8"/>
        <rFont val="Arial"/>
        <family val="2"/>
      </rPr>
      <t xml:space="preserve">Approximated from State marketings. </t>
    </r>
    <r>
      <rPr>
        <vertAlign val="superscript"/>
        <sz val="8"/>
        <rFont val="Arial"/>
        <family val="2"/>
      </rPr>
      <t>7</t>
    </r>
    <r>
      <rPr>
        <sz val="8"/>
        <rFont val="Arial"/>
        <family val="2"/>
      </rPr>
      <t xml:space="preserve">Computed from unrounded data. </t>
    </r>
    <r>
      <rPr>
        <vertAlign val="superscript"/>
        <sz val="8"/>
        <rFont val="Arial"/>
        <family val="2"/>
      </rPr>
      <t>8</t>
    </r>
    <r>
      <rPr>
        <sz val="8"/>
        <rFont val="Arial"/>
        <family val="2"/>
      </rPr>
      <t xml:space="preserve">Conversion factor = 0.94.  </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</si>
  <si>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California County Agricultural Commissioners' Reports except USDA, National Agricultural Statistics Service (NASS) in 2000-01. Includes fresh and processing uses. </t>
    </r>
    <r>
      <rPr>
        <vertAlign val="superscript"/>
        <sz val="8"/>
        <rFont val="Arial"/>
        <family val="2"/>
      </rPr>
      <t>3</t>
    </r>
    <r>
      <rPr>
        <sz val="8"/>
        <rFont val="Arial"/>
        <family val="2"/>
      </rPr>
      <t xml:space="preserve">Source: U.S. Department of Commerce, U.S. Census Bureau, and Statistics Canada. All processed product-weight data were converted to a fresh-weight basis using an average factor of 1.18. Includes fresh and frozen imports. Exports are estimated at 3 percent of miscellaneous fresh vegetables (Harmonized System code 0709905000) plus 1 percent of other frozen vegetables (Harmonized System code 0710800050). </t>
    </r>
    <r>
      <rPr>
        <vertAlign val="superscript"/>
        <sz val="8"/>
        <rFont val="Arial"/>
        <family val="2"/>
      </rPr>
      <t>4</t>
    </r>
    <r>
      <rPr>
        <sz val="8"/>
        <rFont val="Arial"/>
        <family val="2"/>
      </rPr>
      <t xml:space="preserve">Source: USDA, NASS. Includes okra in cold storage data converted to a fresh-weight basis using a factor of 1.18.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Spinach conversion factor used, CF = 0.88.</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</si>
  <si>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For 1982-91 production data were adjusted by ERS to account for States not included in USDA, NASS estimates. Excludes domestic protected culture. </t>
    </r>
    <r>
      <rPr>
        <vertAlign val="superscript"/>
        <sz val="8"/>
        <rFont val="Arial"/>
        <family val="2"/>
      </rPr>
      <t>3</t>
    </r>
    <r>
      <rPr>
        <sz val="8"/>
        <rFont val="Arial"/>
        <family val="2"/>
      </rPr>
      <t xml:space="preserve">Source: U.S. Department of Commerce, U.S. Census Bureau. From 1978-89, U.S. exports were adjusted using Canadian import data. Beginning in 1990, includes canned and dehydrated peppers, adjusted to a fresh-weight basis. Conversion factors for peppers: frozen to fresh = 1.43, canned to fresh = 2.41, dried/dehydrated to fresh = 8.0.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 0.92.</t>
    </r>
  </si>
  <si>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Crop year (October-September) data converted to calendar year. </t>
    </r>
    <r>
      <rPr>
        <vertAlign val="superscript"/>
        <sz val="8"/>
        <rFont val="Arial"/>
        <family val="2"/>
      </rPr>
      <t>3</t>
    </r>
    <r>
      <rPr>
        <sz val="8"/>
        <rFont val="Arial"/>
        <family val="2"/>
      </rPr>
      <t xml:space="preserve">Resident population plus the Armed Forces overseas. </t>
    </r>
    <r>
      <rPr>
        <vertAlign val="superscript"/>
        <sz val="8"/>
        <rFont val="Arial"/>
        <family val="2"/>
      </rPr>
      <t>4</t>
    </r>
    <r>
      <rPr>
        <sz val="8"/>
        <rFont val="Arial"/>
        <family val="2"/>
      </rPr>
      <t xml:space="preserve">Source: USDA, National Agricultural Statistics Service (NASS). Crop year availability for the past season and the current season distributed on a calendar year basis using USDA, NASS potato marketing distributions. Adjusted by ERS for 2019 to account for States not included in USDA, NASS estimates. </t>
    </r>
    <r>
      <rPr>
        <vertAlign val="superscript"/>
        <sz val="8"/>
        <rFont val="Arial"/>
        <family val="2"/>
      </rPr>
      <t>5</t>
    </r>
    <r>
      <rPr>
        <sz val="8"/>
        <rFont val="Arial"/>
        <family val="2"/>
      </rPr>
      <t xml:space="preserve">Source: U.S. Department of Commerce, U.S. Census Bureau.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Conversion factor = 0.96.</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</si>
  <si>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From 1999 to present, based on data from USDA, National Agricultural Statistics Service (NASS) which includes fresh, ornamental, and processing uses in top 6 States. ERS expands USDA, NASS production estimates to reach census area coverage. </t>
    </r>
    <r>
      <rPr>
        <vertAlign val="superscript"/>
        <sz val="8"/>
        <rFont val="Arial"/>
        <family val="2"/>
      </rPr>
      <t>3</t>
    </r>
    <r>
      <rPr>
        <sz val="8"/>
        <rFont val="Arial"/>
        <family val="2"/>
      </rPr>
      <t xml:space="preserve">Source: U.S. Department of Commerce, U.S. Census Bureau. From 1970-2011 exports are estimated as 20 percent of miscellaneous vegetables. Beginning in 2012 exports are estimated as 50 percent of pumpkins, squash, and gourds. </t>
    </r>
    <r>
      <rPr>
        <vertAlign val="superscript"/>
        <sz val="8"/>
        <rFont val="Arial"/>
        <family val="2"/>
      </rPr>
      <t>4</t>
    </r>
    <r>
      <rPr>
        <sz val="8"/>
        <rFont val="Arial"/>
        <family val="2"/>
      </rPr>
      <t xml:space="preserve">No inventory data are available for canned/frozen pumpkin.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 xml:space="preserve">Estimated as 10 percent of production. </t>
    </r>
    <r>
      <rPr>
        <vertAlign val="superscript"/>
        <sz val="8"/>
        <rFont val="Arial"/>
        <family val="2"/>
      </rPr>
      <t>7</t>
    </r>
    <r>
      <rPr>
        <sz val="8"/>
        <rFont val="Arial"/>
        <family val="2"/>
      </rPr>
      <t>Conversion factor = 0.90.</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</si>
  <si>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from 2000-01. Production data were adjusted by ERS for all other years to account for States not included in USDA, NASS estimates. </t>
    </r>
    <r>
      <rPr>
        <vertAlign val="superscript"/>
        <sz val="8"/>
        <rFont val="Arial"/>
        <family val="2"/>
      </rPr>
      <t>3</t>
    </r>
    <r>
      <rPr>
        <sz val="8"/>
        <rFont val="Arial"/>
        <family val="2"/>
      </rPr>
      <t xml:space="preserve">Source: U.S. Department of Commerce, U.S. Census Bureau. Includes fresh only.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 xml:space="preserve">Exports data for 1978-89 are Canadian imports of U.S. radishes as reported by Statistics Canada. Beginning in 1990, 70 percent of the 'other edible roots' reported by U.S. Department of Commerce, U.S. Census Bureau. </t>
    </r>
    <r>
      <rPr>
        <vertAlign val="superscript"/>
        <sz val="8"/>
        <rFont val="Arial"/>
        <family val="2"/>
      </rPr>
      <t>6</t>
    </r>
    <r>
      <rPr>
        <sz val="8"/>
        <rFont val="Arial"/>
        <family val="2"/>
      </rPr>
      <t>Conversion factor = 0.97.</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</si>
  <si>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Production data were adjusted by ERS for 1982-91 and 2019 to account for States not included in USDA, NASS estimates. </t>
    </r>
    <r>
      <rPr>
        <vertAlign val="superscript"/>
        <sz val="8"/>
        <rFont val="Arial"/>
        <family val="2"/>
      </rPr>
      <t>3</t>
    </r>
    <r>
      <rPr>
        <sz val="8"/>
        <rFont val="Arial"/>
        <family val="2"/>
      </rPr>
      <t xml:space="preserve">Source: U.S. Department of Commerce, U.S. Census Bureau except for 1978-89 which are Canadian imports of U.S. spinach as reported by Statistics Canada.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 0.88.</t>
    </r>
  </si>
  <si>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Production includes fresh, processed, feed, seed, on farm use, and shrink and loss. Source: USDA, National Agricultural Statistics Service (NASS). Production data were adjusted by ERS for 2019 to account for States not included in USDA, NASS estimates. </t>
    </r>
    <r>
      <rPr>
        <vertAlign val="superscript"/>
        <sz val="8"/>
        <rFont val="Arial"/>
        <family val="2"/>
      </rPr>
      <t>4</t>
    </r>
    <r>
      <rPr>
        <sz val="8"/>
        <rFont val="Arial"/>
        <family val="2"/>
      </rPr>
      <t xml:space="preserve">Converted to a fresh-weight basis using a factor of 1.292. </t>
    </r>
    <r>
      <rPr>
        <vertAlign val="superscript"/>
        <sz val="8"/>
        <rFont val="Arial"/>
        <family val="2"/>
      </rPr>
      <t>5</t>
    </r>
    <r>
      <rPr>
        <sz val="8"/>
        <rFont val="Arial"/>
        <family val="2"/>
      </rPr>
      <t xml:space="preserve">Source: U.S. Department of Commerce, U.S. Census Bureau. Excludes yams. Includes frozen imports and exports converted to a fresh-weight basis using a factor of 2.0. </t>
    </r>
    <r>
      <rPr>
        <vertAlign val="superscript"/>
        <sz val="8"/>
        <rFont val="Arial"/>
        <family val="2"/>
      </rPr>
      <t>6</t>
    </r>
    <r>
      <rPr>
        <sz val="8"/>
        <rFont val="Arial"/>
        <family val="2"/>
      </rPr>
      <t xml:space="preserve">Stocks are for canned sweet potatoes as reported by the National Food Processors Association. Fresh stocks are no longer available. Canned stocks estimates were discontinued in 1989. </t>
    </r>
    <r>
      <rPr>
        <vertAlign val="superscript"/>
        <sz val="8"/>
        <rFont val="Arial"/>
        <family val="2"/>
      </rPr>
      <t>7</t>
    </r>
    <r>
      <rPr>
        <sz val="8"/>
        <rFont val="Arial"/>
        <family val="2"/>
      </rPr>
      <t xml:space="preserve">Computed from unrounded data. </t>
    </r>
    <r>
      <rPr>
        <vertAlign val="superscript"/>
        <sz val="8"/>
        <rFont val="Arial"/>
        <family val="2"/>
      </rPr>
      <t>8</t>
    </r>
    <r>
      <rPr>
        <sz val="8"/>
        <rFont val="Arial"/>
        <family val="2"/>
      </rPr>
      <t xml:space="preserve">Exports data for 1978-89 are from Statistics Canada and represent only exports to Canada. U.S. exports data had no code for sweet potatoes until 1989. </t>
    </r>
    <r>
      <rPr>
        <vertAlign val="superscript"/>
        <sz val="8"/>
        <rFont val="Arial"/>
        <family val="2"/>
      </rPr>
      <t>9</t>
    </r>
    <r>
      <rPr>
        <sz val="8"/>
        <rFont val="Arial"/>
        <family val="2"/>
      </rPr>
      <t xml:space="preserve">Beginning with 1985, calculated as the product of acres planted and seeding rate per acre. Estimated by ERS. </t>
    </r>
    <r>
      <rPr>
        <vertAlign val="superscript"/>
        <sz val="8"/>
        <rFont val="Arial"/>
        <family val="2"/>
      </rPr>
      <t>10</t>
    </r>
    <r>
      <rPr>
        <sz val="8"/>
        <rFont val="Arial"/>
        <family val="2"/>
      </rPr>
      <t xml:space="preserve">Source: USDA, NASS. Beginning with 1985, feed, shrink, and loss is estimated as 5 percent of production. </t>
    </r>
    <r>
      <rPr>
        <vertAlign val="superscript"/>
        <sz val="8"/>
        <rFont val="Arial"/>
        <family val="2"/>
      </rPr>
      <t>11</t>
    </r>
    <r>
      <rPr>
        <sz val="8"/>
        <rFont val="Arial"/>
        <family val="2"/>
      </rPr>
      <t>Conversion factor = 0.9.</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</si>
  <si>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Production was adjusted by ERS for 1970-81 and 2019 to account for States not included in the USDA, NASS estimates. Includes ERS estimates of domestically-grown hothouse tomatoes after 1996. </t>
    </r>
    <r>
      <rPr>
        <vertAlign val="superscript"/>
        <sz val="8"/>
        <rFont val="Arial"/>
        <family val="2"/>
      </rPr>
      <t>3</t>
    </r>
    <r>
      <rPr>
        <sz val="8"/>
        <rFont val="Arial"/>
        <family val="2"/>
      </rPr>
      <t xml:space="preserve">Source: U.S. Department of Commerce, U.S. Census Bureau. From 1978-89, U.S. exports were adjusted using Canadian import data. Imports include hothouse tomatoes.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 xml:space="preserve">Includes shipments to U.S. territories from 1978-88. </t>
    </r>
    <r>
      <rPr>
        <vertAlign val="superscript"/>
        <sz val="8"/>
        <rFont val="Arial"/>
        <family val="2"/>
      </rPr>
      <t>6</t>
    </r>
    <r>
      <rPr>
        <sz val="8"/>
        <rFont val="Arial"/>
        <family val="2"/>
      </rPr>
      <t>Conversion factor = 0.85.</t>
    </r>
  </si>
  <si>
    <t>vegfr.xlsx</t>
  </si>
  <si>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Calendar year. Includes both fresh and processing squash of all types. Source: USDA, National Agricultural Statistics Service (NASS). Production data were estimated by ERS through 1999. </t>
    </r>
    <r>
      <rPr>
        <vertAlign val="superscript"/>
        <sz val="8"/>
        <rFont val="Arial"/>
        <family val="2"/>
      </rPr>
      <t>3</t>
    </r>
    <r>
      <rPr>
        <sz val="8"/>
        <rFont val="Arial"/>
        <family val="2"/>
      </rPr>
      <t xml:space="preserve">Source: U.S. Department of Commerce, U.S. Census Bureau. Includes chayote squash since 1989. From 1970-2011 exports are estimated as 10 percent of miscellaneous vegetables. Beginning in 2012 exports are estimated as 35 percent of pumpkins, squash and gourds.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 xml:space="preserve">Eggplant conversion factor.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</si>
</sst>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43" formatCode="_(* #,##0.00_);_(* \(#,##0.00\);_(* &quot;-&quot;??_);_(@_)"/>
    <numFmt numFmtId="164" formatCode="0.000"/>
    <numFmt numFmtId="165" formatCode="mmmm\ d\,\ yyyy"/>
    <numFmt numFmtId="166" formatCode="0.0"/>
    <numFmt numFmtId="167" formatCode="#,##0.0"/>
  </numFmts>
  <fonts count="60" x14ac:knownFonts="1">
    <font>
      <sz val="10"/>
      <name val="Arial"/>
    </font>
    <font>
      <sz val="11"/>
      <color theme="1"/>
      <name val="Calibri"/>
      <family val="2"/>
      <scheme val="minor"/>
    </font>
    <font>
      <sz val="11"/>
      <color theme="1"/>
      <name val="Calibri"/>
      <family val="2"/>
      <scheme val="minor"/>
    </font>
    <font>
      <sz val="10"/>
      <name val="Arial"/>
      <family val="2"/>
    </font>
    <font>
      <sz val="10"/>
      <name val="Arial"/>
      <family val="2"/>
    </font>
    <font>
      <b/>
      <sz val="18"/>
      <name val="Arial"/>
      <family val="2"/>
    </font>
    <font>
      <b/>
      <sz val="12"/>
      <name val="Arial"/>
      <family val="2"/>
    </font>
    <font>
      <sz val="8"/>
      <name val="Arial"/>
      <family val="2"/>
    </font>
    <font>
      <vertAlign val="superscript"/>
      <sz val="8"/>
      <name val="Times New Roman"/>
      <family val="1"/>
    </font>
    <font>
      <u/>
      <sz val="10"/>
      <color indexed="12"/>
      <name val="Arial"/>
      <family val="2"/>
    </font>
    <font>
      <sz val="12"/>
      <name val="Arial"/>
      <family val="2"/>
    </font>
    <font>
      <sz val="12"/>
      <name val="Arial"/>
      <family val="2"/>
    </font>
    <font>
      <sz val="10"/>
      <color indexed="8"/>
      <name val="Arial"/>
      <family val="2"/>
    </font>
    <font>
      <sz val="9"/>
      <name val="Arial"/>
      <family val="2"/>
    </font>
    <font>
      <sz val="10"/>
      <color indexed="9"/>
      <name val="Arial"/>
      <family val="2"/>
    </font>
    <font>
      <sz val="10"/>
      <color indexed="20"/>
      <name val="Arial"/>
      <family val="2"/>
    </font>
    <font>
      <b/>
      <sz val="10"/>
      <color indexed="1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62"/>
      <name val="Arial"/>
      <family val="2"/>
    </font>
    <font>
      <b/>
      <sz val="15"/>
      <color indexed="56"/>
      <name val="Arial"/>
      <family val="2"/>
    </font>
    <font>
      <b/>
      <sz val="13"/>
      <color indexed="62"/>
      <name val="Arial"/>
      <family val="2"/>
    </font>
    <font>
      <b/>
      <sz val="13"/>
      <color indexed="56"/>
      <name val="Arial"/>
      <family val="2"/>
    </font>
    <font>
      <b/>
      <sz val="11"/>
      <color indexed="62"/>
      <name val="Arial"/>
      <family val="2"/>
    </font>
    <font>
      <b/>
      <sz val="11"/>
      <color indexed="56"/>
      <name val="Arial"/>
      <family val="2"/>
    </font>
    <font>
      <sz val="10"/>
      <color indexed="62"/>
      <name val="Arial"/>
      <family val="2"/>
    </font>
    <font>
      <sz val="10"/>
      <color indexed="10"/>
      <name val="Arial"/>
      <family val="2"/>
    </font>
    <font>
      <sz val="10"/>
      <color indexed="52"/>
      <name val="Arial"/>
      <family val="2"/>
    </font>
    <font>
      <sz val="10"/>
      <color indexed="19"/>
      <name val="Arial"/>
      <family val="2"/>
    </font>
    <font>
      <sz val="10"/>
      <color indexed="60"/>
      <name val="Arial"/>
      <family val="2"/>
    </font>
    <font>
      <b/>
      <sz val="15"/>
      <color indexed="62"/>
      <name val="Calibri"/>
      <family val="2"/>
    </font>
    <font>
      <b/>
      <sz val="13"/>
      <color indexed="62"/>
      <name val="Calibri"/>
      <family val="2"/>
    </font>
    <font>
      <b/>
      <sz val="11"/>
      <color indexed="62"/>
      <name val="Calibri"/>
      <family val="2"/>
    </font>
    <font>
      <sz val="11"/>
      <color indexed="10"/>
      <name val="Calibri"/>
      <family val="2"/>
    </font>
    <font>
      <b/>
      <sz val="8"/>
      <name val="Arial"/>
      <family val="2"/>
    </font>
    <font>
      <vertAlign val="superscript"/>
      <sz val="8"/>
      <name val="Arial"/>
      <family val="2"/>
    </font>
    <font>
      <b/>
      <vertAlign val="superscript"/>
      <sz val="8"/>
      <name val="Arial"/>
      <family val="2"/>
    </font>
    <font>
      <sz val="11"/>
      <color theme="1"/>
      <name val="Calibri"/>
      <family val="2"/>
      <scheme val="minor"/>
    </font>
    <font>
      <sz val="10"/>
      <color theme="1"/>
      <name val="Arial"/>
      <family val="2"/>
    </font>
    <font>
      <sz val="11"/>
      <color theme="0"/>
      <name val="Calibri"/>
      <family val="2"/>
      <scheme val="minor"/>
    </font>
    <font>
      <sz val="10"/>
      <color theme="0"/>
      <name val="Arial"/>
      <family val="2"/>
    </font>
    <font>
      <sz val="11"/>
      <color rgb="FF9C0006"/>
      <name val="Calibri"/>
      <family val="2"/>
      <scheme val="minor"/>
    </font>
    <font>
      <sz val="10"/>
      <color rgb="FF9C0006"/>
      <name val="Arial"/>
      <family val="2"/>
    </font>
    <font>
      <b/>
      <sz val="11"/>
      <color indexed="10"/>
      <name val="Calibri"/>
      <family val="2"/>
      <scheme val="minor"/>
    </font>
    <font>
      <b/>
      <sz val="11"/>
      <color theme="0"/>
      <name val="Calibri"/>
      <family val="2"/>
      <scheme val="minor"/>
    </font>
    <font>
      <b/>
      <sz val="10"/>
      <color theme="0"/>
      <name val="Arial"/>
      <family val="2"/>
    </font>
    <font>
      <i/>
      <sz val="11"/>
      <color rgb="FF7F7F7F"/>
      <name val="Calibri"/>
      <family val="2"/>
      <scheme val="minor"/>
    </font>
    <font>
      <i/>
      <sz val="10"/>
      <color rgb="FF7F7F7F"/>
      <name val="Arial"/>
      <family val="2"/>
    </font>
    <font>
      <sz val="11"/>
      <color rgb="FF006100"/>
      <name val="Calibri"/>
      <family val="2"/>
      <scheme val="minor"/>
    </font>
    <font>
      <sz val="10"/>
      <color rgb="FF006100"/>
      <name val="Arial"/>
      <family val="2"/>
    </font>
    <font>
      <sz val="11"/>
      <color rgb="FF3F3F76"/>
      <name val="Calibri"/>
      <family val="2"/>
      <scheme val="minor"/>
    </font>
    <font>
      <sz val="10"/>
      <color rgb="FF3F3F76"/>
      <name val="Arial"/>
      <family val="2"/>
    </font>
    <font>
      <sz val="11"/>
      <color indexed="19"/>
      <name val="Calibri"/>
      <family val="2"/>
      <scheme val="minor"/>
    </font>
    <font>
      <sz val="10"/>
      <name val="Arial"/>
      <family val="2"/>
    </font>
    <font>
      <b/>
      <sz val="10"/>
      <name val="Arial"/>
      <family val="2"/>
    </font>
    <font>
      <sz val="10"/>
      <color theme="4" tint="-0.249977111117893"/>
      <name val="Arial"/>
      <family val="2"/>
    </font>
    <font>
      <i/>
      <sz val="8"/>
      <name val="Arial"/>
      <family val="2"/>
    </font>
    <font>
      <u/>
      <sz val="10"/>
      <color theme="10"/>
      <name val="Arial"/>
      <family val="2"/>
    </font>
  </fonts>
  <fills count="34">
    <fill>
      <patternFill patternType="none"/>
    </fill>
    <fill>
      <patternFill patternType="gray125"/>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9"/>
      </patternFill>
    </fill>
    <fill>
      <patternFill patternType="solid">
        <fgColor indexed="22"/>
      </patternFill>
    </fill>
    <fill>
      <patternFill patternType="solid">
        <fgColor indexed="55"/>
      </patternFill>
    </fill>
    <fill>
      <patternFill patternType="solid">
        <fgColor theme="8" tint="0.79998168889431442"/>
        <bgColor indexed="65"/>
      </patternFill>
    </fill>
    <fill>
      <patternFill patternType="solid">
        <fgColor theme="5" tint="0.59999389629810485"/>
        <bgColor indexed="65"/>
      </patternFill>
    </fill>
    <fill>
      <patternFill patternType="solid">
        <fgColor theme="8"/>
      </patternFill>
    </fill>
    <fill>
      <patternFill patternType="solid">
        <fgColor rgb="FFA5A5A5"/>
      </patternFill>
    </fill>
    <fill>
      <patternFill patternType="solid">
        <fgColor rgb="FFFFEB9C"/>
      </patternFill>
    </fill>
    <fill>
      <patternFill patternType="solid">
        <fgColor theme="0" tint="-4.9989318521683403E-2"/>
        <bgColor indexed="64"/>
      </patternFill>
    </fill>
    <fill>
      <patternFill patternType="solid">
        <fgColor theme="0"/>
        <bgColor indexed="64"/>
      </patternFill>
    </fill>
  </fills>
  <borders count="6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bottom style="thick">
        <color indexed="22"/>
      </bottom>
      <diagonal/>
    </border>
    <border>
      <left/>
      <right/>
      <top/>
      <bottom style="medium">
        <color indexed="27"/>
      </bottom>
      <diagonal/>
    </border>
    <border>
      <left/>
      <right/>
      <top/>
      <bottom style="medium">
        <color indexed="30"/>
      </bottom>
      <diagonal/>
    </border>
    <border>
      <left/>
      <right/>
      <top/>
      <bottom style="double">
        <color indexed="10"/>
      </bottom>
      <diagonal/>
    </border>
    <border>
      <left/>
      <right/>
      <top/>
      <bottom style="double">
        <color indexed="52"/>
      </bottom>
      <diagonal/>
    </border>
    <border>
      <left/>
      <right/>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double">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double">
        <color indexed="64"/>
      </bottom>
      <diagonal/>
    </border>
    <border>
      <left/>
      <right/>
      <top style="thin">
        <color indexed="64"/>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theme="0" tint="-0.34998626667073579"/>
      </left>
      <right/>
      <top style="double">
        <color indexed="64"/>
      </top>
      <bottom style="thin">
        <color theme="0" tint="-0.34998626667073579"/>
      </bottom>
      <diagonal/>
    </border>
    <border>
      <left/>
      <right/>
      <top style="double">
        <color indexed="64"/>
      </top>
      <bottom style="thin">
        <color theme="0" tint="-0.34998626667073579"/>
      </bottom>
      <diagonal/>
    </border>
    <border>
      <left/>
      <right style="thin">
        <color theme="0" tint="-0.34998626667073579"/>
      </right>
      <top style="double">
        <color indexed="64"/>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top style="thin">
        <color theme="0" tint="-0.34998626667073579"/>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indexed="64"/>
      </left>
      <right/>
      <top style="double">
        <color indexed="64"/>
      </top>
      <bottom/>
      <diagonal/>
    </border>
    <border>
      <left/>
      <right/>
      <top style="double">
        <color indexed="64"/>
      </top>
      <bottom/>
      <diagonal/>
    </border>
    <border>
      <left/>
      <right/>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theme="0" tint="-0.34998626667073579"/>
      </left>
      <right/>
      <top style="double">
        <color indexed="64"/>
      </top>
      <bottom/>
      <diagonal/>
    </border>
    <border>
      <left/>
      <right style="thin">
        <color theme="0" tint="-0.34998626667073579"/>
      </right>
      <top style="double">
        <color indexed="64"/>
      </top>
      <bottom/>
      <diagonal/>
    </border>
    <border>
      <left style="thin">
        <color theme="0" tint="-0.34998626667073579"/>
      </left>
      <right style="thin">
        <color theme="0" tint="-0.34998626667073579"/>
      </right>
      <top/>
      <bottom style="double">
        <color indexed="64"/>
      </bottom>
      <diagonal/>
    </border>
    <border>
      <left/>
      <right/>
      <top style="thin">
        <color theme="0" tint="-0.34998626667073579"/>
      </top>
      <bottom style="double">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style="thin">
        <color theme="0" tint="-0.34998626667073579"/>
      </left>
      <right/>
      <top/>
      <bottom/>
      <diagonal/>
    </border>
    <border>
      <left/>
      <right style="thin">
        <color theme="0" tint="-0.34998626667073579"/>
      </right>
      <top/>
      <bottom/>
      <diagonal/>
    </border>
    <border>
      <left style="thin">
        <color theme="0" tint="-0.499984740745262"/>
      </left>
      <right style="thin">
        <color indexed="55"/>
      </right>
      <top style="thin">
        <color theme="0" tint="-0.499984740745262"/>
      </top>
      <bottom style="thin">
        <color theme="0" tint="-0.499984740745262"/>
      </bottom>
      <diagonal/>
    </border>
    <border>
      <left style="thin">
        <color indexed="55"/>
      </left>
      <right style="thin">
        <color indexed="55"/>
      </right>
      <top style="thin">
        <color theme="0" tint="-0.499984740745262"/>
      </top>
      <bottom style="thin">
        <color theme="0" tint="-0.499984740745262"/>
      </bottom>
      <diagonal/>
    </border>
    <border>
      <left style="thin">
        <color indexed="55"/>
      </left>
      <right style="thin">
        <color indexed="55"/>
      </right>
      <top style="thin">
        <color indexed="55"/>
      </top>
      <bottom/>
      <diagonal/>
    </border>
    <border>
      <left style="thin">
        <color theme="0" tint="-0.34998626667073579"/>
      </left>
      <right/>
      <top style="thin">
        <color indexed="64"/>
      </top>
      <bottom style="thin">
        <color theme="0" tint="-0.499984740745262"/>
      </bottom>
      <diagonal/>
    </border>
    <border>
      <left/>
      <right/>
      <top style="thin">
        <color indexed="64"/>
      </top>
      <bottom style="thin">
        <color theme="0" tint="-0.499984740745262"/>
      </bottom>
      <diagonal/>
    </border>
    <border>
      <left/>
      <right style="thin">
        <color theme="0" tint="-0.34998626667073579"/>
      </right>
      <top style="thin">
        <color indexed="64"/>
      </top>
      <bottom style="thin">
        <color theme="0" tint="-0.499984740745262"/>
      </bottom>
      <diagonal/>
    </border>
    <border>
      <left style="thin">
        <color theme="0" tint="-0.499984740745262"/>
      </left>
      <right style="thin">
        <color indexed="55"/>
      </right>
      <top style="thin">
        <color theme="0" tint="-0.499984740745262"/>
      </top>
      <bottom style="double">
        <color theme="0" tint="-0.499984740745262"/>
      </bottom>
      <diagonal/>
    </border>
    <border>
      <left style="thin">
        <color indexed="55"/>
      </left>
      <right style="thin">
        <color indexed="55"/>
      </right>
      <top style="thin">
        <color theme="0" tint="-0.499984740745262"/>
      </top>
      <bottom style="double">
        <color theme="0" tint="-0.499984740745262"/>
      </bottom>
      <diagonal/>
    </border>
    <border>
      <left style="thin">
        <color theme="0" tint="-0.34998626667073579"/>
      </left>
      <right style="thin">
        <color theme="0" tint="-0.34998626667073579"/>
      </right>
      <top style="thin">
        <color theme="0" tint="-0.34998626667073579"/>
      </top>
      <bottom style="double">
        <color theme="0" tint="-0.499984740745262"/>
      </bottom>
      <diagonal/>
    </border>
  </borders>
  <cellStyleXfs count="6654">
    <xf numFmtId="0" fontId="0" fillId="0" borderId="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39"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12" fillId="3"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12" fillId="3" borderId="0" applyNumberFormat="0" applyBorder="0" applyAlignment="0" applyProtection="0"/>
    <xf numFmtId="0" fontId="40"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39"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2" fillId="5"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2" fillId="5" borderId="0" applyNumberFormat="0" applyBorder="0" applyAlignment="0" applyProtection="0"/>
    <xf numFmtId="0" fontId="40" fillId="4"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39"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7"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7" borderId="0" applyNumberFormat="0" applyBorder="0" applyAlignment="0" applyProtection="0"/>
    <xf numFmtId="0" fontId="40"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39"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12" fillId="9"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12" fillId="9" borderId="0" applyNumberFormat="0" applyBorder="0" applyAlignment="0" applyProtection="0"/>
    <xf numFmtId="0" fontId="40"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39"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12" fillId="10"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12" fillId="10" borderId="0" applyNumberFormat="0" applyBorder="0" applyAlignment="0" applyProtection="0"/>
    <xf numFmtId="0" fontId="40" fillId="27"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39"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8"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8" borderId="0" applyNumberFormat="0" applyBorder="0" applyAlignment="0" applyProtection="0"/>
    <xf numFmtId="0" fontId="40" fillId="6"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39"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39"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12" fillId="4"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12" fillId="4" borderId="0" applyNumberFormat="0" applyBorder="0" applyAlignment="0" applyProtection="0"/>
    <xf numFmtId="0" fontId="40" fillId="28"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39"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12" fillId="12"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12" fillId="12" borderId="0" applyNumberFormat="0" applyBorder="0" applyAlignment="0" applyProtection="0"/>
    <xf numFmtId="0" fontId="40"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39"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12" fillId="9"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12" fillId="9" borderId="0" applyNumberFormat="0" applyBorder="0" applyAlignment="0" applyProtection="0"/>
    <xf numFmtId="0" fontId="40" fillId="5"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39"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39"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13"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13" borderId="0" applyNumberFormat="0" applyBorder="0" applyAlignment="0" applyProtection="0"/>
    <xf numFmtId="0" fontId="40"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41"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14" fillId="14"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14" fillId="14" borderId="0" applyNumberFormat="0" applyBorder="0" applyAlignment="0" applyProtection="0"/>
    <xf numFmtId="0" fontId="42" fillId="10"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41"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14" fillId="4"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14" fillId="4" borderId="0" applyNumberFormat="0" applyBorder="0" applyAlignment="0" applyProtection="0"/>
    <xf numFmtId="0" fontId="42" fillId="15"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41"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14" fillId="12"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14" fillId="12" borderId="0" applyNumberFormat="0" applyBorder="0" applyAlignment="0" applyProtection="0"/>
    <xf numFmtId="0" fontId="42" fillId="13"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41"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14" fillId="16"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14" fillId="16" borderId="0" applyNumberFormat="0" applyBorder="0" applyAlignment="0" applyProtection="0"/>
    <xf numFmtId="0" fontId="42" fillId="5"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41"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14" fillId="17"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14" fillId="17" borderId="0" applyNumberFormat="0" applyBorder="0" applyAlignment="0" applyProtection="0"/>
    <xf numFmtId="0" fontId="42" fillId="10"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41"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14" fillId="18"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14" fillId="18" borderId="0" applyNumberFormat="0" applyBorder="0" applyAlignment="0" applyProtection="0"/>
    <xf numFmtId="0" fontId="42" fillId="4"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41"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14" fillId="20"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14" fillId="20" borderId="0" applyNumberFormat="0" applyBorder="0" applyAlignment="0" applyProtection="0"/>
    <xf numFmtId="0" fontId="42" fillId="19"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41"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14" fillId="21"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14" fillId="21" borderId="0" applyNumberFormat="0" applyBorder="0" applyAlignment="0" applyProtection="0"/>
    <xf numFmtId="0" fontId="42" fillId="15"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41"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14" fillId="22"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14" fillId="22" borderId="0" applyNumberFormat="0" applyBorder="0" applyAlignment="0" applyProtection="0"/>
    <xf numFmtId="0" fontId="42" fillId="13"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41"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14" fillId="16"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14" fillId="16" borderId="0" applyNumberFormat="0" applyBorder="0" applyAlignment="0" applyProtection="0"/>
    <xf numFmtId="0" fontId="42" fillId="23"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41"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14" fillId="17"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14" fillId="17" borderId="0" applyNumberFormat="0" applyBorder="0" applyAlignment="0" applyProtection="0"/>
    <xf numFmtId="0" fontId="42" fillId="29"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41"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14" fillId="15"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14" fillId="15" borderId="0" applyNumberFormat="0" applyBorder="0" applyAlignment="0" applyProtection="0"/>
    <xf numFmtId="0" fontId="42" fillId="21"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43"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15" fillId="5"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15" fillId="5" borderId="0" applyNumberFormat="0" applyBorder="0" applyAlignment="0" applyProtection="0"/>
    <xf numFmtId="0" fontId="44" fillId="9"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45"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7" fillId="25" borderId="1"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7" fillId="25" borderId="1" applyNumberFormat="0" applyAlignment="0" applyProtection="0"/>
    <xf numFmtId="0" fontId="16" fillId="24" borderId="15"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46"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18" fillId="26" borderId="2"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18" fillId="26" borderId="2" applyNumberFormat="0" applyAlignment="0" applyProtection="0"/>
    <xf numFmtId="0" fontId="47" fillId="30" borderId="16"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43" fontId="3" fillId="0" borderId="0" applyFont="0" applyFill="0" applyBorder="0" applyAlignment="0" applyProtection="0"/>
    <xf numFmtId="43" fontId="3" fillId="0" borderId="0" applyFont="0" applyFill="0" applyBorder="0" applyAlignment="0" applyProtection="0"/>
    <xf numFmtId="3" fontId="4" fillId="0" borderId="0" applyFill="0" applyBorder="0" applyAlignment="0" applyProtection="0"/>
    <xf numFmtId="3" fontId="3" fillId="0" borderId="0" applyFill="0" applyBorder="0" applyAlignment="0" applyProtection="0"/>
    <xf numFmtId="5" fontId="4" fillId="0" borderId="0" applyFill="0" applyBorder="0" applyAlignment="0" applyProtection="0"/>
    <xf numFmtId="5" fontId="3" fillId="0" borderId="0" applyFill="0" applyBorder="0" applyAlignment="0" applyProtection="0"/>
    <xf numFmtId="165" fontId="4" fillId="0" borderId="0" applyFill="0" applyBorder="0" applyAlignment="0" applyProtection="0"/>
    <xf numFmtId="165" fontId="3" fillId="0" borderId="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9" fillId="0" borderId="0" applyNumberFormat="0" applyFill="0" applyBorder="0" applyAlignment="0" applyProtection="0"/>
    <xf numFmtId="0" fontId="4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2" fontId="4" fillId="0" borderId="0" applyFill="0" applyBorder="0" applyAlignment="0" applyProtection="0"/>
    <xf numFmtId="2" fontId="3" fillId="0" borderId="0" applyFill="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50"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20" fillId="7"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20" fillId="7" borderId="0" applyNumberFormat="0" applyBorder="0" applyAlignment="0" applyProtection="0"/>
    <xf numFmtId="0" fontId="51" fillId="10"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 fillId="0" borderId="0" applyNumberFormat="0" applyFill="0" applyBorder="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32"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6" fillId="0" borderId="0" applyNumberFormat="0" applyFill="0" applyBorder="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3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34"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52"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27" fillId="8" borderId="1"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27" fillId="8" borderId="1" applyNumberFormat="0" applyAlignment="0" applyProtection="0"/>
    <xf numFmtId="0" fontId="53" fillId="11" borderId="15"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35"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54"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9"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9"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9"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9" fillId="0" borderId="0"/>
    <xf numFmtId="0" fontId="3" fillId="0" borderId="0">
      <alignment vertical="center"/>
    </xf>
    <xf numFmtId="0" fontId="39"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xf numFmtId="0" fontId="40" fillId="0" borderId="0"/>
    <xf numFmtId="0" fontId="10"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13" fillId="0" borderId="0"/>
    <xf numFmtId="0" fontId="3" fillId="0" borderId="0"/>
    <xf numFmtId="0" fontId="13" fillId="0" borderId="0"/>
    <xf numFmtId="0" fontId="3" fillId="0" borderId="0"/>
    <xf numFmtId="0" fontId="1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1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2" fillId="2" borderId="0" applyNumberFormat="0" applyBorder="0" applyAlignment="0" applyProtection="0"/>
    <xf numFmtId="0" fontId="2" fillId="4" borderId="0" applyNumberFormat="0" applyBorder="0" applyAlignment="0" applyProtection="0"/>
    <xf numFmtId="0" fontId="2" fillId="6" borderId="0" applyNumberFormat="0" applyBorder="0" applyAlignment="0" applyProtection="0"/>
    <xf numFmtId="0" fontId="2" fillId="8" borderId="0" applyNumberFormat="0" applyBorder="0" applyAlignment="0" applyProtection="0"/>
    <xf numFmtId="0" fontId="2" fillId="27" borderId="0" applyNumberFormat="0" applyBorder="0" applyAlignment="0" applyProtection="0"/>
    <xf numFmtId="0" fontId="2" fillId="6" borderId="0" applyNumberFormat="0" applyBorder="0" applyAlignment="0" applyProtection="0"/>
    <xf numFmtId="0" fontId="2" fillId="10" borderId="0" applyNumberFormat="0" applyBorder="0" applyAlignment="0" applyProtection="0"/>
    <xf numFmtId="0" fontId="2" fillId="28" borderId="0" applyNumberFormat="0" applyBorder="0" applyAlignment="0" applyProtection="0"/>
    <xf numFmtId="0" fontId="2" fillId="11"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2"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27" borderId="0" applyNumberFormat="0" applyBorder="0" applyAlignment="0" applyProtection="0"/>
    <xf numFmtId="0" fontId="1" fillId="6" borderId="0" applyNumberFormat="0" applyBorder="0" applyAlignment="0" applyProtection="0"/>
    <xf numFmtId="0" fontId="1" fillId="10" borderId="0" applyNumberFormat="0" applyBorder="0" applyAlignment="0" applyProtection="0"/>
    <xf numFmtId="0" fontId="1" fillId="28"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10" borderId="0" applyNumberFormat="0" applyBorder="0" applyAlignment="0" applyProtection="0"/>
    <xf numFmtId="0" fontId="1" fillId="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applyNumberFormat="0" applyFill="0" applyBorder="0" applyAlignment="0" applyProtection="0"/>
    <xf numFmtId="0" fontId="7" fillId="0" borderId="0" applyNumberFormat="0" applyFill="0" applyBorder="0" applyAlignment="0" applyProtection="0"/>
    <xf numFmtId="0" fontId="3" fillId="0" borderId="0"/>
  </cellStyleXfs>
  <cellXfs count="320">
    <xf numFmtId="0" fontId="0" fillId="0" borderId="0" xfId="0"/>
    <xf numFmtId="0" fontId="36" fillId="0" borderId="0" xfId="0" applyFont="1"/>
    <xf numFmtId="0" fontId="7" fillId="0" borderId="18" xfId="0" applyFont="1" applyBorder="1" applyAlignment="1">
      <alignment horizontal="center"/>
    </xf>
    <xf numFmtId="0" fontId="7" fillId="32" borderId="18" xfId="0" applyFont="1" applyFill="1" applyBorder="1" applyAlignment="1">
      <alignment horizontal="center"/>
    </xf>
    <xf numFmtId="0" fontId="7" fillId="0" borderId="0" xfId="0" applyFont="1" applyAlignment="1"/>
    <xf numFmtId="0" fontId="36" fillId="0" borderId="0" xfId="0" applyFont="1" applyBorder="1"/>
    <xf numFmtId="166" fontId="7" fillId="0" borderId="18" xfId="0" applyNumberFormat="1" applyFont="1" applyBorder="1"/>
    <xf numFmtId="166" fontId="7" fillId="32" borderId="18" xfId="0" applyNumberFormat="1" applyFont="1" applyFill="1" applyBorder="1"/>
    <xf numFmtId="166" fontId="7" fillId="0" borderId="18" xfId="0" applyNumberFormat="1" applyFont="1" applyBorder="1" applyAlignment="1">
      <alignment horizontal="right"/>
    </xf>
    <xf numFmtId="166" fontId="7" fillId="32" borderId="18" xfId="0" applyNumberFormat="1" applyFont="1" applyFill="1" applyBorder="1" applyAlignment="1">
      <alignment horizontal="right"/>
    </xf>
    <xf numFmtId="0" fontId="7" fillId="0" borderId="23" xfId="0" applyFont="1" applyBorder="1" applyAlignment="1">
      <alignment horizontal="center" vertical="center"/>
    </xf>
    <xf numFmtId="0" fontId="56" fillId="0" borderId="0" xfId="0" applyFont="1"/>
    <xf numFmtId="0" fontId="57" fillId="0" borderId="0" xfId="0" applyFont="1"/>
    <xf numFmtId="0" fontId="7" fillId="0" borderId="0" xfId="0" applyFont="1"/>
    <xf numFmtId="0" fontId="7" fillId="0" borderId="23" xfId="0" applyFont="1" applyBorder="1" applyAlignment="1">
      <alignment horizontal="center"/>
    </xf>
    <xf numFmtId="0" fontId="7" fillId="0" borderId="0" xfId="0" applyFont="1" applyAlignment="1">
      <alignment wrapText="1"/>
    </xf>
    <xf numFmtId="2" fontId="7" fillId="0" borderId="23" xfId="0" applyNumberFormat="1" applyFont="1" applyBorder="1" applyAlignment="1">
      <alignment horizontal="center"/>
    </xf>
    <xf numFmtId="0" fontId="7" fillId="0" borderId="0" xfId="0" applyFont="1"/>
    <xf numFmtId="166" fontId="7" fillId="0" borderId="18" xfId="0" applyNumberFormat="1" applyFont="1" applyBorder="1" applyAlignment="1">
      <alignment horizontal="center"/>
    </xf>
    <xf numFmtId="166" fontId="7" fillId="32" borderId="18" xfId="0" applyNumberFormat="1" applyFont="1" applyFill="1" applyBorder="1" applyAlignment="1">
      <alignment horizontal="center"/>
    </xf>
    <xf numFmtId="164" fontId="7" fillId="0" borderId="18" xfId="0" applyNumberFormat="1" applyFont="1" applyBorder="1" applyAlignment="1">
      <alignment horizontal="center"/>
    </xf>
    <xf numFmtId="164" fontId="7" fillId="32" borderId="18" xfId="0" applyNumberFormat="1" applyFont="1" applyFill="1" applyBorder="1" applyAlignment="1">
      <alignment horizontal="center"/>
    </xf>
    <xf numFmtId="0" fontId="7" fillId="0" borderId="0" xfId="0" quotePrefix="1" applyFont="1" applyAlignment="1">
      <alignment vertical="center" wrapText="1"/>
    </xf>
    <xf numFmtId="0" fontId="7" fillId="0" borderId="0" xfId="0" applyFont="1" applyAlignment="1">
      <alignment vertical="center" wrapText="1"/>
    </xf>
    <xf numFmtId="166" fontId="7" fillId="0" borderId="18" xfId="0" quotePrefix="1" applyNumberFormat="1" applyFont="1" applyBorder="1" applyAlignment="1">
      <alignment horizontal="right"/>
    </xf>
    <xf numFmtId="166" fontId="7" fillId="32" borderId="18" xfId="0" quotePrefix="1" applyNumberFormat="1" applyFont="1" applyFill="1" applyBorder="1" applyAlignment="1">
      <alignment horizontal="right"/>
    </xf>
    <xf numFmtId="0" fontId="7" fillId="0" borderId="0" xfId="0" applyFont="1"/>
    <xf numFmtId="0" fontId="0" fillId="0" borderId="28" xfId="0" applyBorder="1"/>
    <xf numFmtId="0" fontId="7" fillId="0" borderId="0" xfId="2455" applyFont="1"/>
    <xf numFmtId="0" fontId="7" fillId="0" borderId="0" xfId="0" applyFont="1"/>
    <xf numFmtId="166" fontId="7" fillId="32" borderId="41" xfId="0" applyNumberFormat="1" applyFont="1" applyFill="1" applyBorder="1"/>
    <xf numFmtId="164" fontId="7" fillId="32" borderId="41" xfId="0" applyNumberFormat="1" applyFont="1" applyFill="1" applyBorder="1" applyAlignment="1">
      <alignment horizontal="center"/>
    </xf>
    <xf numFmtId="166" fontId="7" fillId="32" borderId="41" xfId="0" applyNumberFormat="1" applyFont="1" applyFill="1" applyBorder="1" applyAlignment="1">
      <alignment horizontal="center"/>
    </xf>
    <xf numFmtId="0" fontId="7" fillId="32" borderId="41" xfId="0" applyFont="1" applyFill="1" applyBorder="1" applyAlignment="1">
      <alignment horizontal="center"/>
    </xf>
    <xf numFmtId="0" fontId="3" fillId="0" borderId="28" xfId="2455" applyBorder="1"/>
    <xf numFmtId="0" fontId="7" fillId="0" borderId="0" xfId="2455" applyFont="1"/>
    <xf numFmtId="0" fontId="3" fillId="0" borderId="0" xfId="2455"/>
    <xf numFmtId="0" fontId="3" fillId="0" borderId="0" xfId="2455"/>
    <xf numFmtId="0" fontId="7" fillId="0" borderId="0" xfId="2455" applyFont="1" applyAlignment="1"/>
    <xf numFmtId="166" fontId="7" fillId="32" borderId="41" xfId="0" applyNumberFormat="1" applyFont="1" applyFill="1" applyBorder="1" applyAlignment="1">
      <alignment horizontal="right"/>
    </xf>
    <xf numFmtId="0" fontId="3" fillId="0" borderId="0" xfId="2455"/>
    <xf numFmtId="0" fontId="0" fillId="0" borderId="0" xfId="0"/>
    <xf numFmtId="0" fontId="7" fillId="0" borderId="0" xfId="0" applyFont="1"/>
    <xf numFmtId="0" fontId="7" fillId="0" borderId="0" xfId="0" applyFont="1"/>
    <xf numFmtId="0" fontId="7" fillId="0" borderId="0" xfId="0" applyFont="1" applyAlignment="1">
      <alignment wrapText="1"/>
    </xf>
    <xf numFmtId="0" fontId="7" fillId="0" borderId="0" xfId="0" quotePrefix="1" applyFont="1" applyAlignment="1">
      <alignment horizontal="left" vertical="center" wrapText="1"/>
    </xf>
    <xf numFmtId="0" fontId="3" fillId="0" borderId="0" xfId="2455"/>
    <xf numFmtId="0" fontId="3" fillId="0" borderId="0" xfId="2455"/>
    <xf numFmtId="0" fontId="7" fillId="0" borderId="0" xfId="2455" applyFont="1" applyAlignment="1">
      <alignment wrapText="1"/>
    </xf>
    <xf numFmtId="0" fontId="3" fillId="0" borderId="0" xfId="2455"/>
    <xf numFmtId="0" fontId="3" fillId="0" borderId="0" xfId="2455"/>
    <xf numFmtId="0" fontId="3" fillId="0" borderId="0" xfId="2455"/>
    <xf numFmtId="0" fontId="58" fillId="0" borderId="26" xfId="2455" quotePrefix="1" applyFont="1" applyBorder="1" applyAlignment="1">
      <alignment horizontal="center" vertical="center"/>
    </xf>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alignment wrapText="1"/>
    </xf>
    <xf numFmtId="0" fontId="3" fillId="0" borderId="0" xfId="2455"/>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alignment wrapText="1"/>
    </xf>
    <xf numFmtId="0" fontId="3" fillId="0" borderId="0" xfId="2455"/>
    <xf numFmtId="0" fontId="3" fillId="0" borderId="0" xfId="2455"/>
    <xf numFmtId="0" fontId="3" fillId="0" borderId="0" xfId="2455"/>
    <xf numFmtId="0" fontId="3" fillId="0" borderId="0" xfId="2455"/>
    <xf numFmtId="0" fontId="58" fillId="0" borderId="26" xfId="2455" quotePrefix="1" applyFont="1" applyBorder="1" applyAlignment="1">
      <alignment horizontal="center" vertical="center"/>
    </xf>
    <xf numFmtId="0" fontId="3" fillId="0" borderId="0" xfId="2455"/>
    <xf numFmtId="0" fontId="3" fillId="0" borderId="0" xfId="2455"/>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7" fillId="0" borderId="0" xfId="2455" applyFont="1" applyAlignment="1">
      <alignment wrapText="1"/>
    </xf>
    <xf numFmtId="0" fontId="0" fillId="0" borderId="0" xfId="0"/>
    <xf numFmtId="0" fontId="58" fillId="0" borderId="26" xfId="0" quotePrefix="1" applyFont="1" applyBorder="1" applyAlignment="1">
      <alignment horizontal="center" vertical="center"/>
    </xf>
    <xf numFmtId="0" fontId="7" fillId="0" borderId="0" xfId="0" applyFont="1"/>
    <xf numFmtId="0" fontId="7" fillId="0" borderId="0" xfId="0" applyFont="1" applyAlignment="1">
      <alignment wrapText="1"/>
    </xf>
    <xf numFmtId="0" fontId="7" fillId="0" borderId="0" xfId="0" applyFont="1"/>
    <xf numFmtId="0" fontId="3" fillId="0" borderId="0" xfId="2455"/>
    <xf numFmtId="0" fontId="3" fillId="0" borderId="0" xfId="2455"/>
    <xf numFmtId="0" fontId="7" fillId="0" borderId="0" xfId="2455" applyFont="1" applyAlignment="1">
      <alignment wrapText="1"/>
    </xf>
    <xf numFmtId="0" fontId="3" fillId="0" borderId="0" xfId="2455"/>
    <xf numFmtId="0" fontId="7" fillId="0" borderId="0" xfId="0" applyFont="1"/>
    <xf numFmtId="0" fontId="7" fillId="0" borderId="0" xfId="0" applyFont="1"/>
    <xf numFmtId="0" fontId="7" fillId="0" borderId="0" xfId="0" applyFont="1" applyAlignment="1">
      <alignment wrapText="1"/>
    </xf>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alignment wrapText="1"/>
    </xf>
    <xf numFmtId="0" fontId="3" fillId="0" borderId="0" xfId="2455"/>
    <xf numFmtId="0" fontId="3" fillId="0" borderId="0" xfId="2455"/>
    <xf numFmtId="0" fontId="7" fillId="0" borderId="0" xfId="2455" applyFont="1" applyAlignment="1">
      <alignment wrapText="1"/>
    </xf>
    <xf numFmtId="0" fontId="3" fillId="0" borderId="0" xfId="2455"/>
    <xf numFmtId="0" fontId="3" fillId="0" borderId="0" xfId="2455"/>
    <xf numFmtId="0" fontId="3" fillId="0" borderId="0" xfId="2455"/>
    <xf numFmtId="0" fontId="3" fillId="0" borderId="0" xfId="2455"/>
    <xf numFmtId="0" fontId="3" fillId="0" borderId="0" xfId="2455"/>
    <xf numFmtId="0" fontId="3" fillId="0" borderId="0" xfId="2455"/>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167" fontId="7" fillId="0" borderId="18" xfId="0" applyNumberFormat="1" applyFont="1" applyBorder="1" applyAlignment="1">
      <alignment horizontal="right"/>
    </xf>
    <xf numFmtId="167" fontId="7" fillId="32" borderId="18" xfId="0" applyNumberFormat="1" applyFont="1" applyFill="1" applyBorder="1" applyAlignment="1">
      <alignment horizontal="right"/>
    </xf>
    <xf numFmtId="167" fontId="7" fillId="0" borderId="18" xfId="0" applyNumberFormat="1" applyFont="1" applyBorder="1"/>
    <xf numFmtId="167" fontId="7" fillId="32" borderId="18" xfId="0" applyNumberFormat="1" applyFont="1" applyFill="1" applyBorder="1"/>
    <xf numFmtId="167" fontId="7" fillId="32" borderId="41" xfId="0" applyNumberFormat="1" applyFont="1" applyFill="1" applyBorder="1"/>
    <xf numFmtId="167" fontId="7" fillId="32" borderId="41" xfId="0" applyNumberFormat="1" applyFont="1" applyFill="1" applyBorder="1" applyAlignment="1">
      <alignment horizontal="right"/>
    </xf>
    <xf numFmtId="0" fontId="7" fillId="0" borderId="17" xfId="0" applyFont="1" applyBorder="1" applyAlignment="1">
      <alignment horizontal="center"/>
    </xf>
    <xf numFmtId="0" fontId="7" fillId="0" borderId="14" xfId="0" applyFont="1" applyBorder="1" applyAlignment="1">
      <alignment horizontal="center"/>
    </xf>
    <xf numFmtId="2" fontId="7" fillId="0" borderId="17" xfId="0" applyNumberFormat="1" applyFont="1" applyBorder="1" applyAlignment="1">
      <alignment horizontal="center"/>
    </xf>
    <xf numFmtId="0" fontId="59" fillId="0" borderId="0" xfId="6651"/>
    <xf numFmtId="0" fontId="7" fillId="0" borderId="17" xfId="0" applyFont="1" applyBorder="1" applyAlignment="1">
      <alignment horizontal="center"/>
    </xf>
    <xf numFmtId="0" fontId="7" fillId="33" borderId="19" xfId="0" applyFont="1" applyFill="1" applyBorder="1" applyAlignment="1">
      <alignment horizontal="center"/>
    </xf>
    <xf numFmtId="164" fontId="7" fillId="33" borderId="19" xfId="0" applyNumberFormat="1" applyFont="1" applyFill="1" applyBorder="1" applyAlignment="1">
      <alignment horizontal="center"/>
    </xf>
    <xf numFmtId="166" fontId="7" fillId="33" borderId="19" xfId="0" applyNumberFormat="1" applyFont="1" applyFill="1" applyBorder="1" applyAlignment="1">
      <alignment horizontal="right"/>
    </xf>
    <xf numFmtId="0" fontId="7" fillId="33" borderId="41" xfId="0" applyFont="1" applyFill="1" applyBorder="1" applyAlignment="1">
      <alignment horizontal="center"/>
    </xf>
    <xf numFmtId="164" fontId="7" fillId="33" borderId="41" xfId="0" applyNumberFormat="1" applyFont="1" applyFill="1" applyBorder="1" applyAlignment="1">
      <alignment horizontal="center"/>
    </xf>
    <xf numFmtId="166" fontId="7" fillId="33" borderId="41" xfId="0" applyNumberFormat="1" applyFont="1" applyFill="1" applyBorder="1" applyAlignment="1">
      <alignment horizontal="right"/>
    </xf>
    <xf numFmtId="0" fontId="7" fillId="33" borderId="18" xfId="0" applyFont="1" applyFill="1" applyBorder="1" applyAlignment="1">
      <alignment horizontal="center"/>
    </xf>
    <xf numFmtId="164" fontId="7" fillId="33" borderId="18" xfId="0" applyNumberFormat="1" applyFont="1" applyFill="1" applyBorder="1" applyAlignment="1">
      <alignment horizontal="center"/>
    </xf>
    <xf numFmtId="166" fontId="7" fillId="33" borderId="18" xfId="0" applyNumberFormat="1" applyFont="1" applyFill="1" applyBorder="1" applyAlignment="1">
      <alignment horizontal="right"/>
    </xf>
    <xf numFmtId="166" fontId="7" fillId="33" borderId="18" xfId="0" applyNumberFormat="1" applyFont="1" applyFill="1" applyBorder="1"/>
    <xf numFmtId="167" fontId="7" fillId="33" borderId="18" xfId="0" applyNumberFormat="1" applyFont="1" applyFill="1" applyBorder="1" applyAlignment="1">
      <alignment horizontal="right"/>
    </xf>
    <xf numFmtId="167" fontId="7" fillId="33" borderId="19" xfId="0" applyNumberFormat="1" applyFont="1" applyFill="1" applyBorder="1" applyAlignment="1">
      <alignment horizontal="right"/>
    </xf>
    <xf numFmtId="167" fontId="7" fillId="33" borderId="18" xfId="0" applyNumberFormat="1" applyFont="1" applyFill="1" applyBorder="1"/>
    <xf numFmtId="166" fontId="7" fillId="0" borderId="41" xfId="0" applyNumberFormat="1" applyFont="1" applyFill="1" applyBorder="1" applyAlignment="1">
      <alignment horizontal="right"/>
    </xf>
    <xf numFmtId="164" fontId="7" fillId="0" borderId="18" xfId="0" applyNumberFormat="1" applyFont="1" applyBorder="1" applyAlignment="1">
      <alignment horizontal="right"/>
    </xf>
    <xf numFmtId="164" fontId="7" fillId="32" borderId="18" xfId="0" applyNumberFormat="1" applyFont="1" applyFill="1" applyBorder="1" applyAlignment="1">
      <alignment horizontal="right"/>
    </xf>
    <xf numFmtId="164" fontId="7" fillId="33" borderId="18" xfId="0" applyNumberFormat="1" applyFont="1" applyFill="1" applyBorder="1" applyAlignment="1">
      <alignment horizontal="right"/>
    </xf>
    <xf numFmtId="167" fontId="7" fillId="33" borderId="41" xfId="0" applyNumberFormat="1" applyFont="1" applyFill="1" applyBorder="1" applyAlignment="1">
      <alignment horizontal="right"/>
    </xf>
    <xf numFmtId="166" fontId="7" fillId="33" borderId="18" xfId="0" applyNumberFormat="1" applyFont="1" applyFill="1" applyBorder="1" applyAlignment="1">
      <alignment horizontal="center"/>
    </xf>
    <xf numFmtId="164" fontId="7" fillId="33" borderId="41" xfId="0" applyNumberFormat="1" applyFont="1" applyFill="1" applyBorder="1" applyAlignment="1">
      <alignment horizontal="right"/>
    </xf>
    <xf numFmtId="2" fontId="7" fillId="0" borderId="18" xfId="0" applyNumberFormat="1" applyFont="1" applyBorder="1" applyAlignment="1">
      <alignment horizontal="right"/>
    </xf>
    <xf numFmtId="2" fontId="7" fillId="32" borderId="18" xfId="0" applyNumberFormat="1" applyFont="1" applyFill="1" applyBorder="1" applyAlignment="1">
      <alignment horizontal="right"/>
    </xf>
    <xf numFmtId="2" fontId="7" fillId="32" borderId="41" xfId="0" applyNumberFormat="1" applyFont="1" applyFill="1" applyBorder="1" applyAlignment="1">
      <alignment horizontal="right"/>
    </xf>
    <xf numFmtId="2" fontId="7" fillId="33" borderId="18" xfId="0" applyNumberFormat="1" applyFont="1" applyFill="1" applyBorder="1" applyAlignment="1">
      <alignment horizontal="right"/>
    </xf>
    <xf numFmtId="2" fontId="7" fillId="33" borderId="41" xfId="0" applyNumberFormat="1" applyFont="1" applyFill="1" applyBorder="1" applyAlignment="1">
      <alignment horizontal="right"/>
    </xf>
    <xf numFmtId="166" fontId="7" fillId="33" borderId="0" xfId="0" applyNumberFormat="1" applyFont="1" applyFill="1" applyBorder="1" applyAlignment="1">
      <alignment horizontal="right"/>
    </xf>
    <xf numFmtId="0" fontId="7" fillId="33" borderId="54" xfId="0" applyFont="1" applyFill="1" applyBorder="1" applyAlignment="1">
      <alignment horizontal="center"/>
    </xf>
    <xf numFmtId="164" fontId="7" fillId="33" borderId="54" xfId="0" applyNumberFormat="1" applyFont="1" applyFill="1" applyBorder="1" applyAlignment="1">
      <alignment horizontal="center"/>
    </xf>
    <xf numFmtId="166" fontId="7" fillId="33" borderId="54" xfId="0" applyNumberFormat="1" applyFont="1" applyFill="1" applyBorder="1" applyAlignment="1">
      <alignment horizontal="right"/>
    </xf>
    <xf numFmtId="166" fontId="7" fillId="33" borderId="55" xfId="0" applyNumberFormat="1" applyFont="1" applyFill="1" applyBorder="1" applyAlignment="1">
      <alignment horizontal="right"/>
    </xf>
    <xf numFmtId="2" fontId="7" fillId="33" borderId="54" xfId="0" applyNumberFormat="1" applyFont="1" applyFill="1" applyBorder="1" applyAlignment="1">
      <alignment horizontal="right"/>
    </xf>
    <xf numFmtId="166" fontId="7" fillId="0" borderId="56" xfId="0" applyNumberFormat="1" applyFont="1" applyBorder="1" applyAlignment="1">
      <alignment horizontal="right"/>
    </xf>
    <xf numFmtId="167" fontId="7" fillId="33" borderId="0" xfId="0" applyNumberFormat="1" applyFont="1" applyFill="1" applyBorder="1" applyAlignment="1">
      <alignment horizontal="right"/>
    </xf>
    <xf numFmtId="167" fontId="7" fillId="33" borderId="54" xfId="0" applyNumberFormat="1" applyFont="1" applyFill="1" applyBorder="1" applyAlignment="1">
      <alignment horizontal="right"/>
    </xf>
    <xf numFmtId="166" fontId="7" fillId="0" borderId="54" xfId="0" applyNumberFormat="1" applyFont="1" applyFill="1" applyBorder="1" applyAlignment="1">
      <alignment horizontal="right"/>
    </xf>
    <xf numFmtId="164" fontId="7" fillId="33" borderId="54" xfId="0" applyNumberFormat="1" applyFont="1" applyFill="1" applyBorder="1" applyAlignment="1">
      <alignment horizontal="right"/>
    </xf>
    <xf numFmtId="166" fontId="7" fillId="0" borderId="18" xfId="0" applyNumberFormat="1" applyFont="1" applyFill="1" applyBorder="1" applyAlignment="1">
      <alignment horizontal="right"/>
    </xf>
    <xf numFmtId="166" fontId="7" fillId="33" borderId="41" xfId="0" applyNumberFormat="1" applyFont="1" applyFill="1" applyBorder="1" applyAlignment="1">
      <alignment horizontal="center"/>
    </xf>
    <xf numFmtId="166" fontId="7" fillId="33" borderId="54" xfId="0" applyNumberFormat="1" applyFont="1" applyFill="1" applyBorder="1" applyAlignment="1">
      <alignment horizontal="center"/>
    </xf>
    <xf numFmtId="166" fontId="7" fillId="33" borderId="57" xfId="0" applyNumberFormat="1" applyFont="1" applyFill="1" applyBorder="1" applyAlignment="1">
      <alignment horizontal="right"/>
    </xf>
    <xf numFmtId="166" fontId="7" fillId="33" borderId="33" xfId="0" applyNumberFormat="1" applyFont="1" applyFill="1" applyBorder="1" applyAlignment="1">
      <alignment horizontal="right"/>
    </xf>
    <xf numFmtId="0" fontId="7" fillId="33" borderId="57" xfId="0" applyFont="1" applyFill="1" applyBorder="1" applyAlignment="1">
      <alignment horizontal="center"/>
    </xf>
    <xf numFmtId="164" fontId="7" fillId="33" borderId="57" xfId="0" applyNumberFormat="1" applyFont="1" applyFill="1" applyBorder="1" applyAlignment="1">
      <alignment horizontal="center"/>
    </xf>
    <xf numFmtId="167" fontId="7" fillId="33" borderId="33" xfId="0" applyNumberFormat="1" applyFont="1" applyFill="1" applyBorder="1" applyAlignment="1">
      <alignment horizontal="right"/>
    </xf>
    <xf numFmtId="166" fontId="7" fillId="33" borderId="34" xfId="0" applyNumberFormat="1" applyFont="1" applyFill="1" applyBorder="1" applyAlignment="1">
      <alignment horizontal="right"/>
    </xf>
    <xf numFmtId="0" fontId="58" fillId="0" borderId="26" xfId="2455" quotePrefix="1" applyFont="1" applyBorder="1" applyAlignment="1">
      <alignment horizontal="center" vertical="center"/>
    </xf>
    <xf numFmtId="167" fontId="7" fillId="33" borderId="60" xfId="6652" applyNumberFormat="1" applyFill="1" applyBorder="1" applyAlignment="1"/>
    <xf numFmtId="167" fontId="7" fillId="33" borderId="61" xfId="6652" applyNumberFormat="1" applyFill="1" applyBorder="1" applyAlignment="1"/>
    <xf numFmtId="167" fontId="7" fillId="33" borderId="61" xfId="6652" applyNumberFormat="1" applyFill="1" applyBorder="1" applyAlignment="1">
      <alignment horizontal="right"/>
    </xf>
    <xf numFmtId="167" fontId="7" fillId="32" borderId="62" xfId="6652" applyNumberFormat="1" applyFill="1" applyBorder="1" applyAlignment="1"/>
    <xf numFmtId="167" fontId="7" fillId="32" borderId="62" xfId="6652" applyNumberFormat="1" applyFill="1" applyBorder="1" applyAlignment="1">
      <alignment horizontal="right"/>
    </xf>
    <xf numFmtId="167" fontId="7" fillId="33" borderId="66" xfId="6652" applyNumberFormat="1" applyFill="1" applyBorder="1" applyAlignment="1"/>
    <xf numFmtId="167" fontId="7" fillId="33" borderId="67" xfId="6652" applyNumberFormat="1" applyFill="1" applyBorder="1" applyAlignment="1">
      <alignment horizontal="right"/>
    </xf>
    <xf numFmtId="2" fontId="7" fillId="33" borderId="57" xfId="0" applyNumberFormat="1" applyFont="1" applyFill="1" applyBorder="1" applyAlignment="1">
      <alignment horizontal="right"/>
    </xf>
    <xf numFmtId="4" fontId="7" fillId="33" borderId="61" xfId="6652" applyNumberFormat="1" applyFill="1" applyBorder="1" applyAlignment="1">
      <alignment horizontal="right"/>
    </xf>
    <xf numFmtId="4" fontId="7" fillId="33" borderId="61" xfId="6652" applyNumberFormat="1" applyFill="1" applyBorder="1" applyAlignment="1"/>
    <xf numFmtId="4" fontId="7" fillId="32" borderId="18" xfId="0" applyNumberFormat="1" applyFont="1" applyFill="1" applyBorder="1" applyAlignment="1">
      <alignment horizontal="right"/>
    </xf>
    <xf numFmtId="4" fontId="7" fillId="32" borderId="62" xfId="6652" applyNumberFormat="1" applyFill="1" applyBorder="1" applyAlignment="1">
      <alignment horizontal="right"/>
    </xf>
    <xf numFmtId="4" fontId="7" fillId="32" borderId="62" xfId="6652" applyNumberFormat="1" applyFill="1" applyBorder="1" applyAlignment="1"/>
    <xf numFmtId="4" fontId="7" fillId="0" borderId="18" xfId="0" applyNumberFormat="1" applyFont="1" applyBorder="1" applyAlignment="1">
      <alignment horizontal="right"/>
    </xf>
    <xf numFmtId="4" fontId="7" fillId="32" borderId="41" xfId="0" applyNumberFormat="1" applyFont="1" applyFill="1" applyBorder="1" applyAlignment="1">
      <alignment horizontal="right"/>
    </xf>
    <xf numFmtId="2" fontId="7" fillId="32" borderId="62" xfId="6652" applyNumberFormat="1" applyFill="1" applyBorder="1" applyAlignment="1"/>
    <xf numFmtId="2" fontId="7" fillId="33" borderId="61" xfId="6652" applyNumberFormat="1" applyFill="1" applyBorder="1" applyAlignment="1">
      <alignment horizontal="right"/>
    </xf>
    <xf numFmtId="2" fontId="7" fillId="33" borderId="61" xfId="6652" applyNumberFormat="1" applyFill="1" applyBorder="1" applyAlignment="1"/>
    <xf numFmtId="4" fontId="7" fillId="33" borderId="18" xfId="0" applyNumberFormat="1" applyFont="1" applyFill="1" applyBorder="1" applyAlignment="1">
      <alignment horizontal="right"/>
    </xf>
    <xf numFmtId="4" fontId="7" fillId="33" borderId="41" xfId="0" applyNumberFormat="1" applyFont="1" applyFill="1" applyBorder="1" applyAlignment="1">
      <alignment horizontal="right"/>
    </xf>
    <xf numFmtId="4" fontId="7" fillId="33" borderId="54" xfId="0" applyNumberFormat="1" applyFont="1" applyFill="1" applyBorder="1" applyAlignment="1">
      <alignment horizontal="right"/>
    </xf>
    <xf numFmtId="2" fontId="7" fillId="33" borderId="19" xfId="0" applyNumberFormat="1" applyFont="1" applyFill="1" applyBorder="1" applyAlignment="1">
      <alignment horizontal="right"/>
    </xf>
    <xf numFmtId="2" fontId="7" fillId="32" borderId="62" xfId="6652" applyNumberFormat="1" applyFill="1" applyBorder="1" applyAlignment="1">
      <alignment horizontal="right"/>
    </xf>
    <xf numFmtId="2" fontId="7" fillId="0" borderId="68" xfId="0" applyNumberFormat="1" applyFont="1" applyBorder="1" applyAlignment="1">
      <alignment horizontal="right"/>
    </xf>
    <xf numFmtId="0" fontId="7" fillId="0" borderId="17" xfId="0" applyFont="1" applyBorder="1" applyAlignment="1">
      <alignment horizontal="center"/>
    </xf>
    <xf numFmtId="0" fontId="7" fillId="0" borderId="23" xfId="0" applyFont="1" applyBorder="1" applyAlignment="1">
      <alignment horizont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36" fillId="0" borderId="11" xfId="0" applyFont="1" applyBorder="1" applyAlignment="1">
      <alignment horizontal="right"/>
    </xf>
    <xf numFmtId="0" fontId="36" fillId="0" borderId="11" xfId="0" applyFont="1" applyBorder="1" applyAlignment="1">
      <alignment horizontal="left"/>
    </xf>
    <xf numFmtId="0" fontId="58" fillId="0" borderId="27" xfId="0" quotePrefix="1" applyFont="1" applyBorder="1" applyAlignment="1">
      <alignment horizontal="center" vertical="center"/>
    </xf>
    <xf numFmtId="0" fontId="58" fillId="0" borderId="20" xfId="0" applyFont="1" applyBorder="1" applyAlignment="1">
      <alignment horizontal="center" vertical="center"/>
    </xf>
    <xf numFmtId="0" fontId="58" fillId="0" borderId="28" xfId="0" applyFont="1" applyBorder="1" applyAlignment="1">
      <alignment horizontal="center" vertical="center"/>
    </xf>
    <xf numFmtId="0" fontId="7" fillId="0" borderId="35" xfId="0" applyFont="1" applyBorder="1" applyAlignment="1">
      <alignment horizontal="center" vertical="center"/>
    </xf>
    <xf numFmtId="0" fontId="7" fillId="0" borderId="36" xfId="0" applyFont="1" applyBorder="1" applyAlignment="1">
      <alignment horizontal="center" vertical="center"/>
    </xf>
    <xf numFmtId="0" fontId="7" fillId="0" borderId="37" xfId="0" applyFont="1" applyBorder="1" applyAlignment="1">
      <alignment horizontal="center" vertical="center"/>
    </xf>
    <xf numFmtId="0" fontId="7" fillId="0" borderId="38" xfId="2455" applyFont="1" applyBorder="1" applyAlignment="1">
      <alignment horizontal="left"/>
    </xf>
    <xf numFmtId="0" fontId="7" fillId="0" borderId="39" xfId="2455" applyFont="1" applyBorder="1" applyAlignment="1">
      <alignment horizontal="left"/>
    </xf>
    <xf numFmtId="0" fontId="7" fillId="0" borderId="40" xfId="2455" applyFont="1" applyBorder="1" applyAlignment="1">
      <alignment horizontal="left"/>
    </xf>
    <xf numFmtId="0" fontId="7" fillId="0" borderId="32" xfId="2455" applyFont="1" applyBorder="1" applyAlignment="1">
      <alignment horizontal="left"/>
    </xf>
    <xf numFmtId="0" fontId="7" fillId="0" borderId="33" xfId="2455" applyFont="1" applyBorder="1" applyAlignment="1">
      <alignment horizontal="left"/>
    </xf>
    <xf numFmtId="0" fontId="7" fillId="0" borderId="34" xfId="2455" applyFont="1" applyBorder="1" applyAlignment="1">
      <alignment horizontal="left"/>
    </xf>
    <xf numFmtId="0" fontId="58" fillId="0" borderId="27" xfId="2455" quotePrefix="1" applyFont="1" applyBorder="1" applyAlignment="1">
      <alignment horizontal="center" vertical="center"/>
    </xf>
    <xf numFmtId="0" fontId="58" fillId="0" borderId="20" xfId="2455" applyFont="1" applyBorder="1" applyAlignment="1">
      <alignment horizontal="center" vertical="center"/>
    </xf>
    <xf numFmtId="0" fontId="58" fillId="0" borderId="28" xfId="2455" applyFont="1" applyBorder="1" applyAlignment="1">
      <alignment horizontal="center" vertical="center"/>
    </xf>
    <xf numFmtId="0" fontId="7" fillId="0" borderId="21" xfId="0" applyFont="1" applyBorder="1" applyAlignment="1">
      <alignment horizontal="center" vertical="center"/>
    </xf>
    <xf numFmtId="0" fontId="7" fillId="0" borderId="17" xfId="0" applyFont="1" applyBorder="1" applyAlignment="1">
      <alignment horizontal="center"/>
    </xf>
    <xf numFmtId="0" fontId="7" fillId="0" borderId="51" xfId="0" applyFont="1" applyBorder="1" applyAlignment="1">
      <alignment horizontal="center" vertical="center"/>
    </xf>
    <xf numFmtId="0" fontId="7" fillId="0" borderId="24" xfId="0" applyFont="1" applyBorder="1" applyAlignment="1">
      <alignment horizontal="center" vertical="center"/>
    </xf>
    <xf numFmtId="0" fontId="58" fillId="0" borderId="20" xfId="2455" quotePrefix="1" applyFont="1" applyBorder="1" applyAlignment="1">
      <alignment horizontal="center" vertical="center"/>
    </xf>
    <xf numFmtId="0" fontId="58" fillId="0" borderId="28" xfId="2455" quotePrefix="1" applyFont="1" applyBorder="1" applyAlignment="1">
      <alignment horizontal="center" vertical="center"/>
    </xf>
    <xf numFmtId="0" fontId="7" fillId="0" borderId="32" xfId="2455" applyFont="1" applyBorder="1" applyAlignment="1">
      <alignment horizontal="left" vertical="center" wrapText="1"/>
    </xf>
    <xf numFmtId="0" fontId="7" fillId="0" borderId="33" xfId="2455" applyFont="1" applyBorder="1" applyAlignment="1">
      <alignment horizontal="left" vertical="center" wrapText="1"/>
    </xf>
    <xf numFmtId="0" fontId="7" fillId="0" borderId="34" xfId="2455" applyFont="1" applyBorder="1" applyAlignment="1">
      <alignment horizontal="left" vertical="center" wrapText="1"/>
    </xf>
    <xf numFmtId="0" fontId="7" fillId="0" borderId="21" xfId="0" applyFont="1" applyBorder="1" applyAlignment="1">
      <alignment horizontal="center"/>
    </xf>
    <xf numFmtId="0" fontId="7" fillId="0" borderId="23" xfId="0" applyFont="1" applyBorder="1" applyAlignment="1">
      <alignment horizontal="center"/>
    </xf>
    <xf numFmtId="0" fontId="7" fillId="0" borderId="32" xfId="2455" applyFont="1" applyBorder="1" applyAlignment="1">
      <alignment horizontal="center" vertical="center"/>
    </xf>
    <xf numFmtId="0" fontId="7" fillId="0" borderId="33" xfId="2455" applyFont="1" applyBorder="1" applyAlignment="1">
      <alignment horizontal="center" vertical="center"/>
    </xf>
    <xf numFmtId="0" fontId="7" fillId="0" borderId="34" xfId="2455" applyFont="1" applyBorder="1" applyAlignment="1">
      <alignment horizontal="center" vertical="center"/>
    </xf>
    <xf numFmtId="0" fontId="7" fillId="0" borderId="45" xfId="0" applyFont="1" applyBorder="1" applyAlignment="1">
      <alignment horizontal="center" vertical="center"/>
    </xf>
    <xf numFmtId="0" fontId="7" fillId="0" borderId="46" xfId="0" applyFont="1" applyBorder="1" applyAlignment="1">
      <alignment horizontal="center" vertical="center"/>
    </xf>
    <xf numFmtId="0" fontId="7" fillId="0" borderId="47" xfId="0" applyFont="1" applyBorder="1" applyAlignment="1">
      <alignment horizontal="center" vertical="center"/>
    </xf>
    <xf numFmtId="0" fontId="7" fillId="0" borderId="52" xfId="2455" applyFont="1" applyBorder="1" applyAlignment="1">
      <alignment horizontal="left" vertical="center" wrapText="1"/>
    </xf>
    <xf numFmtId="0" fontId="7" fillId="0" borderId="46" xfId="2455" applyFont="1" applyBorder="1" applyAlignment="1">
      <alignment horizontal="left" vertical="center" wrapText="1"/>
    </xf>
    <xf numFmtId="0" fontId="7" fillId="0" borderId="53" xfId="2455" applyFont="1" applyBorder="1" applyAlignment="1">
      <alignment horizontal="left" vertical="center" wrapText="1"/>
    </xf>
    <xf numFmtId="0" fontId="7" fillId="0" borderId="58" xfId="2455" applyFont="1" applyBorder="1" applyAlignment="1">
      <alignment horizontal="left" vertical="center" wrapText="1"/>
    </xf>
    <xf numFmtId="0" fontId="7" fillId="0" borderId="0" xfId="2455" applyFont="1" applyBorder="1" applyAlignment="1">
      <alignment horizontal="left" vertical="center" wrapText="1"/>
    </xf>
    <xf numFmtId="0" fontId="7" fillId="0" borderId="59" xfId="2455" applyFont="1" applyBorder="1" applyAlignment="1">
      <alignment horizontal="left" vertical="center" wrapText="1"/>
    </xf>
    <xf numFmtId="0" fontId="7" fillId="0" borderId="38" xfId="2455" applyFont="1" applyBorder="1" applyAlignment="1">
      <alignment horizontal="left" vertical="center" wrapText="1"/>
    </xf>
    <xf numFmtId="0" fontId="7" fillId="0" borderId="39" xfId="2455" applyFont="1" applyBorder="1" applyAlignment="1">
      <alignment horizontal="left" vertical="center" wrapText="1"/>
    </xf>
    <xf numFmtId="0" fontId="7" fillId="0" borderId="40" xfId="2455" applyFont="1" applyBorder="1" applyAlignment="1">
      <alignment horizontal="left" vertical="center" wrapText="1"/>
    </xf>
    <xf numFmtId="0" fontId="7" fillId="0" borderId="25" xfId="0" applyFont="1" applyBorder="1" applyAlignment="1">
      <alignment horizontal="center" vertical="center"/>
    </xf>
    <xf numFmtId="0" fontId="7" fillId="0" borderId="22" xfId="0" applyFont="1" applyBorder="1" applyAlignment="1">
      <alignment horizontal="center"/>
    </xf>
    <xf numFmtId="0" fontId="7" fillId="0" borderId="48" xfId="0" applyFont="1" applyBorder="1" applyAlignment="1">
      <alignment horizontal="center"/>
    </xf>
    <xf numFmtId="0" fontId="7" fillId="0" borderId="49" xfId="0" applyFont="1" applyBorder="1" applyAlignment="1">
      <alignment horizontal="center"/>
    </xf>
    <xf numFmtId="0" fontId="7" fillId="0" borderId="50" xfId="0" applyFont="1" applyBorder="1" applyAlignment="1">
      <alignment horizontal="center"/>
    </xf>
    <xf numFmtId="0" fontId="7" fillId="0" borderId="32" xfId="2455" quotePrefix="1" applyFont="1" applyBorder="1" applyAlignment="1">
      <alignment horizontal="left" vertical="center"/>
    </xf>
    <xf numFmtId="0" fontId="7" fillId="0" borderId="33" xfId="2455" quotePrefix="1" applyFont="1" applyBorder="1" applyAlignment="1">
      <alignment horizontal="left" vertical="center"/>
    </xf>
    <xf numFmtId="0" fontId="7" fillId="0" borderId="34" xfId="2455" quotePrefix="1" applyFont="1" applyBorder="1" applyAlignment="1">
      <alignment horizontal="left" vertical="center"/>
    </xf>
    <xf numFmtId="0" fontId="7" fillId="0" borderId="32" xfId="2455" quotePrefix="1" applyFont="1" applyBorder="1" applyAlignment="1">
      <alignment horizontal="left" vertical="center" wrapText="1"/>
    </xf>
    <xf numFmtId="0" fontId="7" fillId="0" borderId="33" xfId="2455" quotePrefix="1" applyFont="1" applyBorder="1" applyAlignment="1">
      <alignment horizontal="left" vertical="center" wrapText="1"/>
    </xf>
    <xf numFmtId="0" fontId="7" fillId="0" borderId="34" xfId="2455" quotePrefix="1" applyFont="1" applyBorder="1" applyAlignment="1">
      <alignment horizontal="left" vertical="center" wrapText="1"/>
    </xf>
    <xf numFmtId="0" fontId="7" fillId="0" borderId="29" xfId="2455" quotePrefix="1" applyFont="1" applyBorder="1" applyAlignment="1">
      <alignment horizontal="left" vertical="center"/>
    </xf>
    <xf numFmtId="0" fontId="7" fillId="0" borderId="30" xfId="2455" quotePrefix="1" applyFont="1" applyBorder="1" applyAlignment="1">
      <alignment horizontal="left" vertical="center"/>
    </xf>
    <xf numFmtId="0" fontId="7" fillId="0" borderId="31" xfId="2455" quotePrefix="1" applyFont="1" applyBorder="1" applyAlignment="1">
      <alignment horizontal="left" vertical="center"/>
    </xf>
    <xf numFmtId="0" fontId="7" fillId="0" borderId="17" xfId="0" applyFont="1" applyBorder="1" applyAlignment="1">
      <alignment horizontal="center" vertical="center"/>
    </xf>
    <xf numFmtId="0" fontId="7" fillId="0" borderId="17"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29" xfId="0" quotePrefix="1" applyFont="1" applyBorder="1" applyAlignment="1">
      <alignment horizontal="left" vertical="center"/>
    </xf>
    <xf numFmtId="0" fontId="7" fillId="0" borderId="30" xfId="0" quotePrefix="1" applyFont="1" applyBorder="1" applyAlignment="1">
      <alignment horizontal="left" vertical="center"/>
    </xf>
    <xf numFmtId="0" fontId="7" fillId="0" borderId="31" xfId="0" quotePrefix="1" applyFont="1" applyBorder="1" applyAlignment="1">
      <alignment horizontal="left" vertical="center"/>
    </xf>
    <xf numFmtId="0" fontId="7" fillId="0" borderId="32" xfId="0" quotePrefix="1" applyFont="1" applyBorder="1" applyAlignment="1">
      <alignment horizontal="left" vertical="center"/>
    </xf>
    <xf numFmtId="0" fontId="7" fillId="0" borderId="33" xfId="0" quotePrefix="1" applyFont="1" applyBorder="1" applyAlignment="1">
      <alignment horizontal="left" vertical="center"/>
    </xf>
    <xf numFmtId="0" fontId="7" fillId="0" borderId="34" xfId="0" quotePrefix="1" applyFont="1" applyBorder="1" applyAlignment="1">
      <alignment horizontal="left" vertical="center"/>
    </xf>
    <xf numFmtId="0" fontId="7" fillId="0" borderId="32" xfId="0" quotePrefix="1" applyFont="1" applyBorder="1" applyAlignment="1">
      <alignment horizontal="left" vertical="center" wrapText="1"/>
    </xf>
    <xf numFmtId="0" fontId="7" fillId="0" borderId="33" xfId="0" quotePrefix="1" applyFont="1" applyBorder="1" applyAlignment="1">
      <alignment horizontal="left" vertical="center" wrapText="1"/>
    </xf>
    <xf numFmtId="0" fontId="7" fillId="0" borderId="34" xfId="0" quotePrefix="1" applyFont="1" applyBorder="1" applyAlignment="1">
      <alignment horizontal="left" vertical="center" wrapText="1"/>
    </xf>
    <xf numFmtId="0" fontId="7" fillId="0" borderId="14" xfId="0" applyFont="1" applyBorder="1" applyAlignment="1">
      <alignment horizontal="center"/>
    </xf>
    <xf numFmtId="0" fontId="7" fillId="0" borderId="29" xfId="2455" quotePrefix="1" applyFont="1" applyBorder="1" applyAlignment="1">
      <alignment horizontal="left" vertical="center" wrapText="1"/>
    </xf>
    <xf numFmtId="0" fontId="7" fillId="0" borderId="30" xfId="2455" quotePrefix="1" applyFont="1" applyBorder="1" applyAlignment="1">
      <alignment horizontal="left" vertical="center" wrapText="1"/>
    </xf>
    <xf numFmtId="0" fontId="7" fillId="0" borderId="31" xfId="2455" quotePrefix="1" applyFont="1" applyBorder="1" applyAlignment="1">
      <alignment horizontal="left" vertical="center" wrapText="1"/>
    </xf>
    <xf numFmtId="0" fontId="58" fillId="0" borderId="26" xfId="2455" quotePrefix="1" applyFont="1" applyBorder="1" applyAlignment="1">
      <alignment horizontal="center" vertical="center"/>
    </xf>
    <xf numFmtId="0" fontId="58" fillId="0" borderId="26" xfId="2455" applyFont="1" applyBorder="1" applyAlignment="1">
      <alignment horizontal="center" vertical="center"/>
    </xf>
    <xf numFmtId="0" fontId="7" fillId="0" borderId="32" xfId="2455" applyFont="1" applyBorder="1" applyAlignment="1">
      <alignment horizontal="left" vertical="center"/>
    </xf>
    <xf numFmtId="0" fontId="7" fillId="0" borderId="33" xfId="2455" applyFont="1" applyBorder="1" applyAlignment="1">
      <alignment horizontal="left" vertical="center"/>
    </xf>
    <xf numFmtId="0" fontId="7" fillId="0" borderId="34" xfId="2455" applyFont="1" applyBorder="1" applyAlignment="1">
      <alignment horizontal="left" vertical="center"/>
    </xf>
    <xf numFmtId="0" fontId="7" fillId="0" borderId="43" xfId="2455" applyFont="1" applyBorder="1" applyAlignment="1">
      <alignment horizontal="left" vertical="center" wrapText="1"/>
    </xf>
    <xf numFmtId="0" fontId="7" fillId="0" borderId="42" xfId="2455" applyFont="1" applyBorder="1" applyAlignment="1">
      <alignment horizontal="left" vertical="center" wrapText="1"/>
    </xf>
    <xf numFmtId="0" fontId="7" fillId="0" borderId="44" xfId="2455" applyFont="1" applyBorder="1" applyAlignment="1">
      <alignment horizontal="left" vertical="center" wrapText="1"/>
    </xf>
    <xf numFmtId="0" fontId="7" fillId="0" borderId="32" xfId="2455" applyFont="1" applyBorder="1" applyAlignment="1">
      <alignment horizontal="left" wrapText="1"/>
    </xf>
    <xf numFmtId="0" fontId="7" fillId="0" borderId="33" xfId="2455" applyFont="1" applyBorder="1" applyAlignment="1">
      <alignment horizontal="left" wrapText="1"/>
    </xf>
    <xf numFmtId="0" fontId="7" fillId="0" borderId="34" xfId="2455" applyFont="1" applyBorder="1" applyAlignment="1">
      <alignment horizontal="left" wrapText="1"/>
    </xf>
    <xf numFmtId="0" fontId="7" fillId="0" borderId="29" xfId="2455" quotePrefix="1" applyFont="1" applyBorder="1" applyAlignment="1">
      <alignment horizontal="left"/>
    </xf>
    <xf numFmtId="0" fontId="7" fillId="0" borderId="30" xfId="2455" quotePrefix="1" applyFont="1" applyBorder="1" applyAlignment="1">
      <alignment horizontal="left"/>
    </xf>
    <xf numFmtId="0" fontId="7" fillId="0" borderId="31" xfId="2455" quotePrefix="1" applyFont="1" applyBorder="1" applyAlignment="1">
      <alignment horizontal="left"/>
    </xf>
    <xf numFmtId="0" fontId="7" fillId="0" borderId="32" xfId="2455" quotePrefix="1" applyFont="1" applyBorder="1" applyAlignment="1">
      <alignment horizontal="left"/>
    </xf>
    <xf numFmtId="0" fontId="7" fillId="0" borderId="33" xfId="2455" quotePrefix="1" applyFont="1" applyBorder="1" applyAlignment="1">
      <alignment horizontal="left"/>
    </xf>
    <xf numFmtId="0" fontId="7" fillId="0" borderId="34" xfId="2455" quotePrefix="1" applyFont="1" applyBorder="1" applyAlignment="1">
      <alignment horizontal="left"/>
    </xf>
    <xf numFmtId="0" fontId="58" fillId="0" borderId="63" xfId="2455" quotePrefix="1" applyFont="1" applyBorder="1" applyAlignment="1">
      <alignment horizontal="center" vertical="center"/>
    </xf>
    <xf numFmtId="0" fontId="58" fillId="0" borderId="64" xfId="2455" quotePrefix="1" applyFont="1" applyBorder="1" applyAlignment="1">
      <alignment horizontal="center" vertical="center"/>
    </xf>
    <xf numFmtId="0" fontId="58" fillId="0" borderId="65" xfId="2455" quotePrefix="1" applyFont="1" applyBorder="1" applyAlignment="1">
      <alignment horizontal="center" vertical="center"/>
    </xf>
    <xf numFmtId="2" fontId="7" fillId="0" borderId="21" xfId="0" applyNumberFormat="1" applyFont="1" applyBorder="1" applyAlignment="1">
      <alignment horizontal="center" vertical="center"/>
    </xf>
    <xf numFmtId="2" fontId="7" fillId="0" borderId="17" xfId="0" applyNumberFormat="1" applyFont="1" applyBorder="1" applyAlignment="1">
      <alignment horizontal="center" vertical="center"/>
    </xf>
    <xf numFmtId="2" fontId="7" fillId="0" borderId="21" xfId="0" applyNumberFormat="1" applyFont="1" applyBorder="1" applyAlignment="1">
      <alignment horizontal="center"/>
    </xf>
    <xf numFmtId="2" fontId="7" fillId="0" borderId="23" xfId="0" applyNumberFormat="1" applyFont="1" applyBorder="1" applyAlignment="1">
      <alignment horizontal="center"/>
    </xf>
    <xf numFmtId="2" fontId="7" fillId="0" borderId="17" xfId="0" applyNumberFormat="1" applyFont="1" applyBorder="1" applyAlignment="1">
      <alignment horizontal="center" vertical="center" wrapText="1"/>
    </xf>
    <xf numFmtId="2" fontId="7" fillId="0" borderId="21" xfId="0" applyNumberFormat="1" applyFont="1" applyBorder="1" applyAlignment="1">
      <alignment horizontal="center" vertical="center" wrapText="1"/>
    </xf>
    <xf numFmtId="2" fontId="7" fillId="0" borderId="17" xfId="0" applyNumberFormat="1" applyFont="1" applyBorder="1" applyAlignment="1">
      <alignment horizontal="center"/>
    </xf>
    <xf numFmtId="2" fontId="7" fillId="0" borderId="22" xfId="0" applyNumberFormat="1" applyFont="1" applyBorder="1" applyAlignment="1">
      <alignment horizontal="center"/>
    </xf>
    <xf numFmtId="2" fontId="7" fillId="0" borderId="48" xfId="0" applyNumberFormat="1" applyFont="1" applyBorder="1" applyAlignment="1">
      <alignment horizontal="center"/>
    </xf>
    <xf numFmtId="0" fontId="7" fillId="0" borderId="22" xfId="0" quotePrefix="1" applyFont="1" applyBorder="1" applyAlignment="1">
      <alignment horizontal="center"/>
    </xf>
    <xf numFmtId="0" fontId="7" fillId="0" borderId="49" xfId="0" quotePrefix="1" applyFont="1" applyBorder="1" applyAlignment="1">
      <alignment horizontal="center"/>
    </xf>
    <xf numFmtId="0" fontId="7" fillId="0" borderId="32" xfId="0" applyFont="1" applyBorder="1" applyAlignment="1">
      <alignment horizontal="left" vertical="center" wrapText="1"/>
    </xf>
    <xf numFmtId="0" fontId="7" fillId="0" borderId="33" xfId="0" applyFont="1" applyBorder="1" applyAlignment="1">
      <alignment horizontal="left" vertical="center" wrapText="1"/>
    </xf>
    <xf numFmtId="0" fontId="7" fillId="0" borderId="34" xfId="0" applyFont="1" applyBorder="1" applyAlignment="1">
      <alignment horizontal="left" vertical="center" wrapText="1"/>
    </xf>
    <xf numFmtId="0" fontId="58" fillId="0" borderId="26" xfId="0" quotePrefix="1" applyFont="1" applyBorder="1" applyAlignment="1">
      <alignment horizontal="center" vertical="center"/>
    </xf>
    <xf numFmtId="0" fontId="58" fillId="0" borderId="26" xfId="0" applyFont="1" applyBorder="1" applyAlignment="1">
      <alignment horizontal="center" vertical="center"/>
    </xf>
    <xf numFmtId="0" fontId="7" fillId="0" borderId="29" xfId="0" quotePrefix="1" applyFont="1" applyBorder="1" applyAlignment="1">
      <alignment horizontal="left" vertical="center" wrapText="1"/>
    </xf>
    <xf numFmtId="0" fontId="7" fillId="0" borderId="30" xfId="0" quotePrefix="1" applyFont="1" applyBorder="1" applyAlignment="1">
      <alignment horizontal="left" vertical="center" wrapText="1"/>
    </xf>
    <xf numFmtId="0" fontId="7" fillId="0" borderId="31" xfId="0" quotePrefix="1" applyFont="1" applyBorder="1" applyAlignment="1">
      <alignment horizontal="left" vertical="center" wrapText="1"/>
    </xf>
    <xf numFmtId="0" fontId="7" fillId="0" borderId="25" xfId="0" applyFont="1" applyBorder="1" applyAlignment="1">
      <alignment horizontal="center" vertical="center" wrapText="1"/>
    </xf>
    <xf numFmtId="0" fontId="7" fillId="0" borderId="32" xfId="6653" quotePrefix="1" applyFont="1" applyBorder="1" applyAlignment="1">
      <alignment horizontal="left" vertical="center" wrapText="1"/>
    </xf>
    <xf numFmtId="0" fontId="7" fillId="0" borderId="33" xfId="2322" applyFont="1" applyBorder="1" applyAlignment="1">
      <alignment horizontal="left" vertical="center" wrapText="1"/>
    </xf>
    <xf numFmtId="0" fontId="7" fillId="0" borderId="34" xfId="2322" applyFont="1" applyBorder="1" applyAlignment="1">
      <alignment horizontal="left" vertical="center" wrapText="1"/>
    </xf>
    <xf numFmtId="0" fontId="7" fillId="0" borderId="32" xfId="2322" applyFont="1" applyBorder="1" applyAlignment="1">
      <alignment horizontal="left" vertical="center" wrapText="1"/>
    </xf>
    <xf numFmtId="0" fontId="7" fillId="0" borderId="38" xfId="2455" quotePrefix="1" applyFont="1" applyBorder="1" applyAlignment="1">
      <alignment horizontal="left" vertical="center" wrapText="1"/>
    </xf>
    <xf numFmtId="0" fontId="7" fillId="0" borderId="39" xfId="2455" quotePrefix="1" applyFont="1" applyBorder="1" applyAlignment="1">
      <alignment horizontal="left" vertical="center" wrapText="1"/>
    </xf>
    <xf numFmtId="0" fontId="7" fillId="0" borderId="40" xfId="2455" quotePrefix="1" applyFont="1" applyBorder="1" applyAlignment="1">
      <alignment horizontal="left" vertical="center" wrapText="1"/>
    </xf>
  </cellXfs>
  <cellStyles count="6654">
    <cellStyle name="20% - Accent1 10" xfId="1" xr:uid="{00000000-0005-0000-0000-000000000000}"/>
    <cellStyle name="20% - Accent1 11" xfId="2" xr:uid="{00000000-0005-0000-0000-000001000000}"/>
    <cellStyle name="20% - Accent1 12" xfId="3" xr:uid="{00000000-0005-0000-0000-000002000000}"/>
    <cellStyle name="20% - Accent1 13" xfId="4" xr:uid="{00000000-0005-0000-0000-000003000000}"/>
    <cellStyle name="20% - Accent1 14" xfId="5" xr:uid="{00000000-0005-0000-0000-000004000000}"/>
    <cellStyle name="20% - Accent1 2" xfId="6" xr:uid="{00000000-0005-0000-0000-000005000000}"/>
    <cellStyle name="20% - Accent1 2 10" xfId="7" xr:uid="{00000000-0005-0000-0000-000006000000}"/>
    <cellStyle name="20% - Accent1 2 11" xfId="8" xr:uid="{00000000-0005-0000-0000-000007000000}"/>
    <cellStyle name="20% - Accent1 2 12" xfId="9" xr:uid="{00000000-0005-0000-0000-000008000000}"/>
    <cellStyle name="20% - Accent1 2 13" xfId="10" xr:uid="{00000000-0005-0000-0000-000009000000}"/>
    <cellStyle name="20% - Accent1 2 13 2" xfId="5280" xr:uid="{00000000-0005-0000-0000-00000A000000}"/>
    <cellStyle name="20% - Accent1 2 13 3" xfId="6609" xr:uid="{00000000-0005-0000-0000-00000B000000}"/>
    <cellStyle name="20% - Accent1 2 2" xfId="11" xr:uid="{00000000-0005-0000-0000-00000C000000}"/>
    <cellStyle name="20% - Accent1 2 2 10" xfId="12" xr:uid="{00000000-0005-0000-0000-00000D000000}"/>
    <cellStyle name="20% - Accent1 2 2 2" xfId="13" xr:uid="{00000000-0005-0000-0000-00000E000000}"/>
    <cellStyle name="20% - Accent1 2 2 2 2" xfId="14" xr:uid="{00000000-0005-0000-0000-00000F000000}"/>
    <cellStyle name="20% - Accent1 2 2 3" xfId="15" xr:uid="{00000000-0005-0000-0000-000010000000}"/>
    <cellStyle name="20% - Accent1 2 2 4" xfId="16" xr:uid="{00000000-0005-0000-0000-000011000000}"/>
    <cellStyle name="20% - Accent1 2 2 5" xfId="17" xr:uid="{00000000-0005-0000-0000-000012000000}"/>
    <cellStyle name="20% - Accent1 2 2 6" xfId="18" xr:uid="{00000000-0005-0000-0000-000013000000}"/>
    <cellStyle name="20% - Accent1 2 2 7" xfId="19" xr:uid="{00000000-0005-0000-0000-000014000000}"/>
    <cellStyle name="20% - Accent1 2 2 8" xfId="20" xr:uid="{00000000-0005-0000-0000-000015000000}"/>
    <cellStyle name="20% - Accent1 2 2 9" xfId="21" xr:uid="{00000000-0005-0000-0000-000016000000}"/>
    <cellStyle name="20% - Accent1 2 3" xfId="22" xr:uid="{00000000-0005-0000-0000-000017000000}"/>
    <cellStyle name="20% - Accent1 2 3 2" xfId="23" xr:uid="{00000000-0005-0000-0000-000018000000}"/>
    <cellStyle name="20% - Accent1 2 4" xfId="24" xr:uid="{00000000-0005-0000-0000-000019000000}"/>
    <cellStyle name="20% - Accent1 2 4 2" xfId="25" xr:uid="{00000000-0005-0000-0000-00001A000000}"/>
    <cellStyle name="20% - Accent1 2 5" xfId="26" xr:uid="{00000000-0005-0000-0000-00001B000000}"/>
    <cellStyle name="20% - Accent1 2 6" xfId="27" xr:uid="{00000000-0005-0000-0000-00001C000000}"/>
    <cellStyle name="20% - Accent1 2 7" xfId="28" xr:uid="{00000000-0005-0000-0000-00001D000000}"/>
    <cellStyle name="20% - Accent1 2 8" xfId="29" xr:uid="{00000000-0005-0000-0000-00001E000000}"/>
    <cellStyle name="20% - Accent1 2 9" xfId="30" xr:uid="{00000000-0005-0000-0000-00001F000000}"/>
    <cellStyle name="20% - Accent1 3" xfId="31" xr:uid="{00000000-0005-0000-0000-000020000000}"/>
    <cellStyle name="20% - Accent1 3 10" xfId="32" xr:uid="{00000000-0005-0000-0000-000021000000}"/>
    <cellStyle name="20% - Accent1 3 2" xfId="33" xr:uid="{00000000-0005-0000-0000-000022000000}"/>
    <cellStyle name="20% - Accent1 3 3" xfId="34" xr:uid="{00000000-0005-0000-0000-000023000000}"/>
    <cellStyle name="20% - Accent1 3 4" xfId="35" xr:uid="{00000000-0005-0000-0000-000024000000}"/>
    <cellStyle name="20% - Accent1 3 5" xfId="36" xr:uid="{00000000-0005-0000-0000-000025000000}"/>
    <cellStyle name="20% - Accent1 3 6" xfId="37" xr:uid="{00000000-0005-0000-0000-000026000000}"/>
    <cellStyle name="20% - Accent1 3 7" xfId="38" xr:uid="{00000000-0005-0000-0000-000027000000}"/>
    <cellStyle name="20% - Accent1 3 8" xfId="39" xr:uid="{00000000-0005-0000-0000-000028000000}"/>
    <cellStyle name="20% - Accent1 3 9" xfId="40" xr:uid="{00000000-0005-0000-0000-000029000000}"/>
    <cellStyle name="20% - Accent1 4" xfId="41" xr:uid="{00000000-0005-0000-0000-00002A000000}"/>
    <cellStyle name="20% - Accent1 4 10" xfId="42" xr:uid="{00000000-0005-0000-0000-00002B000000}"/>
    <cellStyle name="20% - Accent1 4 2" xfId="43" xr:uid="{00000000-0005-0000-0000-00002C000000}"/>
    <cellStyle name="20% - Accent1 4 3" xfId="44" xr:uid="{00000000-0005-0000-0000-00002D000000}"/>
    <cellStyle name="20% - Accent1 4 4" xfId="45" xr:uid="{00000000-0005-0000-0000-00002E000000}"/>
    <cellStyle name="20% - Accent1 4 5" xfId="46" xr:uid="{00000000-0005-0000-0000-00002F000000}"/>
    <cellStyle name="20% - Accent1 4 6" xfId="47" xr:uid="{00000000-0005-0000-0000-000030000000}"/>
    <cellStyle name="20% - Accent1 4 7" xfId="48" xr:uid="{00000000-0005-0000-0000-000031000000}"/>
    <cellStyle name="20% - Accent1 4 8" xfId="49" xr:uid="{00000000-0005-0000-0000-000032000000}"/>
    <cellStyle name="20% - Accent1 4 9" xfId="50" xr:uid="{00000000-0005-0000-0000-000033000000}"/>
    <cellStyle name="20% - Accent1 5" xfId="51" xr:uid="{00000000-0005-0000-0000-000034000000}"/>
    <cellStyle name="20% - Accent1 5 10" xfId="52" xr:uid="{00000000-0005-0000-0000-000035000000}"/>
    <cellStyle name="20% - Accent1 5 2" xfId="53" xr:uid="{00000000-0005-0000-0000-000036000000}"/>
    <cellStyle name="20% - Accent1 5 3" xfId="54" xr:uid="{00000000-0005-0000-0000-000037000000}"/>
    <cellStyle name="20% - Accent1 5 4" xfId="55" xr:uid="{00000000-0005-0000-0000-000038000000}"/>
    <cellStyle name="20% - Accent1 5 5" xfId="56" xr:uid="{00000000-0005-0000-0000-000039000000}"/>
    <cellStyle name="20% - Accent1 5 6" xfId="57" xr:uid="{00000000-0005-0000-0000-00003A000000}"/>
    <cellStyle name="20% - Accent1 5 7" xfId="58" xr:uid="{00000000-0005-0000-0000-00003B000000}"/>
    <cellStyle name="20% - Accent1 5 8" xfId="59" xr:uid="{00000000-0005-0000-0000-00003C000000}"/>
    <cellStyle name="20% - Accent1 5 9" xfId="60" xr:uid="{00000000-0005-0000-0000-00003D000000}"/>
    <cellStyle name="20% - Accent1 6 2" xfId="61" xr:uid="{00000000-0005-0000-0000-00003E000000}"/>
    <cellStyle name="20% - Accent1 7 2" xfId="62" xr:uid="{00000000-0005-0000-0000-00003F000000}"/>
    <cellStyle name="20% - Accent1 8" xfId="63" xr:uid="{00000000-0005-0000-0000-000040000000}"/>
    <cellStyle name="20% - Accent1 9" xfId="64" xr:uid="{00000000-0005-0000-0000-000041000000}"/>
    <cellStyle name="20% - Accent2 10" xfId="65" xr:uid="{00000000-0005-0000-0000-000042000000}"/>
    <cellStyle name="20% - Accent2 11" xfId="66" xr:uid="{00000000-0005-0000-0000-000043000000}"/>
    <cellStyle name="20% - Accent2 12" xfId="67" xr:uid="{00000000-0005-0000-0000-000044000000}"/>
    <cellStyle name="20% - Accent2 13" xfId="68" xr:uid="{00000000-0005-0000-0000-000045000000}"/>
    <cellStyle name="20% - Accent2 14" xfId="69" xr:uid="{00000000-0005-0000-0000-000046000000}"/>
    <cellStyle name="20% - Accent2 2" xfId="70" xr:uid="{00000000-0005-0000-0000-000047000000}"/>
    <cellStyle name="20% - Accent2 2 10" xfId="71" xr:uid="{00000000-0005-0000-0000-000048000000}"/>
    <cellStyle name="20% - Accent2 2 11" xfId="72" xr:uid="{00000000-0005-0000-0000-000049000000}"/>
    <cellStyle name="20% - Accent2 2 12" xfId="73" xr:uid="{00000000-0005-0000-0000-00004A000000}"/>
    <cellStyle name="20% - Accent2 2 13" xfId="74" xr:uid="{00000000-0005-0000-0000-00004B000000}"/>
    <cellStyle name="20% - Accent2 2 13 2" xfId="5281" xr:uid="{00000000-0005-0000-0000-00004C000000}"/>
    <cellStyle name="20% - Accent2 2 13 3" xfId="6610" xr:uid="{00000000-0005-0000-0000-00004D000000}"/>
    <cellStyle name="20% - Accent2 2 2" xfId="75" xr:uid="{00000000-0005-0000-0000-00004E000000}"/>
    <cellStyle name="20% - Accent2 2 2 10" xfId="76" xr:uid="{00000000-0005-0000-0000-00004F000000}"/>
    <cellStyle name="20% - Accent2 2 2 2" xfId="77" xr:uid="{00000000-0005-0000-0000-000050000000}"/>
    <cellStyle name="20% - Accent2 2 2 2 2" xfId="78" xr:uid="{00000000-0005-0000-0000-000051000000}"/>
    <cellStyle name="20% - Accent2 2 2 3" xfId="79" xr:uid="{00000000-0005-0000-0000-000052000000}"/>
    <cellStyle name="20% - Accent2 2 2 4" xfId="80" xr:uid="{00000000-0005-0000-0000-000053000000}"/>
    <cellStyle name="20% - Accent2 2 2 5" xfId="81" xr:uid="{00000000-0005-0000-0000-000054000000}"/>
    <cellStyle name="20% - Accent2 2 2 6" xfId="82" xr:uid="{00000000-0005-0000-0000-000055000000}"/>
    <cellStyle name="20% - Accent2 2 2 7" xfId="83" xr:uid="{00000000-0005-0000-0000-000056000000}"/>
    <cellStyle name="20% - Accent2 2 2 8" xfId="84" xr:uid="{00000000-0005-0000-0000-000057000000}"/>
    <cellStyle name="20% - Accent2 2 2 9" xfId="85" xr:uid="{00000000-0005-0000-0000-000058000000}"/>
    <cellStyle name="20% - Accent2 2 3" xfId="86" xr:uid="{00000000-0005-0000-0000-000059000000}"/>
    <cellStyle name="20% - Accent2 2 3 2" xfId="87" xr:uid="{00000000-0005-0000-0000-00005A000000}"/>
    <cellStyle name="20% - Accent2 2 4" xfId="88" xr:uid="{00000000-0005-0000-0000-00005B000000}"/>
    <cellStyle name="20% - Accent2 2 4 2" xfId="89" xr:uid="{00000000-0005-0000-0000-00005C000000}"/>
    <cellStyle name="20% - Accent2 2 5" xfId="90" xr:uid="{00000000-0005-0000-0000-00005D000000}"/>
    <cellStyle name="20% - Accent2 2 6" xfId="91" xr:uid="{00000000-0005-0000-0000-00005E000000}"/>
    <cellStyle name="20% - Accent2 2 7" xfId="92" xr:uid="{00000000-0005-0000-0000-00005F000000}"/>
    <cellStyle name="20% - Accent2 2 8" xfId="93" xr:uid="{00000000-0005-0000-0000-000060000000}"/>
    <cellStyle name="20% - Accent2 2 9" xfId="94" xr:uid="{00000000-0005-0000-0000-000061000000}"/>
    <cellStyle name="20% - Accent2 3" xfId="95" xr:uid="{00000000-0005-0000-0000-000062000000}"/>
    <cellStyle name="20% - Accent2 3 10" xfId="96" xr:uid="{00000000-0005-0000-0000-000063000000}"/>
    <cellStyle name="20% - Accent2 3 2" xfId="97" xr:uid="{00000000-0005-0000-0000-000064000000}"/>
    <cellStyle name="20% - Accent2 3 3" xfId="98" xr:uid="{00000000-0005-0000-0000-000065000000}"/>
    <cellStyle name="20% - Accent2 3 4" xfId="99" xr:uid="{00000000-0005-0000-0000-000066000000}"/>
    <cellStyle name="20% - Accent2 3 5" xfId="100" xr:uid="{00000000-0005-0000-0000-000067000000}"/>
    <cellStyle name="20% - Accent2 3 6" xfId="101" xr:uid="{00000000-0005-0000-0000-000068000000}"/>
    <cellStyle name="20% - Accent2 3 7" xfId="102" xr:uid="{00000000-0005-0000-0000-000069000000}"/>
    <cellStyle name="20% - Accent2 3 8" xfId="103" xr:uid="{00000000-0005-0000-0000-00006A000000}"/>
    <cellStyle name="20% - Accent2 3 9" xfId="104" xr:uid="{00000000-0005-0000-0000-00006B000000}"/>
    <cellStyle name="20% - Accent2 4" xfId="105" xr:uid="{00000000-0005-0000-0000-00006C000000}"/>
    <cellStyle name="20% - Accent2 4 10" xfId="106" xr:uid="{00000000-0005-0000-0000-00006D000000}"/>
    <cellStyle name="20% - Accent2 4 2" xfId="107" xr:uid="{00000000-0005-0000-0000-00006E000000}"/>
    <cellStyle name="20% - Accent2 4 3" xfId="108" xr:uid="{00000000-0005-0000-0000-00006F000000}"/>
    <cellStyle name="20% - Accent2 4 4" xfId="109" xr:uid="{00000000-0005-0000-0000-000070000000}"/>
    <cellStyle name="20% - Accent2 4 5" xfId="110" xr:uid="{00000000-0005-0000-0000-000071000000}"/>
    <cellStyle name="20% - Accent2 4 6" xfId="111" xr:uid="{00000000-0005-0000-0000-000072000000}"/>
    <cellStyle name="20% - Accent2 4 7" xfId="112" xr:uid="{00000000-0005-0000-0000-000073000000}"/>
    <cellStyle name="20% - Accent2 4 8" xfId="113" xr:uid="{00000000-0005-0000-0000-000074000000}"/>
    <cellStyle name="20% - Accent2 4 9" xfId="114" xr:uid="{00000000-0005-0000-0000-000075000000}"/>
    <cellStyle name="20% - Accent2 5" xfId="115" xr:uid="{00000000-0005-0000-0000-000076000000}"/>
    <cellStyle name="20% - Accent2 5 10" xfId="116" xr:uid="{00000000-0005-0000-0000-000077000000}"/>
    <cellStyle name="20% - Accent2 5 2" xfId="117" xr:uid="{00000000-0005-0000-0000-000078000000}"/>
    <cellStyle name="20% - Accent2 5 3" xfId="118" xr:uid="{00000000-0005-0000-0000-000079000000}"/>
    <cellStyle name="20% - Accent2 5 4" xfId="119" xr:uid="{00000000-0005-0000-0000-00007A000000}"/>
    <cellStyle name="20% - Accent2 5 5" xfId="120" xr:uid="{00000000-0005-0000-0000-00007B000000}"/>
    <cellStyle name="20% - Accent2 5 6" xfId="121" xr:uid="{00000000-0005-0000-0000-00007C000000}"/>
    <cellStyle name="20% - Accent2 5 7" xfId="122" xr:uid="{00000000-0005-0000-0000-00007D000000}"/>
    <cellStyle name="20% - Accent2 5 8" xfId="123" xr:uid="{00000000-0005-0000-0000-00007E000000}"/>
    <cellStyle name="20% - Accent2 5 9" xfId="124" xr:uid="{00000000-0005-0000-0000-00007F000000}"/>
    <cellStyle name="20% - Accent2 6 2" xfId="125" xr:uid="{00000000-0005-0000-0000-000080000000}"/>
    <cellStyle name="20% - Accent2 7 2" xfId="126" xr:uid="{00000000-0005-0000-0000-000081000000}"/>
    <cellStyle name="20% - Accent2 8" xfId="127" xr:uid="{00000000-0005-0000-0000-000082000000}"/>
    <cellStyle name="20% - Accent2 9" xfId="128" xr:uid="{00000000-0005-0000-0000-000083000000}"/>
    <cellStyle name="20% - Accent3 10" xfId="129" xr:uid="{00000000-0005-0000-0000-000084000000}"/>
    <cellStyle name="20% - Accent3 11" xfId="130" xr:uid="{00000000-0005-0000-0000-000085000000}"/>
    <cellStyle name="20% - Accent3 12" xfId="131" xr:uid="{00000000-0005-0000-0000-000086000000}"/>
    <cellStyle name="20% - Accent3 13" xfId="132" xr:uid="{00000000-0005-0000-0000-000087000000}"/>
    <cellStyle name="20% - Accent3 14" xfId="133" xr:uid="{00000000-0005-0000-0000-000088000000}"/>
    <cellStyle name="20% - Accent3 2" xfId="134" xr:uid="{00000000-0005-0000-0000-000089000000}"/>
    <cellStyle name="20% - Accent3 2 10" xfId="135" xr:uid="{00000000-0005-0000-0000-00008A000000}"/>
    <cellStyle name="20% - Accent3 2 11" xfId="136" xr:uid="{00000000-0005-0000-0000-00008B000000}"/>
    <cellStyle name="20% - Accent3 2 12" xfId="137" xr:uid="{00000000-0005-0000-0000-00008C000000}"/>
    <cellStyle name="20% - Accent3 2 13" xfId="138" xr:uid="{00000000-0005-0000-0000-00008D000000}"/>
    <cellStyle name="20% - Accent3 2 13 2" xfId="5282" xr:uid="{00000000-0005-0000-0000-00008E000000}"/>
    <cellStyle name="20% - Accent3 2 13 3" xfId="6611" xr:uid="{00000000-0005-0000-0000-00008F000000}"/>
    <cellStyle name="20% - Accent3 2 2" xfId="139" xr:uid="{00000000-0005-0000-0000-000090000000}"/>
    <cellStyle name="20% - Accent3 2 2 10" xfId="140" xr:uid="{00000000-0005-0000-0000-000091000000}"/>
    <cellStyle name="20% - Accent3 2 2 2" xfId="141" xr:uid="{00000000-0005-0000-0000-000092000000}"/>
    <cellStyle name="20% - Accent3 2 2 2 2" xfId="142" xr:uid="{00000000-0005-0000-0000-000093000000}"/>
    <cellStyle name="20% - Accent3 2 2 3" xfId="143" xr:uid="{00000000-0005-0000-0000-000094000000}"/>
    <cellStyle name="20% - Accent3 2 2 4" xfId="144" xr:uid="{00000000-0005-0000-0000-000095000000}"/>
    <cellStyle name="20% - Accent3 2 2 5" xfId="145" xr:uid="{00000000-0005-0000-0000-000096000000}"/>
    <cellStyle name="20% - Accent3 2 2 6" xfId="146" xr:uid="{00000000-0005-0000-0000-000097000000}"/>
    <cellStyle name="20% - Accent3 2 2 7" xfId="147" xr:uid="{00000000-0005-0000-0000-000098000000}"/>
    <cellStyle name="20% - Accent3 2 2 8" xfId="148" xr:uid="{00000000-0005-0000-0000-000099000000}"/>
    <cellStyle name="20% - Accent3 2 2 9" xfId="149" xr:uid="{00000000-0005-0000-0000-00009A000000}"/>
    <cellStyle name="20% - Accent3 2 3" xfId="150" xr:uid="{00000000-0005-0000-0000-00009B000000}"/>
    <cellStyle name="20% - Accent3 2 3 2" xfId="151" xr:uid="{00000000-0005-0000-0000-00009C000000}"/>
    <cellStyle name="20% - Accent3 2 4" xfId="152" xr:uid="{00000000-0005-0000-0000-00009D000000}"/>
    <cellStyle name="20% - Accent3 2 4 2" xfId="153" xr:uid="{00000000-0005-0000-0000-00009E000000}"/>
    <cellStyle name="20% - Accent3 2 5" xfId="154" xr:uid="{00000000-0005-0000-0000-00009F000000}"/>
    <cellStyle name="20% - Accent3 2 6" xfId="155" xr:uid="{00000000-0005-0000-0000-0000A0000000}"/>
    <cellStyle name="20% - Accent3 2 7" xfId="156" xr:uid="{00000000-0005-0000-0000-0000A1000000}"/>
    <cellStyle name="20% - Accent3 2 8" xfId="157" xr:uid="{00000000-0005-0000-0000-0000A2000000}"/>
    <cellStyle name="20% - Accent3 2 9" xfId="158" xr:uid="{00000000-0005-0000-0000-0000A3000000}"/>
    <cellStyle name="20% - Accent3 3" xfId="159" xr:uid="{00000000-0005-0000-0000-0000A4000000}"/>
    <cellStyle name="20% - Accent3 3 10" xfId="160" xr:uid="{00000000-0005-0000-0000-0000A5000000}"/>
    <cellStyle name="20% - Accent3 3 2" xfId="161" xr:uid="{00000000-0005-0000-0000-0000A6000000}"/>
    <cellStyle name="20% - Accent3 3 3" xfId="162" xr:uid="{00000000-0005-0000-0000-0000A7000000}"/>
    <cellStyle name="20% - Accent3 3 4" xfId="163" xr:uid="{00000000-0005-0000-0000-0000A8000000}"/>
    <cellStyle name="20% - Accent3 3 5" xfId="164" xr:uid="{00000000-0005-0000-0000-0000A9000000}"/>
    <cellStyle name="20% - Accent3 3 6" xfId="165" xr:uid="{00000000-0005-0000-0000-0000AA000000}"/>
    <cellStyle name="20% - Accent3 3 7" xfId="166" xr:uid="{00000000-0005-0000-0000-0000AB000000}"/>
    <cellStyle name="20% - Accent3 3 8" xfId="167" xr:uid="{00000000-0005-0000-0000-0000AC000000}"/>
    <cellStyle name="20% - Accent3 3 9" xfId="168" xr:uid="{00000000-0005-0000-0000-0000AD000000}"/>
    <cellStyle name="20% - Accent3 4" xfId="169" xr:uid="{00000000-0005-0000-0000-0000AE000000}"/>
    <cellStyle name="20% - Accent3 4 10" xfId="170" xr:uid="{00000000-0005-0000-0000-0000AF000000}"/>
    <cellStyle name="20% - Accent3 4 2" xfId="171" xr:uid="{00000000-0005-0000-0000-0000B0000000}"/>
    <cellStyle name="20% - Accent3 4 3" xfId="172" xr:uid="{00000000-0005-0000-0000-0000B1000000}"/>
    <cellStyle name="20% - Accent3 4 4" xfId="173" xr:uid="{00000000-0005-0000-0000-0000B2000000}"/>
    <cellStyle name="20% - Accent3 4 5" xfId="174" xr:uid="{00000000-0005-0000-0000-0000B3000000}"/>
    <cellStyle name="20% - Accent3 4 6" xfId="175" xr:uid="{00000000-0005-0000-0000-0000B4000000}"/>
    <cellStyle name="20% - Accent3 4 7" xfId="176" xr:uid="{00000000-0005-0000-0000-0000B5000000}"/>
    <cellStyle name="20% - Accent3 4 8" xfId="177" xr:uid="{00000000-0005-0000-0000-0000B6000000}"/>
    <cellStyle name="20% - Accent3 4 9" xfId="178" xr:uid="{00000000-0005-0000-0000-0000B7000000}"/>
    <cellStyle name="20% - Accent3 5" xfId="179" xr:uid="{00000000-0005-0000-0000-0000B8000000}"/>
    <cellStyle name="20% - Accent3 5 10" xfId="180" xr:uid="{00000000-0005-0000-0000-0000B9000000}"/>
    <cellStyle name="20% - Accent3 5 2" xfId="181" xr:uid="{00000000-0005-0000-0000-0000BA000000}"/>
    <cellStyle name="20% - Accent3 5 3" xfId="182" xr:uid="{00000000-0005-0000-0000-0000BB000000}"/>
    <cellStyle name="20% - Accent3 5 4" xfId="183" xr:uid="{00000000-0005-0000-0000-0000BC000000}"/>
    <cellStyle name="20% - Accent3 5 5" xfId="184" xr:uid="{00000000-0005-0000-0000-0000BD000000}"/>
    <cellStyle name="20% - Accent3 5 6" xfId="185" xr:uid="{00000000-0005-0000-0000-0000BE000000}"/>
    <cellStyle name="20% - Accent3 5 7" xfId="186" xr:uid="{00000000-0005-0000-0000-0000BF000000}"/>
    <cellStyle name="20% - Accent3 5 8" xfId="187" xr:uid="{00000000-0005-0000-0000-0000C0000000}"/>
    <cellStyle name="20% - Accent3 5 9" xfId="188" xr:uid="{00000000-0005-0000-0000-0000C1000000}"/>
    <cellStyle name="20% - Accent3 6 2" xfId="189" xr:uid="{00000000-0005-0000-0000-0000C2000000}"/>
    <cellStyle name="20% - Accent3 7 2" xfId="190" xr:uid="{00000000-0005-0000-0000-0000C3000000}"/>
    <cellStyle name="20% - Accent3 8" xfId="191" xr:uid="{00000000-0005-0000-0000-0000C4000000}"/>
    <cellStyle name="20% - Accent3 9" xfId="192" xr:uid="{00000000-0005-0000-0000-0000C5000000}"/>
    <cellStyle name="20% - Accent4 10" xfId="193" xr:uid="{00000000-0005-0000-0000-0000C6000000}"/>
    <cellStyle name="20% - Accent4 11" xfId="194" xr:uid="{00000000-0005-0000-0000-0000C7000000}"/>
    <cellStyle name="20% - Accent4 12" xfId="195" xr:uid="{00000000-0005-0000-0000-0000C8000000}"/>
    <cellStyle name="20% - Accent4 13" xfId="196" xr:uid="{00000000-0005-0000-0000-0000C9000000}"/>
    <cellStyle name="20% - Accent4 14" xfId="197" xr:uid="{00000000-0005-0000-0000-0000CA000000}"/>
    <cellStyle name="20% - Accent4 2" xfId="198" xr:uid="{00000000-0005-0000-0000-0000CB000000}"/>
    <cellStyle name="20% - Accent4 2 10" xfId="199" xr:uid="{00000000-0005-0000-0000-0000CC000000}"/>
    <cellStyle name="20% - Accent4 2 11" xfId="200" xr:uid="{00000000-0005-0000-0000-0000CD000000}"/>
    <cellStyle name="20% - Accent4 2 12" xfId="201" xr:uid="{00000000-0005-0000-0000-0000CE000000}"/>
    <cellStyle name="20% - Accent4 2 13" xfId="202" xr:uid="{00000000-0005-0000-0000-0000CF000000}"/>
    <cellStyle name="20% - Accent4 2 13 2" xfId="5283" xr:uid="{00000000-0005-0000-0000-0000D0000000}"/>
    <cellStyle name="20% - Accent4 2 13 3" xfId="6612" xr:uid="{00000000-0005-0000-0000-0000D1000000}"/>
    <cellStyle name="20% - Accent4 2 2" xfId="203" xr:uid="{00000000-0005-0000-0000-0000D2000000}"/>
    <cellStyle name="20% - Accent4 2 2 10" xfId="204" xr:uid="{00000000-0005-0000-0000-0000D3000000}"/>
    <cellStyle name="20% - Accent4 2 2 2" xfId="205" xr:uid="{00000000-0005-0000-0000-0000D4000000}"/>
    <cellStyle name="20% - Accent4 2 2 2 2" xfId="206" xr:uid="{00000000-0005-0000-0000-0000D5000000}"/>
    <cellStyle name="20% - Accent4 2 2 3" xfId="207" xr:uid="{00000000-0005-0000-0000-0000D6000000}"/>
    <cellStyle name="20% - Accent4 2 2 4" xfId="208" xr:uid="{00000000-0005-0000-0000-0000D7000000}"/>
    <cellStyle name="20% - Accent4 2 2 5" xfId="209" xr:uid="{00000000-0005-0000-0000-0000D8000000}"/>
    <cellStyle name="20% - Accent4 2 2 6" xfId="210" xr:uid="{00000000-0005-0000-0000-0000D9000000}"/>
    <cellStyle name="20% - Accent4 2 2 7" xfId="211" xr:uid="{00000000-0005-0000-0000-0000DA000000}"/>
    <cellStyle name="20% - Accent4 2 2 8" xfId="212" xr:uid="{00000000-0005-0000-0000-0000DB000000}"/>
    <cellStyle name="20% - Accent4 2 2 9" xfId="213" xr:uid="{00000000-0005-0000-0000-0000DC000000}"/>
    <cellStyle name="20% - Accent4 2 3" xfId="214" xr:uid="{00000000-0005-0000-0000-0000DD000000}"/>
    <cellStyle name="20% - Accent4 2 3 2" xfId="215" xr:uid="{00000000-0005-0000-0000-0000DE000000}"/>
    <cellStyle name="20% - Accent4 2 4" xfId="216" xr:uid="{00000000-0005-0000-0000-0000DF000000}"/>
    <cellStyle name="20% - Accent4 2 4 2" xfId="217" xr:uid="{00000000-0005-0000-0000-0000E0000000}"/>
    <cellStyle name="20% - Accent4 2 5" xfId="218" xr:uid="{00000000-0005-0000-0000-0000E1000000}"/>
    <cellStyle name="20% - Accent4 2 6" xfId="219" xr:uid="{00000000-0005-0000-0000-0000E2000000}"/>
    <cellStyle name="20% - Accent4 2 7" xfId="220" xr:uid="{00000000-0005-0000-0000-0000E3000000}"/>
    <cellStyle name="20% - Accent4 2 8" xfId="221" xr:uid="{00000000-0005-0000-0000-0000E4000000}"/>
    <cellStyle name="20% - Accent4 2 9" xfId="222" xr:uid="{00000000-0005-0000-0000-0000E5000000}"/>
    <cellStyle name="20% - Accent4 3" xfId="223" xr:uid="{00000000-0005-0000-0000-0000E6000000}"/>
    <cellStyle name="20% - Accent4 3 10" xfId="224" xr:uid="{00000000-0005-0000-0000-0000E7000000}"/>
    <cellStyle name="20% - Accent4 3 2" xfId="225" xr:uid="{00000000-0005-0000-0000-0000E8000000}"/>
    <cellStyle name="20% - Accent4 3 3" xfId="226" xr:uid="{00000000-0005-0000-0000-0000E9000000}"/>
    <cellStyle name="20% - Accent4 3 4" xfId="227" xr:uid="{00000000-0005-0000-0000-0000EA000000}"/>
    <cellStyle name="20% - Accent4 3 5" xfId="228" xr:uid="{00000000-0005-0000-0000-0000EB000000}"/>
    <cellStyle name="20% - Accent4 3 6" xfId="229" xr:uid="{00000000-0005-0000-0000-0000EC000000}"/>
    <cellStyle name="20% - Accent4 3 7" xfId="230" xr:uid="{00000000-0005-0000-0000-0000ED000000}"/>
    <cellStyle name="20% - Accent4 3 8" xfId="231" xr:uid="{00000000-0005-0000-0000-0000EE000000}"/>
    <cellStyle name="20% - Accent4 3 9" xfId="232" xr:uid="{00000000-0005-0000-0000-0000EF000000}"/>
    <cellStyle name="20% - Accent4 4" xfId="233" xr:uid="{00000000-0005-0000-0000-0000F0000000}"/>
    <cellStyle name="20% - Accent4 4 10" xfId="234" xr:uid="{00000000-0005-0000-0000-0000F1000000}"/>
    <cellStyle name="20% - Accent4 4 2" xfId="235" xr:uid="{00000000-0005-0000-0000-0000F2000000}"/>
    <cellStyle name="20% - Accent4 4 3" xfId="236" xr:uid="{00000000-0005-0000-0000-0000F3000000}"/>
    <cellStyle name="20% - Accent4 4 4" xfId="237" xr:uid="{00000000-0005-0000-0000-0000F4000000}"/>
    <cellStyle name="20% - Accent4 4 5" xfId="238" xr:uid="{00000000-0005-0000-0000-0000F5000000}"/>
    <cellStyle name="20% - Accent4 4 6" xfId="239" xr:uid="{00000000-0005-0000-0000-0000F6000000}"/>
    <cellStyle name="20% - Accent4 4 7" xfId="240" xr:uid="{00000000-0005-0000-0000-0000F7000000}"/>
    <cellStyle name="20% - Accent4 4 8" xfId="241" xr:uid="{00000000-0005-0000-0000-0000F8000000}"/>
    <cellStyle name="20% - Accent4 4 9" xfId="242" xr:uid="{00000000-0005-0000-0000-0000F9000000}"/>
    <cellStyle name="20% - Accent4 5" xfId="243" xr:uid="{00000000-0005-0000-0000-0000FA000000}"/>
    <cellStyle name="20% - Accent4 5 10" xfId="244" xr:uid="{00000000-0005-0000-0000-0000FB000000}"/>
    <cellStyle name="20% - Accent4 5 2" xfId="245" xr:uid="{00000000-0005-0000-0000-0000FC000000}"/>
    <cellStyle name="20% - Accent4 5 3" xfId="246" xr:uid="{00000000-0005-0000-0000-0000FD000000}"/>
    <cellStyle name="20% - Accent4 5 4" xfId="247" xr:uid="{00000000-0005-0000-0000-0000FE000000}"/>
    <cellStyle name="20% - Accent4 5 5" xfId="248" xr:uid="{00000000-0005-0000-0000-0000FF000000}"/>
    <cellStyle name="20% - Accent4 5 6" xfId="249" xr:uid="{00000000-0005-0000-0000-000000010000}"/>
    <cellStyle name="20% - Accent4 5 7" xfId="250" xr:uid="{00000000-0005-0000-0000-000001010000}"/>
    <cellStyle name="20% - Accent4 5 8" xfId="251" xr:uid="{00000000-0005-0000-0000-000002010000}"/>
    <cellStyle name="20% - Accent4 5 9" xfId="252" xr:uid="{00000000-0005-0000-0000-000003010000}"/>
    <cellStyle name="20% - Accent4 6 2" xfId="253" xr:uid="{00000000-0005-0000-0000-000004010000}"/>
    <cellStyle name="20% - Accent4 7 2" xfId="254" xr:uid="{00000000-0005-0000-0000-000005010000}"/>
    <cellStyle name="20% - Accent4 8" xfId="255" xr:uid="{00000000-0005-0000-0000-000006010000}"/>
    <cellStyle name="20% - Accent4 9" xfId="256" xr:uid="{00000000-0005-0000-0000-000007010000}"/>
    <cellStyle name="20% - Accent5 10" xfId="257" xr:uid="{00000000-0005-0000-0000-000008010000}"/>
    <cellStyle name="20% - Accent5 11" xfId="258" xr:uid="{00000000-0005-0000-0000-000009010000}"/>
    <cellStyle name="20% - Accent5 12" xfId="259" xr:uid="{00000000-0005-0000-0000-00000A010000}"/>
    <cellStyle name="20% - Accent5 13" xfId="260" xr:uid="{00000000-0005-0000-0000-00000B010000}"/>
    <cellStyle name="20% - Accent5 14" xfId="261" xr:uid="{00000000-0005-0000-0000-00000C010000}"/>
    <cellStyle name="20% - Accent5 2" xfId="262" xr:uid="{00000000-0005-0000-0000-00000D010000}"/>
    <cellStyle name="20% - Accent5 2 10" xfId="263" xr:uid="{00000000-0005-0000-0000-00000E010000}"/>
    <cellStyle name="20% - Accent5 2 11" xfId="264" xr:uid="{00000000-0005-0000-0000-00000F010000}"/>
    <cellStyle name="20% - Accent5 2 12" xfId="265" xr:uid="{00000000-0005-0000-0000-000010010000}"/>
    <cellStyle name="20% - Accent5 2 13" xfId="266" xr:uid="{00000000-0005-0000-0000-000011010000}"/>
    <cellStyle name="20% - Accent5 2 13 2" xfId="5284" xr:uid="{00000000-0005-0000-0000-000012010000}"/>
    <cellStyle name="20% - Accent5 2 13 3" xfId="6613" xr:uid="{00000000-0005-0000-0000-000013010000}"/>
    <cellStyle name="20% - Accent5 2 2" xfId="267" xr:uid="{00000000-0005-0000-0000-000014010000}"/>
    <cellStyle name="20% - Accent5 2 2 10" xfId="268" xr:uid="{00000000-0005-0000-0000-000015010000}"/>
    <cellStyle name="20% - Accent5 2 2 2" xfId="269" xr:uid="{00000000-0005-0000-0000-000016010000}"/>
    <cellStyle name="20% - Accent5 2 2 2 2" xfId="270" xr:uid="{00000000-0005-0000-0000-000017010000}"/>
    <cellStyle name="20% - Accent5 2 2 3" xfId="271" xr:uid="{00000000-0005-0000-0000-000018010000}"/>
    <cellStyle name="20% - Accent5 2 2 4" xfId="272" xr:uid="{00000000-0005-0000-0000-000019010000}"/>
    <cellStyle name="20% - Accent5 2 2 5" xfId="273" xr:uid="{00000000-0005-0000-0000-00001A010000}"/>
    <cellStyle name="20% - Accent5 2 2 6" xfId="274" xr:uid="{00000000-0005-0000-0000-00001B010000}"/>
    <cellStyle name="20% - Accent5 2 2 7" xfId="275" xr:uid="{00000000-0005-0000-0000-00001C010000}"/>
    <cellStyle name="20% - Accent5 2 2 8" xfId="276" xr:uid="{00000000-0005-0000-0000-00001D010000}"/>
    <cellStyle name="20% - Accent5 2 2 9" xfId="277" xr:uid="{00000000-0005-0000-0000-00001E010000}"/>
    <cellStyle name="20% - Accent5 2 3" xfId="278" xr:uid="{00000000-0005-0000-0000-00001F010000}"/>
    <cellStyle name="20% - Accent5 2 3 2" xfId="279" xr:uid="{00000000-0005-0000-0000-000020010000}"/>
    <cellStyle name="20% - Accent5 2 4" xfId="280" xr:uid="{00000000-0005-0000-0000-000021010000}"/>
    <cellStyle name="20% - Accent5 2 4 2" xfId="281" xr:uid="{00000000-0005-0000-0000-000022010000}"/>
    <cellStyle name="20% - Accent5 2 5" xfId="282" xr:uid="{00000000-0005-0000-0000-000023010000}"/>
    <cellStyle name="20% - Accent5 2 6" xfId="283" xr:uid="{00000000-0005-0000-0000-000024010000}"/>
    <cellStyle name="20% - Accent5 2 7" xfId="284" xr:uid="{00000000-0005-0000-0000-000025010000}"/>
    <cellStyle name="20% - Accent5 2 8" xfId="285" xr:uid="{00000000-0005-0000-0000-000026010000}"/>
    <cellStyle name="20% - Accent5 2 9" xfId="286" xr:uid="{00000000-0005-0000-0000-000027010000}"/>
    <cellStyle name="20% - Accent5 3" xfId="287" xr:uid="{00000000-0005-0000-0000-000028010000}"/>
    <cellStyle name="20% - Accent5 3 10" xfId="288" xr:uid="{00000000-0005-0000-0000-000029010000}"/>
    <cellStyle name="20% - Accent5 3 2" xfId="289" xr:uid="{00000000-0005-0000-0000-00002A010000}"/>
    <cellStyle name="20% - Accent5 3 3" xfId="290" xr:uid="{00000000-0005-0000-0000-00002B010000}"/>
    <cellStyle name="20% - Accent5 3 4" xfId="291" xr:uid="{00000000-0005-0000-0000-00002C010000}"/>
    <cellStyle name="20% - Accent5 3 5" xfId="292" xr:uid="{00000000-0005-0000-0000-00002D010000}"/>
    <cellStyle name="20% - Accent5 3 6" xfId="293" xr:uid="{00000000-0005-0000-0000-00002E010000}"/>
    <cellStyle name="20% - Accent5 3 7" xfId="294" xr:uid="{00000000-0005-0000-0000-00002F010000}"/>
    <cellStyle name="20% - Accent5 3 8" xfId="295" xr:uid="{00000000-0005-0000-0000-000030010000}"/>
    <cellStyle name="20% - Accent5 3 9" xfId="296" xr:uid="{00000000-0005-0000-0000-000031010000}"/>
    <cellStyle name="20% - Accent5 4" xfId="297" xr:uid="{00000000-0005-0000-0000-000032010000}"/>
    <cellStyle name="20% - Accent5 4 10" xfId="298" xr:uid="{00000000-0005-0000-0000-000033010000}"/>
    <cellStyle name="20% - Accent5 4 2" xfId="299" xr:uid="{00000000-0005-0000-0000-000034010000}"/>
    <cellStyle name="20% - Accent5 4 3" xfId="300" xr:uid="{00000000-0005-0000-0000-000035010000}"/>
    <cellStyle name="20% - Accent5 4 4" xfId="301" xr:uid="{00000000-0005-0000-0000-000036010000}"/>
    <cellStyle name="20% - Accent5 4 5" xfId="302" xr:uid="{00000000-0005-0000-0000-000037010000}"/>
    <cellStyle name="20% - Accent5 4 6" xfId="303" xr:uid="{00000000-0005-0000-0000-000038010000}"/>
    <cellStyle name="20% - Accent5 4 7" xfId="304" xr:uid="{00000000-0005-0000-0000-000039010000}"/>
    <cellStyle name="20% - Accent5 4 8" xfId="305" xr:uid="{00000000-0005-0000-0000-00003A010000}"/>
    <cellStyle name="20% - Accent5 4 9" xfId="306" xr:uid="{00000000-0005-0000-0000-00003B010000}"/>
    <cellStyle name="20% - Accent5 5" xfId="307" xr:uid="{00000000-0005-0000-0000-00003C010000}"/>
    <cellStyle name="20% - Accent5 5 10" xfId="308" xr:uid="{00000000-0005-0000-0000-00003D010000}"/>
    <cellStyle name="20% - Accent5 5 2" xfId="309" xr:uid="{00000000-0005-0000-0000-00003E010000}"/>
    <cellStyle name="20% - Accent5 5 3" xfId="310" xr:uid="{00000000-0005-0000-0000-00003F010000}"/>
    <cellStyle name="20% - Accent5 5 4" xfId="311" xr:uid="{00000000-0005-0000-0000-000040010000}"/>
    <cellStyle name="20% - Accent5 5 5" xfId="312" xr:uid="{00000000-0005-0000-0000-000041010000}"/>
    <cellStyle name="20% - Accent5 5 6" xfId="313" xr:uid="{00000000-0005-0000-0000-000042010000}"/>
    <cellStyle name="20% - Accent5 5 7" xfId="314" xr:uid="{00000000-0005-0000-0000-000043010000}"/>
    <cellStyle name="20% - Accent5 5 8" xfId="315" xr:uid="{00000000-0005-0000-0000-000044010000}"/>
    <cellStyle name="20% - Accent5 5 9" xfId="316" xr:uid="{00000000-0005-0000-0000-000045010000}"/>
    <cellStyle name="20% - Accent5 6 2" xfId="317" xr:uid="{00000000-0005-0000-0000-000046010000}"/>
    <cellStyle name="20% - Accent5 7 2" xfId="318" xr:uid="{00000000-0005-0000-0000-000047010000}"/>
    <cellStyle name="20% - Accent5 8" xfId="319" xr:uid="{00000000-0005-0000-0000-000048010000}"/>
    <cellStyle name="20% - Accent5 9" xfId="320" xr:uid="{00000000-0005-0000-0000-000049010000}"/>
    <cellStyle name="20% - Accent6 10" xfId="321" xr:uid="{00000000-0005-0000-0000-00004A010000}"/>
    <cellStyle name="20% - Accent6 11" xfId="322" xr:uid="{00000000-0005-0000-0000-00004B010000}"/>
    <cellStyle name="20% - Accent6 12" xfId="323" xr:uid="{00000000-0005-0000-0000-00004C010000}"/>
    <cellStyle name="20% - Accent6 13" xfId="324" xr:uid="{00000000-0005-0000-0000-00004D010000}"/>
    <cellStyle name="20% - Accent6 14" xfId="325" xr:uid="{00000000-0005-0000-0000-00004E010000}"/>
    <cellStyle name="20% - Accent6 2" xfId="326" xr:uid="{00000000-0005-0000-0000-00004F010000}"/>
    <cellStyle name="20% - Accent6 2 10" xfId="327" xr:uid="{00000000-0005-0000-0000-000050010000}"/>
    <cellStyle name="20% - Accent6 2 11" xfId="328" xr:uid="{00000000-0005-0000-0000-000051010000}"/>
    <cellStyle name="20% - Accent6 2 12" xfId="329" xr:uid="{00000000-0005-0000-0000-000052010000}"/>
    <cellStyle name="20% - Accent6 2 13" xfId="330" xr:uid="{00000000-0005-0000-0000-000053010000}"/>
    <cellStyle name="20% - Accent6 2 13 2" xfId="5285" xr:uid="{00000000-0005-0000-0000-000054010000}"/>
    <cellStyle name="20% - Accent6 2 13 3" xfId="6614" xr:uid="{00000000-0005-0000-0000-000055010000}"/>
    <cellStyle name="20% - Accent6 2 2" xfId="331" xr:uid="{00000000-0005-0000-0000-000056010000}"/>
    <cellStyle name="20% - Accent6 2 2 10" xfId="332" xr:uid="{00000000-0005-0000-0000-000057010000}"/>
    <cellStyle name="20% - Accent6 2 2 2" xfId="333" xr:uid="{00000000-0005-0000-0000-000058010000}"/>
    <cellStyle name="20% - Accent6 2 2 2 2" xfId="334" xr:uid="{00000000-0005-0000-0000-000059010000}"/>
    <cellStyle name="20% - Accent6 2 2 3" xfId="335" xr:uid="{00000000-0005-0000-0000-00005A010000}"/>
    <cellStyle name="20% - Accent6 2 2 4" xfId="336" xr:uid="{00000000-0005-0000-0000-00005B010000}"/>
    <cellStyle name="20% - Accent6 2 2 5" xfId="337" xr:uid="{00000000-0005-0000-0000-00005C010000}"/>
    <cellStyle name="20% - Accent6 2 2 6" xfId="338" xr:uid="{00000000-0005-0000-0000-00005D010000}"/>
    <cellStyle name="20% - Accent6 2 2 7" xfId="339" xr:uid="{00000000-0005-0000-0000-00005E010000}"/>
    <cellStyle name="20% - Accent6 2 2 8" xfId="340" xr:uid="{00000000-0005-0000-0000-00005F010000}"/>
    <cellStyle name="20% - Accent6 2 2 9" xfId="341" xr:uid="{00000000-0005-0000-0000-000060010000}"/>
    <cellStyle name="20% - Accent6 2 3" xfId="342" xr:uid="{00000000-0005-0000-0000-000061010000}"/>
    <cellStyle name="20% - Accent6 2 3 2" xfId="343" xr:uid="{00000000-0005-0000-0000-000062010000}"/>
    <cellStyle name="20% - Accent6 2 4" xfId="344" xr:uid="{00000000-0005-0000-0000-000063010000}"/>
    <cellStyle name="20% - Accent6 2 4 2" xfId="345" xr:uid="{00000000-0005-0000-0000-000064010000}"/>
    <cellStyle name="20% - Accent6 2 5" xfId="346" xr:uid="{00000000-0005-0000-0000-000065010000}"/>
    <cellStyle name="20% - Accent6 2 6" xfId="347" xr:uid="{00000000-0005-0000-0000-000066010000}"/>
    <cellStyle name="20% - Accent6 2 7" xfId="348" xr:uid="{00000000-0005-0000-0000-000067010000}"/>
    <cellStyle name="20% - Accent6 2 8" xfId="349" xr:uid="{00000000-0005-0000-0000-000068010000}"/>
    <cellStyle name="20% - Accent6 2 9" xfId="350" xr:uid="{00000000-0005-0000-0000-000069010000}"/>
    <cellStyle name="20% - Accent6 3" xfId="351" xr:uid="{00000000-0005-0000-0000-00006A010000}"/>
    <cellStyle name="20% - Accent6 3 10" xfId="352" xr:uid="{00000000-0005-0000-0000-00006B010000}"/>
    <cellStyle name="20% - Accent6 3 2" xfId="353" xr:uid="{00000000-0005-0000-0000-00006C010000}"/>
    <cellStyle name="20% - Accent6 3 3" xfId="354" xr:uid="{00000000-0005-0000-0000-00006D010000}"/>
    <cellStyle name="20% - Accent6 3 4" xfId="355" xr:uid="{00000000-0005-0000-0000-00006E010000}"/>
    <cellStyle name="20% - Accent6 3 5" xfId="356" xr:uid="{00000000-0005-0000-0000-00006F010000}"/>
    <cellStyle name="20% - Accent6 3 6" xfId="357" xr:uid="{00000000-0005-0000-0000-000070010000}"/>
    <cellStyle name="20% - Accent6 3 7" xfId="358" xr:uid="{00000000-0005-0000-0000-000071010000}"/>
    <cellStyle name="20% - Accent6 3 8" xfId="359" xr:uid="{00000000-0005-0000-0000-000072010000}"/>
    <cellStyle name="20% - Accent6 3 9" xfId="360" xr:uid="{00000000-0005-0000-0000-000073010000}"/>
    <cellStyle name="20% - Accent6 4" xfId="361" xr:uid="{00000000-0005-0000-0000-000074010000}"/>
    <cellStyle name="20% - Accent6 4 10" xfId="362" xr:uid="{00000000-0005-0000-0000-000075010000}"/>
    <cellStyle name="20% - Accent6 4 2" xfId="363" xr:uid="{00000000-0005-0000-0000-000076010000}"/>
    <cellStyle name="20% - Accent6 4 3" xfId="364" xr:uid="{00000000-0005-0000-0000-000077010000}"/>
    <cellStyle name="20% - Accent6 4 4" xfId="365" xr:uid="{00000000-0005-0000-0000-000078010000}"/>
    <cellStyle name="20% - Accent6 4 5" xfId="366" xr:uid="{00000000-0005-0000-0000-000079010000}"/>
    <cellStyle name="20% - Accent6 4 6" xfId="367" xr:uid="{00000000-0005-0000-0000-00007A010000}"/>
    <cellStyle name="20% - Accent6 4 7" xfId="368" xr:uid="{00000000-0005-0000-0000-00007B010000}"/>
    <cellStyle name="20% - Accent6 4 8" xfId="369" xr:uid="{00000000-0005-0000-0000-00007C010000}"/>
    <cellStyle name="20% - Accent6 4 9" xfId="370" xr:uid="{00000000-0005-0000-0000-00007D010000}"/>
    <cellStyle name="20% - Accent6 5" xfId="371" xr:uid="{00000000-0005-0000-0000-00007E010000}"/>
    <cellStyle name="20% - Accent6 5 10" xfId="372" xr:uid="{00000000-0005-0000-0000-00007F010000}"/>
    <cellStyle name="20% - Accent6 5 2" xfId="373" xr:uid="{00000000-0005-0000-0000-000080010000}"/>
    <cellStyle name="20% - Accent6 5 3" xfId="374" xr:uid="{00000000-0005-0000-0000-000081010000}"/>
    <cellStyle name="20% - Accent6 5 4" xfId="375" xr:uid="{00000000-0005-0000-0000-000082010000}"/>
    <cellStyle name="20% - Accent6 5 5" xfId="376" xr:uid="{00000000-0005-0000-0000-000083010000}"/>
    <cellStyle name="20% - Accent6 5 6" xfId="377" xr:uid="{00000000-0005-0000-0000-000084010000}"/>
    <cellStyle name="20% - Accent6 5 7" xfId="378" xr:uid="{00000000-0005-0000-0000-000085010000}"/>
    <cellStyle name="20% - Accent6 5 8" xfId="379" xr:uid="{00000000-0005-0000-0000-000086010000}"/>
    <cellStyle name="20% - Accent6 5 9" xfId="380" xr:uid="{00000000-0005-0000-0000-000087010000}"/>
    <cellStyle name="20% - Accent6 6 2" xfId="381" xr:uid="{00000000-0005-0000-0000-000088010000}"/>
    <cellStyle name="20% - Accent6 7 2" xfId="382" xr:uid="{00000000-0005-0000-0000-000089010000}"/>
    <cellStyle name="20% - Accent6 8" xfId="383" xr:uid="{00000000-0005-0000-0000-00008A010000}"/>
    <cellStyle name="20% - Accent6 9" xfId="384" xr:uid="{00000000-0005-0000-0000-00008B010000}"/>
    <cellStyle name="40% - Accent1 10" xfId="385" xr:uid="{00000000-0005-0000-0000-00008C010000}"/>
    <cellStyle name="40% - Accent1 11" xfId="386" xr:uid="{00000000-0005-0000-0000-00008D010000}"/>
    <cellStyle name="40% - Accent1 12" xfId="387" xr:uid="{00000000-0005-0000-0000-00008E010000}"/>
    <cellStyle name="40% - Accent1 13" xfId="388" xr:uid="{00000000-0005-0000-0000-00008F010000}"/>
    <cellStyle name="40% - Accent1 14" xfId="389" xr:uid="{00000000-0005-0000-0000-000090010000}"/>
    <cellStyle name="40% - Accent1 2" xfId="390" xr:uid="{00000000-0005-0000-0000-000091010000}"/>
    <cellStyle name="40% - Accent1 2 10" xfId="391" xr:uid="{00000000-0005-0000-0000-000092010000}"/>
    <cellStyle name="40% - Accent1 2 11" xfId="392" xr:uid="{00000000-0005-0000-0000-000093010000}"/>
    <cellStyle name="40% - Accent1 2 12" xfId="393" xr:uid="{00000000-0005-0000-0000-000094010000}"/>
    <cellStyle name="40% - Accent1 2 13" xfId="394" xr:uid="{00000000-0005-0000-0000-000095010000}"/>
    <cellStyle name="40% - Accent1 2 13 2" xfId="5286" xr:uid="{00000000-0005-0000-0000-000096010000}"/>
    <cellStyle name="40% - Accent1 2 13 3" xfId="6615" xr:uid="{00000000-0005-0000-0000-000097010000}"/>
    <cellStyle name="40% - Accent1 2 2" xfId="395" xr:uid="{00000000-0005-0000-0000-000098010000}"/>
    <cellStyle name="40% - Accent1 2 2 10" xfId="396" xr:uid="{00000000-0005-0000-0000-000099010000}"/>
    <cellStyle name="40% - Accent1 2 2 2" xfId="397" xr:uid="{00000000-0005-0000-0000-00009A010000}"/>
    <cellStyle name="40% - Accent1 2 2 2 2" xfId="398" xr:uid="{00000000-0005-0000-0000-00009B010000}"/>
    <cellStyle name="40% - Accent1 2 2 3" xfId="399" xr:uid="{00000000-0005-0000-0000-00009C010000}"/>
    <cellStyle name="40% - Accent1 2 2 4" xfId="400" xr:uid="{00000000-0005-0000-0000-00009D010000}"/>
    <cellStyle name="40% - Accent1 2 2 5" xfId="401" xr:uid="{00000000-0005-0000-0000-00009E010000}"/>
    <cellStyle name="40% - Accent1 2 2 6" xfId="402" xr:uid="{00000000-0005-0000-0000-00009F010000}"/>
    <cellStyle name="40% - Accent1 2 2 7" xfId="403" xr:uid="{00000000-0005-0000-0000-0000A0010000}"/>
    <cellStyle name="40% - Accent1 2 2 8" xfId="404" xr:uid="{00000000-0005-0000-0000-0000A1010000}"/>
    <cellStyle name="40% - Accent1 2 2 9" xfId="405" xr:uid="{00000000-0005-0000-0000-0000A2010000}"/>
    <cellStyle name="40% - Accent1 2 3" xfId="406" xr:uid="{00000000-0005-0000-0000-0000A3010000}"/>
    <cellStyle name="40% - Accent1 2 3 2" xfId="407" xr:uid="{00000000-0005-0000-0000-0000A4010000}"/>
    <cellStyle name="40% - Accent1 2 4" xfId="408" xr:uid="{00000000-0005-0000-0000-0000A5010000}"/>
    <cellStyle name="40% - Accent1 2 4 2" xfId="409" xr:uid="{00000000-0005-0000-0000-0000A6010000}"/>
    <cellStyle name="40% - Accent1 2 5" xfId="410" xr:uid="{00000000-0005-0000-0000-0000A7010000}"/>
    <cellStyle name="40% - Accent1 2 6" xfId="411" xr:uid="{00000000-0005-0000-0000-0000A8010000}"/>
    <cellStyle name="40% - Accent1 2 7" xfId="412" xr:uid="{00000000-0005-0000-0000-0000A9010000}"/>
    <cellStyle name="40% - Accent1 2 8" xfId="413" xr:uid="{00000000-0005-0000-0000-0000AA010000}"/>
    <cellStyle name="40% - Accent1 2 9" xfId="414" xr:uid="{00000000-0005-0000-0000-0000AB010000}"/>
    <cellStyle name="40% - Accent1 3" xfId="415" xr:uid="{00000000-0005-0000-0000-0000AC010000}"/>
    <cellStyle name="40% - Accent1 3 10" xfId="416" xr:uid="{00000000-0005-0000-0000-0000AD010000}"/>
    <cellStyle name="40% - Accent1 3 2" xfId="417" xr:uid="{00000000-0005-0000-0000-0000AE010000}"/>
    <cellStyle name="40% - Accent1 3 3" xfId="418" xr:uid="{00000000-0005-0000-0000-0000AF010000}"/>
    <cellStyle name="40% - Accent1 3 4" xfId="419" xr:uid="{00000000-0005-0000-0000-0000B0010000}"/>
    <cellStyle name="40% - Accent1 3 5" xfId="420" xr:uid="{00000000-0005-0000-0000-0000B1010000}"/>
    <cellStyle name="40% - Accent1 3 6" xfId="421" xr:uid="{00000000-0005-0000-0000-0000B2010000}"/>
    <cellStyle name="40% - Accent1 3 7" xfId="422" xr:uid="{00000000-0005-0000-0000-0000B3010000}"/>
    <cellStyle name="40% - Accent1 3 8" xfId="423" xr:uid="{00000000-0005-0000-0000-0000B4010000}"/>
    <cellStyle name="40% - Accent1 3 9" xfId="424" xr:uid="{00000000-0005-0000-0000-0000B5010000}"/>
    <cellStyle name="40% - Accent1 4" xfId="425" xr:uid="{00000000-0005-0000-0000-0000B6010000}"/>
    <cellStyle name="40% - Accent1 4 10" xfId="426" xr:uid="{00000000-0005-0000-0000-0000B7010000}"/>
    <cellStyle name="40% - Accent1 4 2" xfId="427" xr:uid="{00000000-0005-0000-0000-0000B8010000}"/>
    <cellStyle name="40% - Accent1 4 3" xfId="428" xr:uid="{00000000-0005-0000-0000-0000B9010000}"/>
    <cellStyle name="40% - Accent1 4 4" xfId="429" xr:uid="{00000000-0005-0000-0000-0000BA010000}"/>
    <cellStyle name="40% - Accent1 4 5" xfId="430" xr:uid="{00000000-0005-0000-0000-0000BB010000}"/>
    <cellStyle name="40% - Accent1 4 6" xfId="431" xr:uid="{00000000-0005-0000-0000-0000BC010000}"/>
    <cellStyle name="40% - Accent1 4 7" xfId="432" xr:uid="{00000000-0005-0000-0000-0000BD010000}"/>
    <cellStyle name="40% - Accent1 4 8" xfId="433" xr:uid="{00000000-0005-0000-0000-0000BE010000}"/>
    <cellStyle name="40% - Accent1 4 9" xfId="434" xr:uid="{00000000-0005-0000-0000-0000BF010000}"/>
    <cellStyle name="40% - Accent1 5" xfId="435" xr:uid="{00000000-0005-0000-0000-0000C0010000}"/>
    <cellStyle name="40% - Accent1 5 10" xfId="436" xr:uid="{00000000-0005-0000-0000-0000C1010000}"/>
    <cellStyle name="40% - Accent1 5 2" xfId="437" xr:uid="{00000000-0005-0000-0000-0000C2010000}"/>
    <cellStyle name="40% - Accent1 5 3" xfId="438" xr:uid="{00000000-0005-0000-0000-0000C3010000}"/>
    <cellStyle name="40% - Accent1 5 4" xfId="439" xr:uid="{00000000-0005-0000-0000-0000C4010000}"/>
    <cellStyle name="40% - Accent1 5 5" xfId="440" xr:uid="{00000000-0005-0000-0000-0000C5010000}"/>
    <cellStyle name="40% - Accent1 5 6" xfId="441" xr:uid="{00000000-0005-0000-0000-0000C6010000}"/>
    <cellStyle name="40% - Accent1 5 7" xfId="442" xr:uid="{00000000-0005-0000-0000-0000C7010000}"/>
    <cellStyle name="40% - Accent1 5 8" xfId="443" xr:uid="{00000000-0005-0000-0000-0000C8010000}"/>
    <cellStyle name="40% - Accent1 5 9" xfId="444" xr:uid="{00000000-0005-0000-0000-0000C9010000}"/>
    <cellStyle name="40% - Accent1 6 2" xfId="445" xr:uid="{00000000-0005-0000-0000-0000CA010000}"/>
    <cellStyle name="40% - Accent1 7 2" xfId="446" xr:uid="{00000000-0005-0000-0000-0000CB010000}"/>
    <cellStyle name="40% - Accent1 8" xfId="447" xr:uid="{00000000-0005-0000-0000-0000CC010000}"/>
    <cellStyle name="40% - Accent1 9" xfId="448" xr:uid="{00000000-0005-0000-0000-0000CD010000}"/>
    <cellStyle name="40% - Accent2 10" xfId="449" xr:uid="{00000000-0005-0000-0000-0000CE010000}"/>
    <cellStyle name="40% - Accent2 11" xfId="450" xr:uid="{00000000-0005-0000-0000-0000CF010000}"/>
    <cellStyle name="40% - Accent2 12" xfId="451" xr:uid="{00000000-0005-0000-0000-0000D0010000}"/>
    <cellStyle name="40% - Accent2 13" xfId="452" xr:uid="{00000000-0005-0000-0000-0000D1010000}"/>
    <cellStyle name="40% - Accent2 14" xfId="453" xr:uid="{00000000-0005-0000-0000-0000D2010000}"/>
    <cellStyle name="40% - Accent2 2" xfId="454" xr:uid="{00000000-0005-0000-0000-0000D3010000}"/>
    <cellStyle name="40% - Accent2 2 10" xfId="455" xr:uid="{00000000-0005-0000-0000-0000D4010000}"/>
    <cellStyle name="40% - Accent2 2 11" xfId="456" xr:uid="{00000000-0005-0000-0000-0000D5010000}"/>
    <cellStyle name="40% - Accent2 2 12" xfId="457" xr:uid="{00000000-0005-0000-0000-0000D6010000}"/>
    <cellStyle name="40% - Accent2 2 13" xfId="458" xr:uid="{00000000-0005-0000-0000-0000D7010000}"/>
    <cellStyle name="40% - Accent2 2 13 2" xfId="5287" xr:uid="{00000000-0005-0000-0000-0000D8010000}"/>
    <cellStyle name="40% - Accent2 2 13 3" xfId="6616" xr:uid="{00000000-0005-0000-0000-0000D9010000}"/>
    <cellStyle name="40% - Accent2 2 2" xfId="459" xr:uid="{00000000-0005-0000-0000-0000DA010000}"/>
    <cellStyle name="40% - Accent2 2 2 10" xfId="460" xr:uid="{00000000-0005-0000-0000-0000DB010000}"/>
    <cellStyle name="40% - Accent2 2 2 2" xfId="461" xr:uid="{00000000-0005-0000-0000-0000DC010000}"/>
    <cellStyle name="40% - Accent2 2 2 2 2" xfId="462" xr:uid="{00000000-0005-0000-0000-0000DD010000}"/>
    <cellStyle name="40% - Accent2 2 2 3" xfId="463" xr:uid="{00000000-0005-0000-0000-0000DE010000}"/>
    <cellStyle name="40% - Accent2 2 2 4" xfId="464" xr:uid="{00000000-0005-0000-0000-0000DF010000}"/>
    <cellStyle name="40% - Accent2 2 2 5" xfId="465" xr:uid="{00000000-0005-0000-0000-0000E0010000}"/>
    <cellStyle name="40% - Accent2 2 2 6" xfId="466" xr:uid="{00000000-0005-0000-0000-0000E1010000}"/>
    <cellStyle name="40% - Accent2 2 2 7" xfId="467" xr:uid="{00000000-0005-0000-0000-0000E2010000}"/>
    <cellStyle name="40% - Accent2 2 2 8" xfId="468" xr:uid="{00000000-0005-0000-0000-0000E3010000}"/>
    <cellStyle name="40% - Accent2 2 2 9" xfId="469" xr:uid="{00000000-0005-0000-0000-0000E4010000}"/>
    <cellStyle name="40% - Accent2 2 3" xfId="470" xr:uid="{00000000-0005-0000-0000-0000E5010000}"/>
    <cellStyle name="40% - Accent2 2 3 2" xfId="471" xr:uid="{00000000-0005-0000-0000-0000E6010000}"/>
    <cellStyle name="40% - Accent2 2 4" xfId="472" xr:uid="{00000000-0005-0000-0000-0000E7010000}"/>
    <cellStyle name="40% - Accent2 2 4 2" xfId="473" xr:uid="{00000000-0005-0000-0000-0000E8010000}"/>
    <cellStyle name="40% - Accent2 2 5" xfId="474" xr:uid="{00000000-0005-0000-0000-0000E9010000}"/>
    <cellStyle name="40% - Accent2 2 6" xfId="475" xr:uid="{00000000-0005-0000-0000-0000EA010000}"/>
    <cellStyle name="40% - Accent2 2 7" xfId="476" xr:uid="{00000000-0005-0000-0000-0000EB010000}"/>
    <cellStyle name="40% - Accent2 2 8" xfId="477" xr:uid="{00000000-0005-0000-0000-0000EC010000}"/>
    <cellStyle name="40% - Accent2 2 9" xfId="478" xr:uid="{00000000-0005-0000-0000-0000ED010000}"/>
    <cellStyle name="40% - Accent2 3" xfId="479" xr:uid="{00000000-0005-0000-0000-0000EE010000}"/>
    <cellStyle name="40% - Accent2 3 10" xfId="480" xr:uid="{00000000-0005-0000-0000-0000EF010000}"/>
    <cellStyle name="40% - Accent2 3 2" xfId="481" xr:uid="{00000000-0005-0000-0000-0000F0010000}"/>
    <cellStyle name="40% - Accent2 3 3" xfId="482" xr:uid="{00000000-0005-0000-0000-0000F1010000}"/>
    <cellStyle name="40% - Accent2 3 4" xfId="483" xr:uid="{00000000-0005-0000-0000-0000F2010000}"/>
    <cellStyle name="40% - Accent2 3 5" xfId="484" xr:uid="{00000000-0005-0000-0000-0000F3010000}"/>
    <cellStyle name="40% - Accent2 3 6" xfId="485" xr:uid="{00000000-0005-0000-0000-0000F4010000}"/>
    <cellStyle name="40% - Accent2 3 7" xfId="486" xr:uid="{00000000-0005-0000-0000-0000F5010000}"/>
    <cellStyle name="40% - Accent2 3 8" xfId="487" xr:uid="{00000000-0005-0000-0000-0000F6010000}"/>
    <cellStyle name="40% - Accent2 3 9" xfId="488" xr:uid="{00000000-0005-0000-0000-0000F7010000}"/>
    <cellStyle name="40% - Accent2 4" xfId="489" xr:uid="{00000000-0005-0000-0000-0000F8010000}"/>
    <cellStyle name="40% - Accent2 4 10" xfId="490" xr:uid="{00000000-0005-0000-0000-0000F9010000}"/>
    <cellStyle name="40% - Accent2 4 2" xfId="491" xr:uid="{00000000-0005-0000-0000-0000FA010000}"/>
    <cellStyle name="40% - Accent2 4 3" xfId="492" xr:uid="{00000000-0005-0000-0000-0000FB010000}"/>
    <cellStyle name="40% - Accent2 4 4" xfId="493" xr:uid="{00000000-0005-0000-0000-0000FC010000}"/>
    <cellStyle name="40% - Accent2 4 5" xfId="494" xr:uid="{00000000-0005-0000-0000-0000FD010000}"/>
    <cellStyle name="40% - Accent2 4 6" xfId="495" xr:uid="{00000000-0005-0000-0000-0000FE010000}"/>
    <cellStyle name="40% - Accent2 4 7" xfId="496" xr:uid="{00000000-0005-0000-0000-0000FF010000}"/>
    <cellStyle name="40% - Accent2 4 8" xfId="497" xr:uid="{00000000-0005-0000-0000-000000020000}"/>
    <cellStyle name="40% - Accent2 4 9" xfId="498" xr:uid="{00000000-0005-0000-0000-000001020000}"/>
    <cellStyle name="40% - Accent2 5" xfId="499" xr:uid="{00000000-0005-0000-0000-000002020000}"/>
    <cellStyle name="40% - Accent2 5 10" xfId="500" xr:uid="{00000000-0005-0000-0000-000003020000}"/>
    <cellStyle name="40% - Accent2 5 2" xfId="501" xr:uid="{00000000-0005-0000-0000-000004020000}"/>
    <cellStyle name="40% - Accent2 5 3" xfId="502" xr:uid="{00000000-0005-0000-0000-000005020000}"/>
    <cellStyle name="40% - Accent2 5 4" xfId="503" xr:uid="{00000000-0005-0000-0000-000006020000}"/>
    <cellStyle name="40% - Accent2 5 5" xfId="504" xr:uid="{00000000-0005-0000-0000-000007020000}"/>
    <cellStyle name="40% - Accent2 5 6" xfId="505" xr:uid="{00000000-0005-0000-0000-000008020000}"/>
    <cellStyle name="40% - Accent2 5 7" xfId="506" xr:uid="{00000000-0005-0000-0000-000009020000}"/>
    <cellStyle name="40% - Accent2 5 8" xfId="507" xr:uid="{00000000-0005-0000-0000-00000A020000}"/>
    <cellStyle name="40% - Accent2 5 9" xfId="508" xr:uid="{00000000-0005-0000-0000-00000B020000}"/>
    <cellStyle name="40% - Accent2 6 2" xfId="509" xr:uid="{00000000-0005-0000-0000-00000C020000}"/>
    <cellStyle name="40% - Accent2 7 2" xfId="510" xr:uid="{00000000-0005-0000-0000-00000D020000}"/>
    <cellStyle name="40% - Accent2 8" xfId="511" xr:uid="{00000000-0005-0000-0000-00000E020000}"/>
    <cellStyle name="40% - Accent2 9" xfId="512" xr:uid="{00000000-0005-0000-0000-00000F020000}"/>
    <cellStyle name="40% - Accent3 10" xfId="513" xr:uid="{00000000-0005-0000-0000-000010020000}"/>
    <cellStyle name="40% - Accent3 11" xfId="514" xr:uid="{00000000-0005-0000-0000-000011020000}"/>
    <cellStyle name="40% - Accent3 12" xfId="515" xr:uid="{00000000-0005-0000-0000-000012020000}"/>
    <cellStyle name="40% - Accent3 13" xfId="516" xr:uid="{00000000-0005-0000-0000-000013020000}"/>
    <cellStyle name="40% - Accent3 14" xfId="517" xr:uid="{00000000-0005-0000-0000-000014020000}"/>
    <cellStyle name="40% - Accent3 2" xfId="518" xr:uid="{00000000-0005-0000-0000-000015020000}"/>
    <cellStyle name="40% - Accent3 2 10" xfId="519" xr:uid="{00000000-0005-0000-0000-000016020000}"/>
    <cellStyle name="40% - Accent3 2 11" xfId="520" xr:uid="{00000000-0005-0000-0000-000017020000}"/>
    <cellStyle name="40% - Accent3 2 12" xfId="521" xr:uid="{00000000-0005-0000-0000-000018020000}"/>
    <cellStyle name="40% - Accent3 2 13" xfId="522" xr:uid="{00000000-0005-0000-0000-000019020000}"/>
    <cellStyle name="40% - Accent3 2 13 2" xfId="5288" xr:uid="{00000000-0005-0000-0000-00001A020000}"/>
    <cellStyle name="40% - Accent3 2 13 3" xfId="6617" xr:uid="{00000000-0005-0000-0000-00001B020000}"/>
    <cellStyle name="40% - Accent3 2 2" xfId="523" xr:uid="{00000000-0005-0000-0000-00001C020000}"/>
    <cellStyle name="40% - Accent3 2 2 10" xfId="524" xr:uid="{00000000-0005-0000-0000-00001D020000}"/>
    <cellStyle name="40% - Accent3 2 2 2" xfId="525" xr:uid="{00000000-0005-0000-0000-00001E020000}"/>
    <cellStyle name="40% - Accent3 2 2 2 2" xfId="526" xr:uid="{00000000-0005-0000-0000-00001F020000}"/>
    <cellStyle name="40% - Accent3 2 2 3" xfId="527" xr:uid="{00000000-0005-0000-0000-000020020000}"/>
    <cellStyle name="40% - Accent3 2 2 4" xfId="528" xr:uid="{00000000-0005-0000-0000-000021020000}"/>
    <cellStyle name="40% - Accent3 2 2 5" xfId="529" xr:uid="{00000000-0005-0000-0000-000022020000}"/>
    <cellStyle name="40% - Accent3 2 2 6" xfId="530" xr:uid="{00000000-0005-0000-0000-000023020000}"/>
    <cellStyle name="40% - Accent3 2 2 7" xfId="531" xr:uid="{00000000-0005-0000-0000-000024020000}"/>
    <cellStyle name="40% - Accent3 2 2 8" xfId="532" xr:uid="{00000000-0005-0000-0000-000025020000}"/>
    <cellStyle name="40% - Accent3 2 2 9" xfId="533" xr:uid="{00000000-0005-0000-0000-000026020000}"/>
    <cellStyle name="40% - Accent3 2 3" xfId="534" xr:uid="{00000000-0005-0000-0000-000027020000}"/>
    <cellStyle name="40% - Accent3 2 3 2" xfId="535" xr:uid="{00000000-0005-0000-0000-000028020000}"/>
    <cellStyle name="40% - Accent3 2 4" xfId="536" xr:uid="{00000000-0005-0000-0000-000029020000}"/>
    <cellStyle name="40% - Accent3 2 4 2" xfId="537" xr:uid="{00000000-0005-0000-0000-00002A020000}"/>
    <cellStyle name="40% - Accent3 2 5" xfId="538" xr:uid="{00000000-0005-0000-0000-00002B020000}"/>
    <cellStyle name="40% - Accent3 2 6" xfId="539" xr:uid="{00000000-0005-0000-0000-00002C020000}"/>
    <cellStyle name="40% - Accent3 2 7" xfId="540" xr:uid="{00000000-0005-0000-0000-00002D020000}"/>
    <cellStyle name="40% - Accent3 2 8" xfId="541" xr:uid="{00000000-0005-0000-0000-00002E020000}"/>
    <cellStyle name="40% - Accent3 2 9" xfId="542" xr:uid="{00000000-0005-0000-0000-00002F020000}"/>
    <cellStyle name="40% - Accent3 3" xfId="543" xr:uid="{00000000-0005-0000-0000-000030020000}"/>
    <cellStyle name="40% - Accent3 3 10" xfId="544" xr:uid="{00000000-0005-0000-0000-000031020000}"/>
    <cellStyle name="40% - Accent3 3 2" xfId="545" xr:uid="{00000000-0005-0000-0000-000032020000}"/>
    <cellStyle name="40% - Accent3 3 3" xfId="546" xr:uid="{00000000-0005-0000-0000-000033020000}"/>
    <cellStyle name="40% - Accent3 3 4" xfId="547" xr:uid="{00000000-0005-0000-0000-000034020000}"/>
    <cellStyle name="40% - Accent3 3 5" xfId="548" xr:uid="{00000000-0005-0000-0000-000035020000}"/>
    <cellStyle name="40% - Accent3 3 6" xfId="549" xr:uid="{00000000-0005-0000-0000-000036020000}"/>
    <cellStyle name="40% - Accent3 3 7" xfId="550" xr:uid="{00000000-0005-0000-0000-000037020000}"/>
    <cellStyle name="40% - Accent3 3 8" xfId="551" xr:uid="{00000000-0005-0000-0000-000038020000}"/>
    <cellStyle name="40% - Accent3 3 9" xfId="552" xr:uid="{00000000-0005-0000-0000-000039020000}"/>
    <cellStyle name="40% - Accent3 4" xfId="553" xr:uid="{00000000-0005-0000-0000-00003A020000}"/>
    <cellStyle name="40% - Accent3 4 10" xfId="554" xr:uid="{00000000-0005-0000-0000-00003B020000}"/>
    <cellStyle name="40% - Accent3 4 2" xfId="555" xr:uid="{00000000-0005-0000-0000-00003C020000}"/>
    <cellStyle name="40% - Accent3 4 3" xfId="556" xr:uid="{00000000-0005-0000-0000-00003D020000}"/>
    <cellStyle name="40% - Accent3 4 4" xfId="557" xr:uid="{00000000-0005-0000-0000-00003E020000}"/>
    <cellStyle name="40% - Accent3 4 5" xfId="558" xr:uid="{00000000-0005-0000-0000-00003F020000}"/>
    <cellStyle name="40% - Accent3 4 6" xfId="559" xr:uid="{00000000-0005-0000-0000-000040020000}"/>
    <cellStyle name="40% - Accent3 4 7" xfId="560" xr:uid="{00000000-0005-0000-0000-000041020000}"/>
    <cellStyle name="40% - Accent3 4 8" xfId="561" xr:uid="{00000000-0005-0000-0000-000042020000}"/>
    <cellStyle name="40% - Accent3 4 9" xfId="562" xr:uid="{00000000-0005-0000-0000-000043020000}"/>
    <cellStyle name="40% - Accent3 5" xfId="563" xr:uid="{00000000-0005-0000-0000-000044020000}"/>
    <cellStyle name="40% - Accent3 5 10" xfId="564" xr:uid="{00000000-0005-0000-0000-000045020000}"/>
    <cellStyle name="40% - Accent3 5 2" xfId="565" xr:uid="{00000000-0005-0000-0000-000046020000}"/>
    <cellStyle name="40% - Accent3 5 3" xfId="566" xr:uid="{00000000-0005-0000-0000-000047020000}"/>
    <cellStyle name="40% - Accent3 5 4" xfId="567" xr:uid="{00000000-0005-0000-0000-000048020000}"/>
    <cellStyle name="40% - Accent3 5 5" xfId="568" xr:uid="{00000000-0005-0000-0000-000049020000}"/>
    <cellStyle name="40% - Accent3 5 6" xfId="569" xr:uid="{00000000-0005-0000-0000-00004A020000}"/>
    <cellStyle name="40% - Accent3 5 7" xfId="570" xr:uid="{00000000-0005-0000-0000-00004B020000}"/>
    <cellStyle name="40% - Accent3 5 8" xfId="571" xr:uid="{00000000-0005-0000-0000-00004C020000}"/>
    <cellStyle name="40% - Accent3 5 9" xfId="572" xr:uid="{00000000-0005-0000-0000-00004D020000}"/>
    <cellStyle name="40% - Accent3 6 2" xfId="573" xr:uid="{00000000-0005-0000-0000-00004E020000}"/>
    <cellStyle name="40% - Accent3 7 2" xfId="574" xr:uid="{00000000-0005-0000-0000-00004F020000}"/>
    <cellStyle name="40% - Accent3 8" xfId="575" xr:uid="{00000000-0005-0000-0000-000050020000}"/>
    <cellStyle name="40% - Accent3 9" xfId="576" xr:uid="{00000000-0005-0000-0000-000051020000}"/>
    <cellStyle name="40% - Accent4 10" xfId="577" xr:uid="{00000000-0005-0000-0000-000052020000}"/>
    <cellStyle name="40% - Accent4 11" xfId="578" xr:uid="{00000000-0005-0000-0000-000053020000}"/>
    <cellStyle name="40% - Accent4 12" xfId="579" xr:uid="{00000000-0005-0000-0000-000054020000}"/>
    <cellStyle name="40% - Accent4 13" xfId="580" xr:uid="{00000000-0005-0000-0000-000055020000}"/>
    <cellStyle name="40% - Accent4 14" xfId="581" xr:uid="{00000000-0005-0000-0000-000056020000}"/>
    <cellStyle name="40% - Accent4 2" xfId="582" xr:uid="{00000000-0005-0000-0000-000057020000}"/>
    <cellStyle name="40% - Accent4 2 10" xfId="583" xr:uid="{00000000-0005-0000-0000-000058020000}"/>
    <cellStyle name="40% - Accent4 2 11" xfId="584" xr:uid="{00000000-0005-0000-0000-000059020000}"/>
    <cellStyle name="40% - Accent4 2 12" xfId="585" xr:uid="{00000000-0005-0000-0000-00005A020000}"/>
    <cellStyle name="40% - Accent4 2 13" xfId="586" xr:uid="{00000000-0005-0000-0000-00005B020000}"/>
    <cellStyle name="40% - Accent4 2 13 2" xfId="5289" xr:uid="{00000000-0005-0000-0000-00005C020000}"/>
    <cellStyle name="40% - Accent4 2 13 3" xfId="6618" xr:uid="{00000000-0005-0000-0000-00005D020000}"/>
    <cellStyle name="40% - Accent4 2 2" xfId="587" xr:uid="{00000000-0005-0000-0000-00005E020000}"/>
    <cellStyle name="40% - Accent4 2 2 10" xfId="588" xr:uid="{00000000-0005-0000-0000-00005F020000}"/>
    <cellStyle name="40% - Accent4 2 2 2" xfId="589" xr:uid="{00000000-0005-0000-0000-000060020000}"/>
    <cellStyle name="40% - Accent4 2 2 2 2" xfId="590" xr:uid="{00000000-0005-0000-0000-000061020000}"/>
    <cellStyle name="40% - Accent4 2 2 3" xfId="591" xr:uid="{00000000-0005-0000-0000-000062020000}"/>
    <cellStyle name="40% - Accent4 2 2 4" xfId="592" xr:uid="{00000000-0005-0000-0000-000063020000}"/>
    <cellStyle name="40% - Accent4 2 2 5" xfId="593" xr:uid="{00000000-0005-0000-0000-000064020000}"/>
    <cellStyle name="40% - Accent4 2 2 6" xfId="594" xr:uid="{00000000-0005-0000-0000-000065020000}"/>
    <cellStyle name="40% - Accent4 2 2 7" xfId="595" xr:uid="{00000000-0005-0000-0000-000066020000}"/>
    <cellStyle name="40% - Accent4 2 2 8" xfId="596" xr:uid="{00000000-0005-0000-0000-000067020000}"/>
    <cellStyle name="40% - Accent4 2 2 9" xfId="597" xr:uid="{00000000-0005-0000-0000-000068020000}"/>
    <cellStyle name="40% - Accent4 2 3" xfId="598" xr:uid="{00000000-0005-0000-0000-000069020000}"/>
    <cellStyle name="40% - Accent4 2 3 2" xfId="599" xr:uid="{00000000-0005-0000-0000-00006A020000}"/>
    <cellStyle name="40% - Accent4 2 4" xfId="600" xr:uid="{00000000-0005-0000-0000-00006B020000}"/>
    <cellStyle name="40% - Accent4 2 4 2" xfId="601" xr:uid="{00000000-0005-0000-0000-00006C020000}"/>
    <cellStyle name="40% - Accent4 2 5" xfId="602" xr:uid="{00000000-0005-0000-0000-00006D020000}"/>
    <cellStyle name="40% - Accent4 2 6" xfId="603" xr:uid="{00000000-0005-0000-0000-00006E020000}"/>
    <cellStyle name="40% - Accent4 2 7" xfId="604" xr:uid="{00000000-0005-0000-0000-00006F020000}"/>
    <cellStyle name="40% - Accent4 2 8" xfId="605" xr:uid="{00000000-0005-0000-0000-000070020000}"/>
    <cellStyle name="40% - Accent4 2 9" xfId="606" xr:uid="{00000000-0005-0000-0000-000071020000}"/>
    <cellStyle name="40% - Accent4 3" xfId="607" xr:uid="{00000000-0005-0000-0000-000072020000}"/>
    <cellStyle name="40% - Accent4 3 10" xfId="608" xr:uid="{00000000-0005-0000-0000-000073020000}"/>
    <cellStyle name="40% - Accent4 3 2" xfId="609" xr:uid="{00000000-0005-0000-0000-000074020000}"/>
    <cellStyle name="40% - Accent4 3 3" xfId="610" xr:uid="{00000000-0005-0000-0000-000075020000}"/>
    <cellStyle name="40% - Accent4 3 4" xfId="611" xr:uid="{00000000-0005-0000-0000-000076020000}"/>
    <cellStyle name="40% - Accent4 3 5" xfId="612" xr:uid="{00000000-0005-0000-0000-000077020000}"/>
    <cellStyle name="40% - Accent4 3 6" xfId="613" xr:uid="{00000000-0005-0000-0000-000078020000}"/>
    <cellStyle name="40% - Accent4 3 7" xfId="614" xr:uid="{00000000-0005-0000-0000-000079020000}"/>
    <cellStyle name="40% - Accent4 3 8" xfId="615" xr:uid="{00000000-0005-0000-0000-00007A020000}"/>
    <cellStyle name="40% - Accent4 3 9" xfId="616" xr:uid="{00000000-0005-0000-0000-00007B020000}"/>
    <cellStyle name="40% - Accent4 4" xfId="617" xr:uid="{00000000-0005-0000-0000-00007C020000}"/>
    <cellStyle name="40% - Accent4 4 10" xfId="618" xr:uid="{00000000-0005-0000-0000-00007D020000}"/>
    <cellStyle name="40% - Accent4 4 2" xfId="619" xr:uid="{00000000-0005-0000-0000-00007E020000}"/>
    <cellStyle name="40% - Accent4 4 3" xfId="620" xr:uid="{00000000-0005-0000-0000-00007F020000}"/>
    <cellStyle name="40% - Accent4 4 4" xfId="621" xr:uid="{00000000-0005-0000-0000-000080020000}"/>
    <cellStyle name="40% - Accent4 4 5" xfId="622" xr:uid="{00000000-0005-0000-0000-000081020000}"/>
    <cellStyle name="40% - Accent4 4 6" xfId="623" xr:uid="{00000000-0005-0000-0000-000082020000}"/>
    <cellStyle name="40% - Accent4 4 7" xfId="624" xr:uid="{00000000-0005-0000-0000-000083020000}"/>
    <cellStyle name="40% - Accent4 4 8" xfId="625" xr:uid="{00000000-0005-0000-0000-000084020000}"/>
    <cellStyle name="40% - Accent4 4 9" xfId="626" xr:uid="{00000000-0005-0000-0000-000085020000}"/>
    <cellStyle name="40% - Accent4 5" xfId="627" xr:uid="{00000000-0005-0000-0000-000086020000}"/>
    <cellStyle name="40% - Accent4 5 10" xfId="628" xr:uid="{00000000-0005-0000-0000-000087020000}"/>
    <cellStyle name="40% - Accent4 5 2" xfId="629" xr:uid="{00000000-0005-0000-0000-000088020000}"/>
    <cellStyle name="40% - Accent4 5 3" xfId="630" xr:uid="{00000000-0005-0000-0000-000089020000}"/>
    <cellStyle name="40% - Accent4 5 4" xfId="631" xr:uid="{00000000-0005-0000-0000-00008A020000}"/>
    <cellStyle name="40% - Accent4 5 5" xfId="632" xr:uid="{00000000-0005-0000-0000-00008B020000}"/>
    <cellStyle name="40% - Accent4 5 6" xfId="633" xr:uid="{00000000-0005-0000-0000-00008C020000}"/>
    <cellStyle name="40% - Accent4 5 7" xfId="634" xr:uid="{00000000-0005-0000-0000-00008D020000}"/>
    <cellStyle name="40% - Accent4 5 8" xfId="635" xr:uid="{00000000-0005-0000-0000-00008E020000}"/>
    <cellStyle name="40% - Accent4 5 9" xfId="636" xr:uid="{00000000-0005-0000-0000-00008F020000}"/>
    <cellStyle name="40% - Accent4 6 2" xfId="637" xr:uid="{00000000-0005-0000-0000-000090020000}"/>
    <cellStyle name="40% - Accent4 7 2" xfId="638" xr:uid="{00000000-0005-0000-0000-000091020000}"/>
    <cellStyle name="40% - Accent4 8" xfId="639" xr:uid="{00000000-0005-0000-0000-000092020000}"/>
    <cellStyle name="40% - Accent4 9" xfId="640" xr:uid="{00000000-0005-0000-0000-000093020000}"/>
    <cellStyle name="40% - Accent5 10" xfId="641" xr:uid="{00000000-0005-0000-0000-000094020000}"/>
    <cellStyle name="40% - Accent5 11" xfId="642" xr:uid="{00000000-0005-0000-0000-000095020000}"/>
    <cellStyle name="40% - Accent5 12" xfId="643" xr:uid="{00000000-0005-0000-0000-000096020000}"/>
    <cellStyle name="40% - Accent5 13" xfId="644" xr:uid="{00000000-0005-0000-0000-000097020000}"/>
    <cellStyle name="40% - Accent5 14" xfId="645" xr:uid="{00000000-0005-0000-0000-000098020000}"/>
    <cellStyle name="40% - Accent5 2" xfId="646" xr:uid="{00000000-0005-0000-0000-000099020000}"/>
    <cellStyle name="40% - Accent5 2 10" xfId="647" xr:uid="{00000000-0005-0000-0000-00009A020000}"/>
    <cellStyle name="40% - Accent5 2 11" xfId="648" xr:uid="{00000000-0005-0000-0000-00009B020000}"/>
    <cellStyle name="40% - Accent5 2 12" xfId="649" xr:uid="{00000000-0005-0000-0000-00009C020000}"/>
    <cellStyle name="40% - Accent5 2 13" xfId="650" xr:uid="{00000000-0005-0000-0000-00009D020000}"/>
    <cellStyle name="40% - Accent5 2 13 2" xfId="5290" xr:uid="{00000000-0005-0000-0000-00009E020000}"/>
    <cellStyle name="40% - Accent5 2 13 3" xfId="6619" xr:uid="{00000000-0005-0000-0000-00009F020000}"/>
    <cellStyle name="40% - Accent5 2 2" xfId="651" xr:uid="{00000000-0005-0000-0000-0000A0020000}"/>
    <cellStyle name="40% - Accent5 2 2 10" xfId="652" xr:uid="{00000000-0005-0000-0000-0000A1020000}"/>
    <cellStyle name="40% - Accent5 2 2 2" xfId="653" xr:uid="{00000000-0005-0000-0000-0000A2020000}"/>
    <cellStyle name="40% - Accent5 2 2 2 2" xfId="654" xr:uid="{00000000-0005-0000-0000-0000A3020000}"/>
    <cellStyle name="40% - Accent5 2 2 3" xfId="655" xr:uid="{00000000-0005-0000-0000-0000A4020000}"/>
    <cellStyle name="40% - Accent5 2 2 4" xfId="656" xr:uid="{00000000-0005-0000-0000-0000A5020000}"/>
    <cellStyle name="40% - Accent5 2 2 5" xfId="657" xr:uid="{00000000-0005-0000-0000-0000A6020000}"/>
    <cellStyle name="40% - Accent5 2 2 6" xfId="658" xr:uid="{00000000-0005-0000-0000-0000A7020000}"/>
    <cellStyle name="40% - Accent5 2 2 7" xfId="659" xr:uid="{00000000-0005-0000-0000-0000A8020000}"/>
    <cellStyle name="40% - Accent5 2 2 8" xfId="660" xr:uid="{00000000-0005-0000-0000-0000A9020000}"/>
    <cellStyle name="40% - Accent5 2 2 9" xfId="661" xr:uid="{00000000-0005-0000-0000-0000AA020000}"/>
    <cellStyle name="40% - Accent5 2 3" xfId="662" xr:uid="{00000000-0005-0000-0000-0000AB020000}"/>
    <cellStyle name="40% - Accent5 2 3 2" xfId="663" xr:uid="{00000000-0005-0000-0000-0000AC020000}"/>
    <cellStyle name="40% - Accent5 2 4" xfId="664" xr:uid="{00000000-0005-0000-0000-0000AD020000}"/>
    <cellStyle name="40% - Accent5 2 4 2" xfId="665" xr:uid="{00000000-0005-0000-0000-0000AE020000}"/>
    <cellStyle name="40% - Accent5 2 5" xfId="666" xr:uid="{00000000-0005-0000-0000-0000AF020000}"/>
    <cellStyle name="40% - Accent5 2 6" xfId="667" xr:uid="{00000000-0005-0000-0000-0000B0020000}"/>
    <cellStyle name="40% - Accent5 2 7" xfId="668" xr:uid="{00000000-0005-0000-0000-0000B1020000}"/>
    <cellStyle name="40% - Accent5 2 8" xfId="669" xr:uid="{00000000-0005-0000-0000-0000B2020000}"/>
    <cellStyle name="40% - Accent5 2 9" xfId="670" xr:uid="{00000000-0005-0000-0000-0000B3020000}"/>
    <cellStyle name="40% - Accent5 3" xfId="671" xr:uid="{00000000-0005-0000-0000-0000B4020000}"/>
    <cellStyle name="40% - Accent5 3 10" xfId="672" xr:uid="{00000000-0005-0000-0000-0000B5020000}"/>
    <cellStyle name="40% - Accent5 3 2" xfId="673" xr:uid="{00000000-0005-0000-0000-0000B6020000}"/>
    <cellStyle name="40% - Accent5 3 3" xfId="674" xr:uid="{00000000-0005-0000-0000-0000B7020000}"/>
    <cellStyle name="40% - Accent5 3 4" xfId="675" xr:uid="{00000000-0005-0000-0000-0000B8020000}"/>
    <cellStyle name="40% - Accent5 3 5" xfId="676" xr:uid="{00000000-0005-0000-0000-0000B9020000}"/>
    <cellStyle name="40% - Accent5 3 6" xfId="677" xr:uid="{00000000-0005-0000-0000-0000BA020000}"/>
    <cellStyle name="40% - Accent5 3 7" xfId="678" xr:uid="{00000000-0005-0000-0000-0000BB020000}"/>
    <cellStyle name="40% - Accent5 3 8" xfId="679" xr:uid="{00000000-0005-0000-0000-0000BC020000}"/>
    <cellStyle name="40% - Accent5 3 9" xfId="680" xr:uid="{00000000-0005-0000-0000-0000BD020000}"/>
    <cellStyle name="40% - Accent5 4" xfId="681" xr:uid="{00000000-0005-0000-0000-0000BE020000}"/>
    <cellStyle name="40% - Accent5 4 10" xfId="682" xr:uid="{00000000-0005-0000-0000-0000BF020000}"/>
    <cellStyle name="40% - Accent5 4 2" xfId="683" xr:uid="{00000000-0005-0000-0000-0000C0020000}"/>
    <cellStyle name="40% - Accent5 4 3" xfId="684" xr:uid="{00000000-0005-0000-0000-0000C1020000}"/>
    <cellStyle name="40% - Accent5 4 4" xfId="685" xr:uid="{00000000-0005-0000-0000-0000C2020000}"/>
    <cellStyle name="40% - Accent5 4 5" xfId="686" xr:uid="{00000000-0005-0000-0000-0000C3020000}"/>
    <cellStyle name="40% - Accent5 4 6" xfId="687" xr:uid="{00000000-0005-0000-0000-0000C4020000}"/>
    <cellStyle name="40% - Accent5 4 7" xfId="688" xr:uid="{00000000-0005-0000-0000-0000C5020000}"/>
    <cellStyle name="40% - Accent5 4 8" xfId="689" xr:uid="{00000000-0005-0000-0000-0000C6020000}"/>
    <cellStyle name="40% - Accent5 4 9" xfId="690" xr:uid="{00000000-0005-0000-0000-0000C7020000}"/>
    <cellStyle name="40% - Accent5 5" xfId="691" xr:uid="{00000000-0005-0000-0000-0000C8020000}"/>
    <cellStyle name="40% - Accent5 5 10" xfId="692" xr:uid="{00000000-0005-0000-0000-0000C9020000}"/>
    <cellStyle name="40% - Accent5 5 2" xfId="693" xr:uid="{00000000-0005-0000-0000-0000CA020000}"/>
    <cellStyle name="40% - Accent5 5 3" xfId="694" xr:uid="{00000000-0005-0000-0000-0000CB020000}"/>
    <cellStyle name="40% - Accent5 5 4" xfId="695" xr:uid="{00000000-0005-0000-0000-0000CC020000}"/>
    <cellStyle name="40% - Accent5 5 5" xfId="696" xr:uid="{00000000-0005-0000-0000-0000CD020000}"/>
    <cellStyle name="40% - Accent5 5 6" xfId="697" xr:uid="{00000000-0005-0000-0000-0000CE020000}"/>
    <cellStyle name="40% - Accent5 5 7" xfId="698" xr:uid="{00000000-0005-0000-0000-0000CF020000}"/>
    <cellStyle name="40% - Accent5 5 8" xfId="699" xr:uid="{00000000-0005-0000-0000-0000D0020000}"/>
    <cellStyle name="40% - Accent5 5 9" xfId="700" xr:uid="{00000000-0005-0000-0000-0000D1020000}"/>
    <cellStyle name="40% - Accent5 6 2" xfId="701" xr:uid="{00000000-0005-0000-0000-0000D2020000}"/>
    <cellStyle name="40% - Accent5 7 2" xfId="702" xr:uid="{00000000-0005-0000-0000-0000D3020000}"/>
    <cellStyle name="40% - Accent5 8" xfId="703" xr:uid="{00000000-0005-0000-0000-0000D4020000}"/>
    <cellStyle name="40% - Accent5 9" xfId="704" xr:uid="{00000000-0005-0000-0000-0000D5020000}"/>
    <cellStyle name="40% - Accent6 10" xfId="705" xr:uid="{00000000-0005-0000-0000-0000D6020000}"/>
    <cellStyle name="40% - Accent6 11" xfId="706" xr:uid="{00000000-0005-0000-0000-0000D7020000}"/>
    <cellStyle name="40% - Accent6 12" xfId="707" xr:uid="{00000000-0005-0000-0000-0000D8020000}"/>
    <cellStyle name="40% - Accent6 13" xfId="708" xr:uid="{00000000-0005-0000-0000-0000D9020000}"/>
    <cellStyle name="40% - Accent6 14" xfId="709" xr:uid="{00000000-0005-0000-0000-0000DA020000}"/>
    <cellStyle name="40% - Accent6 2" xfId="710" xr:uid="{00000000-0005-0000-0000-0000DB020000}"/>
    <cellStyle name="40% - Accent6 2 10" xfId="711" xr:uid="{00000000-0005-0000-0000-0000DC020000}"/>
    <cellStyle name="40% - Accent6 2 11" xfId="712" xr:uid="{00000000-0005-0000-0000-0000DD020000}"/>
    <cellStyle name="40% - Accent6 2 12" xfId="713" xr:uid="{00000000-0005-0000-0000-0000DE020000}"/>
    <cellStyle name="40% - Accent6 2 13" xfId="714" xr:uid="{00000000-0005-0000-0000-0000DF020000}"/>
    <cellStyle name="40% - Accent6 2 13 2" xfId="5291" xr:uid="{00000000-0005-0000-0000-0000E0020000}"/>
    <cellStyle name="40% - Accent6 2 13 3" xfId="6620" xr:uid="{00000000-0005-0000-0000-0000E1020000}"/>
    <cellStyle name="40% - Accent6 2 2" xfId="715" xr:uid="{00000000-0005-0000-0000-0000E2020000}"/>
    <cellStyle name="40% - Accent6 2 2 10" xfId="716" xr:uid="{00000000-0005-0000-0000-0000E3020000}"/>
    <cellStyle name="40% - Accent6 2 2 2" xfId="717" xr:uid="{00000000-0005-0000-0000-0000E4020000}"/>
    <cellStyle name="40% - Accent6 2 2 2 2" xfId="718" xr:uid="{00000000-0005-0000-0000-0000E5020000}"/>
    <cellStyle name="40% - Accent6 2 2 3" xfId="719" xr:uid="{00000000-0005-0000-0000-0000E6020000}"/>
    <cellStyle name="40% - Accent6 2 2 4" xfId="720" xr:uid="{00000000-0005-0000-0000-0000E7020000}"/>
    <cellStyle name="40% - Accent6 2 2 5" xfId="721" xr:uid="{00000000-0005-0000-0000-0000E8020000}"/>
    <cellStyle name="40% - Accent6 2 2 6" xfId="722" xr:uid="{00000000-0005-0000-0000-0000E9020000}"/>
    <cellStyle name="40% - Accent6 2 2 7" xfId="723" xr:uid="{00000000-0005-0000-0000-0000EA020000}"/>
    <cellStyle name="40% - Accent6 2 2 8" xfId="724" xr:uid="{00000000-0005-0000-0000-0000EB020000}"/>
    <cellStyle name="40% - Accent6 2 2 9" xfId="725" xr:uid="{00000000-0005-0000-0000-0000EC020000}"/>
    <cellStyle name="40% - Accent6 2 3" xfId="726" xr:uid="{00000000-0005-0000-0000-0000ED020000}"/>
    <cellStyle name="40% - Accent6 2 3 2" xfId="727" xr:uid="{00000000-0005-0000-0000-0000EE020000}"/>
    <cellStyle name="40% - Accent6 2 4" xfId="728" xr:uid="{00000000-0005-0000-0000-0000EF020000}"/>
    <cellStyle name="40% - Accent6 2 4 2" xfId="729" xr:uid="{00000000-0005-0000-0000-0000F0020000}"/>
    <cellStyle name="40% - Accent6 2 5" xfId="730" xr:uid="{00000000-0005-0000-0000-0000F1020000}"/>
    <cellStyle name="40% - Accent6 2 6" xfId="731" xr:uid="{00000000-0005-0000-0000-0000F2020000}"/>
    <cellStyle name="40% - Accent6 2 7" xfId="732" xr:uid="{00000000-0005-0000-0000-0000F3020000}"/>
    <cellStyle name="40% - Accent6 2 8" xfId="733" xr:uid="{00000000-0005-0000-0000-0000F4020000}"/>
    <cellStyle name="40% - Accent6 2 9" xfId="734" xr:uid="{00000000-0005-0000-0000-0000F5020000}"/>
    <cellStyle name="40% - Accent6 3" xfId="735" xr:uid="{00000000-0005-0000-0000-0000F6020000}"/>
    <cellStyle name="40% - Accent6 3 10" xfId="736" xr:uid="{00000000-0005-0000-0000-0000F7020000}"/>
    <cellStyle name="40% - Accent6 3 2" xfId="737" xr:uid="{00000000-0005-0000-0000-0000F8020000}"/>
    <cellStyle name="40% - Accent6 3 3" xfId="738" xr:uid="{00000000-0005-0000-0000-0000F9020000}"/>
    <cellStyle name="40% - Accent6 3 4" xfId="739" xr:uid="{00000000-0005-0000-0000-0000FA020000}"/>
    <cellStyle name="40% - Accent6 3 5" xfId="740" xr:uid="{00000000-0005-0000-0000-0000FB020000}"/>
    <cellStyle name="40% - Accent6 3 6" xfId="741" xr:uid="{00000000-0005-0000-0000-0000FC020000}"/>
    <cellStyle name="40% - Accent6 3 7" xfId="742" xr:uid="{00000000-0005-0000-0000-0000FD020000}"/>
    <cellStyle name="40% - Accent6 3 8" xfId="743" xr:uid="{00000000-0005-0000-0000-0000FE020000}"/>
    <cellStyle name="40% - Accent6 3 9" xfId="744" xr:uid="{00000000-0005-0000-0000-0000FF020000}"/>
    <cellStyle name="40% - Accent6 4" xfId="745" xr:uid="{00000000-0005-0000-0000-000000030000}"/>
    <cellStyle name="40% - Accent6 4 10" xfId="746" xr:uid="{00000000-0005-0000-0000-000001030000}"/>
    <cellStyle name="40% - Accent6 4 2" xfId="747" xr:uid="{00000000-0005-0000-0000-000002030000}"/>
    <cellStyle name="40% - Accent6 4 3" xfId="748" xr:uid="{00000000-0005-0000-0000-000003030000}"/>
    <cellStyle name="40% - Accent6 4 4" xfId="749" xr:uid="{00000000-0005-0000-0000-000004030000}"/>
    <cellStyle name="40% - Accent6 4 5" xfId="750" xr:uid="{00000000-0005-0000-0000-000005030000}"/>
    <cellStyle name="40% - Accent6 4 6" xfId="751" xr:uid="{00000000-0005-0000-0000-000006030000}"/>
    <cellStyle name="40% - Accent6 4 7" xfId="752" xr:uid="{00000000-0005-0000-0000-000007030000}"/>
    <cellStyle name="40% - Accent6 4 8" xfId="753" xr:uid="{00000000-0005-0000-0000-000008030000}"/>
    <cellStyle name="40% - Accent6 4 9" xfId="754" xr:uid="{00000000-0005-0000-0000-000009030000}"/>
    <cellStyle name="40% - Accent6 5" xfId="755" xr:uid="{00000000-0005-0000-0000-00000A030000}"/>
    <cellStyle name="40% - Accent6 5 10" xfId="756" xr:uid="{00000000-0005-0000-0000-00000B030000}"/>
    <cellStyle name="40% - Accent6 5 2" xfId="757" xr:uid="{00000000-0005-0000-0000-00000C030000}"/>
    <cellStyle name="40% - Accent6 5 3" xfId="758" xr:uid="{00000000-0005-0000-0000-00000D030000}"/>
    <cellStyle name="40% - Accent6 5 4" xfId="759" xr:uid="{00000000-0005-0000-0000-00000E030000}"/>
    <cellStyle name="40% - Accent6 5 5" xfId="760" xr:uid="{00000000-0005-0000-0000-00000F030000}"/>
    <cellStyle name="40% - Accent6 5 6" xfId="761" xr:uid="{00000000-0005-0000-0000-000010030000}"/>
    <cellStyle name="40% - Accent6 5 7" xfId="762" xr:uid="{00000000-0005-0000-0000-000011030000}"/>
    <cellStyle name="40% - Accent6 5 8" xfId="763" xr:uid="{00000000-0005-0000-0000-000012030000}"/>
    <cellStyle name="40% - Accent6 5 9" xfId="764" xr:uid="{00000000-0005-0000-0000-000013030000}"/>
    <cellStyle name="40% - Accent6 6 2" xfId="765" xr:uid="{00000000-0005-0000-0000-000014030000}"/>
    <cellStyle name="40% - Accent6 7 2" xfId="766" xr:uid="{00000000-0005-0000-0000-000015030000}"/>
    <cellStyle name="40% - Accent6 8" xfId="767" xr:uid="{00000000-0005-0000-0000-000016030000}"/>
    <cellStyle name="40% - Accent6 9" xfId="768" xr:uid="{00000000-0005-0000-0000-000017030000}"/>
    <cellStyle name="60% - Accent1 10" xfId="769" xr:uid="{00000000-0005-0000-0000-000018030000}"/>
    <cellStyle name="60% - Accent1 11" xfId="770" xr:uid="{00000000-0005-0000-0000-000019030000}"/>
    <cellStyle name="60% - Accent1 12" xfId="771" xr:uid="{00000000-0005-0000-0000-00001A030000}"/>
    <cellStyle name="60% - Accent1 13" xfId="772" xr:uid="{00000000-0005-0000-0000-00001B030000}"/>
    <cellStyle name="60% - Accent1 14" xfId="773" xr:uid="{00000000-0005-0000-0000-00001C030000}"/>
    <cellStyle name="60% - Accent1 2" xfId="774" xr:uid="{00000000-0005-0000-0000-00001D030000}"/>
    <cellStyle name="60% - Accent1 2 10" xfId="775" xr:uid="{00000000-0005-0000-0000-00001E030000}"/>
    <cellStyle name="60% - Accent1 2 11" xfId="776" xr:uid="{00000000-0005-0000-0000-00001F030000}"/>
    <cellStyle name="60% - Accent1 2 12" xfId="777" xr:uid="{00000000-0005-0000-0000-000020030000}"/>
    <cellStyle name="60% - Accent1 2 13" xfId="778" xr:uid="{00000000-0005-0000-0000-000021030000}"/>
    <cellStyle name="60% - Accent1 2 2" xfId="779" xr:uid="{00000000-0005-0000-0000-000022030000}"/>
    <cellStyle name="60% - Accent1 2 2 10" xfId="780" xr:uid="{00000000-0005-0000-0000-000023030000}"/>
    <cellStyle name="60% - Accent1 2 2 2" xfId="781" xr:uid="{00000000-0005-0000-0000-000024030000}"/>
    <cellStyle name="60% - Accent1 2 2 2 2" xfId="782" xr:uid="{00000000-0005-0000-0000-000025030000}"/>
    <cellStyle name="60% - Accent1 2 2 3" xfId="783" xr:uid="{00000000-0005-0000-0000-000026030000}"/>
    <cellStyle name="60% - Accent1 2 2 4" xfId="784" xr:uid="{00000000-0005-0000-0000-000027030000}"/>
    <cellStyle name="60% - Accent1 2 2 5" xfId="785" xr:uid="{00000000-0005-0000-0000-000028030000}"/>
    <cellStyle name="60% - Accent1 2 2 6" xfId="786" xr:uid="{00000000-0005-0000-0000-000029030000}"/>
    <cellStyle name="60% - Accent1 2 2 7" xfId="787" xr:uid="{00000000-0005-0000-0000-00002A030000}"/>
    <cellStyle name="60% - Accent1 2 2 8" xfId="788" xr:uid="{00000000-0005-0000-0000-00002B030000}"/>
    <cellStyle name="60% - Accent1 2 2 9" xfId="789" xr:uid="{00000000-0005-0000-0000-00002C030000}"/>
    <cellStyle name="60% - Accent1 2 3" xfId="790" xr:uid="{00000000-0005-0000-0000-00002D030000}"/>
    <cellStyle name="60% - Accent1 2 3 2" xfId="791" xr:uid="{00000000-0005-0000-0000-00002E030000}"/>
    <cellStyle name="60% - Accent1 2 4" xfId="792" xr:uid="{00000000-0005-0000-0000-00002F030000}"/>
    <cellStyle name="60% - Accent1 2 4 2" xfId="793" xr:uid="{00000000-0005-0000-0000-000030030000}"/>
    <cellStyle name="60% - Accent1 2 5" xfId="794" xr:uid="{00000000-0005-0000-0000-000031030000}"/>
    <cellStyle name="60% - Accent1 2 6" xfId="795" xr:uid="{00000000-0005-0000-0000-000032030000}"/>
    <cellStyle name="60% - Accent1 2 7" xfId="796" xr:uid="{00000000-0005-0000-0000-000033030000}"/>
    <cellStyle name="60% - Accent1 2 8" xfId="797" xr:uid="{00000000-0005-0000-0000-000034030000}"/>
    <cellStyle name="60% - Accent1 2 9" xfId="798" xr:uid="{00000000-0005-0000-0000-000035030000}"/>
    <cellStyle name="60% - Accent1 3" xfId="799" xr:uid="{00000000-0005-0000-0000-000036030000}"/>
    <cellStyle name="60% - Accent1 3 10" xfId="800" xr:uid="{00000000-0005-0000-0000-000037030000}"/>
    <cellStyle name="60% - Accent1 3 2" xfId="801" xr:uid="{00000000-0005-0000-0000-000038030000}"/>
    <cellStyle name="60% - Accent1 3 3" xfId="802" xr:uid="{00000000-0005-0000-0000-000039030000}"/>
    <cellStyle name="60% - Accent1 3 4" xfId="803" xr:uid="{00000000-0005-0000-0000-00003A030000}"/>
    <cellStyle name="60% - Accent1 3 5" xfId="804" xr:uid="{00000000-0005-0000-0000-00003B030000}"/>
    <cellStyle name="60% - Accent1 3 6" xfId="805" xr:uid="{00000000-0005-0000-0000-00003C030000}"/>
    <cellStyle name="60% - Accent1 3 7" xfId="806" xr:uid="{00000000-0005-0000-0000-00003D030000}"/>
    <cellStyle name="60% - Accent1 3 8" xfId="807" xr:uid="{00000000-0005-0000-0000-00003E030000}"/>
    <cellStyle name="60% - Accent1 3 9" xfId="808" xr:uid="{00000000-0005-0000-0000-00003F030000}"/>
    <cellStyle name="60% - Accent1 4" xfId="809" xr:uid="{00000000-0005-0000-0000-000040030000}"/>
    <cellStyle name="60% - Accent1 4 10" xfId="810" xr:uid="{00000000-0005-0000-0000-000041030000}"/>
    <cellStyle name="60% - Accent1 4 2" xfId="811" xr:uid="{00000000-0005-0000-0000-000042030000}"/>
    <cellStyle name="60% - Accent1 4 3" xfId="812" xr:uid="{00000000-0005-0000-0000-000043030000}"/>
    <cellStyle name="60% - Accent1 4 4" xfId="813" xr:uid="{00000000-0005-0000-0000-000044030000}"/>
    <cellStyle name="60% - Accent1 4 5" xfId="814" xr:uid="{00000000-0005-0000-0000-000045030000}"/>
    <cellStyle name="60% - Accent1 4 6" xfId="815" xr:uid="{00000000-0005-0000-0000-000046030000}"/>
    <cellStyle name="60% - Accent1 4 7" xfId="816" xr:uid="{00000000-0005-0000-0000-000047030000}"/>
    <cellStyle name="60% - Accent1 4 8" xfId="817" xr:uid="{00000000-0005-0000-0000-000048030000}"/>
    <cellStyle name="60% - Accent1 4 9" xfId="818" xr:uid="{00000000-0005-0000-0000-000049030000}"/>
    <cellStyle name="60% - Accent1 5" xfId="819" xr:uid="{00000000-0005-0000-0000-00004A030000}"/>
    <cellStyle name="60% - Accent1 5 10" xfId="820" xr:uid="{00000000-0005-0000-0000-00004B030000}"/>
    <cellStyle name="60% - Accent1 5 2" xfId="821" xr:uid="{00000000-0005-0000-0000-00004C030000}"/>
    <cellStyle name="60% - Accent1 5 3" xfId="822" xr:uid="{00000000-0005-0000-0000-00004D030000}"/>
    <cellStyle name="60% - Accent1 5 4" xfId="823" xr:uid="{00000000-0005-0000-0000-00004E030000}"/>
    <cellStyle name="60% - Accent1 5 5" xfId="824" xr:uid="{00000000-0005-0000-0000-00004F030000}"/>
    <cellStyle name="60% - Accent1 5 6" xfId="825" xr:uid="{00000000-0005-0000-0000-000050030000}"/>
    <cellStyle name="60% - Accent1 5 7" xfId="826" xr:uid="{00000000-0005-0000-0000-000051030000}"/>
    <cellStyle name="60% - Accent1 5 8" xfId="827" xr:uid="{00000000-0005-0000-0000-000052030000}"/>
    <cellStyle name="60% - Accent1 5 9" xfId="828" xr:uid="{00000000-0005-0000-0000-000053030000}"/>
    <cellStyle name="60% - Accent1 6 2" xfId="829" xr:uid="{00000000-0005-0000-0000-000054030000}"/>
    <cellStyle name="60% - Accent1 7 2" xfId="830" xr:uid="{00000000-0005-0000-0000-000055030000}"/>
    <cellStyle name="60% - Accent1 8" xfId="831" xr:uid="{00000000-0005-0000-0000-000056030000}"/>
    <cellStyle name="60% - Accent1 9" xfId="832" xr:uid="{00000000-0005-0000-0000-000057030000}"/>
    <cellStyle name="60% - Accent2 10" xfId="833" xr:uid="{00000000-0005-0000-0000-000058030000}"/>
    <cellStyle name="60% - Accent2 11" xfId="834" xr:uid="{00000000-0005-0000-0000-000059030000}"/>
    <cellStyle name="60% - Accent2 12" xfId="835" xr:uid="{00000000-0005-0000-0000-00005A030000}"/>
    <cellStyle name="60% - Accent2 13" xfId="836" xr:uid="{00000000-0005-0000-0000-00005B030000}"/>
    <cellStyle name="60% - Accent2 14" xfId="837" xr:uid="{00000000-0005-0000-0000-00005C030000}"/>
    <cellStyle name="60% - Accent2 2" xfId="838" xr:uid="{00000000-0005-0000-0000-00005D030000}"/>
    <cellStyle name="60% - Accent2 2 10" xfId="839" xr:uid="{00000000-0005-0000-0000-00005E030000}"/>
    <cellStyle name="60% - Accent2 2 11" xfId="840" xr:uid="{00000000-0005-0000-0000-00005F030000}"/>
    <cellStyle name="60% - Accent2 2 12" xfId="841" xr:uid="{00000000-0005-0000-0000-000060030000}"/>
    <cellStyle name="60% - Accent2 2 13" xfId="842" xr:uid="{00000000-0005-0000-0000-000061030000}"/>
    <cellStyle name="60% - Accent2 2 2" xfId="843" xr:uid="{00000000-0005-0000-0000-000062030000}"/>
    <cellStyle name="60% - Accent2 2 2 10" xfId="844" xr:uid="{00000000-0005-0000-0000-000063030000}"/>
    <cellStyle name="60% - Accent2 2 2 2" xfId="845" xr:uid="{00000000-0005-0000-0000-000064030000}"/>
    <cellStyle name="60% - Accent2 2 2 2 2" xfId="846" xr:uid="{00000000-0005-0000-0000-000065030000}"/>
    <cellStyle name="60% - Accent2 2 2 3" xfId="847" xr:uid="{00000000-0005-0000-0000-000066030000}"/>
    <cellStyle name="60% - Accent2 2 2 4" xfId="848" xr:uid="{00000000-0005-0000-0000-000067030000}"/>
    <cellStyle name="60% - Accent2 2 2 5" xfId="849" xr:uid="{00000000-0005-0000-0000-000068030000}"/>
    <cellStyle name="60% - Accent2 2 2 6" xfId="850" xr:uid="{00000000-0005-0000-0000-000069030000}"/>
    <cellStyle name="60% - Accent2 2 2 7" xfId="851" xr:uid="{00000000-0005-0000-0000-00006A030000}"/>
    <cellStyle name="60% - Accent2 2 2 8" xfId="852" xr:uid="{00000000-0005-0000-0000-00006B030000}"/>
    <cellStyle name="60% - Accent2 2 2 9" xfId="853" xr:uid="{00000000-0005-0000-0000-00006C030000}"/>
    <cellStyle name="60% - Accent2 2 3" xfId="854" xr:uid="{00000000-0005-0000-0000-00006D030000}"/>
    <cellStyle name="60% - Accent2 2 3 2" xfId="855" xr:uid="{00000000-0005-0000-0000-00006E030000}"/>
    <cellStyle name="60% - Accent2 2 4" xfId="856" xr:uid="{00000000-0005-0000-0000-00006F030000}"/>
    <cellStyle name="60% - Accent2 2 4 2" xfId="857" xr:uid="{00000000-0005-0000-0000-000070030000}"/>
    <cellStyle name="60% - Accent2 2 5" xfId="858" xr:uid="{00000000-0005-0000-0000-000071030000}"/>
    <cellStyle name="60% - Accent2 2 6" xfId="859" xr:uid="{00000000-0005-0000-0000-000072030000}"/>
    <cellStyle name="60% - Accent2 2 7" xfId="860" xr:uid="{00000000-0005-0000-0000-000073030000}"/>
    <cellStyle name="60% - Accent2 2 8" xfId="861" xr:uid="{00000000-0005-0000-0000-000074030000}"/>
    <cellStyle name="60% - Accent2 2 9" xfId="862" xr:uid="{00000000-0005-0000-0000-000075030000}"/>
    <cellStyle name="60% - Accent2 3" xfId="863" xr:uid="{00000000-0005-0000-0000-000076030000}"/>
    <cellStyle name="60% - Accent2 3 10" xfId="864" xr:uid="{00000000-0005-0000-0000-000077030000}"/>
    <cellStyle name="60% - Accent2 3 2" xfId="865" xr:uid="{00000000-0005-0000-0000-000078030000}"/>
    <cellStyle name="60% - Accent2 3 3" xfId="866" xr:uid="{00000000-0005-0000-0000-000079030000}"/>
    <cellStyle name="60% - Accent2 3 4" xfId="867" xr:uid="{00000000-0005-0000-0000-00007A030000}"/>
    <cellStyle name="60% - Accent2 3 5" xfId="868" xr:uid="{00000000-0005-0000-0000-00007B030000}"/>
    <cellStyle name="60% - Accent2 3 6" xfId="869" xr:uid="{00000000-0005-0000-0000-00007C030000}"/>
    <cellStyle name="60% - Accent2 3 7" xfId="870" xr:uid="{00000000-0005-0000-0000-00007D030000}"/>
    <cellStyle name="60% - Accent2 3 8" xfId="871" xr:uid="{00000000-0005-0000-0000-00007E030000}"/>
    <cellStyle name="60% - Accent2 3 9" xfId="872" xr:uid="{00000000-0005-0000-0000-00007F030000}"/>
    <cellStyle name="60% - Accent2 4" xfId="873" xr:uid="{00000000-0005-0000-0000-000080030000}"/>
    <cellStyle name="60% - Accent2 4 10" xfId="874" xr:uid="{00000000-0005-0000-0000-000081030000}"/>
    <cellStyle name="60% - Accent2 4 2" xfId="875" xr:uid="{00000000-0005-0000-0000-000082030000}"/>
    <cellStyle name="60% - Accent2 4 3" xfId="876" xr:uid="{00000000-0005-0000-0000-000083030000}"/>
    <cellStyle name="60% - Accent2 4 4" xfId="877" xr:uid="{00000000-0005-0000-0000-000084030000}"/>
    <cellStyle name="60% - Accent2 4 5" xfId="878" xr:uid="{00000000-0005-0000-0000-000085030000}"/>
    <cellStyle name="60% - Accent2 4 6" xfId="879" xr:uid="{00000000-0005-0000-0000-000086030000}"/>
    <cellStyle name="60% - Accent2 4 7" xfId="880" xr:uid="{00000000-0005-0000-0000-000087030000}"/>
    <cellStyle name="60% - Accent2 4 8" xfId="881" xr:uid="{00000000-0005-0000-0000-000088030000}"/>
    <cellStyle name="60% - Accent2 4 9" xfId="882" xr:uid="{00000000-0005-0000-0000-000089030000}"/>
    <cellStyle name="60% - Accent2 5" xfId="883" xr:uid="{00000000-0005-0000-0000-00008A030000}"/>
    <cellStyle name="60% - Accent2 5 10" xfId="884" xr:uid="{00000000-0005-0000-0000-00008B030000}"/>
    <cellStyle name="60% - Accent2 5 2" xfId="885" xr:uid="{00000000-0005-0000-0000-00008C030000}"/>
    <cellStyle name="60% - Accent2 5 3" xfId="886" xr:uid="{00000000-0005-0000-0000-00008D030000}"/>
    <cellStyle name="60% - Accent2 5 4" xfId="887" xr:uid="{00000000-0005-0000-0000-00008E030000}"/>
    <cellStyle name="60% - Accent2 5 5" xfId="888" xr:uid="{00000000-0005-0000-0000-00008F030000}"/>
    <cellStyle name="60% - Accent2 5 6" xfId="889" xr:uid="{00000000-0005-0000-0000-000090030000}"/>
    <cellStyle name="60% - Accent2 5 7" xfId="890" xr:uid="{00000000-0005-0000-0000-000091030000}"/>
    <cellStyle name="60% - Accent2 5 8" xfId="891" xr:uid="{00000000-0005-0000-0000-000092030000}"/>
    <cellStyle name="60% - Accent2 5 9" xfId="892" xr:uid="{00000000-0005-0000-0000-000093030000}"/>
    <cellStyle name="60% - Accent2 6 2" xfId="893" xr:uid="{00000000-0005-0000-0000-000094030000}"/>
    <cellStyle name="60% - Accent2 7 2" xfId="894" xr:uid="{00000000-0005-0000-0000-000095030000}"/>
    <cellStyle name="60% - Accent2 8" xfId="895" xr:uid="{00000000-0005-0000-0000-000096030000}"/>
    <cellStyle name="60% - Accent2 9" xfId="896" xr:uid="{00000000-0005-0000-0000-000097030000}"/>
    <cellStyle name="60% - Accent3 10" xfId="897" xr:uid="{00000000-0005-0000-0000-000098030000}"/>
    <cellStyle name="60% - Accent3 11" xfId="898" xr:uid="{00000000-0005-0000-0000-000099030000}"/>
    <cellStyle name="60% - Accent3 12" xfId="899" xr:uid="{00000000-0005-0000-0000-00009A030000}"/>
    <cellStyle name="60% - Accent3 13" xfId="900" xr:uid="{00000000-0005-0000-0000-00009B030000}"/>
    <cellStyle name="60% - Accent3 14" xfId="901" xr:uid="{00000000-0005-0000-0000-00009C030000}"/>
    <cellStyle name="60% - Accent3 2" xfId="902" xr:uid="{00000000-0005-0000-0000-00009D030000}"/>
    <cellStyle name="60% - Accent3 2 10" xfId="903" xr:uid="{00000000-0005-0000-0000-00009E030000}"/>
    <cellStyle name="60% - Accent3 2 11" xfId="904" xr:uid="{00000000-0005-0000-0000-00009F030000}"/>
    <cellStyle name="60% - Accent3 2 12" xfId="905" xr:uid="{00000000-0005-0000-0000-0000A0030000}"/>
    <cellStyle name="60% - Accent3 2 13" xfId="906" xr:uid="{00000000-0005-0000-0000-0000A1030000}"/>
    <cellStyle name="60% - Accent3 2 2" xfId="907" xr:uid="{00000000-0005-0000-0000-0000A2030000}"/>
    <cellStyle name="60% - Accent3 2 2 10" xfId="908" xr:uid="{00000000-0005-0000-0000-0000A3030000}"/>
    <cellStyle name="60% - Accent3 2 2 2" xfId="909" xr:uid="{00000000-0005-0000-0000-0000A4030000}"/>
    <cellStyle name="60% - Accent3 2 2 2 2" xfId="910" xr:uid="{00000000-0005-0000-0000-0000A5030000}"/>
    <cellStyle name="60% - Accent3 2 2 3" xfId="911" xr:uid="{00000000-0005-0000-0000-0000A6030000}"/>
    <cellStyle name="60% - Accent3 2 2 4" xfId="912" xr:uid="{00000000-0005-0000-0000-0000A7030000}"/>
    <cellStyle name="60% - Accent3 2 2 5" xfId="913" xr:uid="{00000000-0005-0000-0000-0000A8030000}"/>
    <cellStyle name="60% - Accent3 2 2 6" xfId="914" xr:uid="{00000000-0005-0000-0000-0000A9030000}"/>
    <cellStyle name="60% - Accent3 2 2 7" xfId="915" xr:uid="{00000000-0005-0000-0000-0000AA030000}"/>
    <cellStyle name="60% - Accent3 2 2 8" xfId="916" xr:uid="{00000000-0005-0000-0000-0000AB030000}"/>
    <cellStyle name="60% - Accent3 2 2 9" xfId="917" xr:uid="{00000000-0005-0000-0000-0000AC030000}"/>
    <cellStyle name="60% - Accent3 2 3" xfId="918" xr:uid="{00000000-0005-0000-0000-0000AD030000}"/>
    <cellStyle name="60% - Accent3 2 3 2" xfId="919" xr:uid="{00000000-0005-0000-0000-0000AE030000}"/>
    <cellStyle name="60% - Accent3 2 4" xfId="920" xr:uid="{00000000-0005-0000-0000-0000AF030000}"/>
    <cellStyle name="60% - Accent3 2 4 2" xfId="921" xr:uid="{00000000-0005-0000-0000-0000B0030000}"/>
    <cellStyle name="60% - Accent3 2 5" xfId="922" xr:uid="{00000000-0005-0000-0000-0000B1030000}"/>
    <cellStyle name="60% - Accent3 2 6" xfId="923" xr:uid="{00000000-0005-0000-0000-0000B2030000}"/>
    <cellStyle name="60% - Accent3 2 7" xfId="924" xr:uid="{00000000-0005-0000-0000-0000B3030000}"/>
    <cellStyle name="60% - Accent3 2 8" xfId="925" xr:uid="{00000000-0005-0000-0000-0000B4030000}"/>
    <cellStyle name="60% - Accent3 2 9" xfId="926" xr:uid="{00000000-0005-0000-0000-0000B5030000}"/>
    <cellStyle name="60% - Accent3 3" xfId="927" xr:uid="{00000000-0005-0000-0000-0000B6030000}"/>
    <cellStyle name="60% - Accent3 3 10" xfId="928" xr:uid="{00000000-0005-0000-0000-0000B7030000}"/>
    <cellStyle name="60% - Accent3 3 2" xfId="929" xr:uid="{00000000-0005-0000-0000-0000B8030000}"/>
    <cellStyle name="60% - Accent3 3 3" xfId="930" xr:uid="{00000000-0005-0000-0000-0000B9030000}"/>
    <cellStyle name="60% - Accent3 3 4" xfId="931" xr:uid="{00000000-0005-0000-0000-0000BA030000}"/>
    <cellStyle name="60% - Accent3 3 5" xfId="932" xr:uid="{00000000-0005-0000-0000-0000BB030000}"/>
    <cellStyle name="60% - Accent3 3 6" xfId="933" xr:uid="{00000000-0005-0000-0000-0000BC030000}"/>
    <cellStyle name="60% - Accent3 3 7" xfId="934" xr:uid="{00000000-0005-0000-0000-0000BD030000}"/>
    <cellStyle name="60% - Accent3 3 8" xfId="935" xr:uid="{00000000-0005-0000-0000-0000BE030000}"/>
    <cellStyle name="60% - Accent3 3 9" xfId="936" xr:uid="{00000000-0005-0000-0000-0000BF030000}"/>
    <cellStyle name="60% - Accent3 4" xfId="937" xr:uid="{00000000-0005-0000-0000-0000C0030000}"/>
    <cellStyle name="60% - Accent3 4 10" xfId="938" xr:uid="{00000000-0005-0000-0000-0000C1030000}"/>
    <cellStyle name="60% - Accent3 4 2" xfId="939" xr:uid="{00000000-0005-0000-0000-0000C2030000}"/>
    <cellStyle name="60% - Accent3 4 3" xfId="940" xr:uid="{00000000-0005-0000-0000-0000C3030000}"/>
    <cellStyle name="60% - Accent3 4 4" xfId="941" xr:uid="{00000000-0005-0000-0000-0000C4030000}"/>
    <cellStyle name="60% - Accent3 4 5" xfId="942" xr:uid="{00000000-0005-0000-0000-0000C5030000}"/>
    <cellStyle name="60% - Accent3 4 6" xfId="943" xr:uid="{00000000-0005-0000-0000-0000C6030000}"/>
    <cellStyle name="60% - Accent3 4 7" xfId="944" xr:uid="{00000000-0005-0000-0000-0000C7030000}"/>
    <cellStyle name="60% - Accent3 4 8" xfId="945" xr:uid="{00000000-0005-0000-0000-0000C8030000}"/>
    <cellStyle name="60% - Accent3 4 9" xfId="946" xr:uid="{00000000-0005-0000-0000-0000C9030000}"/>
    <cellStyle name="60% - Accent3 5" xfId="947" xr:uid="{00000000-0005-0000-0000-0000CA030000}"/>
    <cellStyle name="60% - Accent3 5 10" xfId="948" xr:uid="{00000000-0005-0000-0000-0000CB030000}"/>
    <cellStyle name="60% - Accent3 5 2" xfId="949" xr:uid="{00000000-0005-0000-0000-0000CC030000}"/>
    <cellStyle name="60% - Accent3 5 3" xfId="950" xr:uid="{00000000-0005-0000-0000-0000CD030000}"/>
    <cellStyle name="60% - Accent3 5 4" xfId="951" xr:uid="{00000000-0005-0000-0000-0000CE030000}"/>
    <cellStyle name="60% - Accent3 5 5" xfId="952" xr:uid="{00000000-0005-0000-0000-0000CF030000}"/>
    <cellStyle name="60% - Accent3 5 6" xfId="953" xr:uid="{00000000-0005-0000-0000-0000D0030000}"/>
    <cellStyle name="60% - Accent3 5 7" xfId="954" xr:uid="{00000000-0005-0000-0000-0000D1030000}"/>
    <cellStyle name="60% - Accent3 5 8" xfId="955" xr:uid="{00000000-0005-0000-0000-0000D2030000}"/>
    <cellStyle name="60% - Accent3 5 9" xfId="956" xr:uid="{00000000-0005-0000-0000-0000D3030000}"/>
    <cellStyle name="60% - Accent3 6 2" xfId="957" xr:uid="{00000000-0005-0000-0000-0000D4030000}"/>
    <cellStyle name="60% - Accent3 7 2" xfId="958" xr:uid="{00000000-0005-0000-0000-0000D5030000}"/>
    <cellStyle name="60% - Accent3 8" xfId="959" xr:uid="{00000000-0005-0000-0000-0000D6030000}"/>
    <cellStyle name="60% - Accent3 9" xfId="960" xr:uid="{00000000-0005-0000-0000-0000D7030000}"/>
    <cellStyle name="60% - Accent4 10" xfId="961" xr:uid="{00000000-0005-0000-0000-0000D8030000}"/>
    <cellStyle name="60% - Accent4 11" xfId="962" xr:uid="{00000000-0005-0000-0000-0000D9030000}"/>
    <cellStyle name="60% - Accent4 12" xfId="963" xr:uid="{00000000-0005-0000-0000-0000DA030000}"/>
    <cellStyle name="60% - Accent4 13" xfId="964" xr:uid="{00000000-0005-0000-0000-0000DB030000}"/>
    <cellStyle name="60% - Accent4 14" xfId="965" xr:uid="{00000000-0005-0000-0000-0000DC030000}"/>
    <cellStyle name="60% - Accent4 2" xfId="966" xr:uid="{00000000-0005-0000-0000-0000DD030000}"/>
    <cellStyle name="60% - Accent4 2 10" xfId="967" xr:uid="{00000000-0005-0000-0000-0000DE030000}"/>
    <cellStyle name="60% - Accent4 2 11" xfId="968" xr:uid="{00000000-0005-0000-0000-0000DF030000}"/>
    <cellStyle name="60% - Accent4 2 12" xfId="969" xr:uid="{00000000-0005-0000-0000-0000E0030000}"/>
    <cellStyle name="60% - Accent4 2 13" xfId="970" xr:uid="{00000000-0005-0000-0000-0000E1030000}"/>
    <cellStyle name="60% - Accent4 2 2" xfId="971" xr:uid="{00000000-0005-0000-0000-0000E2030000}"/>
    <cellStyle name="60% - Accent4 2 2 10" xfId="972" xr:uid="{00000000-0005-0000-0000-0000E3030000}"/>
    <cellStyle name="60% - Accent4 2 2 2" xfId="973" xr:uid="{00000000-0005-0000-0000-0000E4030000}"/>
    <cellStyle name="60% - Accent4 2 2 2 2" xfId="974" xr:uid="{00000000-0005-0000-0000-0000E5030000}"/>
    <cellStyle name="60% - Accent4 2 2 3" xfId="975" xr:uid="{00000000-0005-0000-0000-0000E6030000}"/>
    <cellStyle name="60% - Accent4 2 2 4" xfId="976" xr:uid="{00000000-0005-0000-0000-0000E7030000}"/>
    <cellStyle name="60% - Accent4 2 2 5" xfId="977" xr:uid="{00000000-0005-0000-0000-0000E8030000}"/>
    <cellStyle name="60% - Accent4 2 2 6" xfId="978" xr:uid="{00000000-0005-0000-0000-0000E9030000}"/>
    <cellStyle name="60% - Accent4 2 2 7" xfId="979" xr:uid="{00000000-0005-0000-0000-0000EA030000}"/>
    <cellStyle name="60% - Accent4 2 2 8" xfId="980" xr:uid="{00000000-0005-0000-0000-0000EB030000}"/>
    <cellStyle name="60% - Accent4 2 2 9" xfId="981" xr:uid="{00000000-0005-0000-0000-0000EC030000}"/>
    <cellStyle name="60% - Accent4 2 3" xfId="982" xr:uid="{00000000-0005-0000-0000-0000ED030000}"/>
    <cellStyle name="60% - Accent4 2 3 2" xfId="983" xr:uid="{00000000-0005-0000-0000-0000EE030000}"/>
    <cellStyle name="60% - Accent4 2 4" xfId="984" xr:uid="{00000000-0005-0000-0000-0000EF030000}"/>
    <cellStyle name="60% - Accent4 2 4 2" xfId="985" xr:uid="{00000000-0005-0000-0000-0000F0030000}"/>
    <cellStyle name="60% - Accent4 2 5" xfId="986" xr:uid="{00000000-0005-0000-0000-0000F1030000}"/>
    <cellStyle name="60% - Accent4 2 6" xfId="987" xr:uid="{00000000-0005-0000-0000-0000F2030000}"/>
    <cellStyle name="60% - Accent4 2 7" xfId="988" xr:uid="{00000000-0005-0000-0000-0000F3030000}"/>
    <cellStyle name="60% - Accent4 2 8" xfId="989" xr:uid="{00000000-0005-0000-0000-0000F4030000}"/>
    <cellStyle name="60% - Accent4 2 9" xfId="990" xr:uid="{00000000-0005-0000-0000-0000F5030000}"/>
    <cellStyle name="60% - Accent4 3" xfId="991" xr:uid="{00000000-0005-0000-0000-0000F6030000}"/>
    <cellStyle name="60% - Accent4 3 10" xfId="992" xr:uid="{00000000-0005-0000-0000-0000F7030000}"/>
    <cellStyle name="60% - Accent4 3 2" xfId="993" xr:uid="{00000000-0005-0000-0000-0000F8030000}"/>
    <cellStyle name="60% - Accent4 3 3" xfId="994" xr:uid="{00000000-0005-0000-0000-0000F9030000}"/>
    <cellStyle name="60% - Accent4 3 4" xfId="995" xr:uid="{00000000-0005-0000-0000-0000FA030000}"/>
    <cellStyle name="60% - Accent4 3 5" xfId="996" xr:uid="{00000000-0005-0000-0000-0000FB030000}"/>
    <cellStyle name="60% - Accent4 3 6" xfId="997" xr:uid="{00000000-0005-0000-0000-0000FC030000}"/>
    <cellStyle name="60% - Accent4 3 7" xfId="998" xr:uid="{00000000-0005-0000-0000-0000FD030000}"/>
    <cellStyle name="60% - Accent4 3 8" xfId="999" xr:uid="{00000000-0005-0000-0000-0000FE030000}"/>
    <cellStyle name="60% - Accent4 3 9" xfId="1000" xr:uid="{00000000-0005-0000-0000-0000FF030000}"/>
    <cellStyle name="60% - Accent4 4" xfId="1001" xr:uid="{00000000-0005-0000-0000-000000040000}"/>
    <cellStyle name="60% - Accent4 4 10" xfId="1002" xr:uid="{00000000-0005-0000-0000-000001040000}"/>
    <cellStyle name="60% - Accent4 4 2" xfId="1003" xr:uid="{00000000-0005-0000-0000-000002040000}"/>
    <cellStyle name="60% - Accent4 4 3" xfId="1004" xr:uid="{00000000-0005-0000-0000-000003040000}"/>
    <cellStyle name="60% - Accent4 4 4" xfId="1005" xr:uid="{00000000-0005-0000-0000-000004040000}"/>
    <cellStyle name="60% - Accent4 4 5" xfId="1006" xr:uid="{00000000-0005-0000-0000-000005040000}"/>
    <cellStyle name="60% - Accent4 4 6" xfId="1007" xr:uid="{00000000-0005-0000-0000-000006040000}"/>
    <cellStyle name="60% - Accent4 4 7" xfId="1008" xr:uid="{00000000-0005-0000-0000-000007040000}"/>
    <cellStyle name="60% - Accent4 4 8" xfId="1009" xr:uid="{00000000-0005-0000-0000-000008040000}"/>
    <cellStyle name="60% - Accent4 4 9" xfId="1010" xr:uid="{00000000-0005-0000-0000-000009040000}"/>
    <cellStyle name="60% - Accent4 5" xfId="1011" xr:uid="{00000000-0005-0000-0000-00000A040000}"/>
    <cellStyle name="60% - Accent4 5 10" xfId="1012" xr:uid="{00000000-0005-0000-0000-00000B040000}"/>
    <cellStyle name="60% - Accent4 5 2" xfId="1013" xr:uid="{00000000-0005-0000-0000-00000C040000}"/>
    <cellStyle name="60% - Accent4 5 3" xfId="1014" xr:uid="{00000000-0005-0000-0000-00000D040000}"/>
    <cellStyle name="60% - Accent4 5 4" xfId="1015" xr:uid="{00000000-0005-0000-0000-00000E040000}"/>
    <cellStyle name="60% - Accent4 5 5" xfId="1016" xr:uid="{00000000-0005-0000-0000-00000F040000}"/>
    <cellStyle name="60% - Accent4 5 6" xfId="1017" xr:uid="{00000000-0005-0000-0000-000010040000}"/>
    <cellStyle name="60% - Accent4 5 7" xfId="1018" xr:uid="{00000000-0005-0000-0000-000011040000}"/>
    <cellStyle name="60% - Accent4 5 8" xfId="1019" xr:uid="{00000000-0005-0000-0000-000012040000}"/>
    <cellStyle name="60% - Accent4 5 9" xfId="1020" xr:uid="{00000000-0005-0000-0000-000013040000}"/>
    <cellStyle name="60% - Accent4 6 2" xfId="1021" xr:uid="{00000000-0005-0000-0000-000014040000}"/>
    <cellStyle name="60% - Accent4 7 2" xfId="1022" xr:uid="{00000000-0005-0000-0000-000015040000}"/>
    <cellStyle name="60% - Accent4 8" xfId="1023" xr:uid="{00000000-0005-0000-0000-000016040000}"/>
    <cellStyle name="60% - Accent4 9" xfId="1024" xr:uid="{00000000-0005-0000-0000-000017040000}"/>
    <cellStyle name="60% - Accent5 10" xfId="1025" xr:uid="{00000000-0005-0000-0000-000018040000}"/>
    <cellStyle name="60% - Accent5 11" xfId="1026" xr:uid="{00000000-0005-0000-0000-000019040000}"/>
    <cellStyle name="60% - Accent5 12" xfId="1027" xr:uid="{00000000-0005-0000-0000-00001A040000}"/>
    <cellStyle name="60% - Accent5 13" xfId="1028" xr:uid="{00000000-0005-0000-0000-00001B040000}"/>
    <cellStyle name="60% - Accent5 14" xfId="1029" xr:uid="{00000000-0005-0000-0000-00001C040000}"/>
    <cellStyle name="60% - Accent5 2" xfId="1030" xr:uid="{00000000-0005-0000-0000-00001D040000}"/>
    <cellStyle name="60% - Accent5 2 10" xfId="1031" xr:uid="{00000000-0005-0000-0000-00001E040000}"/>
    <cellStyle name="60% - Accent5 2 11" xfId="1032" xr:uid="{00000000-0005-0000-0000-00001F040000}"/>
    <cellStyle name="60% - Accent5 2 12" xfId="1033" xr:uid="{00000000-0005-0000-0000-000020040000}"/>
    <cellStyle name="60% - Accent5 2 13" xfId="1034" xr:uid="{00000000-0005-0000-0000-000021040000}"/>
    <cellStyle name="60% - Accent5 2 2" xfId="1035" xr:uid="{00000000-0005-0000-0000-000022040000}"/>
    <cellStyle name="60% - Accent5 2 2 10" xfId="1036" xr:uid="{00000000-0005-0000-0000-000023040000}"/>
    <cellStyle name="60% - Accent5 2 2 2" xfId="1037" xr:uid="{00000000-0005-0000-0000-000024040000}"/>
    <cellStyle name="60% - Accent5 2 2 2 2" xfId="1038" xr:uid="{00000000-0005-0000-0000-000025040000}"/>
    <cellStyle name="60% - Accent5 2 2 3" xfId="1039" xr:uid="{00000000-0005-0000-0000-000026040000}"/>
    <cellStyle name="60% - Accent5 2 2 4" xfId="1040" xr:uid="{00000000-0005-0000-0000-000027040000}"/>
    <cellStyle name="60% - Accent5 2 2 5" xfId="1041" xr:uid="{00000000-0005-0000-0000-000028040000}"/>
    <cellStyle name="60% - Accent5 2 2 6" xfId="1042" xr:uid="{00000000-0005-0000-0000-000029040000}"/>
    <cellStyle name="60% - Accent5 2 2 7" xfId="1043" xr:uid="{00000000-0005-0000-0000-00002A040000}"/>
    <cellStyle name="60% - Accent5 2 2 8" xfId="1044" xr:uid="{00000000-0005-0000-0000-00002B040000}"/>
    <cellStyle name="60% - Accent5 2 2 9" xfId="1045" xr:uid="{00000000-0005-0000-0000-00002C040000}"/>
    <cellStyle name="60% - Accent5 2 3" xfId="1046" xr:uid="{00000000-0005-0000-0000-00002D040000}"/>
    <cellStyle name="60% - Accent5 2 3 2" xfId="1047" xr:uid="{00000000-0005-0000-0000-00002E040000}"/>
    <cellStyle name="60% - Accent5 2 4" xfId="1048" xr:uid="{00000000-0005-0000-0000-00002F040000}"/>
    <cellStyle name="60% - Accent5 2 4 2" xfId="1049" xr:uid="{00000000-0005-0000-0000-000030040000}"/>
    <cellStyle name="60% - Accent5 2 5" xfId="1050" xr:uid="{00000000-0005-0000-0000-000031040000}"/>
    <cellStyle name="60% - Accent5 2 6" xfId="1051" xr:uid="{00000000-0005-0000-0000-000032040000}"/>
    <cellStyle name="60% - Accent5 2 7" xfId="1052" xr:uid="{00000000-0005-0000-0000-000033040000}"/>
    <cellStyle name="60% - Accent5 2 8" xfId="1053" xr:uid="{00000000-0005-0000-0000-000034040000}"/>
    <cellStyle name="60% - Accent5 2 9" xfId="1054" xr:uid="{00000000-0005-0000-0000-000035040000}"/>
    <cellStyle name="60% - Accent5 3" xfId="1055" xr:uid="{00000000-0005-0000-0000-000036040000}"/>
    <cellStyle name="60% - Accent5 3 10" xfId="1056" xr:uid="{00000000-0005-0000-0000-000037040000}"/>
    <cellStyle name="60% - Accent5 3 2" xfId="1057" xr:uid="{00000000-0005-0000-0000-000038040000}"/>
    <cellStyle name="60% - Accent5 3 3" xfId="1058" xr:uid="{00000000-0005-0000-0000-000039040000}"/>
    <cellStyle name="60% - Accent5 3 4" xfId="1059" xr:uid="{00000000-0005-0000-0000-00003A040000}"/>
    <cellStyle name="60% - Accent5 3 5" xfId="1060" xr:uid="{00000000-0005-0000-0000-00003B040000}"/>
    <cellStyle name="60% - Accent5 3 6" xfId="1061" xr:uid="{00000000-0005-0000-0000-00003C040000}"/>
    <cellStyle name="60% - Accent5 3 7" xfId="1062" xr:uid="{00000000-0005-0000-0000-00003D040000}"/>
    <cellStyle name="60% - Accent5 3 8" xfId="1063" xr:uid="{00000000-0005-0000-0000-00003E040000}"/>
    <cellStyle name="60% - Accent5 3 9" xfId="1064" xr:uid="{00000000-0005-0000-0000-00003F040000}"/>
    <cellStyle name="60% - Accent5 4" xfId="1065" xr:uid="{00000000-0005-0000-0000-000040040000}"/>
    <cellStyle name="60% - Accent5 4 10" xfId="1066" xr:uid="{00000000-0005-0000-0000-000041040000}"/>
    <cellStyle name="60% - Accent5 4 2" xfId="1067" xr:uid="{00000000-0005-0000-0000-000042040000}"/>
    <cellStyle name="60% - Accent5 4 3" xfId="1068" xr:uid="{00000000-0005-0000-0000-000043040000}"/>
    <cellStyle name="60% - Accent5 4 4" xfId="1069" xr:uid="{00000000-0005-0000-0000-000044040000}"/>
    <cellStyle name="60% - Accent5 4 5" xfId="1070" xr:uid="{00000000-0005-0000-0000-000045040000}"/>
    <cellStyle name="60% - Accent5 4 6" xfId="1071" xr:uid="{00000000-0005-0000-0000-000046040000}"/>
    <cellStyle name="60% - Accent5 4 7" xfId="1072" xr:uid="{00000000-0005-0000-0000-000047040000}"/>
    <cellStyle name="60% - Accent5 4 8" xfId="1073" xr:uid="{00000000-0005-0000-0000-000048040000}"/>
    <cellStyle name="60% - Accent5 4 9" xfId="1074" xr:uid="{00000000-0005-0000-0000-000049040000}"/>
    <cellStyle name="60% - Accent5 5" xfId="1075" xr:uid="{00000000-0005-0000-0000-00004A040000}"/>
    <cellStyle name="60% - Accent5 5 10" xfId="1076" xr:uid="{00000000-0005-0000-0000-00004B040000}"/>
    <cellStyle name="60% - Accent5 5 2" xfId="1077" xr:uid="{00000000-0005-0000-0000-00004C040000}"/>
    <cellStyle name="60% - Accent5 5 3" xfId="1078" xr:uid="{00000000-0005-0000-0000-00004D040000}"/>
    <cellStyle name="60% - Accent5 5 4" xfId="1079" xr:uid="{00000000-0005-0000-0000-00004E040000}"/>
    <cellStyle name="60% - Accent5 5 5" xfId="1080" xr:uid="{00000000-0005-0000-0000-00004F040000}"/>
    <cellStyle name="60% - Accent5 5 6" xfId="1081" xr:uid="{00000000-0005-0000-0000-000050040000}"/>
    <cellStyle name="60% - Accent5 5 7" xfId="1082" xr:uid="{00000000-0005-0000-0000-000051040000}"/>
    <cellStyle name="60% - Accent5 5 8" xfId="1083" xr:uid="{00000000-0005-0000-0000-000052040000}"/>
    <cellStyle name="60% - Accent5 5 9" xfId="1084" xr:uid="{00000000-0005-0000-0000-000053040000}"/>
    <cellStyle name="60% - Accent5 6 2" xfId="1085" xr:uid="{00000000-0005-0000-0000-000054040000}"/>
    <cellStyle name="60% - Accent5 7 2" xfId="1086" xr:uid="{00000000-0005-0000-0000-000055040000}"/>
    <cellStyle name="60% - Accent5 8" xfId="1087" xr:uid="{00000000-0005-0000-0000-000056040000}"/>
    <cellStyle name="60% - Accent5 9" xfId="1088" xr:uid="{00000000-0005-0000-0000-000057040000}"/>
    <cellStyle name="60% - Accent6 10" xfId="1089" xr:uid="{00000000-0005-0000-0000-000058040000}"/>
    <cellStyle name="60% - Accent6 11" xfId="1090" xr:uid="{00000000-0005-0000-0000-000059040000}"/>
    <cellStyle name="60% - Accent6 12" xfId="1091" xr:uid="{00000000-0005-0000-0000-00005A040000}"/>
    <cellStyle name="60% - Accent6 13" xfId="1092" xr:uid="{00000000-0005-0000-0000-00005B040000}"/>
    <cellStyle name="60% - Accent6 14" xfId="1093" xr:uid="{00000000-0005-0000-0000-00005C040000}"/>
    <cellStyle name="60% - Accent6 2" xfId="1094" xr:uid="{00000000-0005-0000-0000-00005D040000}"/>
    <cellStyle name="60% - Accent6 2 10" xfId="1095" xr:uid="{00000000-0005-0000-0000-00005E040000}"/>
    <cellStyle name="60% - Accent6 2 11" xfId="1096" xr:uid="{00000000-0005-0000-0000-00005F040000}"/>
    <cellStyle name="60% - Accent6 2 12" xfId="1097" xr:uid="{00000000-0005-0000-0000-000060040000}"/>
    <cellStyle name="60% - Accent6 2 13" xfId="1098" xr:uid="{00000000-0005-0000-0000-000061040000}"/>
    <cellStyle name="60% - Accent6 2 2" xfId="1099" xr:uid="{00000000-0005-0000-0000-000062040000}"/>
    <cellStyle name="60% - Accent6 2 2 10" xfId="1100" xr:uid="{00000000-0005-0000-0000-000063040000}"/>
    <cellStyle name="60% - Accent6 2 2 2" xfId="1101" xr:uid="{00000000-0005-0000-0000-000064040000}"/>
    <cellStyle name="60% - Accent6 2 2 2 2" xfId="1102" xr:uid="{00000000-0005-0000-0000-000065040000}"/>
    <cellStyle name="60% - Accent6 2 2 3" xfId="1103" xr:uid="{00000000-0005-0000-0000-000066040000}"/>
    <cellStyle name="60% - Accent6 2 2 4" xfId="1104" xr:uid="{00000000-0005-0000-0000-000067040000}"/>
    <cellStyle name="60% - Accent6 2 2 5" xfId="1105" xr:uid="{00000000-0005-0000-0000-000068040000}"/>
    <cellStyle name="60% - Accent6 2 2 6" xfId="1106" xr:uid="{00000000-0005-0000-0000-000069040000}"/>
    <cellStyle name="60% - Accent6 2 2 7" xfId="1107" xr:uid="{00000000-0005-0000-0000-00006A040000}"/>
    <cellStyle name="60% - Accent6 2 2 8" xfId="1108" xr:uid="{00000000-0005-0000-0000-00006B040000}"/>
    <cellStyle name="60% - Accent6 2 2 9" xfId="1109" xr:uid="{00000000-0005-0000-0000-00006C040000}"/>
    <cellStyle name="60% - Accent6 2 3" xfId="1110" xr:uid="{00000000-0005-0000-0000-00006D040000}"/>
    <cellStyle name="60% - Accent6 2 3 2" xfId="1111" xr:uid="{00000000-0005-0000-0000-00006E040000}"/>
    <cellStyle name="60% - Accent6 2 4" xfId="1112" xr:uid="{00000000-0005-0000-0000-00006F040000}"/>
    <cellStyle name="60% - Accent6 2 4 2" xfId="1113" xr:uid="{00000000-0005-0000-0000-000070040000}"/>
    <cellStyle name="60% - Accent6 2 5" xfId="1114" xr:uid="{00000000-0005-0000-0000-000071040000}"/>
    <cellStyle name="60% - Accent6 2 6" xfId="1115" xr:uid="{00000000-0005-0000-0000-000072040000}"/>
    <cellStyle name="60% - Accent6 2 7" xfId="1116" xr:uid="{00000000-0005-0000-0000-000073040000}"/>
    <cellStyle name="60% - Accent6 2 8" xfId="1117" xr:uid="{00000000-0005-0000-0000-000074040000}"/>
    <cellStyle name="60% - Accent6 2 9" xfId="1118" xr:uid="{00000000-0005-0000-0000-000075040000}"/>
    <cellStyle name="60% - Accent6 3" xfId="1119" xr:uid="{00000000-0005-0000-0000-000076040000}"/>
    <cellStyle name="60% - Accent6 3 10" xfId="1120" xr:uid="{00000000-0005-0000-0000-000077040000}"/>
    <cellStyle name="60% - Accent6 3 2" xfId="1121" xr:uid="{00000000-0005-0000-0000-000078040000}"/>
    <cellStyle name="60% - Accent6 3 3" xfId="1122" xr:uid="{00000000-0005-0000-0000-000079040000}"/>
    <cellStyle name="60% - Accent6 3 4" xfId="1123" xr:uid="{00000000-0005-0000-0000-00007A040000}"/>
    <cellStyle name="60% - Accent6 3 5" xfId="1124" xr:uid="{00000000-0005-0000-0000-00007B040000}"/>
    <cellStyle name="60% - Accent6 3 6" xfId="1125" xr:uid="{00000000-0005-0000-0000-00007C040000}"/>
    <cellStyle name="60% - Accent6 3 7" xfId="1126" xr:uid="{00000000-0005-0000-0000-00007D040000}"/>
    <cellStyle name="60% - Accent6 3 8" xfId="1127" xr:uid="{00000000-0005-0000-0000-00007E040000}"/>
    <cellStyle name="60% - Accent6 3 9" xfId="1128" xr:uid="{00000000-0005-0000-0000-00007F040000}"/>
    <cellStyle name="60% - Accent6 4" xfId="1129" xr:uid="{00000000-0005-0000-0000-000080040000}"/>
    <cellStyle name="60% - Accent6 4 10" xfId="1130" xr:uid="{00000000-0005-0000-0000-000081040000}"/>
    <cellStyle name="60% - Accent6 4 2" xfId="1131" xr:uid="{00000000-0005-0000-0000-000082040000}"/>
    <cellStyle name="60% - Accent6 4 3" xfId="1132" xr:uid="{00000000-0005-0000-0000-000083040000}"/>
    <cellStyle name="60% - Accent6 4 4" xfId="1133" xr:uid="{00000000-0005-0000-0000-000084040000}"/>
    <cellStyle name="60% - Accent6 4 5" xfId="1134" xr:uid="{00000000-0005-0000-0000-000085040000}"/>
    <cellStyle name="60% - Accent6 4 6" xfId="1135" xr:uid="{00000000-0005-0000-0000-000086040000}"/>
    <cellStyle name="60% - Accent6 4 7" xfId="1136" xr:uid="{00000000-0005-0000-0000-000087040000}"/>
    <cellStyle name="60% - Accent6 4 8" xfId="1137" xr:uid="{00000000-0005-0000-0000-000088040000}"/>
    <cellStyle name="60% - Accent6 4 9" xfId="1138" xr:uid="{00000000-0005-0000-0000-000089040000}"/>
    <cellStyle name="60% - Accent6 5" xfId="1139" xr:uid="{00000000-0005-0000-0000-00008A040000}"/>
    <cellStyle name="60% - Accent6 5 10" xfId="1140" xr:uid="{00000000-0005-0000-0000-00008B040000}"/>
    <cellStyle name="60% - Accent6 5 2" xfId="1141" xr:uid="{00000000-0005-0000-0000-00008C040000}"/>
    <cellStyle name="60% - Accent6 5 3" xfId="1142" xr:uid="{00000000-0005-0000-0000-00008D040000}"/>
    <cellStyle name="60% - Accent6 5 4" xfId="1143" xr:uid="{00000000-0005-0000-0000-00008E040000}"/>
    <cellStyle name="60% - Accent6 5 5" xfId="1144" xr:uid="{00000000-0005-0000-0000-00008F040000}"/>
    <cellStyle name="60% - Accent6 5 6" xfId="1145" xr:uid="{00000000-0005-0000-0000-000090040000}"/>
    <cellStyle name="60% - Accent6 5 7" xfId="1146" xr:uid="{00000000-0005-0000-0000-000091040000}"/>
    <cellStyle name="60% - Accent6 5 8" xfId="1147" xr:uid="{00000000-0005-0000-0000-000092040000}"/>
    <cellStyle name="60% - Accent6 5 9" xfId="1148" xr:uid="{00000000-0005-0000-0000-000093040000}"/>
    <cellStyle name="60% - Accent6 6 2" xfId="1149" xr:uid="{00000000-0005-0000-0000-000094040000}"/>
    <cellStyle name="60% - Accent6 7 2" xfId="1150" xr:uid="{00000000-0005-0000-0000-000095040000}"/>
    <cellStyle name="60% - Accent6 8" xfId="1151" xr:uid="{00000000-0005-0000-0000-000096040000}"/>
    <cellStyle name="60% - Accent6 9" xfId="1152" xr:uid="{00000000-0005-0000-0000-000097040000}"/>
    <cellStyle name="Accent1 10" xfId="1153" xr:uid="{00000000-0005-0000-0000-000098040000}"/>
    <cellStyle name="Accent1 11" xfId="1154" xr:uid="{00000000-0005-0000-0000-000099040000}"/>
    <cellStyle name="Accent1 12" xfId="1155" xr:uid="{00000000-0005-0000-0000-00009A040000}"/>
    <cellStyle name="Accent1 13" xfId="1156" xr:uid="{00000000-0005-0000-0000-00009B040000}"/>
    <cellStyle name="Accent1 14" xfId="1157" xr:uid="{00000000-0005-0000-0000-00009C040000}"/>
    <cellStyle name="Accent1 2" xfId="1158" xr:uid="{00000000-0005-0000-0000-00009D040000}"/>
    <cellStyle name="Accent1 2 10" xfId="1159" xr:uid="{00000000-0005-0000-0000-00009E040000}"/>
    <cellStyle name="Accent1 2 11" xfId="1160" xr:uid="{00000000-0005-0000-0000-00009F040000}"/>
    <cellStyle name="Accent1 2 12" xfId="1161" xr:uid="{00000000-0005-0000-0000-0000A0040000}"/>
    <cellStyle name="Accent1 2 13" xfId="1162" xr:uid="{00000000-0005-0000-0000-0000A1040000}"/>
    <cellStyle name="Accent1 2 2" xfId="1163" xr:uid="{00000000-0005-0000-0000-0000A2040000}"/>
    <cellStyle name="Accent1 2 2 10" xfId="1164" xr:uid="{00000000-0005-0000-0000-0000A3040000}"/>
    <cellStyle name="Accent1 2 2 2" xfId="1165" xr:uid="{00000000-0005-0000-0000-0000A4040000}"/>
    <cellStyle name="Accent1 2 2 2 2" xfId="1166" xr:uid="{00000000-0005-0000-0000-0000A5040000}"/>
    <cellStyle name="Accent1 2 2 3" xfId="1167" xr:uid="{00000000-0005-0000-0000-0000A6040000}"/>
    <cellStyle name="Accent1 2 2 4" xfId="1168" xr:uid="{00000000-0005-0000-0000-0000A7040000}"/>
    <cellStyle name="Accent1 2 2 5" xfId="1169" xr:uid="{00000000-0005-0000-0000-0000A8040000}"/>
    <cellStyle name="Accent1 2 2 6" xfId="1170" xr:uid="{00000000-0005-0000-0000-0000A9040000}"/>
    <cellStyle name="Accent1 2 2 7" xfId="1171" xr:uid="{00000000-0005-0000-0000-0000AA040000}"/>
    <cellStyle name="Accent1 2 2 8" xfId="1172" xr:uid="{00000000-0005-0000-0000-0000AB040000}"/>
    <cellStyle name="Accent1 2 2 9" xfId="1173" xr:uid="{00000000-0005-0000-0000-0000AC040000}"/>
    <cellStyle name="Accent1 2 3" xfId="1174" xr:uid="{00000000-0005-0000-0000-0000AD040000}"/>
    <cellStyle name="Accent1 2 3 2" xfId="1175" xr:uid="{00000000-0005-0000-0000-0000AE040000}"/>
    <cellStyle name="Accent1 2 4" xfId="1176" xr:uid="{00000000-0005-0000-0000-0000AF040000}"/>
    <cellStyle name="Accent1 2 4 2" xfId="1177" xr:uid="{00000000-0005-0000-0000-0000B0040000}"/>
    <cellStyle name="Accent1 2 5" xfId="1178" xr:uid="{00000000-0005-0000-0000-0000B1040000}"/>
    <cellStyle name="Accent1 2 6" xfId="1179" xr:uid="{00000000-0005-0000-0000-0000B2040000}"/>
    <cellStyle name="Accent1 2 7" xfId="1180" xr:uid="{00000000-0005-0000-0000-0000B3040000}"/>
    <cellStyle name="Accent1 2 8" xfId="1181" xr:uid="{00000000-0005-0000-0000-0000B4040000}"/>
    <cellStyle name="Accent1 2 9" xfId="1182" xr:uid="{00000000-0005-0000-0000-0000B5040000}"/>
    <cellStyle name="Accent1 3" xfId="1183" xr:uid="{00000000-0005-0000-0000-0000B6040000}"/>
    <cellStyle name="Accent1 3 10" xfId="1184" xr:uid="{00000000-0005-0000-0000-0000B7040000}"/>
    <cellStyle name="Accent1 3 2" xfId="1185" xr:uid="{00000000-0005-0000-0000-0000B8040000}"/>
    <cellStyle name="Accent1 3 3" xfId="1186" xr:uid="{00000000-0005-0000-0000-0000B9040000}"/>
    <cellStyle name="Accent1 3 4" xfId="1187" xr:uid="{00000000-0005-0000-0000-0000BA040000}"/>
    <cellStyle name="Accent1 3 5" xfId="1188" xr:uid="{00000000-0005-0000-0000-0000BB040000}"/>
    <cellStyle name="Accent1 3 6" xfId="1189" xr:uid="{00000000-0005-0000-0000-0000BC040000}"/>
    <cellStyle name="Accent1 3 7" xfId="1190" xr:uid="{00000000-0005-0000-0000-0000BD040000}"/>
    <cellStyle name="Accent1 3 8" xfId="1191" xr:uid="{00000000-0005-0000-0000-0000BE040000}"/>
    <cellStyle name="Accent1 3 9" xfId="1192" xr:uid="{00000000-0005-0000-0000-0000BF040000}"/>
    <cellStyle name="Accent1 4" xfId="1193" xr:uid="{00000000-0005-0000-0000-0000C0040000}"/>
    <cellStyle name="Accent1 4 10" xfId="1194" xr:uid="{00000000-0005-0000-0000-0000C1040000}"/>
    <cellStyle name="Accent1 4 2" xfId="1195" xr:uid="{00000000-0005-0000-0000-0000C2040000}"/>
    <cellStyle name="Accent1 4 3" xfId="1196" xr:uid="{00000000-0005-0000-0000-0000C3040000}"/>
    <cellStyle name="Accent1 4 4" xfId="1197" xr:uid="{00000000-0005-0000-0000-0000C4040000}"/>
    <cellStyle name="Accent1 4 5" xfId="1198" xr:uid="{00000000-0005-0000-0000-0000C5040000}"/>
    <cellStyle name="Accent1 4 6" xfId="1199" xr:uid="{00000000-0005-0000-0000-0000C6040000}"/>
    <cellStyle name="Accent1 4 7" xfId="1200" xr:uid="{00000000-0005-0000-0000-0000C7040000}"/>
    <cellStyle name="Accent1 4 8" xfId="1201" xr:uid="{00000000-0005-0000-0000-0000C8040000}"/>
    <cellStyle name="Accent1 4 9" xfId="1202" xr:uid="{00000000-0005-0000-0000-0000C9040000}"/>
    <cellStyle name="Accent1 5" xfId="1203" xr:uid="{00000000-0005-0000-0000-0000CA040000}"/>
    <cellStyle name="Accent1 5 10" xfId="1204" xr:uid="{00000000-0005-0000-0000-0000CB040000}"/>
    <cellStyle name="Accent1 5 2" xfId="1205" xr:uid="{00000000-0005-0000-0000-0000CC040000}"/>
    <cellStyle name="Accent1 5 3" xfId="1206" xr:uid="{00000000-0005-0000-0000-0000CD040000}"/>
    <cellStyle name="Accent1 5 4" xfId="1207" xr:uid="{00000000-0005-0000-0000-0000CE040000}"/>
    <cellStyle name="Accent1 5 5" xfId="1208" xr:uid="{00000000-0005-0000-0000-0000CF040000}"/>
    <cellStyle name="Accent1 5 6" xfId="1209" xr:uid="{00000000-0005-0000-0000-0000D0040000}"/>
    <cellStyle name="Accent1 5 7" xfId="1210" xr:uid="{00000000-0005-0000-0000-0000D1040000}"/>
    <cellStyle name="Accent1 5 8" xfId="1211" xr:uid="{00000000-0005-0000-0000-0000D2040000}"/>
    <cellStyle name="Accent1 5 9" xfId="1212" xr:uid="{00000000-0005-0000-0000-0000D3040000}"/>
    <cellStyle name="Accent1 6 2" xfId="1213" xr:uid="{00000000-0005-0000-0000-0000D4040000}"/>
    <cellStyle name="Accent1 7 2" xfId="1214" xr:uid="{00000000-0005-0000-0000-0000D5040000}"/>
    <cellStyle name="Accent1 8" xfId="1215" xr:uid="{00000000-0005-0000-0000-0000D6040000}"/>
    <cellStyle name="Accent1 9" xfId="1216" xr:uid="{00000000-0005-0000-0000-0000D7040000}"/>
    <cellStyle name="Accent2 10" xfId="1217" xr:uid="{00000000-0005-0000-0000-0000D8040000}"/>
    <cellStyle name="Accent2 11" xfId="1218" xr:uid="{00000000-0005-0000-0000-0000D9040000}"/>
    <cellStyle name="Accent2 12" xfId="1219" xr:uid="{00000000-0005-0000-0000-0000DA040000}"/>
    <cellStyle name="Accent2 13" xfId="1220" xr:uid="{00000000-0005-0000-0000-0000DB040000}"/>
    <cellStyle name="Accent2 14" xfId="1221" xr:uid="{00000000-0005-0000-0000-0000DC040000}"/>
    <cellStyle name="Accent2 2" xfId="1222" xr:uid="{00000000-0005-0000-0000-0000DD040000}"/>
    <cellStyle name="Accent2 2 10" xfId="1223" xr:uid="{00000000-0005-0000-0000-0000DE040000}"/>
    <cellStyle name="Accent2 2 11" xfId="1224" xr:uid="{00000000-0005-0000-0000-0000DF040000}"/>
    <cellStyle name="Accent2 2 12" xfId="1225" xr:uid="{00000000-0005-0000-0000-0000E0040000}"/>
    <cellStyle name="Accent2 2 13" xfId="1226" xr:uid="{00000000-0005-0000-0000-0000E1040000}"/>
    <cellStyle name="Accent2 2 2" xfId="1227" xr:uid="{00000000-0005-0000-0000-0000E2040000}"/>
    <cellStyle name="Accent2 2 2 10" xfId="1228" xr:uid="{00000000-0005-0000-0000-0000E3040000}"/>
    <cellStyle name="Accent2 2 2 2" xfId="1229" xr:uid="{00000000-0005-0000-0000-0000E4040000}"/>
    <cellStyle name="Accent2 2 2 2 2" xfId="1230" xr:uid="{00000000-0005-0000-0000-0000E5040000}"/>
    <cellStyle name="Accent2 2 2 3" xfId="1231" xr:uid="{00000000-0005-0000-0000-0000E6040000}"/>
    <cellStyle name="Accent2 2 2 4" xfId="1232" xr:uid="{00000000-0005-0000-0000-0000E7040000}"/>
    <cellStyle name="Accent2 2 2 5" xfId="1233" xr:uid="{00000000-0005-0000-0000-0000E8040000}"/>
    <cellStyle name="Accent2 2 2 6" xfId="1234" xr:uid="{00000000-0005-0000-0000-0000E9040000}"/>
    <cellStyle name="Accent2 2 2 7" xfId="1235" xr:uid="{00000000-0005-0000-0000-0000EA040000}"/>
    <cellStyle name="Accent2 2 2 8" xfId="1236" xr:uid="{00000000-0005-0000-0000-0000EB040000}"/>
    <cellStyle name="Accent2 2 2 9" xfId="1237" xr:uid="{00000000-0005-0000-0000-0000EC040000}"/>
    <cellStyle name="Accent2 2 3" xfId="1238" xr:uid="{00000000-0005-0000-0000-0000ED040000}"/>
    <cellStyle name="Accent2 2 3 2" xfId="1239" xr:uid="{00000000-0005-0000-0000-0000EE040000}"/>
    <cellStyle name="Accent2 2 4" xfId="1240" xr:uid="{00000000-0005-0000-0000-0000EF040000}"/>
    <cellStyle name="Accent2 2 4 2" xfId="1241" xr:uid="{00000000-0005-0000-0000-0000F0040000}"/>
    <cellStyle name="Accent2 2 5" xfId="1242" xr:uid="{00000000-0005-0000-0000-0000F1040000}"/>
    <cellStyle name="Accent2 2 6" xfId="1243" xr:uid="{00000000-0005-0000-0000-0000F2040000}"/>
    <cellStyle name="Accent2 2 7" xfId="1244" xr:uid="{00000000-0005-0000-0000-0000F3040000}"/>
    <cellStyle name="Accent2 2 8" xfId="1245" xr:uid="{00000000-0005-0000-0000-0000F4040000}"/>
    <cellStyle name="Accent2 2 9" xfId="1246" xr:uid="{00000000-0005-0000-0000-0000F5040000}"/>
    <cellStyle name="Accent2 3" xfId="1247" xr:uid="{00000000-0005-0000-0000-0000F6040000}"/>
    <cellStyle name="Accent2 3 10" xfId="1248" xr:uid="{00000000-0005-0000-0000-0000F7040000}"/>
    <cellStyle name="Accent2 3 2" xfId="1249" xr:uid="{00000000-0005-0000-0000-0000F8040000}"/>
    <cellStyle name="Accent2 3 3" xfId="1250" xr:uid="{00000000-0005-0000-0000-0000F9040000}"/>
    <cellStyle name="Accent2 3 4" xfId="1251" xr:uid="{00000000-0005-0000-0000-0000FA040000}"/>
    <cellStyle name="Accent2 3 5" xfId="1252" xr:uid="{00000000-0005-0000-0000-0000FB040000}"/>
    <cellStyle name="Accent2 3 6" xfId="1253" xr:uid="{00000000-0005-0000-0000-0000FC040000}"/>
    <cellStyle name="Accent2 3 7" xfId="1254" xr:uid="{00000000-0005-0000-0000-0000FD040000}"/>
    <cellStyle name="Accent2 3 8" xfId="1255" xr:uid="{00000000-0005-0000-0000-0000FE040000}"/>
    <cellStyle name="Accent2 3 9" xfId="1256" xr:uid="{00000000-0005-0000-0000-0000FF040000}"/>
    <cellStyle name="Accent2 4" xfId="1257" xr:uid="{00000000-0005-0000-0000-000000050000}"/>
    <cellStyle name="Accent2 4 10" xfId="1258" xr:uid="{00000000-0005-0000-0000-000001050000}"/>
    <cellStyle name="Accent2 4 2" xfId="1259" xr:uid="{00000000-0005-0000-0000-000002050000}"/>
    <cellStyle name="Accent2 4 3" xfId="1260" xr:uid="{00000000-0005-0000-0000-000003050000}"/>
    <cellStyle name="Accent2 4 4" xfId="1261" xr:uid="{00000000-0005-0000-0000-000004050000}"/>
    <cellStyle name="Accent2 4 5" xfId="1262" xr:uid="{00000000-0005-0000-0000-000005050000}"/>
    <cellStyle name="Accent2 4 6" xfId="1263" xr:uid="{00000000-0005-0000-0000-000006050000}"/>
    <cellStyle name="Accent2 4 7" xfId="1264" xr:uid="{00000000-0005-0000-0000-000007050000}"/>
    <cellStyle name="Accent2 4 8" xfId="1265" xr:uid="{00000000-0005-0000-0000-000008050000}"/>
    <cellStyle name="Accent2 4 9" xfId="1266" xr:uid="{00000000-0005-0000-0000-000009050000}"/>
    <cellStyle name="Accent2 5" xfId="1267" xr:uid="{00000000-0005-0000-0000-00000A050000}"/>
    <cellStyle name="Accent2 5 10" xfId="1268" xr:uid="{00000000-0005-0000-0000-00000B050000}"/>
    <cellStyle name="Accent2 5 2" xfId="1269" xr:uid="{00000000-0005-0000-0000-00000C050000}"/>
    <cellStyle name="Accent2 5 3" xfId="1270" xr:uid="{00000000-0005-0000-0000-00000D050000}"/>
    <cellStyle name="Accent2 5 4" xfId="1271" xr:uid="{00000000-0005-0000-0000-00000E050000}"/>
    <cellStyle name="Accent2 5 5" xfId="1272" xr:uid="{00000000-0005-0000-0000-00000F050000}"/>
    <cellStyle name="Accent2 5 6" xfId="1273" xr:uid="{00000000-0005-0000-0000-000010050000}"/>
    <cellStyle name="Accent2 5 7" xfId="1274" xr:uid="{00000000-0005-0000-0000-000011050000}"/>
    <cellStyle name="Accent2 5 8" xfId="1275" xr:uid="{00000000-0005-0000-0000-000012050000}"/>
    <cellStyle name="Accent2 5 9" xfId="1276" xr:uid="{00000000-0005-0000-0000-000013050000}"/>
    <cellStyle name="Accent2 6 2" xfId="1277" xr:uid="{00000000-0005-0000-0000-000014050000}"/>
    <cellStyle name="Accent2 7 2" xfId="1278" xr:uid="{00000000-0005-0000-0000-000015050000}"/>
    <cellStyle name="Accent2 8" xfId="1279" xr:uid="{00000000-0005-0000-0000-000016050000}"/>
    <cellStyle name="Accent2 9" xfId="1280" xr:uid="{00000000-0005-0000-0000-000017050000}"/>
    <cellStyle name="Accent3 10" xfId="1281" xr:uid="{00000000-0005-0000-0000-000018050000}"/>
    <cellStyle name="Accent3 11" xfId="1282" xr:uid="{00000000-0005-0000-0000-000019050000}"/>
    <cellStyle name="Accent3 12" xfId="1283" xr:uid="{00000000-0005-0000-0000-00001A050000}"/>
    <cellStyle name="Accent3 13" xfId="1284" xr:uid="{00000000-0005-0000-0000-00001B050000}"/>
    <cellStyle name="Accent3 14" xfId="1285" xr:uid="{00000000-0005-0000-0000-00001C050000}"/>
    <cellStyle name="Accent3 2" xfId="1286" xr:uid="{00000000-0005-0000-0000-00001D050000}"/>
    <cellStyle name="Accent3 2 10" xfId="1287" xr:uid="{00000000-0005-0000-0000-00001E050000}"/>
    <cellStyle name="Accent3 2 11" xfId="1288" xr:uid="{00000000-0005-0000-0000-00001F050000}"/>
    <cellStyle name="Accent3 2 12" xfId="1289" xr:uid="{00000000-0005-0000-0000-000020050000}"/>
    <cellStyle name="Accent3 2 13" xfId="1290" xr:uid="{00000000-0005-0000-0000-000021050000}"/>
    <cellStyle name="Accent3 2 2" xfId="1291" xr:uid="{00000000-0005-0000-0000-000022050000}"/>
    <cellStyle name="Accent3 2 2 10" xfId="1292" xr:uid="{00000000-0005-0000-0000-000023050000}"/>
    <cellStyle name="Accent3 2 2 2" xfId="1293" xr:uid="{00000000-0005-0000-0000-000024050000}"/>
    <cellStyle name="Accent3 2 2 2 2" xfId="1294" xr:uid="{00000000-0005-0000-0000-000025050000}"/>
    <cellStyle name="Accent3 2 2 3" xfId="1295" xr:uid="{00000000-0005-0000-0000-000026050000}"/>
    <cellStyle name="Accent3 2 2 4" xfId="1296" xr:uid="{00000000-0005-0000-0000-000027050000}"/>
    <cellStyle name="Accent3 2 2 5" xfId="1297" xr:uid="{00000000-0005-0000-0000-000028050000}"/>
    <cellStyle name="Accent3 2 2 6" xfId="1298" xr:uid="{00000000-0005-0000-0000-000029050000}"/>
    <cellStyle name="Accent3 2 2 7" xfId="1299" xr:uid="{00000000-0005-0000-0000-00002A050000}"/>
    <cellStyle name="Accent3 2 2 8" xfId="1300" xr:uid="{00000000-0005-0000-0000-00002B050000}"/>
    <cellStyle name="Accent3 2 2 9" xfId="1301" xr:uid="{00000000-0005-0000-0000-00002C050000}"/>
    <cellStyle name="Accent3 2 3" xfId="1302" xr:uid="{00000000-0005-0000-0000-00002D050000}"/>
    <cellStyle name="Accent3 2 3 2" xfId="1303" xr:uid="{00000000-0005-0000-0000-00002E050000}"/>
    <cellStyle name="Accent3 2 4" xfId="1304" xr:uid="{00000000-0005-0000-0000-00002F050000}"/>
    <cellStyle name="Accent3 2 4 2" xfId="1305" xr:uid="{00000000-0005-0000-0000-000030050000}"/>
    <cellStyle name="Accent3 2 5" xfId="1306" xr:uid="{00000000-0005-0000-0000-000031050000}"/>
    <cellStyle name="Accent3 2 6" xfId="1307" xr:uid="{00000000-0005-0000-0000-000032050000}"/>
    <cellStyle name="Accent3 2 7" xfId="1308" xr:uid="{00000000-0005-0000-0000-000033050000}"/>
    <cellStyle name="Accent3 2 8" xfId="1309" xr:uid="{00000000-0005-0000-0000-000034050000}"/>
    <cellStyle name="Accent3 2 9" xfId="1310" xr:uid="{00000000-0005-0000-0000-000035050000}"/>
    <cellStyle name="Accent3 3" xfId="1311" xr:uid="{00000000-0005-0000-0000-000036050000}"/>
    <cellStyle name="Accent3 3 10" xfId="1312" xr:uid="{00000000-0005-0000-0000-000037050000}"/>
    <cellStyle name="Accent3 3 2" xfId="1313" xr:uid="{00000000-0005-0000-0000-000038050000}"/>
    <cellStyle name="Accent3 3 3" xfId="1314" xr:uid="{00000000-0005-0000-0000-000039050000}"/>
    <cellStyle name="Accent3 3 4" xfId="1315" xr:uid="{00000000-0005-0000-0000-00003A050000}"/>
    <cellStyle name="Accent3 3 5" xfId="1316" xr:uid="{00000000-0005-0000-0000-00003B050000}"/>
    <cellStyle name="Accent3 3 6" xfId="1317" xr:uid="{00000000-0005-0000-0000-00003C050000}"/>
    <cellStyle name="Accent3 3 7" xfId="1318" xr:uid="{00000000-0005-0000-0000-00003D050000}"/>
    <cellStyle name="Accent3 3 8" xfId="1319" xr:uid="{00000000-0005-0000-0000-00003E050000}"/>
    <cellStyle name="Accent3 3 9" xfId="1320" xr:uid="{00000000-0005-0000-0000-00003F050000}"/>
    <cellStyle name="Accent3 4" xfId="1321" xr:uid="{00000000-0005-0000-0000-000040050000}"/>
    <cellStyle name="Accent3 4 10" xfId="1322" xr:uid="{00000000-0005-0000-0000-000041050000}"/>
    <cellStyle name="Accent3 4 2" xfId="1323" xr:uid="{00000000-0005-0000-0000-000042050000}"/>
    <cellStyle name="Accent3 4 3" xfId="1324" xr:uid="{00000000-0005-0000-0000-000043050000}"/>
    <cellStyle name="Accent3 4 4" xfId="1325" xr:uid="{00000000-0005-0000-0000-000044050000}"/>
    <cellStyle name="Accent3 4 5" xfId="1326" xr:uid="{00000000-0005-0000-0000-000045050000}"/>
    <cellStyle name="Accent3 4 6" xfId="1327" xr:uid="{00000000-0005-0000-0000-000046050000}"/>
    <cellStyle name="Accent3 4 7" xfId="1328" xr:uid="{00000000-0005-0000-0000-000047050000}"/>
    <cellStyle name="Accent3 4 8" xfId="1329" xr:uid="{00000000-0005-0000-0000-000048050000}"/>
    <cellStyle name="Accent3 4 9" xfId="1330" xr:uid="{00000000-0005-0000-0000-000049050000}"/>
    <cellStyle name="Accent3 5" xfId="1331" xr:uid="{00000000-0005-0000-0000-00004A050000}"/>
    <cellStyle name="Accent3 5 10" xfId="1332" xr:uid="{00000000-0005-0000-0000-00004B050000}"/>
    <cellStyle name="Accent3 5 2" xfId="1333" xr:uid="{00000000-0005-0000-0000-00004C050000}"/>
    <cellStyle name="Accent3 5 3" xfId="1334" xr:uid="{00000000-0005-0000-0000-00004D050000}"/>
    <cellStyle name="Accent3 5 4" xfId="1335" xr:uid="{00000000-0005-0000-0000-00004E050000}"/>
    <cellStyle name="Accent3 5 5" xfId="1336" xr:uid="{00000000-0005-0000-0000-00004F050000}"/>
    <cellStyle name="Accent3 5 6" xfId="1337" xr:uid="{00000000-0005-0000-0000-000050050000}"/>
    <cellStyle name="Accent3 5 7" xfId="1338" xr:uid="{00000000-0005-0000-0000-000051050000}"/>
    <cellStyle name="Accent3 5 8" xfId="1339" xr:uid="{00000000-0005-0000-0000-000052050000}"/>
    <cellStyle name="Accent3 5 9" xfId="1340" xr:uid="{00000000-0005-0000-0000-000053050000}"/>
    <cellStyle name="Accent3 6 2" xfId="1341" xr:uid="{00000000-0005-0000-0000-000054050000}"/>
    <cellStyle name="Accent3 7 2" xfId="1342" xr:uid="{00000000-0005-0000-0000-000055050000}"/>
    <cellStyle name="Accent3 8" xfId="1343" xr:uid="{00000000-0005-0000-0000-000056050000}"/>
    <cellStyle name="Accent3 9" xfId="1344" xr:uid="{00000000-0005-0000-0000-000057050000}"/>
    <cellStyle name="Accent4 10" xfId="1345" xr:uid="{00000000-0005-0000-0000-000058050000}"/>
    <cellStyle name="Accent4 11" xfId="1346" xr:uid="{00000000-0005-0000-0000-000059050000}"/>
    <cellStyle name="Accent4 12" xfId="1347" xr:uid="{00000000-0005-0000-0000-00005A050000}"/>
    <cellStyle name="Accent4 13" xfId="1348" xr:uid="{00000000-0005-0000-0000-00005B050000}"/>
    <cellStyle name="Accent4 14" xfId="1349" xr:uid="{00000000-0005-0000-0000-00005C050000}"/>
    <cellStyle name="Accent4 2" xfId="1350" xr:uid="{00000000-0005-0000-0000-00005D050000}"/>
    <cellStyle name="Accent4 2 10" xfId="1351" xr:uid="{00000000-0005-0000-0000-00005E050000}"/>
    <cellStyle name="Accent4 2 11" xfId="1352" xr:uid="{00000000-0005-0000-0000-00005F050000}"/>
    <cellStyle name="Accent4 2 12" xfId="1353" xr:uid="{00000000-0005-0000-0000-000060050000}"/>
    <cellStyle name="Accent4 2 13" xfId="1354" xr:uid="{00000000-0005-0000-0000-000061050000}"/>
    <cellStyle name="Accent4 2 2" xfId="1355" xr:uid="{00000000-0005-0000-0000-000062050000}"/>
    <cellStyle name="Accent4 2 2 10" xfId="1356" xr:uid="{00000000-0005-0000-0000-000063050000}"/>
    <cellStyle name="Accent4 2 2 2" xfId="1357" xr:uid="{00000000-0005-0000-0000-000064050000}"/>
    <cellStyle name="Accent4 2 2 2 2" xfId="1358" xr:uid="{00000000-0005-0000-0000-000065050000}"/>
    <cellStyle name="Accent4 2 2 3" xfId="1359" xr:uid="{00000000-0005-0000-0000-000066050000}"/>
    <cellStyle name="Accent4 2 2 4" xfId="1360" xr:uid="{00000000-0005-0000-0000-000067050000}"/>
    <cellStyle name="Accent4 2 2 5" xfId="1361" xr:uid="{00000000-0005-0000-0000-000068050000}"/>
    <cellStyle name="Accent4 2 2 6" xfId="1362" xr:uid="{00000000-0005-0000-0000-000069050000}"/>
    <cellStyle name="Accent4 2 2 7" xfId="1363" xr:uid="{00000000-0005-0000-0000-00006A050000}"/>
    <cellStyle name="Accent4 2 2 8" xfId="1364" xr:uid="{00000000-0005-0000-0000-00006B050000}"/>
    <cellStyle name="Accent4 2 2 9" xfId="1365" xr:uid="{00000000-0005-0000-0000-00006C050000}"/>
    <cellStyle name="Accent4 2 3" xfId="1366" xr:uid="{00000000-0005-0000-0000-00006D050000}"/>
    <cellStyle name="Accent4 2 3 2" xfId="1367" xr:uid="{00000000-0005-0000-0000-00006E050000}"/>
    <cellStyle name="Accent4 2 4" xfId="1368" xr:uid="{00000000-0005-0000-0000-00006F050000}"/>
    <cellStyle name="Accent4 2 4 2" xfId="1369" xr:uid="{00000000-0005-0000-0000-000070050000}"/>
    <cellStyle name="Accent4 2 5" xfId="1370" xr:uid="{00000000-0005-0000-0000-000071050000}"/>
    <cellStyle name="Accent4 2 6" xfId="1371" xr:uid="{00000000-0005-0000-0000-000072050000}"/>
    <cellStyle name="Accent4 2 7" xfId="1372" xr:uid="{00000000-0005-0000-0000-000073050000}"/>
    <cellStyle name="Accent4 2 8" xfId="1373" xr:uid="{00000000-0005-0000-0000-000074050000}"/>
    <cellStyle name="Accent4 2 9" xfId="1374" xr:uid="{00000000-0005-0000-0000-000075050000}"/>
    <cellStyle name="Accent4 3" xfId="1375" xr:uid="{00000000-0005-0000-0000-000076050000}"/>
    <cellStyle name="Accent4 3 10" xfId="1376" xr:uid="{00000000-0005-0000-0000-000077050000}"/>
    <cellStyle name="Accent4 3 2" xfId="1377" xr:uid="{00000000-0005-0000-0000-000078050000}"/>
    <cellStyle name="Accent4 3 3" xfId="1378" xr:uid="{00000000-0005-0000-0000-000079050000}"/>
    <cellStyle name="Accent4 3 4" xfId="1379" xr:uid="{00000000-0005-0000-0000-00007A050000}"/>
    <cellStyle name="Accent4 3 5" xfId="1380" xr:uid="{00000000-0005-0000-0000-00007B050000}"/>
    <cellStyle name="Accent4 3 6" xfId="1381" xr:uid="{00000000-0005-0000-0000-00007C050000}"/>
    <cellStyle name="Accent4 3 7" xfId="1382" xr:uid="{00000000-0005-0000-0000-00007D050000}"/>
    <cellStyle name="Accent4 3 8" xfId="1383" xr:uid="{00000000-0005-0000-0000-00007E050000}"/>
    <cellStyle name="Accent4 3 9" xfId="1384" xr:uid="{00000000-0005-0000-0000-00007F050000}"/>
    <cellStyle name="Accent4 4" xfId="1385" xr:uid="{00000000-0005-0000-0000-000080050000}"/>
    <cellStyle name="Accent4 4 10" xfId="1386" xr:uid="{00000000-0005-0000-0000-000081050000}"/>
    <cellStyle name="Accent4 4 2" xfId="1387" xr:uid="{00000000-0005-0000-0000-000082050000}"/>
    <cellStyle name="Accent4 4 3" xfId="1388" xr:uid="{00000000-0005-0000-0000-000083050000}"/>
    <cellStyle name="Accent4 4 4" xfId="1389" xr:uid="{00000000-0005-0000-0000-000084050000}"/>
    <cellStyle name="Accent4 4 5" xfId="1390" xr:uid="{00000000-0005-0000-0000-000085050000}"/>
    <cellStyle name="Accent4 4 6" xfId="1391" xr:uid="{00000000-0005-0000-0000-000086050000}"/>
    <cellStyle name="Accent4 4 7" xfId="1392" xr:uid="{00000000-0005-0000-0000-000087050000}"/>
    <cellStyle name="Accent4 4 8" xfId="1393" xr:uid="{00000000-0005-0000-0000-000088050000}"/>
    <cellStyle name="Accent4 4 9" xfId="1394" xr:uid="{00000000-0005-0000-0000-000089050000}"/>
    <cellStyle name="Accent4 5" xfId="1395" xr:uid="{00000000-0005-0000-0000-00008A050000}"/>
    <cellStyle name="Accent4 5 10" xfId="1396" xr:uid="{00000000-0005-0000-0000-00008B050000}"/>
    <cellStyle name="Accent4 5 2" xfId="1397" xr:uid="{00000000-0005-0000-0000-00008C050000}"/>
    <cellStyle name="Accent4 5 3" xfId="1398" xr:uid="{00000000-0005-0000-0000-00008D050000}"/>
    <cellStyle name="Accent4 5 4" xfId="1399" xr:uid="{00000000-0005-0000-0000-00008E050000}"/>
    <cellStyle name="Accent4 5 5" xfId="1400" xr:uid="{00000000-0005-0000-0000-00008F050000}"/>
    <cellStyle name="Accent4 5 6" xfId="1401" xr:uid="{00000000-0005-0000-0000-000090050000}"/>
    <cellStyle name="Accent4 5 7" xfId="1402" xr:uid="{00000000-0005-0000-0000-000091050000}"/>
    <cellStyle name="Accent4 5 8" xfId="1403" xr:uid="{00000000-0005-0000-0000-000092050000}"/>
    <cellStyle name="Accent4 5 9" xfId="1404" xr:uid="{00000000-0005-0000-0000-000093050000}"/>
    <cellStyle name="Accent4 6 2" xfId="1405" xr:uid="{00000000-0005-0000-0000-000094050000}"/>
    <cellStyle name="Accent4 7 2" xfId="1406" xr:uid="{00000000-0005-0000-0000-000095050000}"/>
    <cellStyle name="Accent4 8" xfId="1407" xr:uid="{00000000-0005-0000-0000-000096050000}"/>
    <cellStyle name="Accent4 9" xfId="1408" xr:uid="{00000000-0005-0000-0000-000097050000}"/>
    <cellStyle name="Accent5 10" xfId="1409" xr:uid="{00000000-0005-0000-0000-000098050000}"/>
    <cellStyle name="Accent5 11" xfId="1410" xr:uid="{00000000-0005-0000-0000-000099050000}"/>
    <cellStyle name="Accent5 12" xfId="1411" xr:uid="{00000000-0005-0000-0000-00009A050000}"/>
    <cellStyle name="Accent5 13" xfId="1412" xr:uid="{00000000-0005-0000-0000-00009B050000}"/>
    <cellStyle name="Accent5 14" xfId="1413" xr:uid="{00000000-0005-0000-0000-00009C050000}"/>
    <cellStyle name="Accent5 2" xfId="1414" xr:uid="{00000000-0005-0000-0000-00009D050000}"/>
    <cellStyle name="Accent5 2 10" xfId="1415" xr:uid="{00000000-0005-0000-0000-00009E050000}"/>
    <cellStyle name="Accent5 2 11" xfId="1416" xr:uid="{00000000-0005-0000-0000-00009F050000}"/>
    <cellStyle name="Accent5 2 12" xfId="1417" xr:uid="{00000000-0005-0000-0000-0000A0050000}"/>
    <cellStyle name="Accent5 2 13" xfId="1418" xr:uid="{00000000-0005-0000-0000-0000A1050000}"/>
    <cellStyle name="Accent5 2 2" xfId="1419" xr:uid="{00000000-0005-0000-0000-0000A2050000}"/>
    <cellStyle name="Accent5 2 2 10" xfId="1420" xr:uid="{00000000-0005-0000-0000-0000A3050000}"/>
    <cellStyle name="Accent5 2 2 2" xfId="1421" xr:uid="{00000000-0005-0000-0000-0000A4050000}"/>
    <cellStyle name="Accent5 2 2 2 2" xfId="1422" xr:uid="{00000000-0005-0000-0000-0000A5050000}"/>
    <cellStyle name="Accent5 2 2 3" xfId="1423" xr:uid="{00000000-0005-0000-0000-0000A6050000}"/>
    <cellStyle name="Accent5 2 2 4" xfId="1424" xr:uid="{00000000-0005-0000-0000-0000A7050000}"/>
    <cellStyle name="Accent5 2 2 5" xfId="1425" xr:uid="{00000000-0005-0000-0000-0000A8050000}"/>
    <cellStyle name="Accent5 2 2 6" xfId="1426" xr:uid="{00000000-0005-0000-0000-0000A9050000}"/>
    <cellStyle name="Accent5 2 2 7" xfId="1427" xr:uid="{00000000-0005-0000-0000-0000AA050000}"/>
    <cellStyle name="Accent5 2 2 8" xfId="1428" xr:uid="{00000000-0005-0000-0000-0000AB050000}"/>
    <cellStyle name="Accent5 2 2 9" xfId="1429" xr:uid="{00000000-0005-0000-0000-0000AC050000}"/>
    <cellStyle name="Accent5 2 3" xfId="1430" xr:uid="{00000000-0005-0000-0000-0000AD050000}"/>
    <cellStyle name="Accent5 2 3 2" xfId="1431" xr:uid="{00000000-0005-0000-0000-0000AE050000}"/>
    <cellStyle name="Accent5 2 4" xfId="1432" xr:uid="{00000000-0005-0000-0000-0000AF050000}"/>
    <cellStyle name="Accent5 2 4 2" xfId="1433" xr:uid="{00000000-0005-0000-0000-0000B0050000}"/>
    <cellStyle name="Accent5 2 5" xfId="1434" xr:uid="{00000000-0005-0000-0000-0000B1050000}"/>
    <cellStyle name="Accent5 2 6" xfId="1435" xr:uid="{00000000-0005-0000-0000-0000B2050000}"/>
    <cellStyle name="Accent5 2 7" xfId="1436" xr:uid="{00000000-0005-0000-0000-0000B3050000}"/>
    <cellStyle name="Accent5 2 8" xfId="1437" xr:uid="{00000000-0005-0000-0000-0000B4050000}"/>
    <cellStyle name="Accent5 2 9" xfId="1438" xr:uid="{00000000-0005-0000-0000-0000B5050000}"/>
    <cellStyle name="Accent5 3" xfId="1439" xr:uid="{00000000-0005-0000-0000-0000B6050000}"/>
    <cellStyle name="Accent5 3 10" xfId="1440" xr:uid="{00000000-0005-0000-0000-0000B7050000}"/>
    <cellStyle name="Accent5 3 2" xfId="1441" xr:uid="{00000000-0005-0000-0000-0000B8050000}"/>
    <cellStyle name="Accent5 3 3" xfId="1442" xr:uid="{00000000-0005-0000-0000-0000B9050000}"/>
    <cellStyle name="Accent5 3 4" xfId="1443" xr:uid="{00000000-0005-0000-0000-0000BA050000}"/>
    <cellStyle name="Accent5 3 5" xfId="1444" xr:uid="{00000000-0005-0000-0000-0000BB050000}"/>
    <cellStyle name="Accent5 3 6" xfId="1445" xr:uid="{00000000-0005-0000-0000-0000BC050000}"/>
    <cellStyle name="Accent5 3 7" xfId="1446" xr:uid="{00000000-0005-0000-0000-0000BD050000}"/>
    <cellStyle name="Accent5 3 8" xfId="1447" xr:uid="{00000000-0005-0000-0000-0000BE050000}"/>
    <cellStyle name="Accent5 3 9" xfId="1448" xr:uid="{00000000-0005-0000-0000-0000BF050000}"/>
    <cellStyle name="Accent5 4" xfId="1449" xr:uid="{00000000-0005-0000-0000-0000C0050000}"/>
    <cellStyle name="Accent5 4 10" xfId="1450" xr:uid="{00000000-0005-0000-0000-0000C1050000}"/>
    <cellStyle name="Accent5 4 2" xfId="1451" xr:uid="{00000000-0005-0000-0000-0000C2050000}"/>
    <cellStyle name="Accent5 4 3" xfId="1452" xr:uid="{00000000-0005-0000-0000-0000C3050000}"/>
    <cellStyle name="Accent5 4 4" xfId="1453" xr:uid="{00000000-0005-0000-0000-0000C4050000}"/>
    <cellStyle name="Accent5 4 5" xfId="1454" xr:uid="{00000000-0005-0000-0000-0000C5050000}"/>
    <cellStyle name="Accent5 4 6" xfId="1455" xr:uid="{00000000-0005-0000-0000-0000C6050000}"/>
    <cellStyle name="Accent5 4 7" xfId="1456" xr:uid="{00000000-0005-0000-0000-0000C7050000}"/>
    <cellStyle name="Accent5 4 8" xfId="1457" xr:uid="{00000000-0005-0000-0000-0000C8050000}"/>
    <cellStyle name="Accent5 4 9" xfId="1458" xr:uid="{00000000-0005-0000-0000-0000C9050000}"/>
    <cellStyle name="Accent5 5" xfId="1459" xr:uid="{00000000-0005-0000-0000-0000CA050000}"/>
    <cellStyle name="Accent5 5 10" xfId="1460" xr:uid="{00000000-0005-0000-0000-0000CB050000}"/>
    <cellStyle name="Accent5 5 2" xfId="1461" xr:uid="{00000000-0005-0000-0000-0000CC050000}"/>
    <cellStyle name="Accent5 5 3" xfId="1462" xr:uid="{00000000-0005-0000-0000-0000CD050000}"/>
    <cellStyle name="Accent5 5 4" xfId="1463" xr:uid="{00000000-0005-0000-0000-0000CE050000}"/>
    <cellStyle name="Accent5 5 5" xfId="1464" xr:uid="{00000000-0005-0000-0000-0000CF050000}"/>
    <cellStyle name="Accent5 5 6" xfId="1465" xr:uid="{00000000-0005-0000-0000-0000D0050000}"/>
    <cellStyle name="Accent5 5 7" xfId="1466" xr:uid="{00000000-0005-0000-0000-0000D1050000}"/>
    <cellStyle name="Accent5 5 8" xfId="1467" xr:uid="{00000000-0005-0000-0000-0000D2050000}"/>
    <cellStyle name="Accent5 5 9" xfId="1468" xr:uid="{00000000-0005-0000-0000-0000D3050000}"/>
    <cellStyle name="Accent5 6 2" xfId="1469" xr:uid="{00000000-0005-0000-0000-0000D4050000}"/>
    <cellStyle name="Accent5 7 2" xfId="1470" xr:uid="{00000000-0005-0000-0000-0000D5050000}"/>
    <cellStyle name="Accent5 8" xfId="1471" xr:uid="{00000000-0005-0000-0000-0000D6050000}"/>
    <cellStyle name="Accent5 9" xfId="1472" xr:uid="{00000000-0005-0000-0000-0000D7050000}"/>
    <cellStyle name="Accent6 10" xfId="1473" xr:uid="{00000000-0005-0000-0000-0000D8050000}"/>
    <cellStyle name="Accent6 11" xfId="1474" xr:uid="{00000000-0005-0000-0000-0000D9050000}"/>
    <cellStyle name="Accent6 12" xfId="1475" xr:uid="{00000000-0005-0000-0000-0000DA050000}"/>
    <cellStyle name="Accent6 13" xfId="1476" xr:uid="{00000000-0005-0000-0000-0000DB050000}"/>
    <cellStyle name="Accent6 14" xfId="1477" xr:uid="{00000000-0005-0000-0000-0000DC050000}"/>
    <cellStyle name="Accent6 2" xfId="1478" xr:uid="{00000000-0005-0000-0000-0000DD050000}"/>
    <cellStyle name="Accent6 2 10" xfId="1479" xr:uid="{00000000-0005-0000-0000-0000DE050000}"/>
    <cellStyle name="Accent6 2 11" xfId="1480" xr:uid="{00000000-0005-0000-0000-0000DF050000}"/>
    <cellStyle name="Accent6 2 12" xfId="1481" xr:uid="{00000000-0005-0000-0000-0000E0050000}"/>
    <cellStyle name="Accent6 2 13" xfId="1482" xr:uid="{00000000-0005-0000-0000-0000E1050000}"/>
    <cellStyle name="Accent6 2 2" xfId="1483" xr:uid="{00000000-0005-0000-0000-0000E2050000}"/>
    <cellStyle name="Accent6 2 2 10" xfId="1484" xr:uid="{00000000-0005-0000-0000-0000E3050000}"/>
    <cellStyle name="Accent6 2 2 2" xfId="1485" xr:uid="{00000000-0005-0000-0000-0000E4050000}"/>
    <cellStyle name="Accent6 2 2 2 2" xfId="1486" xr:uid="{00000000-0005-0000-0000-0000E5050000}"/>
    <cellStyle name="Accent6 2 2 3" xfId="1487" xr:uid="{00000000-0005-0000-0000-0000E6050000}"/>
    <cellStyle name="Accent6 2 2 4" xfId="1488" xr:uid="{00000000-0005-0000-0000-0000E7050000}"/>
    <cellStyle name="Accent6 2 2 5" xfId="1489" xr:uid="{00000000-0005-0000-0000-0000E8050000}"/>
    <cellStyle name="Accent6 2 2 6" xfId="1490" xr:uid="{00000000-0005-0000-0000-0000E9050000}"/>
    <cellStyle name="Accent6 2 2 7" xfId="1491" xr:uid="{00000000-0005-0000-0000-0000EA050000}"/>
    <cellStyle name="Accent6 2 2 8" xfId="1492" xr:uid="{00000000-0005-0000-0000-0000EB050000}"/>
    <cellStyle name="Accent6 2 2 9" xfId="1493" xr:uid="{00000000-0005-0000-0000-0000EC050000}"/>
    <cellStyle name="Accent6 2 3" xfId="1494" xr:uid="{00000000-0005-0000-0000-0000ED050000}"/>
    <cellStyle name="Accent6 2 3 2" xfId="1495" xr:uid="{00000000-0005-0000-0000-0000EE050000}"/>
    <cellStyle name="Accent6 2 4" xfId="1496" xr:uid="{00000000-0005-0000-0000-0000EF050000}"/>
    <cellStyle name="Accent6 2 4 2" xfId="1497" xr:uid="{00000000-0005-0000-0000-0000F0050000}"/>
    <cellStyle name="Accent6 2 5" xfId="1498" xr:uid="{00000000-0005-0000-0000-0000F1050000}"/>
    <cellStyle name="Accent6 2 6" xfId="1499" xr:uid="{00000000-0005-0000-0000-0000F2050000}"/>
    <cellStyle name="Accent6 2 7" xfId="1500" xr:uid="{00000000-0005-0000-0000-0000F3050000}"/>
    <cellStyle name="Accent6 2 8" xfId="1501" xr:uid="{00000000-0005-0000-0000-0000F4050000}"/>
    <cellStyle name="Accent6 2 9" xfId="1502" xr:uid="{00000000-0005-0000-0000-0000F5050000}"/>
    <cellStyle name="Accent6 3" xfId="1503" xr:uid="{00000000-0005-0000-0000-0000F6050000}"/>
    <cellStyle name="Accent6 3 10" xfId="1504" xr:uid="{00000000-0005-0000-0000-0000F7050000}"/>
    <cellStyle name="Accent6 3 2" xfId="1505" xr:uid="{00000000-0005-0000-0000-0000F8050000}"/>
    <cellStyle name="Accent6 3 3" xfId="1506" xr:uid="{00000000-0005-0000-0000-0000F9050000}"/>
    <cellStyle name="Accent6 3 4" xfId="1507" xr:uid="{00000000-0005-0000-0000-0000FA050000}"/>
    <cellStyle name="Accent6 3 5" xfId="1508" xr:uid="{00000000-0005-0000-0000-0000FB050000}"/>
    <cellStyle name="Accent6 3 6" xfId="1509" xr:uid="{00000000-0005-0000-0000-0000FC050000}"/>
    <cellStyle name="Accent6 3 7" xfId="1510" xr:uid="{00000000-0005-0000-0000-0000FD050000}"/>
    <cellStyle name="Accent6 3 8" xfId="1511" xr:uid="{00000000-0005-0000-0000-0000FE050000}"/>
    <cellStyle name="Accent6 3 9" xfId="1512" xr:uid="{00000000-0005-0000-0000-0000FF050000}"/>
    <cellStyle name="Accent6 4" xfId="1513" xr:uid="{00000000-0005-0000-0000-000000060000}"/>
    <cellStyle name="Accent6 4 10" xfId="1514" xr:uid="{00000000-0005-0000-0000-000001060000}"/>
    <cellStyle name="Accent6 4 2" xfId="1515" xr:uid="{00000000-0005-0000-0000-000002060000}"/>
    <cellStyle name="Accent6 4 3" xfId="1516" xr:uid="{00000000-0005-0000-0000-000003060000}"/>
    <cellStyle name="Accent6 4 4" xfId="1517" xr:uid="{00000000-0005-0000-0000-000004060000}"/>
    <cellStyle name="Accent6 4 5" xfId="1518" xr:uid="{00000000-0005-0000-0000-000005060000}"/>
    <cellStyle name="Accent6 4 6" xfId="1519" xr:uid="{00000000-0005-0000-0000-000006060000}"/>
    <cellStyle name="Accent6 4 7" xfId="1520" xr:uid="{00000000-0005-0000-0000-000007060000}"/>
    <cellStyle name="Accent6 4 8" xfId="1521" xr:uid="{00000000-0005-0000-0000-000008060000}"/>
    <cellStyle name="Accent6 4 9" xfId="1522" xr:uid="{00000000-0005-0000-0000-000009060000}"/>
    <cellStyle name="Accent6 5" xfId="1523" xr:uid="{00000000-0005-0000-0000-00000A060000}"/>
    <cellStyle name="Accent6 5 10" xfId="1524" xr:uid="{00000000-0005-0000-0000-00000B060000}"/>
    <cellStyle name="Accent6 5 2" xfId="1525" xr:uid="{00000000-0005-0000-0000-00000C060000}"/>
    <cellStyle name="Accent6 5 3" xfId="1526" xr:uid="{00000000-0005-0000-0000-00000D060000}"/>
    <cellStyle name="Accent6 5 4" xfId="1527" xr:uid="{00000000-0005-0000-0000-00000E060000}"/>
    <cellStyle name="Accent6 5 5" xfId="1528" xr:uid="{00000000-0005-0000-0000-00000F060000}"/>
    <cellStyle name="Accent6 5 6" xfId="1529" xr:uid="{00000000-0005-0000-0000-000010060000}"/>
    <cellStyle name="Accent6 5 7" xfId="1530" xr:uid="{00000000-0005-0000-0000-000011060000}"/>
    <cellStyle name="Accent6 5 8" xfId="1531" xr:uid="{00000000-0005-0000-0000-000012060000}"/>
    <cellStyle name="Accent6 5 9" xfId="1532" xr:uid="{00000000-0005-0000-0000-000013060000}"/>
    <cellStyle name="Accent6 6 2" xfId="1533" xr:uid="{00000000-0005-0000-0000-000014060000}"/>
    <cellStyle name="Accent6 7 2" xfId="1534" xr:uid="{00000000-0005-0000-0000-000015060000}"/>
    <cellStyle name="Accent6 8" xfId="1535" xr:uid="{00000000-0005-0000-0000-000016060000}"/>
    <cellStyle name="Accent6 9" xfId="1536" xr:uid="{00000000-0005-0000-0000-000017060000}"/>
    <cellStyle name="Bad 10" xfId="1537" xr:uid="{00000000-0005-0000-0000-000018060000}"/>
    <cellStyle name="Bad 11" xfId="1538" xr:uid="{00000000-0005-0000-0000-000019060000}"/>
    <cellStyle name="Bad 12" xfId="1539" xr:uid="{00000000-0005-0000-0000-00001A060000}"/>
    <cellStyle name="Bad 13" xfId="1540" xr:uid="{00000000-0005-0000-0000-00001B060000}"/>
    <cellStyle name="Bad 14" xfId="1541" xr:uid="{00000000-0005-0000-0000-00001C060000}"/>
    <cellStyle name="Bad 2" xfId="1542" xr:uid="{00000000-0005-0000-0000-00001D060000}"/>
    <cellStyle name="Bad 2 10" xfId="1543" xr:uid="{00000000-0005-0000-0000-00001E060000}"/>
    <cellStyle name="Bad 2 11" xfId="1544" xr:uid="{00000000-0005-0000-0000-00001F060000}"/>
    <cellStyle name="Bad 2 12" xfId="1545" xr:uid="{00000000-0005-0000-0000-000020060000}"/>
    <cellStyle name="Bad 2 13" xfId="1546" xr:uid="{00000000-0005-0000-0000-000021060000}"/>
    <cellStyle name="Bad 2 2" xfId="1547" xr:uid="{00000000-0005-0000-0000-000022060000}"/>
    <cellStyle name="Bad 2 2 10" xfId="1548" xr:uid="{00000000-0005-0000-0000-000023060000}"/>
    <cellStyle name="Bad 2 2 2" xfId="1549" xr:uid="{00000000-0005-0000-0000-000024060000}"/>
    <cellStyle name="Bad 2 2 2 2" xfId="1550" xr:uid="{00000000-0005-0000-0000-000025060000}"/>
    <cellStyle name="Bad 2 2 3" xfId="1551" xr:uid="{00000000-0005-0000-0000-000026060000}"/>
    <cellStyle name="Bad 2 2 4" xfId="1552" xr:uid="{00000000-0005-0000-0000-000027060000}"/>
    <cellStyle name="Bad 2 2 5" xfId="1553" xr:uid="{00000000-0005-0000-0000-000028060000}"/>
    <cellStyle name="Bad 2 2 6" xfId="1554" xr:uid="{00000000-0005-0000-0000-000029060000}"/>
    <cellStyle name="Bad 2 2 7" xfId="1555" xr:uid="{00000000-0005-0000-0000-00002A060000}"/>
    <cellStyle name="Bad 2 2 8" xfId="1556" xr:uid="{00000000-0005-0000-0000-00002B060000}"/>
    <cellStyle name="Bad 2 2 9" xfId="1557" xr:uid="{00000000-0005-0000-0000-00002C060000}"/>
    <cellStyle name="Bad 2 3" xfId="1558" xr:uid="{00000000-0005-0000-0000-00002D060000}"/>
    <cellStyle name="Bad 2 3 2" xfId="1559" xr:uid="{00000000-0005-0000-0000-00002E060000}"/>
    <cellStyle name="Bad 2 4" xfId="1560" xr:uid="{00000000-0005-0000-0000-00002F060000}"/>
    <cellStyle name="Bad 2 4 2" xfId="1561" xr:uid="{00000000-0005-0000-0000-000030060000}"/>
    <cellStyle name="Bad 2 5" xfId="1562" xr:uid="{00000000-0005-0000-0000-000031060000}"/>
    <cellStyle name="Bad 2 6" xfId="1563" xr:uid="{00000000-0005-0000-0000-000032060000}"/>
    <cellStyle name="Bad 2 7" xfId="1564" xr:uid="{00000000-0005-0000-0000-000033060000}"/>
    <cellStyle name="Bad 2 8" xfId="1565" xr:uid="{00000000-0005-0000-0000-000034060000}"/>
    <cellStyle name="Bad 2 9" xfId="1566" xr:uid="{00000000-0005-0000-0000-000035060000}"/>
    <cellStyle name="Bad 3" xfId="1567" xr:uid="{00000000-0005-0000-0000-000036060000}"/>
    <cellStyle name="Bad 3 10" xfId="1568" xr:uid="{00000000-0005-0000-0000-000037060000}"/>
    <cellStyle name="Bad 3 2" xfId="1569" xr:uid="{00000000-0005-0000-0000-000038060000}"/>
    <cellStyle name="Bad 3 3" xfId="1570" xr:uid="{00000000-0005-0000-0000-000039060000}"/>
    <cellStyle name="Bad 3 4" xfId="1571" xr:uid="{00000000-0005-0000-0000-00003A060000}"/>
    <cellStyle name="Bad 3 5" xfId="1572" xr:uid="{00000000-0005-0000-0000-00003B060000}"/>
    <cellStyle name="Bad 3 6" xfId="1573" xr:uid="{00000000-0005-0000-0000-00003C060000}"/>
    <cellStyle name="Bad 3 7" xfId="1574" xr:uid="{00000000-0005-0000-0000-00003D060000}"/>
    <cellStyle name="Bad 3 8" xfId="1575" xr:uid="{00000000-0005-0000-0000-00003E060000}"/>
    <cellStyle name="Bad 3 9" xfId="1576" xr:uid="{00000000-0005-0000-0000-00003F060000}"/>
    <cellStyle name="Bad 4" xfId="1577" xr:uid="{00000000-0005-0000-0000-000040060000}"/>
    <cellStyle name="Bad 4 10" xfId="1578" xr:uid="{00000000-0005-0000-0000-000041060000}"/>
    <cellStyle name="Bad 4 2" xfId="1579" xr:uid="{00000000-0005-0000-0000-000042060000}"/>
    <cellStyle name="Bad 4 3" xfId="1580" xr:uid="{00000000-0005-0000-0000-000043060000}"/>
    <cellStyle name="Bad 4 4" xfId="1581" xr:uid="{00000000-0005-0000-0000-000044060000}"/>
    <cellStyle name="Bad 4 5" xfId="1582" xr:uid="{00000000-0005-0000-0000-000045060000}"/>
    <cellStyle name="Bad 4 6" xfId="1583" xr:uid="{00000000-0005-0000-0000-000046060000}"/>
    <cellStyle name="Bad 4 7" xfId="1584" xr:uid="{00000000-0005-0000-0000-000047060000}"/>
    <cellStyle name="Bad 4 8" xfId="1585" xr:uid="{00000000-0005-0000-0000-000048060000}"/>
    <cellStyle name="Bad 4 9" xfId="1586" xr:uid="{00000000-0005-0000-0000-000049060000}"/>
    <cellStyle name="Bad 5" xfId="1587" xr:uid="{00000000-0005-0000-0000-00004A060000}"/>
    <cellStyle name="Bad 5 10" xfId="1588" xr:uid="{00000000-0005-0000-0000-00004B060000}"/>
    <cellStyle name="Bad 5 2" xfId="1589" xr:uid="{00000000-0005-0000-0000-00004C060000}"/>
    <cellStyle name="Bad 5 3" xfId="1590" xr:uid="{00000000-0005-0000-0000-00004D060000}"/>
    <cellStyle name="Bad 5 4" xfId="1591" xr:uid="{00000000-0005-0000-0000-00004E060000}"/>
    <cellStyle name="Bad 5 5" xfId="1592" xr:uid="{00000000-0005-0000-0000-00004F060000}"/>
    <cellStyle name="Bad 5 6" xfId="1593" xr:uid="{00000000-0005-0000-0000-000050060000}"/>
    <cellStyle name="Bad 5 7" xfId="1594" xr:uid="{00000000-0005-0000-0000-000051060000}"/>
    <cellStyle name="Bad 5 8" xfId="1595" xr:uid="{00000000-0005-0000-0000-000052060000}"/>
    <cellStyle name="Bad 5 9" xfId="1596" xr:uid="{00000000-0005-0000-0000-000053060000}"/>
    <cellStyle name="Bad 6 2" xfId="1597" xr:uid="{00000000-0005-0000-0000-000054060000}"/>
    <cellStyle name="Bad 7 2" xfId="1598" xr:uid="{00000000-0005-0000-0000-000055060000}"/>
    <cellStyle name="Bad 8" xfId="1599" xr:uid="{00000000-0005-0000-0000-000056060000}"/>
    <cellStyle name="Bad 9" xfId="1600" xr:uid="{00000000-0005-0000-0000-000057060000}"/>
    <cellStyle name="Calculation 10" xfId="1601" xr:uid="{00000000-0005-0000-0000-000058060000}"/>
    <cellStyle name="Calculation 11" xfId="1602" xr:uid="{00000000-0005-0000-0000-000059060000}"/>
    <cellStyle name="Calculation 12" xfId="1603" xr:uid="{00000000-0005-0000-0000-00005A060000}"/>
    <cellStyle name="Calculation 13" xfId="1604" xr:uid="{00000000-0005-0000-0000-00005B060000}"/>
    <cellStyle name="Calculation 14" xfId="1605" xr:uid="{00000000-0005-0000-0000-00005C060000}"/>
    <cellStyle name="Calculation 2" xfId="1606" xr:uid="{00000000-0005-0000-0000-00005D060000}"/>
    <cellStyle name="Calculation 2 10" xfId="1607" xr:uid="{00000000-0005-0000-0000-00005E060000}"/>
    <cellStyle name="Calculation 2 11" xfId="1608" xr:uid="{00000000-0005-0000-0000-00005F060000}"/>
    <cellStyle name="Calculation 2 12" xfId="1609" xr:uid="{00000000-0005-0000-0000-000060060000}"/>
    <cellStyle name="Calculation 2 13" xfId="1610" xr:uid="{00000000-0005-0000-0000-000061060000}"/>
    <cellStyle name="Calculation 2 2" xfId="1611" xr:uid="{00000000-0005-0000-0000-000062060000}"/>
    <cellStyle name="Calculation 2 2 10" xfId="1612" xr:uid="{00000000-0005-0000-0000-000063060000}"/>
    <cellStyle name="Calculation 2 2 2" xfId="1613" xr:uid="{00000000-0005-0000-0000-000064060000}"/>
    <cellStyle name="Calculation 2 2 2 2" xfId="1614" xr:uid="{00000000-0005-0000-0000-000065060000}"/>
    <cellStyle name="Calculation 2 2 3" xfId="1615" xr:uid="{00000000-0005-0000-0000-000066060000}"/>
    <cellStyle name="Calculation 2 2 4" xfId="1616" xr:uid="{00000000-0005-0000-0000-000067060000}"/>
    <cellStyle name="Calculation 2 2 5" xfId="1617" xr:uid="{00000000-0005-0000-0000-000068060000}"/>
    <cellStyle name="Calculation 2 2 6" xfId="1618" xr:uid="{00000000-0005-0000-0000-000069060000}"/>
    <cellStyle name="Calculation 2 2 7" xfId="1619" xr:uid="{00000000-0005-0000-0000-00006A060000}"/>
    <cellStyle name="Calculation 2 2 8" xfId="1620" xr:uid="{00000000-0005-0000-0000-00006B060000}"/>
    <cellStyle name="Calculation 2 2 9" xfId="1621" xr:uid="{00000000-0005-0000-0000-00006C060000}"/>
    <cellStyle name="Calculation 2 3" xfId="1622" xr:uid="{00000000-0005-0000-0000-00006D060000}"/>
    <cellStyle name="Calculation 2 3 2" xfId="1623" xr:uid="{00000000-0005-0000-0000-00006E060000}"/>
    <cellStyle name="Calculation 2 4" xfId="1624" xr:uid="{00000000-0005-0000-0000-00006F060000}"/>
    <cellStyle name="Calculation 2 4 2" xfId="1625" xr:uid="{00000000-0005-0000-0000-000070060000}"/>
    <cellStyle name="Calculation 2 5" xfId="1626" xr:uid="{00000000-0005-0000-0000-000071060000}"/>
    <cellStyle name="Calculation 2 6" xfId="1627" xr:uid="{00000000-0005-0000-0000-000072060000}"/>
    <cellStyle name="Calculation 2 7" xfId="1628" xr:uid="{00000000-0005-0000-0000-000073060000}"/>
    <cellStyle name="Calculation 2 8" xfId="1629" xr:uid="{00000000-0005-0000-0000-000074060000}"/>
    <cellStyle name="Calculation 2 9" xfId="1630" xr:uid="{00000000-0005-0000-0000-000075060000}"/>
    <cellStyle name="Calculation 3" xfId="1631" xr:uid="{00000000-0005-0000-0000-000076060000}"/>
    <cellStyle name="Calculation 3 10" xfId="1632" xr:uid="{00000000-0005-0000-0000-000077060000}"/>
    <cellStyle name="Calculation 3 2" xfId="1633" xr:uid="{00000000-0005-0000-0000-000078060000}"/>
    <cellStyle name="Calculation 3 3" xfId="1634" xr:uid="{00000000-0005-0000-0000-000079060000}"/>
    <cellStyle name="Calculation 3 4" xfId="1635" xr:uid="{00000000-0005-0000-0000-00007A060000}"/>
    <cellStyle name="Calculation 3 5" xfId="1636" xr:uid="{00000000-0005-0000-0000-00007B060000}"/>
    <cellStyle name="Calculation 3 6" xfId="1637" xr:uid="{00000000-0005-0000-0000-00007C060000}"/>
    <cellStyle name="Calculation 3 7" xfId="1638" xr:uid="{00000000-0005-0000-0000-00007D060000}"/>
    <cellStyle name="Calculation 3 8" xfId="1639" xr:uid="{00000000-0005-0000-0000-00007E060000}"/>
    <cellStyle name="Calculation 3 9" xfId="1640" xr:uid="{00000000-0005-0000-0000-00007F060000}"/>
    <cellStyle name="Calculation 4" xfId="1641" xr:uid="{00000000-0005-0000-0000-000080060000}"/>
    <cellStyle name="Calculation 4 10" xfId="1642" xr:uid="{00000000-0005-0000-0000-000081060000}"/>
    <cellStyle name="Calculation 4 2" xfId="1643" xr:uid="{00000000-0005-0000-0000-000082060000}"/>
    <cellStyle name="Calculation 4 3" xfId="1644" xr:uid="{00000000-0005-0000-0000-000083060000}"/>
    <cellStyle name="Calculation 4 4" xfId="1645" xr:uid="{00000000-0005-0000-0000-000084060000}"/>
    <cellStyle name="Calculation 4 5" xfId="1646" xr:uid="{00000000-0005-0000-0000-000085060000}"/>
    <cellStyle name="Calculation 4 6" xfId="1647" xr:uid="{00000000-0005-0000-0000-000086060000}"/>
    <cellStyle name="Calculation 4 7" xfId="1648" xr:uid="{00000000-0005-0000-0000-000087060000}"/>
    <cellStyle name="Calculation 4 8" xfId="1649" xr:uid="{00000000-0005-0000-0000-000088060000}"/>
    <cellStyle name="Calculation 4 9" xfId="1650" xr:uid="{00000000-0005-0000-0000-000089060000}"/>
    <cellStyle name="Calculation 5" xfId="1651" xr:uid="{00000000-0005-0000-0000-00008A060000}"/>
    <cellStyle name="Calculation 5 10" xfId="1652" xr:uid="{00000000-0005-0000-0000-00008B060000}"/>
    <cellStyle name="Calculation 5 2" xfId="1653" xr:uid="{00000000-0005-0000-0000-00008C060000}"/>
    <cellStyle name="Calculation 5 3" xfId="1654" xr:uid="{00000000-0005-0000-0000-00008D060000}"/>
    <cellStyle name="Calculation 5 4" xfId="1655" xr:uid="{00000000-0005-0000-0000-00008E060000}"/>
    <cellStyle name="Calculation 5 5" xfId="1656" xr:uid="{00000000-0005-0000-0000-00008F060000}"/>
    <cellStyle name="Calculation 5 6" xfId="1657" xr:uid="{00000000-0005-0000-0000-000090060000}"/>
    <cellStyle name="Calculation 5 7" xfId="1658" xr:uid="{00000000-0005-0000-0000-000091060000}"/>
    <cellStyle name="Calculation 5 8" xfId="1659" xr:uid="{00000000-0005-0000-0000-000092060000}"/>
    <cellStyle name="Calculation 5 9" xfId="1660" xr:uid="{00000000-0005-0000-0000-000093060000}"/>
    <cellStyle name="Calculation 6 2" xfId="1661" xr:uid="{00000000-0005-0000-0000-000094060000}"/>
    <cellStyle name="Calculation 7 2" xfId="1662" xr:uid="{00000000-0005-0000-0000-000095060000}"/>
    <cellStyle name="Calculation 8" xfId="1663" xr:uid="{00000000-0005-0000-0000-000096060000}"/>
    <cellStyle name="Calculation 9" xfId="1664" xr:uid="{00000000-0005-0000-0000-000097060000}"/>
    <cellStyle name="Check Cell 10" xfId="1665" xr:uid="{00000000-0005-0000-0000-000098060000}"/>
    <cellStyle name="Check Cell 11" xfId="1666" xr:uid="{00000000-0005-0000-0000-000099060000}"/>
    <cellStyle name="Check Cell 12" xfId="1667" xr:uid="{00000000-0005-0000-0000-00009A060000}"/>
    <cellStyle name="Check Cell 13" xfId="1668" xr:uid="{00000000-0005-0000-0000-00009B060000}"/>
    <cellStyle name="Check Cell 14" xfId="1669" xr:uid="{00000000-0005-0000-0000-00009C060000}"/>
    <cellStyle name="Check Cell 2" xfId="1670" xr:uid="{00000000-0005-0000-0000-00009D060000}"/>
    <cellStyle name="Check Cell 2 10" xfId="1671" xr:uid="{00000000-0005-0000-0000-00009E060000}"/>
    <cellStyle name="Check Cell 2 11" xfId="1672" xr:uid="{00000000-0005-0000-0000-00009F060000}"/>
    <cellStyle name="Check Cell 2 12" xfId="1673" xr:uid="{00000000-0005-0000-0000-0000A0060000}"/>
    <cellStyle name="Check Cell 2 13" xfId="1674" xr:uid="{00000000-0005-0000-0000-0000A1060000}"/>
    <cellStyle name="Check Cell 2 2" xfId="1675" xr:uid="{00000000-0005-0000-0000-0000A2060000}"/>
    <cellStyle name="Check Cell 2 2 10" xfId="1676" xr:uid="{00000000-0005-0000-0000-0000A3060000}"/>
    <cellStyle name="Check Cell 2 2 2" xfId="1677" xr:uid="{00000000-0005-0000-0000-0000A4060000}"/>
    <cellStyle name="Check Cell 2 2 2 2" xfId="1678" xr:uid="{00000000-0005-0000-0000-0000A5060000}"/>
    <cellStyle name="Check Cell 2 2 3" xfId="1679" xr:uid="{00000000-0005-0000-0000-0000A6060000}"/>
    <cellStyle name="Check Cell 2 2 4" xfId="1680" xr:uid="{00000000-0005-0000-0000-0000A7060000}"/>
    <cellStyle name="Check Cell 2 2 5" xfId="1681" xr:uid="{00000000-0005-0000-0000-0000A8060000}"/>
    <cellStyle name="Check Cell 2 2 6" xfId="1682" xr:uid="{00000000-0005-0000-0000-0000A9060000}"/>
    <cellStyle name="Check Cell 2 2 7" xfId="1683" xr:uid="{00000000-0005-0000-0000-0000AA060000}"/>
    <cellStyle name="Check Cell 2 2 8" xfId="1684" xr:uid="{00000000-0005-0000-0000-0000AB060000}"/>
    <cellStyle name="Check Cell 2 2 9" xfId="1685" xr:uid="{00000000-0005-0000-0000-0000AC060000}"/>
    <cellStyle name="Check Cell 2 3" xfId="1686" xr:uid="{00000000-0005-0000-0000-0000AD060000}"/>
    <cellStyle name="Check Cell 2 3 2" xfId="1687" xr:uid="{00000000-0005-0000-0000-0000AE060000}"/>
    <cellStyle name="Check Cell 2 4" xfId="1688" xr:uid="{00000000-0005-0000-0000-0000AF060000}"/>
    <cellStyle name="Check Cell 2 4 2" xfId="1689" xr:uid="{00000000-0005-0000-0000-0000B0060000}"/>
    <cellStyle name="Check Cell 2 5" xfId="1690" xr:uid="{00000000-0005-0000-0000-0000B1060000}"/>
    <cellStyle name="Check Cell 2 6" xfId="1691" xr:uid="{00000000-0005-0000-0000-0000B2060000}"/>
    <cellStyle name="Check Cell 2 7" xfId="1692" xr:uid="{00000000-0005-0000-0000-0000B3060000}"/>
    <cellStyle name="Check Cell 2 8" xfId="1693" xr:uid="{00000000-0005-0000-0000-0000B4060000}"/>
    <cellStyle name="Check Cell 2 9" xfId="1694" xr:uid="{00000000-0005-0000-0000-0000B5060000}"/>
    <cellStyle name="Check Cell 3" xfId="1695" xr:uid="{00000000-0005-0000-0000-0000B6060000}"/>
    <cellStyle name="Check Cell 3 10" xfId="1696" xr:uid="{00000000-0005-0000-0000-0000B7060000}"/>
    <cellStyle name="Check Cell 3 2" xfId="1697" xr:uid="{00000000-0005-0000-0000-0000B8060000}"/>
    <cellStyle name="Check Cell 3 3" xfId="1698" xr:uid="{00000000-0005-0000-0000-0000B9060000}"/>
    <cellStyle name="Check Cell 3 4" xfId="1699" xr:uid="{00000000-0005-0000-0000-0000BA060000}"/>
    <cellStyle name="Check Cell 3 5" xfId="1700" xr:uid="{00000000-0005-0000-0000-0000BB060000}"/>
    <cellStyle name="Check Cell 3 6" xfId="1701" xr:uid="{00000000-0005-0000-0000-0000BC060000}"/>
    <cellStyle name="Check Cell 3 7" xfId="1702" xr:uid="{00000000-0005-0000-0000-0000BD060000}"/>
    <cellStyle name="Check Cell 3 8" xfId="1703" xr:uid="{00000000-0005-0000-0000-0000BE060000}"/>
    <cellStyle name="Check Cell 3 9" xfId="1704" xr:uid="{00000000-0005-0000-0000-0000BF060000}"/>
    <cellStyle name="Check Cell 4" xfId="1705" xr:uid="{00000000-0005-0000-0000-0000C0060000}"/>
    <cellStyle name="Check Cell 4 10" xfId="1706" xr:uid="{00000000-0005-0000-0000-0000C1060000}"/>
    <cellStyle name="Check Cell 4 2" xfId="1707" xr:uid="{00000000-0005-0000-0000-0000C2060000}"/>
    <cellStyle name="Check Cell 4 3" xfId="1708" xr:uid="{00000000-0005-0000-0000-0000C3060000}"/>
    <cellStyle name="Check Cell 4 4" xfId="1709" xr:uid="{00000000-0005-0000-0000-0000C4060000}"/>
    <cellStyle name="Check Cell 4 5" xfId="1710" xr:uid="{00000000-0005-0000-0000-0000C5060000}"/>
    <cellStyle name="Check Cell 4 6" xfId="1711" xr:uid="{00000000-0005-0000-0000-0000C6060000}"/>
    <cellStyle name="Check Cell 4 7" xfId="1712" xr:uid="{00000000-0005-0000-0000-0000C7060000}"/>
    <cellStyle name="Check Cell 4 8" xfId="1713" xr:uid="{00000000-0005-0000-0000-0000C8060000}"/>
    <cellStyle name="Check Cell 4 9" xfId="1714" xr:uid="{00000000-0005-0000-0000-0000C9060000}"/>
    <cellStyle name="Check Cell 5" xfId="1715" xr:uid="{00000000-0005-0000-0000-0000CA060000}"/>
    <cellStyle name="Check Cell 5 10" xfId="1716" xr:uid="{00000000-0005-0000-0000-0000CB060000}"/>
    <cellStyle name="Check Cell 5 2" xfId="1717" xr:uid="{00000000-0005-0000-0000-0000CC060000}"/>
    <cellStyle name="Check Cell 5 3" xfId="1718" xr:uid="{00000000-0005-0000-0000-0000CD060000}"/>
    <cellStyle name="Check Cell 5 4" xfId="1719" xr:uid="{00000000-0005-0000-0000-0000CE060000}"/>
    <cellStyle name="Check Cell 5 5" xfId="1720" xr:uid="{00000000-0005-0000-0000-0000CF060000}"/>
    <cellStyle name="Check Cell 5 6" xfId="1721" xr:uid="{00000000-0005-0000-0000-0000D0060000}"/>
    <cellStyle name="Check Cell 5 7" xfId="1722" xr:uid="{00000000-0005-0000-0000-0000D1060000}"/>
    <cellStyle name="Check Cell 5 8" xfId="1723" xr:uid="{00000000-0005-0000-0000-0000D2060000}"/>
    <cellStyle name="Check Cell 5 9" xfId="1724" xr:uid="{00000000-0005-0000-0000-0000D3060000}"/>
    <cellStyle name="Check Cell 6 2" xfId="1725" xr:uid="{00000000-0005-0000-0000-0000D4060000}"/>
    <cellStyle name="Check Cell 7 2" xfId="1726" xr:uid="{00000000-0005-0000-0000-0000D5060000}"/>
    <cellStyle name="Check Cell 8" xfId="1727" xr:uid="{00000000-0005-0000-0000-0000D6060000}"/>
    <cellStyle name="Check Cell 9" xfId="1728" xr:uid="{00000000-0005-0000-0000-0000D7060000}"/>
    <cellStyle name="Comma 3" xfId="1729" xr:uid="{00000000-0005-0000-0000-0000D8060000}"/>
    <cellStyle name="Comma 7" xfId="1730" xr:uid="{00000000-0005-0000-0000-0000D9060000}"/>
    <cellStyle name="Comma0" xfId="1731" xr:uid="{00000000-0005-0000-0000-0000DA060000}"/>
    <cellStyle name="Comma0 2" xfId="1732" xr:uid="{00000000-0005-0000-0000-0000DB060000}"/>
    <cellStyle name="Currency0" xfId="1733" xr:uid="{00000000-0005-0000-0000-0000DC060000}"/>
    <cellStyle name="Currency0 2" xfId="1734" xr:uid="{00000000-0005-0000-0000-0000DD060000}"/>
    <cellStyle name="Date" xfId="1735" xr:uid="{00000000-0005-0000-0000-0000DE060000}"/>
    <cellStyle name="Date 2" xfId="1736" xr:uid="{00000000-0005-0000-0000-0000DF060000}"/>
    <cellStyle name="Explanatory Text 10" xfId="1737" xr:uid="{00000000-0005-0000-0000-0000E0060000}"/>
    <cellStyle name="Explanatory Text 11" xfId="1738" xr:uid="{00000000-0005-0000-0000-0000E1060000}"/>
    <cellStyle name="Explanatory Text 12" xfId="1739" xr:uid="{00000000-0005-0000-0000-0000E2060000}"/>
    <cellStyle name="Explanatory Text 13" xfId="1740" xr:uid="{00000000-0005-0000-0000-0000E3060000}"/>
    <cellStyle name="Explanatory Text 14" xfId="1741" xr:uid="{00000000-0005-0000-0000-0000E4060000}"/>
    <cellStyle name="Explanatory Text 2" xfId="1742" xr:uid="{00000000-0005-0000-0000-0000E5060000}"/>
    <cellStyle name="Explanatory Text 2 10" xfId="1743" xr:uid="{00000000-0005-0000-0000-0000E6060000}"/>
    <cellStyle name="Explanatory Text 2 11" xfId="1744" xr:uid="{00000000-0005-0000-0000-0000E7060000}"/>
    <cellStyle name="Explanatory Text 2 12" xfId="1745" xr:uid="{00000000-0005-0000-0000-0000E8060000}"/>
    <cellStyle name="Explanatory Text 2 13" xfId="1746" xr:uid="{00000000-0005-0000-0000-0000E9060000}"/>
    <cellStyle name="Explanatory Text 2 2" xfId="1747" xr:uid="{00000000-0005-0000-0000-0000EA060000}"/>
    <cellStyle name="Explanatory Text 2 2 10" xfId="1748" xr:uid="{00000000-0005-0000-0000-0000EB060000}"/>
    <cellStyle name="Explanatory Text 2 2 2" xfId="1749" xr:uid="{00000000-0005-0000-0000-0000EC060000}"/>
    <cellStyle name="Explanatory Text 2 2 2 2" xfId="1750" xr:uid="{00000000-0005-0000-0000-0000ED060000}"/>
    <cellStyle name="Explanatory Text 2 2 3" xfId="1751" xr:uid="{00000000-0005-0000-0000-0000EE060000}"/>
    <cellStyle name="Explanatory Text 2 2 4" xfId="1752" xr:uid="{00000000-0005-0000-0000-0000EF060000}"/>
    <cellStyle name="Explanatory Text 2 2 5" xfId="1753" xr:uid="{00000000-0005-0000-0000-0000F0060000}"/>
    <cellStyle name="Explanatory Text 2 2 6" xfId="1754" xr:uid="{00000000-0005-0000-0000-0000F1060000}"/>
    <cellStyle name="Explanatory Text 2 2 7" xfId="1755" xr:uid="{00000000-0005-0000-0000-0000F2060000}"/>
    <cellStyle name="Explanatory Text 2 2 8" xfId="1756" xr:uid="{00000000-0005-0000-0000-0000F3060000}"/>
    <cellStyle name="Explanatory Text 2 2 9" xfId="1757" xr:uid="{00000000-0005-0000-0000-0000F4060000}"/>
    <cellStyle name="Explanatory Text 2 3" xfId="1758" xr:uid="{00000000-0005-0000-0000-0000F5060000}"/>
    <cellStyle name="Explanatory Text 2 3 2" xfId="1759" xr:uid="{00000000-0005-0000-0000-0000F6060000}"/>
    <cellStyle name="Explanatory Text 2 4" xfId="1760" xr:uid="{00000000-0005-0000-0000-0000F7060000}"/>
    <cellStyle name="Explanatory Text 2 4 2" xfId="1761" xr:uid="{00000000-0005-0000-0000-0000F8060000}"/>
    <cellStyle name="Explanatory Text 2 5" xfId="1762" xr:uid="{00000000-0005-0000-0000-0000F9060000}"/>
    <cellStyle name="Explanatory Text 2 6" xfId="1763" xr:uid="{00000000-0005-0000-0000-0000FA060000}"/>
    <cellStyle name="Explanatory Text 2 7" xfId="1764" xr:uid="{00000000-0005-0000-0000-0000FB060000}"/>
    <cellStyle name="Explanatory Text 2 8" xfId="1765" xr:uid="{00000000-0005-0000-0000-0000FC060000}"/>
    <cellStyle name="Explanatory Text 2 9" xfId="1766" xr:uid="{00000000-0005-0000-0000-0000FD060000}"/>
    <cellStyle name="Explanatory Text 3" xfId="1767" xr:uid="{00000000-0005-0000-0000-0000FE060000}"/>
    <cellStyle name="Explanatory Text 3 10" xfId="1768" xr:uid="{00000000-0005-0000-0000-0000FF060000}"/>
    <cellStyle name="Explanatory Text 3 2" xfId="1769" xr:uid="{00000000-0005-0000-0000-000000070000}"/>
    <cellStyle name="Explanatory Text 3 3" xfId="1770" xr:uid="{00000000-0005-0000-0000-000001070000}"/>
    <cellStyle name="Explanatory Text 3 4" xfId="1771" xr:uid="{00000000-0005-0000-0000-000002070000}"/>
    <cellStyle name="Explanatory Text 3 5" xfId="1772" xr:uid="{00000000-0005-0000-0000-000003070000}"/>
    <cellStyle name="Explanatory Text 3 6" xfId="1773" xr:uid="{00000000-0005-0000-0000-000004070000}"/>
    <cellStyle name="Explanatory Text 3 7" xfId="1774" xr:uid="{00000000-0005-0000-0000-000005070000}"/>
    <cellStyle name="Explanatory Text 3 8" xfId="1775" xr:uid="{00000000-0005-0000-0000-000006070000}"/>
    <cellStyle name="Explanatory Text 3 9" xfId="1776" xr:uid="{00000000-0005-0000-0000-000007070000}"/>
    <cellStyle name="Explanatory Text 4" xfId="1777" xr:uid="{00000000-0005-0000-0000-000008070000}"/>
    <cellStyle name="Explanatory Text 4 10" xfId="1778" xr:uid="{00000000-0005-0000-0000-000009070000}"/>
    <cellStyle name="Explanatory Text 4 2" xfId="1779" xr:uid="{00000000-0005-0000-0000-00000A070000}"/>
    <cellStyle name="Explanatory Text 4 3" xfId="1780" xr:uid="{00000000-0005-0000-0000-00000B070000}"/>
    <cellStyle name="Explanatory Text 4 4" xfId="1781" xr:uid="{00000000-0005-0000-0000-00000C070000}"/>
    <cellStyle name="Explanatory Text 4 5" xfId="1782" xr:uid="{00000000-0005-0000-0000-00000D070000}"/>
    <cellStyle name="Explanatory Text 4 6" xfId="1783" xr:uid="{00000000-0005-0000-0000-00000E070000}"/>
    <cellStyle name="Explanatory Text 4 7" xfId="1784" xr:uid="{00000000-0005-0000-0000-00000F070000}"/>
    <cellStyle name="Explanatory Text 4 8" xfId="1785" xr:uid="{00000000-0005-0000-0000-000010070000}"/>
    <cellStyle name="Explanatory Text 4 9" xfId="1786" xr:uid="{00000000-0005-0000-0000-000011070000}"/>
    <cellStyle name="Explanatory Text 5" xfId="1787" xr:uid="{00000000-0005-0000-0000-000012070000}"/>
    <cellStyle name="Explanatory Text 5 10" xfId="1788" xr:uid="{00000000-0005-0000-0000-000013070000}"/>
    <cellStyle name="Explanatory Text 5 2" xfId="1789" xr:uid="{00000000-0005-0000-0000-000014070000}"/>
    <cellStyle name="Explanatory Text 5 3" xfId="1790" xr:uid="{00000000-0005-0000-0000-000015070000}"/>
    <cellStyle name="Explanatory Text 5 4" xfId="1791" xr:uid="{00000000-0005-0000-0000-000016070000}"/>
    <cellStyle name="Explanatory Text 5 5" xfId="1792" xr:uid="{00000000-0005-0000-0000-000017070000}"/>
    <cellStyle name="Explanatory Text 5 6" xfId="1793" xr:uid="{00000000-0005-0000-0000-000018070000}"/>
    <cellStyle name="Explanatory Text 5 7" xfId="1794" xr:uid="{00000000-0005-0000-0000-000019070000}"/>
    <cellStyle name="Explanatory Text 5 8" xfId="1795" xr:uid="{00000000-0005-0000-0000-00001A070000}"/>
    <cellStyle name="Explanatory Text 5 9" xfId="1796" xr:uid="{00000000-0005-0000-0000-00001B070000}"/>
    <cellStyle name="Explanatory Text 6 2" xfId="1797" xr:uid="{00000000-0005-0000-0000-00001C070000}"/>
    <cellStyle name="Explanatory Text 7 2" xfId="1798" xr:uid="{00000000-0005-0000-0000-00001D070000}"/>
    <cellStyle name="Explanatory Text 8" xfId="1799" xr:uid="{00000000-0005-0000-0000-00001E070000}"/>
    <cellStyle name="Explanatory Text 9" xfId="1800" xr:uid="{00000000-0005-0000-0000-00001F070000}"/>
    <cellStyle name="Fixed" xfId="1801" xr:uid="{00000000-0005-0000-0000-000020070000}"/>
    <cellStyle name="Fixed 2" xfId="1802" xr:uid="{00000000-0005-0000-0000-000021070000}"/>
    <cellStyle name="Good 10" xfId="1803" xr:uid="{00000000-0005-0000-0000-000022070000}"/>
    <cellStyle name="Good 11" xfId="1804" xr:uid="{00000000-0005-0000-0000-000023070000}"/>
    <cellStyle name="Good 12" xfId="1805" xr:uid="{00000000-0005-0000-0000-000024070000}"/>
    <cellStyle name="Good 13" xfId="1806" xr:uid="{00000000-0005-0000-0000-000025070000}"/>
    <cellStyle name="Good 14" xfId="1807" xr:uid="{00000000-0005-0000-0000-000026070000}"/>
    <cellStyle name="Good 2" xfId="1808" xr:uid="{00000000-0005-0000-0000-000027070000}"/>
    <cellStyle name="Good 2 10" xfId="1809" xr:uid="{00000000-0005-0000-0000-000028070000}"/>
    <cellStyle name="Good 2 11" xfId="1810" xr:uid="{00000000-0005-0000-0000-000029070000}"/>
    <cellStyle name="Good 2 12" xfId="1811" xr:uid="{00000000-0005-0000-0000-00002A070000}"/>
    <cellStyle name="Good 2 13" xfId="1812" xr:uid="{00000000-0005-0000-0000-00002B070000}"/>
    <cellStyle name="Good 2 2" xfId="1813" xr:uid="{00000000-0005-0000-0000-00002C070000}"/>
    <cellStyle name="Good 2 2 10" xfId="1814" xr:uid="{00000000-0005-0000-0000-00002D070000}"/>
    <cellStyle name="Good 2 2 2" xfId="1815" xr:uid="{00000000-0005-0000-0000-00002E070000}"/>
    <cellStyle name="Good 2 2 2 2" xfId="1816" xr:uid="{00000000-0005-0000-0000-00002F070000}"/>
    <cellStyle name="Good 2 2 3" xfId="1817" xr:uid="{00000000-0005-0000-0000-000030070000}"/>
    <cellStyle name="Good 2 2 4" xfId="1818" xr:uid="{00000000-0005-0000-0000-000031070000}"/>
    <cellStyle name="Good 2 2 5" xfId="1819" xr:uid="{00000000-0005-0000-0000-000032070000}"/>
    <cellStyle name="Good 2 2 6" xfId="1820" xr:uid="{00000000-0005-0000-0000-000033070000}"/>
    <cellStyle name="Good 2 2 7" xfId="1821" xr:uid="{00000000-0005-0000-0000-000034070000}"/>
    <cellStyle name="Good 2 2 8" xfId="1822" xr:uid="{00000000-0005-0000-0000-000035070000}"/>
    <cellStyle name="Good 2 2 9" xfId="1823" xr:uid="{00000000-0005-0000-0000-000036070000}"/>
    <cellStyle name="Good 2 3" xfId="1824" xr:uid="{00000000-0005-0000-0000-000037070000}"/>
    <cellStyle name="Good 2 3 2" xfId="1825" xr:uid="{00000000-0005-0000-0000-000038070000}"/>
    <cellStyle name="Good 2 4" xfId="1826" xr:uid="{00000000-0005-0000-0000-000039070000}"/>
    <cellStyle name="Good 2 4 2" xfId="1827" xr:uid="{00000000-0005-0000-0000-00003A070000}"/>
    <cellStyle name="Good 2 5" xfId="1828" xr:uid="{00000000-0005-0000-0000-00003B070000}"/>
    <cellStyle name="Good 2 6" xfId="1829" xr:uid="{00000000-0005-0000-0000-00003C070000}"/>
    <cellStyle name="Good 2 7" xfId="1830" xr:uid="{00000000-0005-0000-0000-00003D070000}"/>
    <cellStyle name="Good 2 8" xfId="1831" xr:uid="{00000000-0005-0000-0000-00003E070000}"/>
    <cellStyle name="Good 2 9" xfId="1832" xr:uid="{00000000-0005-0000-0000-00003F070000}"/>
    <cellStyle name="Good 3" xfId="1833" xr:uid="{00000000-0005-0000-0000-000040070000}"/>
    <cellStyle name="Good 3 10" xfId="1834" xr:uid="{00000000-0005-0000-0000-000041070000}"/>
    <cellStyle name="Good 3 2" xfId="1835" xr:uid="{00000000-0005-0000-0000-000042070000}"/>
    <cellStyle name="Good 3 3" xfId="1836" xr:uid="{00000000-0005-0000-0000-000043070000}"/>
    <cellStyle name="Good 3 4" xfId="1837" xr:uid="{00000000-0005-0000-0000-000044070000}"/>
    <cellStyle name="Good 3 5" xfId="1838" xr:uid="{00000000-0005-0000-0000-000045070000}"/>
    <cellStyle name="Good 3 6" xfId="1839" xr:uid="{00000000-0005-0000-0000-000046070000}"/>
    <cellStyle name="Good 3 7" xfId="1840" xr:uid="{00000000-0005-0000-0000-000047070000}"/>
    <cellStyle name="Good 3 8" xfId="1841" xr:uid="{00000000-0005-0000-0000-000048070000}"/>
    <cellStyle name="Good 3 9" xfId="1842" xr:uid="{00000000-0005-0000-0000-000049070000}"/>
    <cellStyle name="Good 4" xfId="1843" xr:uid="{00000000-0005-0000-0000-00004A070000}"/>
    <cellStyle name="Good 4 10" xfId="1844" xr:uid="{00000000-0005-0000-0000-00004B070000}"/>
    <cellStyle name="Good 4 2" xfId="1845" xr:uid="{00000000-0005-0000-0000-00004C070000}"/>
    <cellStyle name="Good 4 3" xfId="1846" xr:uid="{00000000-0005-0000-0000-00004D070000}"/>
    <cellStyle name="Good 4 4" xfId="1847" xr:uid="{00000000-0005-0000-0000-00004E070000}"/>
    <cellStyle name="Good 4 5" xfId="1848" xr:uid="{00000000-0005-0000-0000-00004F070000}"/>
    <cellStyle name="Good 4 6" xfId="1849" xr:uid="{00000000-0005-0000-0000-000050070000}"/>
    <cellStyle name="Good 4 7" xfId="1850" xr:uid="{00000000-0005-0000-0000-000051070000}"/>
    <cellStyle name="Good 4 8" xfId="1851" xr:uid="{00000000-0005-0000-0000-000052070000}"/>
    <cellStyle name="Good 4 9" xfId="1852" xr:uid="{00000000-0005-0000-0000-000053070000}"/>
    <cellStyle name="Good 5" xfId="1853" xr:uid="{00000000-0005-0000-0000-000054070000}"/>
    <cellStyle name="Good 5 10" xfId="1854" xr:uid="{00000000-0005-0000-0000-000055070000}"/>
    <cellStyle name="Good 5 2" xfId="1855" xr:uid="{00000000-0005-0000-0000-000056070000}"/>
    <cellStyle name="Good 5 3" xfId="1856" xr:uid="{00000000-0005-0000-0000-000057070000}"/>
    <cellStyle name="Good 5 4" xfId="1857" xr:uid="{00000000-0005-0000-0000-000058070000}"/>
    <cellStyle name="Good 5 5" xfId="1858" xr:uid="{00000000-0005-0000-0000-000059070000}"/>
    <cellStyle name="Good 5 6" xfId="1859" xr:uid="{00000000-0005-0000-0000-00005A070000}"/>
    <cellStyle name="Good 5 7" xfId="1860" xr:uid="{00000000-0005-0000-0000-00005B070000}"/>
    <cellStyle name="Good 5 8" xfId="1861" xr:uid="{00000000-0005-0000-0000-00005C070000}"/>
    <cellStyle name="Good 5 9" xfId="1862" xr:uid="{00000000-0005-0000-0000-00005D070000}"/>
    <cellStyle name="Good 6 2" xfId="1863" xr:uid="{00000000-0005-0000-0000-00005E070000}"/>
    <cellStyle name="Good 7 2" xfId="1864" xr:uid="{00000000-0005-0000-0000-00005F070000}"/>
    <cellStyle name="Good 8" xfId="1865" xr:uid="{00000000-0005-0000-0000-000060070000}"/>
    <cellStyle name="Good 9" xfId="1866" xr:uid="{00000000-0005-0000-0000-000061070000}"/>
    <cellStyle name="Heading 1" xfId="1867" builtinId="16" customBuiltin="1"/>
    <cellStyle name="Heading 1 10" xfId="1868" xr:uid="{00000000-0005-0000-0000-000063070000}"/>
    <cellStyle name="Heading 1 11" xfId="1869" xr:uid="{00000000-0005-0000-0000-000064070000}"/>
    <cellStyle name="Heading 1 12" xfId="1870" xr:uid="{00000000-0005-0000-0000-000065070000}"/>
    <cellStyle name="Heading 1 13" xfId="1871" xr:uid="{00000000-0005-0000-0000-000066070000}"/>
    <cellStyle name="Heading 1 14" xfId="1872" xr:uid="{00000000-0005-0000-0000-000067070000}"/>
    <cellStyle name="Heading 1 2" xfId="1873" xr:uid="{00000000-0005-0000-0000-000068070000}"/>
    <cellStyle name="Heading 1 2 10" xfId="1874" xr:uid="{00000000-0005-0000-0000-000069070000}"/>
    <cellStyle name="Heading 1 2 11" xfId="1875" xr:uid="{00000000-0005-0000-0000-00006A070000}"/>
    <cellStyle name="Heading 1 2 12" xfId="1876" xr:uid="{00000000-0005-0000-0000-00006B070000}"/>
    <cellStyle name="Heading 1 2 13" xfId="1877" xr:uid="{00000000-0005-0000-0000-00006C070000}"/>
    <cellStyle name="Heading 1 2 2" xfId="1878" xr:uid="{00000000-0005-0000-0000-00006D070000}"/>
    <cellStyle name="Heading 1 2 2 10" xfId="1879" xr:uid="{00000000-0005-0000-0000-00006E070000}"/>
    <cellStyle name="Heading 1 2 2 2" xfId="1880" xr:uid="{00000000-0005-0000-0000-00006F070000}"/>
    <cellStyle name="Heading 1 2 2 2 2" xfId="1881" xr:uid="{00000000-0005-0000-0000-000070070000}"/>
    <cellStyle name="Heading 1 2 2 3" xfId="1882" xr:uid="{00000000-0005-0000-0000-000071070000}"/>
    <cellStyle name="Heading 1 2 2 4" xfId="1883" xr:uid="{00000000-0005-0000-0000-000072070000}"/>
    <cellStyle name="Heading 1 2 2 5" xfId="1884" xr:uid="{00000000-0005-0000-0000-000073070000}"/>
    <cellStyle name="Heading 1 2 2 6" xfId="1885" xr:uid="{00000000-0005-0000-0000-000074070000}"/>
    <cellStyle name="Heading 1 2 2 7" xfId="1886" xr:uid="{00000000-0005-0000-0000-000075070000}"/>
    <cellStyle name="Heading 1 2 2 8" xfId="1887" xr:uid="{00000000-0005-0000-0000-000076070000}"/>
    <cellStyle name="Heading 1 2 2 9" xfId="1888" xr:uid="{00000000-0005-0000-0000-000077070000}"/>
    <cellStyle name="Heading 1 2 3" xfId="1889" xr:uid="{00000000-0005-0000-0000-000078070000}"/>
    <cellStyle name="Heading 1 2 3 2" xfId="1890" xr:uid="{00000000-0005-0000-0000-000079070000}"/>
    <cellStyle name="Heading 1 2 4" xfId="1891" xr:uid="{00000000-0005-0000-0000-00007A070000}"/>
    <cellStyle name="Heading 1 2 4 2" xfId="1892" xr:uid="{00000000-0005-0000-0000-00007B070000}"/>
    <cellStyle name="Heading 1 2 5" xfId="1893" xr:uid="{00000000-0005-0000-0000-00007C070000}"/>
    <cellStyle name="Heading 1 2 6" xfId="1894" xr:uid="{00000000-0005-0000-0000-00007D070000}"/>
    <cellStyle name="Heading 1 2 7" xfId="1895" xr:uid="{00000000-0005-0000-0000-00007E070000}"/>
    <cellStyle name="Heading 1 2 8" xfId="1896" xr:uid="{00000000-0005-0000-0000-00007F070000}"/>
    <cellStyle name="Heading 1 2 9" xfId="1897" xr:uid="{00000000-0005-0000-0000-000080070000}"/>
    <cellStyle name="Heading 1 3" xfId="1898" xr:uid="{00000000-0005-0000-0000-000081070000}"/>
    <cellStyle name="Heading 1 3 10" xfId="1899" xr:uid="{00000000-0005-0000-0000-000082070000}"/>
    <cellStyle name="Heading 1 3 2" xfId="1900" xr:uid="{00000000-0005-0000-0000-000083070000}"/>
    <cellStyle name="Heading 1 3 3" xfId="1901" xr:uid="{00000000-0005-0000-0000-000084070000}"/>
    <cellStyle name="Heading 1 3 4" xfId="1902" xr:uid="{00000000-0005-0000-0000-000085070000}"/>
    <cellStyle name="Heading 1 3 5" xfId="1903" xr:uid="{00000000-0005-0000-0000-000086070000}"/>
    <cellStyle name="Heading 1 3 6" xfId="1904" xr:uid="{00000000-0005-0000-0000-000087070000}"/>
    <cellStyle name="Heading 1 3 7" xfId="1905" xr:uid="{00000000-0005-0000-0000-000088070000}"/>
    <cellStyle name="Heading 1 3 8" xfId="1906" xr:uid="{00000000-0005-0000-0000-000089070000}"/>
    <cellStyle name="Heading 1 3 9" xfId="1907" xr:uid="{00000000-0005-0000-0000-00008A070000}"/>
    <cellStyle name="Heading 1 4" xfId="1908" xr:uid="{00000000-0005-0000-0000-00008B070000}"/>
    <cellStyle name="Heading 1 4 10" xfId="1909" xr:uid="{00000000-0005-0000-0000-00008C070000}"/>
    <cellStyle name="Heading 1 4 2" xfId="1910" xr:uid="{00000000-0005-0000-0000-00008D070000}"/>
    <cellStyle name="Heading 1 4 3" xfId="1911" xr:uid="{00000000-0005-0000-0000-00008E070000}"/>
    <cellStyle name="Heading 1 4 4" xfId="1912" xr:uid="{00000000-0005-0000-0000-00008F070000}"/>
    <cellStyle name="Heading 1 4 5" xfId="1913" xr:uid="{00000000-0005-0000-0000-000090070000}"/>
    <cellStyle name="Heading 1 4 6" xfId="1914" xr:uid="{00000000-0005-0000-0000-000091070000}"/>
    <cellStyle name="Heading 1 4 7" xfId="1915" xr:uid="{00000000-0005-0000-0000-000092070000}"/>
    <cellStyle name="Heading 1 4 8" xfId="1916" xr:uid="{00000000-0005-0000-0000-000093070000}"/>
    <cellStyle name="Heading 1 4 9" xfId="1917" xr:uid="{00000000-0005-0000-0000-000094070000}"/>
    <cellStyle name="Heading 1 5" xfId="1918" xr:uid="{00000000-0005-0000-0000-000095070000}"/>
    <cellStyle name="Heading 1 5 10" xfId="1919" xr:uid="{00000000-0005-0000-0000-000096070000}"/>
    <cellStyle name="Heading 1 5 2" xfId="1920" xr:uid="{00000000-0005-0000-0000-000097070000}"/>
    <cellStyle name="Heading 1 5 3" xfId="1921" xr:uid="{00000000-0005-0000-0000-000098070000}"/>
    <cellStyle name="Heading 1 5 4" xfId="1922" xr:uid="{00000000-0005-0000-0000-000099070000}"/>
    <cellStyle name="Heading 1 5 5" xfId="1923" xr:uid="{00000000-0005-0000-0000-00009A070000}"/>
    <cellStyle name="Heading 1 5 6" xfId="1924" xr:uid="{00000000-0005-0000-0000-00009B070000}"/>
    <cellStyle name="Heading 1 5 7" xfId="1925" xr:uid="{00000000-0005-0000-0000-00009C070000}"/>
    <cellStyle name="Heading 1 5 8" xfId="1926" xr:uid="{00000000-0005-0000-0000-00009D070000}"/>
    <cellStyle name="Heading 1 5 9" xfId="1927" xr:uid="{00000000-0005-0000-0000-00009E070000}"/>
    <cellStyle name="Heading 1 6 2" xfId="1928" xr:uid="{00000000-0005-0000-0000-00009F070000}"/>
    <cellStyle name="Heading 1 7 2" xfId="1929" xr:uid="{00000000-0005-0000-0000-0000A0070000}"/>
    <cellStyle name="Heading 1 8" xfId="1930" xr:uid="{00000000-0005-0000-0000-0000A1070000}"/>
    <cellStyle name="Heading 1 9" xfId="1931" xr:uid="{00000000-0005-0000-0000-0000A2070000}"/>
    <cellStyle name="Heading 2" xfId="1932" builtinId="17" customBuiltin="1"/>
    <cellStyle name="Heading 2 10" xfId="1933" xr:uid="{00000000-0005-0000-0000-0000A4070000}"/>
    <cellStyle name="Heading 2 11" xfId="1934" xr:uid="{00000000-0005-0000-0000-0000A5070000}"/>
    <cellStyle name="Heading 2 12" xfId="1935" xr:uid="{00000000-0005-0000-0000-0000A6070000}"/>
    <cellStyle name="Heading 2 13" xfId="1936" xr:uid="{00000000-0005-0000-0000-0000A7070000}"/>
    <cellStyle name="Heading 2 14" xfId="1937" xr:uid="{00000000-0005-0000-0000-0000A8070000}"/>
    <cellStyle name="Heading 2 2" xfId="1938" xr:uid="{00000000-0005-0000-0000-0000A9070000}"/>
    <cellStyle name="Heading 2 2 10" xfId="1939" xr:uid="{00000000-0005-0000-0000-0000AA070000}"/>
    <cellStyle name="Heading 2 2 11" xfId="1940" xr:uid="{00000000-0005-0000-0000-0000AB070000}"/>
    <cellStyle name="Heading 2 2 12" xfId="1941" xr:uid="{00000000-0005-0000-0000-0000AC070000}"/>
    <cellStyle name="Heading 2 2 13" xfId="1942" xr:uid="{00000000-0005-0000-0000-0000AD070000}"/>
    <cellStyle name="Heading 2 2 2" xfId="1943" xr:uid="{00000000-0005-0000-0000-0000AE070000}"/>
    <cellStyle name="Heading 2 2 2 10" xfId="1944" xr:uid="{00000000-0005-0000-0000-0000AF070000}"/>
    <cellStyle name="Heading 2 2 2 2" xfId="1945" xr:uid="{00000000-0005-0000-0000-0000B0070000}"/>
    <cellStyle name="Heading 2 2 2 2 2" xfId="1946" xr:uid="{00000000-0005-0000-0000-0000B1070000}"/>
    <cellStyle name="Heading 2 2 2 3" xfId="1947" xr:uid="{00000000-0005-0000-0000-0000B2070000}"/>
    <cellStyle name="Heading 2 2 2 4" xfId="1948" xr:uid="{00000000-0005-0000-0000-0000B3070000}"/>
    <cellStyle name="Heading 2 2 2 5" xfId="1949" xr:uid="{00000000-0005-0000-0000-0000B4070000}"/>
    <cellStyle name="Heading 2 2 2 6" xfId="1950" xr:uid="{00000000-0005-0000-0000-0000B5070000}"/>
    <cellStyle name="Heading 2 2 2 7" xfId="1951" xr:uid="{00000000-0005-0000-0000-0000B6070000}"/>
    <cellStyle name="Heading 2 2 2 8" xfId="1952" xr:uid="{00000000-0005-0000-0000-0000B7070000}"/>
    <cellStyle name="Heading 2 2 2 9" xfId="1953" xr:uid="{00000000-0005-0000-0000-0000B8070000}"/>
    <cellStyle name="Heading 2 2 3" xfId="1954" xr:uid="{00000000-0005-0000-0000-0000B9070000}"/>
    <cellStyle name="Heading 2 2 3 2" xfId="1955" xr:uid="{00000000-0005-0000-0000-0000BA070000}"/>
    <cellStyle name="Heading 2 2 4" xfId="1956" xr:uid="{00000000-0005-0000-0000-0000BB070000}"/>
    <cellStyle name="Heading 2 2 4 2" xfId="1957" xr:uid="{00000000-0005-0000-0000-0000BC070000}"/>
    <cellStyle name="Heading 2 2 5" xfId="1958" xr:uid="{00000000-0005-0000-0000-0000BD070000}"/>
    <cellStyle name="Heading 2 2 6" xfId="1959" xr:uid="{00000000-0005-0000-0000-0000BE070000}"/>
    <cellStyle name="Heading 2 2 7" xfId="1960" xr:uid="{00000000-0005-0000-0000-0000BF070000}"/>
    <cellStyle name="Heading 2 2 8" xfId="1961" xr:uid="{00000000-0005-0000-0000-0000C0070000}"/>
    <cellStyle name="Heading 2 2 9" xfId="1962" xr:uid="{00000000-0005-0000-0000-0000C1070000}"/>
    <cellStyle name="Heading 2 3" xfId="1963" xr:uid="{00000000-0005-0000-0000-0000C2070000}"/>
    <cellStyle name="Heading 2 3 10" xfId="1964" xr:uid="{00000000-0005-0000-0000-0000C3070000}"/>
    <cellStyle name="Heading 2 3 2" xfId="1965" xr:uid="{00000000-0005-0000-0000-0000C4070000}"/>
    <cellStyle name="Heading 2 3 3" xfId="1966" xr:uid="{00000000-0005-0000-0000-0000C5070000}"/>
    <cellStyle name="Heading 2 3 4" xfId="1967" xr:uid="{00000000-0005-0000-0000-0000C6070000}"/>
    <cellStyle name="Heading 2 3 5" xfId="1968" xr:uid="{00000000-0005-0000-0000-0000C7070000}"/>
    <cellStyle name="Heading 2 3 6" xfId="1969" xr:uid="{00000000-0005-0000-0000-0000C8070000}"/>
    <cellStyle name="Heading 2 3 7" xfId="1970" xr:uid="{00000000-0005-0000-0000-0000C9070000}"/>
    <cellStyle name="Heading 2 3 8" xfId="1971" xr:uid="{00000000-0005-0000-0000-0000CA070000}"/>
    <cellStyle name="Heading 2 3 9" xfId="1972" xr:uid="{00000000-0005-0000-0000-0000CB070000}"/>
    <cellStyle name="Heading 2 4" xfId="1973" xr:uid="{00000000-0005-0000-0000-0000CC070000}"/>
    <cellStyle name="Heading 2 4 10" xfId="1974" xr:uid="{00000000-0005-0000-0000-0000CD070000}"/>
    <cellStyle name="Heading 2 4 2" xfId="1975" xr:uid="{00000000-0005-0000-0000-0000CE070000}"/>
    <cellStyle name="Heading 2 4 3" xfId="1976" xr:uid="{00000000-0005-0000-0000-0000CF070000}"/>
    <cellStyle name="Heading 2 4 4" xfId="1977" xr:uid="{00000000-0005-0000-0000-0000D0070000}"/>
    <cellStyle name="Heading 2 4 5" xfId="1978" xr:uid="{00000000-0005-0000-0000-0000D1070000}"/>
    <cellStyle name="Heading 2 4 6" xfId="1979" xr:uid="{00000000-0005-0000-0000-0000D2070000}"/>
    <cellStyle name="Heading 2 4 7" xfId="1980" xr:uid="{00000000-0005-0000-0000-0000D3070000}"/>
    <cellStyle name="Heading 2 4 8" xfId="1981" xr:uid="{00000000-0005-0000-0000-0000D4070000}"/>
    <cellStyle name="Heading 2 4 9" xfId="1982" xr:uid="{00000000-0005-0000-0000-0000D5070000}"/>
    <cellStyle name="Heading 2 5" xfId="1983" xr:uid="{00000000-0005-0000-0000-0000D6070000}"/>
    <cellStyle name="Heading 2 5 10" xfId="1984" xr:uid="{00000000-0005-0000-0000-0000D7070000}"/>
    <cellStyle name="Heading 2 5 2" xfId="1985" xr:uid="{00000000-0005-0000-0000-0000D8070000}"/>
    <cellStyle name="Heading 2 5 3" xfId="1986" xr:uid="{00000000-0005-0000-0000-0000D9070000}"/>
    <cellStyle name="Heading 2 5 4" xfId="1987" xr:uid="{00000000-0005-0000-0000-0000DA070000}"/>
    <cellStyle name="Heading 2 5 5" xfId="1988" xr:uid="{00000000-0005-0000-0000-0000DB070000}"/>
    <cellStyle name="Heading 2 5 6" xfId="1989" xr:uid="{00000000-0005-0000-0000-0000DC070000}"/>
    <cellStyle name="Heading 2 5 7" xfId="1990" xr:uid="{00000000-0005-0000-0000-0000DD070000}"/>
    <cellStyle name="Heading 2 5 8" xfId="1991" xr:uid="{00000000-0005-0000-0000-0000DE070000}"/>
    <cellStyle name="Heading 2 5 9" xfId="1992" xr:uid="{00000000-0005-0000-0000-0000DF070000}"/>
    <cellStyle name="Heading 2 6 2" xfId="1993" xr:uid="{00000000-0005-0000-0000-0000E0070000}"/>
    <cellStyle name="Heading 2 7 2" xfId="1994" xr:uid="{00000000-0005-0000-0000-0000E1070000}"/>
    <cellStyle name="Heading 2 8" xfId="1995" xr:uid="{00000000-0005-0000-0000-0000E2070000}"/>
    <cellStyle name="Heading 2 9" xfId="1996" xr:uid="{00000000-0005-0000-0000-0000E3070000}"/>
    <cellStyle name="Heading 3 10" xfId="1997" xr:uid="{00000000-0005-0000-0000-0000E4070000}"/>
    <cellStyle name="Heading 3 11" xfId="1998" xr:uid="{00000000-0005-0000-0000-0000E5070000}"/>
    <cellStyle name="Heading 3 12" xfId="1999" xr:uid="{00000000-0005-0000-0000-0000E6070000}"/>
    <cellStyle name="Heading 3 13" xfId="2000" xr:uid="{00000000-0005-0000-0000-0000E7070000}"/>
    <cellStyle name="Heading 3 14" xfId="2001" xr:uid="{00000000-0005-0000-0000-0000E8070000}"/>
    <cellStyle name="Heading 3 2" xfId="2002" xr:uid="{00000000-0005-0000-0000-0000E9070000}"/>
    <cellStyle name="Heading 3 2 10" xfId="2003" xr:uid="{00000000-0005-0000-0000-0000EA070000}"/>
    <cellStyle name="Heading 3 2 11" xfId="2004" xr:uid="{00000000-0005-0000-0000-0000EB070000}"/>
    <cellStyle name="Heading 3 2 12" xfId="2005" xr:uid="{00000000-0005-0000-0000-0000EC070000}"/>
    <cellStyle name="Heading 3 2 13" xfId="2006" xr:uid="{00000000-0005-0000-0000-0000ED070000}"/>
    <cellStyle name="Heading 3 2 2" xfId="2007" xr:uid="{00000000-0005-0000-0000-0000EE070000}"/>
    <cellStyle name="Heading 3 2 2 10" xfId="2008" xr:uid="{00000000-0005-0000-0000-0000EF070000}"/>
    <cellStyle name="Heading 3 2 2 2" xfId="2009" xr:uid="{00000000-0005-0000-0000-0000F0070000}"/>
    <cellStyle name="Heading 3 2 2 2 2" xfId="2010" xr:uid="{00000000-0005-0000-0000-0000F1070000}"/>
    <cellStyle name="Heading 3 2 2 3" xfId="2011" xr:uid="{00000000-0005-0000-0000-0000F2070000}"/>
    <cellStyle name="Heading 3 2 2 4" xfId="2012" xr:uid="{00000000-0005-0000-0000-0000F3070000}"/>
    <cellStyle name="Heading 3 2 2 5" xfId="2013" xr:uid="{00000000-0005-0000-0000-0000F4070000}"/>
    <cellStyle name="Heading 3 2 2 6" xfId="2014" xr:uid="{00000000-0005-0000-0000-0000F5070000}"/>
    <cellStyle name="Heading 3 2 2 7" xfId="2015" xr:uid="{00000000-0005-0000-0000-0000F6070000}"/>
    <cellStyle name="Heading 3 2 2 8" xfId="2016" xr:uid="{00000000-0005-0000-0000-0000F7070000}"/>
    <cellStyle name="Heading 3 2 2 9" xfId="2017" xr:uid="{00000000-0005-0000-0000-0000F8070000}"/>
    <cellStyle name="Heading 3 2 3" xfId="2018" xr:uid="{00000000-0005-0000-0000-0000F9070000}"/>
    <cellStyle name="Heading 3 2 3 2" xfId="2019" xr:uid="{00000000-0005-0000-0000-0000FA070000}"/>
    <cellStyle name="Heading 3 2 4" xfId="2020" xr:uid="{00000000-0005-0000-0000-0000FB070000}"/>
    <cellStyle name="Heading 3 2 4 2" xfId="2021" xr:uid="{00000000-0005-0000-0000-0000FC070000}"/>
    <cellStyle name="Heading 3 2 5" xfId="2022" xr:uid="{00000000-0005-0000-0000-0000FD070000}"/>
    <cellStyle name="Heading 3 2 6" xfId="2023" xr:uid="{00000000-0005-0000-0000-0000FE070000}"/>
    <cellStyle name="Heading 3 2 7" xfId="2024" xr:uid="{00000000-0005-0000-0000-0000FF070000}"/>
    <cellStyle name="Heading 3 2 8" xfId="2025" xr:uid="{00000000-0005-0000-0000-000000080000}"/>
    <cellStyle name="Heading 3 2 9" xfId="2026" xr:uid="{00000000-0005-0000-0000-000001080000}"/>
    <cellStyle name="Heading 3 3" xfId="2027" xr:uid="{00000000-0005-0000-0000-000002080000}"/>
    <cellStyle name="Heading 3 3 10" xfId="2028" xr:uid="{00000000-0005-0000-0000-000003080000}"/>
    <cellStyle name="Heading 3 3 2" xfId="2029" xr:uid="{00000000-0005-0000-0000-000004080000}"/>
    <cellStyle name="Heading 3 3 3" xfId="2030" xr:uid="{00000000-0005-0000-0000-000005080000}"/>
    <cellStyle name="Heading 3 3 4" xfId="2031" xr:uid="{00000000-0005-0000-0000-000006080000}"/>
    <cellStyle name="Heading 3 3 5" xfId="2032" xr:uid="{00000000-0005-0000-0000-000007080000}"/>
    <cellStyle name="Heading 3 3 6" xfId="2033" xr:uid="{00000000-0005-0000-0000-000008080000}"/>
    <cellStyle name="Heading 3 3 7" xfId="2034" xr:uid="{00000000-0005-0000-0000-000009080000}"/>
    <cellStyle name="Heading 3 3 8" xfId="2035" xr:uid="{00000000-0005-0000-0000-00000A080000}"/>
    <cellStyle name="Heading 3 3 9" xfId="2036" xr:uid="{00000000-0005-0000-0000-00000B080000}"/>
    <cellStyle name="Heading 3 4" xfId="2037" xr:uid="{00000000-0005-0000-0000-00000C080000}"/>
    <cellStyle name="Heading 3 4 10" xfId="2038" xr:uid="{00000000-0005-0000-0000-00000D080000}"/>
    <cellStyle name="Heading 3 4 2" xfId="2039" xr:uid="{00000000-0005-0000-0000-00000E080000}"/>
    <cellStyle name="Heading 3 4 3" xfId="2040" xr:uid="{00000000-0005-0000-0000-00000F080000}"/>
    <cellStyle name="Heading 3 4 4" xfId="2041" xr:uid="{00000000-0005-0000-0000-000010080000}"/>
    <cellStyle name="Heading 3 4 5" xfId="2042" xr:uid="{00000000-0005-0000-0000-000011080000}"/>
    <cellStyle name="Heading 3 4 6" xfId="2043" xr:uid="{00000000-0005-0000-0000-000012080000}"/>
    <cellStyle name="Heading 3 4 7" xfId="2044" xr:uid="{00000000-0005-0000-0000-000013080000}"/>
    <cellStyle name="Heading 3 4 8" xfId="2045" xr:uid="{00000000-0005-0000-0000-000014080000}"/>
    <cellStyle name="Heading 3 4 9" xfId="2046" xr:uid="{00000000-0005-0000-0000-000015080000}"/>
    <cellStyle name="Heading 3 5" xfId="2047" xr:uid="{00000000-0005-0000-0000-000016080000}"/>
    <cellStyle name="Heading 3 5 10" xfId="2048" xr:uid="{00000000-0005-0000-0000-000017080000}"/>
    <cellStyle name="Heading 3 5 2" xfId="2049" xr:uid="{00000000-0005-0000-0000-000018080000}"/>
    <cellStyle name="Heading 3 5 3" xfId="2050" xr:uid="{00000000-0005-0000-0000-000019080000}"/>
    <cellStyle name="Heading 3 5 4" xfId="2051" xr:uid="{00000000-0005-0000-0000-00001A080000}"/>
    <cellStyle name="Heading 3 5 5" xfId="2052" xr:uid="{00000000-0005-0000-0000-00001B080000}"/>
    <cellStyle name="Heading 3 5 6" xfId="2053" xr:uid="{00000000-0005-0000-0000-00001C080000}"/>
    <cellStyle name="Heading 3 5 7" xfId="2054" xr:uid="{00000000-0005-0000-0000-00001D080000}"/>
    <cellStyle name="Heading 3 5 8" xfId="2055" xr:uid="{00000000-0005-0000-0000-00001E080000}"/>
    <cellStyle name="Heading 3 5 9" xfId="2056" xr:uid="{00000000-0005-0000-0000-00001F080000}"/>
    <cellStyle name="Heading 3 6 2" xfId="2057" xr:uid="{00000000-0005-0000-0000-000020080000}"/>
    <cellStyle name="Heading 3 7 2" xfId="2058" xr:uid="{00000000-0005-0000-0000-000021080000}"/>
    <cellStyle name="Heading 3 8" xfId="2059" xr:uid="{00000000-0005-0000-0000-000022080000}"/>
    <cellStyle name="Heading 3 9" xfId="2060" xr:uid="{00000000-0005-0000-0000-000023080000}"/>
    <cellStyle name="Heading 4 10" xfId="2061" xr:uid="{00000000-0005-0000-0000-000024080000}"/>
    <cellStyle name="Heading 4 11" xfId="2062" xr:uid="{00000000-0005-0000-0000-000025080000}"/>
    <cellStyle name="Heading 4 12" xfId="2063" xr:uid="{00000000-0005-0000-0000-000026080000}"/>
    <cellStyle name="Heading 4 13" xfId="2064" xr:uid="{00000000-0005-0000-0000-000027080000}"/>
    <cellStyle name="Heading 4 14" xfId="2065" xr:uid="{00000000-0005-0000-0000-000028080000}"/>
    <cellStyle name="Heading 4 2" xfId="2066" xr:uid="{00000000-0005-0000-0000-000029080000}"/>
    <cellStyle name="Heading 4 2 10" xfId="2067" xr:uid="{00000000-0005-0000-0000-00002A080000}"/>
    <cellStyle name="Heading 4 2 11" xfId="2068" xr:uid="{00000000-0005-0000-0000-00002B080000}"/>
    <cellStyle name="Heading 4 2 12" xfId="2069" xr:uid="{00000000-0005-0000-0000-00002C080000}"/>
    <cellStyle name="Heading 4 2 13" xfId="2070" xr:uid="{00000000-0005-0000-0000-00002D080000}"/>
    <cellStyle name="Heading 4 2 2" xfId="2071" xr:uid="{00000000-0005-0000-0000-00002E080000}"/>
    <cellStyle name="Heading 4 2 2 10" xfId="2072" xr:uid="{00000000-0005-0000-0000-00002F080000}"/>
    <cellStyle name="Heading 4 2 2 2" xfId="2073" xr:uid="{00000000-0005-0000-0000-000030080000}"/>
    <cellStyle name="Heading 4 2 2 2 2" xfId="2074" xr:uid="{00000000-0005-0000-0000-000031080000}"/>
    <cellStyle name="Heading 4 2 2 3" xfId="2075" xr:uid="{00000000-0005-0000-0000-000032080000}"/>
    <cellStyle name="Heading 4 2 2 4" xfId="2076" xr:uid="{00000000-0005-0000-0000-000033080000}"/>
    <cellStyle name="Heading 4 2 2 5" xfId="2077" xr:uid="{00000000-0005-0000-0000-000034080000}"/>
    <cellStyle name="Heading 4 2 2 6" xfId="2078" xr:uid="{00000000-0005-0000-0000-000035080000}"/>
    <cellStyle name="Heading 4 2 2 7" xfId="2079" xr:uid="{00000000-0005-0000-0000-000036080000}"/>
    <cellStyle name="Heading 4 2 2 8" xfId="2080" xr:uid="{00000000-0005-0000-0000-000037080000}"/>
    <cellStyle name="Heading 4 2 2 9" xfId="2081" xr:uid="{00000000-0005-0000-0000-000038080000}"/>
    <cellStyle name="Heading 4 2 3" xfId="2082" xr:uid="{00000000-0005-0000-0000-000039080000}"/>
    <cellStyle name="Heading 4 2 3 2" xfId="2083" xr:uid="{00000000-0005-0000-0000-00003A080000}"/>
    <cellStyle name="Heading 4 2 4" xfId="2084" xr:uid="{00000000-0005-0000-0000-00003B080000}"/>
    <cellStyle name="Heading 4 2 4 2" xfId="2085" xr:uid="{00000000-0005-0000-0000-00003C080000}"/>
    <cellStyle name="Heading 4 2 5" xfId="2086" xr:uid="{00000000-0005-0000-0000-00003D080000}"/>
    <cellStyle name="Heading 4 2 6" xfId="2087" xr:uid="{00000000-0005-0000-0000-00003E080000}"/>
    <cellStyle name="Heading 4 2 7" xfId="2088" xr:uid="{00000000-0005-0000-0000-00003F080000}"/>
    <cellStyle name="Heading 4 2 8" xfId="2089" xr:uid="{00000000-0005-0000-0000-000040080000}"/>
    <cellStyle name="Heading 4 2 9" xfId="2090" xr:uid="{00000000-0005-0000-0000-000041080000}"/>
    <cellStyle name="Heading 4 3" xfId="2091" xr:uid="{00000000-0005-0000-0000-000042080000}"/>
    <cellStyle name="Heading 4 3 10" xfId="2092" xr:uid="{00000000-0005-0000-0000-000043080000}"/>
    <cellStyle name="Heading 4 3 2" xfId="2093" xr:uid="{00000000-0005-0000-0000-000044080000}"/>
    <cellStyle name="Heading 4 3 3" xfId="2094" xr:uid="{00000000-0005-0000-0000-000045080000}"/>
    <cellStyle name="Heading 4 3 4" xfId="2095" xr:uid="{00000000-0005-0000-0000-000046080000}"/>
    <cellStyle name="Heading 4 3 5" xfId="2096" xr:uid="{00000000-0005-0000-0000-000047080000}"/>
    <cellStyle name="Heading 4 3 6" xfId="2097" xr:uid="{00000000-0005-0000-0000-000048080000}"/>
    <cellStyle name="Heading 4 3 7" xfId="2098" xr:uid="{00000000-0005-0000-0000-000049080000}"/>
    <cellStyle name="Heading 4 3 8" xfId="2099" xr:uid="{00000000-0005-0000-0000-00004A080000}"/>
    <cellStyle name="Heading 4 3 9" xfId="2100" xr:uid="{00000000-0005-0000-0000-00004B080000}"/>
    <cellStyle name="Heading 4 4" xfId="2101" xr:uid="{00000000-0005-0000-0000-00004C080000}"/>
    <cellStyle name="Heading 4 4 10" xfId="2102" xr:uid="{00000000-0005-0000-0000-00004D080000}"/>
    <cellStyle name="Heading 4 4 2" xfId="2103" xr:uid="{00000000-0005-0000-0000-00004E080000}"/>
    <cellStyle name="Heading 4 4 3" xfId="2104" xr:uid="{00000000-0005-0000-0000-00004F080000}"/>
    <cellStyle name="Heading 4 4 4" xfId="2105" xr:uid="{00000000-0005-0000-0000-000050080000}"/>
    <cellStyle name="Heading 4 4 5" xfId="2106" xr:uid="{00000000-0005-0000-0000-000051080000}"/>
    <cellStyle name="Heading 4 4 6" xfId="2107" xr:uid="{00000000-0005-0000-0000-000052080000}"/>
    <cellStyle name="Heading 4 4 7" xfId="2108" xr:uid="{00000000-0005-0000-0000-000053080000}"/>
    <cellStyle name="Heading 4 4 8" xfId="2109" xr:uid="{00000000-0005-0000-0000-000054080000}"/>
    <cellStyle name="Heading 4 4 9" xfId="2110" xr:uid="{00000000-0005-0000-0000-000055080000}"/>
    <cellStyle name="Heading 4 5" xfId="2111" xr:uid="{00000000-0005-0000-0000-000056080000}"/>
    <cellStyle name="Heading 4 5 10" xfId="2112" xr:uid="{00000000-0005-0000-0000-000057080000}"/>
    <cellStyle name="Heading 4 5 2" xfId="2113" xr:uid="{00000000-0005-0000-0000-000058080000}"/>
    <cellStyle name="Heading 4 5 3" xfId="2114" xr:uid="{00000000-0005-0000-0000-000059080000}"/>
    <cellStyle name="Heading 4 5 4" xfId="2115" xr:uid="{00000000-0005-0000-0000-00005A080000}"/>
    <cellStyle name="Heading 4 5 5" xfId="2116" xr:uid="{00000000-0005-0000-0000-00005B080000}"/>
    <cellStyle name="Heading 4 5 6" xfId="2117" xr:uid="{00000000-0005-0000-0000-00005C080000}"/>
    <cellStyle name="Heading 4 5 7" xfId="2118" xr:uid="{00000000-0005-0000-0000-00005D080000}"/>
    <cellStyle name="Heading 4 5 8" xfId="2119" xr:uid="{00000000-0005-0000-0000-00005E080000}"/>
    <cellStyle name="Heading 4 5 9" xfId="2120" xr:uid="{00000000-0005-0000-0000-00005F080000}"/>
    <cellStyle name="Heading 4 6 2" xfId="2121" xr:uid="{00000000-0005-0000-0000-000060080000}"/>
    <cellStyle name="Heading 4 7 2" xfId="2122" xr:uid="{00000000-0005-0000-0000-000061080000}"/>
    <cellStyle name="Heading 4 8" xfId="2123" xr:uid="{00000000-0005-0000-0000-000062080000}"/>
    <cellStyle name="Heading 4 9" xfId="2124" xr:uid="{00000000-0005-0000-0000-000063080000}"/>
    <cellStyle name="Hyperlink" xfId="6651" builtinId="8"/>
    <cellStyle name="Hyperlink 2" xfId="2125" xr:uid="{00000000-0005-0000-0000-000065080000}"/>
    <cellStyle name="Hyperlink 2 2" xfId="2126" xr:uid="{00000000-0005-0000-0000-000066080000}"/>
    <cellStyle name="Hyperlink 2 3" xfId="2127" xr:uid="{00000000-0005-0000-0000-000067080000}"/>
    <cellStyle name="Hyperlink 2 4" xfId="2128" xr:uid="{00000000-0005-0000-0000-000068080000}"/>
    <cellStyle name="Hyperlink 3" xfId="2129" xr:uid="{00000000-0005-0000-0000-000069080000}"/>
    <cellStyle name="Input 10" xfId="2130" xr:uid="{00000000-0005-0000-0000-00006A080000}"/>
    <cellStyle name="Input 11" xfId="2131" xr:uid="{00000000-0005-0000-0000-00006B080000}"/>
    <cellStyle name="Input 12" xfId="2132" xr:uid="{00000000-0005-0000-0000-00006C080000}"/>
    <cellStyle name="Input 13" xfId="2133" xr:uid="{00000000-0005-0000-0000-00006D080000}"/>
    <cellStyle name="Input 14" xfId="2134" xr:uid="{00000000-0005-0000-0000-00006E080000}"/>
    <cellStyle name="Input 2" xfId="2135" xr:uid="{00000000-0005-0000-0000-00006F080000}"/>
    <cellStyle name="Input 2 10" xfId="2136" xr:uid="{00000000-0005-0000-0000-000070080000}"/>
    <cellStyle name="Input 2 11" xfId="2137" xr:uid="{00000000-0005-0000-0000-000071080000}"/>
    <cellStyle name="Input 2 12" xfId="2138" xr:uid="{00000000-0005-0000-0000-000072080000}"/>
    <cellStyle name="Input 2 13" xfId="2139" xr:uid="{00000000-0005-0000-0000-000073080000}"/>
    <cellStyle name="Input 2 2" xfId="2140" xr:uid="{00000000-0005-0000-0000-000074080000}"/>
    <cellStyle name="Input 2 2 10" xfId="2141" xr:uid="{00000000-0005-0000-0000-000075080000}"/>
    <cellStyle name="Input 2 2 2" xfId="2142" xr:uid="{00000000-0005-0000-0000-000076080000}"/>
    <cellStyle name="Input 2 2 2 2" xfId="2143" xr:uid="{00000000-0005-0000-0000-000077080000}"/>
    <cellStyle name="Input 2 2 3" xfId="2144" xr:uid="{00000000-0005-0000-0000-000078080000}"/>
    <cellStyle name="Input 2 2 4" xfId="2145" xr:uid="{00000000-0005-0000-0000-000079080000}"/>
    <cellStyle name="Input 2 2 5" xfId="2146" xr:uid="{00000000-0005-0000-0000-00007A080000}"/>
    <cellStyle name="Input 2 2 6" xfId="2147" xr:uid="{00000000-0005-0000-0000-00007B080000}"/>
    <cellStyle name="Input 2 2 7" xfId="2148" xr:uid="{00000000-0005-0000-0000-00007C080000}"/>
    <cellStyle name="Input 2 2 8" xfId="2149" xr:uid="{00000000-0005-0000-0000-00007D080000}"/>
    <cellStyle name="Input 2 2 9" xfId="2150" xr:uid="{00000000-0005-0000-0000-00007E080000}"/>
    <cellStyle name="Input 2 3" xfId="2151" xr:uid="{00000000-0005-0000-0000-00007F080000}"/>
    <cellStyle name="Input 2 3 2" xfId="2152" xr:uid="{00000000-0005-0000-0000-000080080000}"/>
    <cellStyle name="Input 2 4" xfId="2153" xr:uid="{00000000-0005-0000-0000-000081080000}"/>
    <cellStyle name="Input 2 4 2" xfId="2154" xr:uid="{00000000-0005-0000-0000-000082080000}"/>
    <cellStyle name="Input 2 5" xfId="2155" xr:uid="{00000000-0005-0000-0000-000083080000}"/>
    <cellStyle name="Input 2 6" xfId="2156" xr:uid="{00000000-0005-0000-0000-000084080000}"/>
    <cellStyle name="Input 2 7" xfId="2157" xr:uid="{00000000-0005-0000-0000-000085080000}"/>
    <cellStyle name="Input 2 8" xfId="2158" xr:uid="{00000000-0005-0000-0000-000086080000}"/>
    <cellStyle name="Input 2 9" xfId="2159" xr:uid="{00000000-0005-0000-0000-000087080000}"/>
    <cellStyle name="Input 3" xfId="2160" xr:uid="{00000000-0005-0000-0000-000088080000}"/>
    <cellStyle name="Input 3 10" xfId="2161" xr:uid="{00000000-0005-0000-0000-000089080000}"/>
    <cellStyle name="Input 3 2" xfId="2162" xr:uid="{00000000-0005-0000-0000-00008A080000}"/>
    <cellStyle name="Input 3 3" xfId="2163" xr:uid="{00000000-0005-0000-0000-00008B080000}"/>
    <cellStyle name="Input 3 4" xfId="2164" xr:uid="{00000000-0005-0000-0000-00008C080000}"/>
    <cellStyle name="Input 3 5" xfId="2165" xr:uid="{00000000-0005-0000-0000-00008D080000}"/>
    <cellStyle name="Input 3 6" xfId="2166" xr:uid="{00000000-0005-0000-0000-00008E080000}"/>
    <cellStyle name="Input 3 7" xfId="2167" xr:uid="{00000000-0005-0000-0000-00008F080000}"/>
    <cellStyle name="Input 3 8" xfId="2168" xr:uid="{00000000-0005-0000-0000-000090080000}"/>
    <cellStyle name="Input 3 9" xfId="2169" xr:uid="{00000000-0005-0000-0000-000091080000}"/>
    <cellStyle name="Input 4" xfId="2170" xr:uid="{00000000-0005-0000-0000-000092080000}"/>
    <cellStyle name="Input 4 10" xfId="2171" xr:uid="{00000000-0005-0000-0000-000093080000}"/>
    <cellStyle name="Input 4 2" xfId="2172" xr:uid="{00000000-0005-0000-0000-000094080000}"/>
    <cellStyle name="Input 4 3" xfId="2173" xr:uid="{00000000-0005-0000-0000-000095080000}"/>
    <cellStyle name="Input 4 4" xfId="2174" xr:uid="{00000000-0005-0000-0000-000096080000}"/>
    <cellStyle name="Input 4 5" xfId="2175" xr:uid="{00000000-0005-0000-0000-000097080000}"/>
    <cellStyle name="Input 4 6" xfId="2176" xr:uid="{00000000-0005-0000-0000-000098080000}"/>
    <cellStyle name="Input 4 7" xfId="2177" xr:uid="{00000000-0005-0000-0000-000099080000}"/>
    <cellStyle name="Input 4 8" xfId="2178" xr:uid="{00000000-0005-0000-0000-00009A080000}"/>
    <cellStyle name="Input 4 9" xfId="2179" xr:uid="{00000000-0005-0000-0000-00009B080000}"/>
    <cellStyle name="Input 5" xfId="2180" xr:uid="{00000000-0005-0000-0000-00009C080000}"/>
    <cellStyle name="Input 5 10" xfId="2181" xr:uid="{00000000-0005-0000-0000-00009D080000}"/>
    <cellStyle name="Input 5 2" xfId="2182" xr:uid="{00000000-0005-0000-0000-00009E080000}"/>
    <cellStyle name="Input 5 3" xfId="2183" xr:uid="{00000000-0005-0000-0000-00009F080000}"/>
    <cellStyle name="Input 5 4" xfId="2184" xr:uid="{00000000-0005-0000-0000-0000A0080000}"/>
    <cellStyle name="Input 5 5" xfId="2185" xr:uid="{00000000-0005-0000-0000-0000A1080000}"/>
    <cellStyle name="Input 5 6" xfId="2186" xr:uid="{00000000-0005-0000-0000-0000A2080000}"/>
    <cellStyle name="Input 5 7" xfId="2187" xr:uid="{00000000-0005-0000-0000-0000A3080000}"/>
    <cellStyle name="Input 5 8" xfId="2188" xr:uid="{00000000-0005-0000-0000-0000A4080000}"/>
    <cellStyle name="Input 5 9" xfId="2189" xr:uid="{00000000-0005-0000-0000-0000A5080000}"/>
    <cellStyle name="Input 6 2" xfId="2190" xr:uid="{00000000-0005-0000-0000-0000A6080000}"/>
    <cellStyle name="Input 7 2" xfId="2191" xr:uid="{00000000-0005-0000-0000-0000A7080000}"/>
    <cellStyle name="Input 8" xfId="2192" xr:uid="{00000000-0005-0000-0000-0000A8080000}"/>
    <cellStyle name="Input 9" xfId="2193" xr:uid="{00000000-0005-0000-0000-0000A9080000}"/>
    <cellStyle name="Linked Cell 10" xfId="2194" xr:uid="{00000000-0005-0000-0000-0000AA080000}"/>
    <cellStyle name="Linked Cell 11" xfId="2195" xr:uid="{00000000-0005-0000-0000-0000AB080000}"/>
    <cellStyle name="Linked Cell 12" xfId="2196" xr:uid="{00000000-0005-0000-0000-0000AC080000}"/>
    <cellStyle name="Linked Cell 13" xfId="2197" xr:uid="{00000000-0005-0000-0000-0000AD080000}"/>
    <cellStyle name="Linked Cell 14" xfId="2198" xr:uid="{00000000-0005-0000-0000-0000AE080000}"/>
    <cellStyle name="Linked Cell 2" xfId="2199" xr:uid="{00000000-0005-0000-0000-0000AF080000}"/>
    <cellStyle name="Linked Cell 2 10" xfId="2200" xr:uid="{00000000-0005-0000-0000-0000B0080000}"/>
    <cellStyle name="Linked Cell 2 11" xfId="2201" xr:uid="{00000000-0005-0000-0000-0000B1080000}"/>
    <cellStyle name="Linked Cell 2 12" xfId="2202" xr:uid="{00000000-0005-0000-0000-0000B2080000}"/>
    <cellStyle name="Linked Cell 2 13" xfId="2203" xr:uid="{00000000-0005-0000-0000-0000B3080000}"/>
    <cellStyle name="Linked Cell 2 2" xfId="2204" xr:uid="{00000000-0005-0000-0000-0000B4080000}"/>
    <cellStyle name="Linked Cell 2 2 10" xfId="2205" xr:uid="{00000000-0005-0000-0000-0000B5080000}"/>
    <cellStyle name="Linked Cell 2 2 2" xfId="2206" xr:uid="{00000000-0005-0000-0000-0000B6080000}"/>
    <cellStyle name="Linked Cell 2 2 2 2" xfId="2207" xr:uid="{00000000-0005-0000-0000-0000B7080000}"/>
    <cellStyle name="Linked Cell 2 2 3" xfId="2208" xr:uid="{00000000-0005-0000-0000-0000B8080000}"/>
    <cellStyle name="Linked Cell 2 2 4" xfId="2209" xr:uid="{00000000-0005-0000-0000-0000B9080000}"/>
    <cellStyle name="Linked Cell 2 2 5" xfId="2210" xr:uid="{00000000-0005-0000-0000-0000BA080000}"/>
    <cellStyle name="Linked Cell 2 2 6" xfId="2211" xr:uid="{00000000-0005-0000-0000-0000BB080000}"/>
    <cellStyle name="Linked Cell 2 2 7" xfId="2212" xr:uid="{00000000-0005-0000-0000-0000BC080000}"/>
    <cellStyle name="Linked Cell 2 2 8" xfId="2213" xr:uid="{00000000-0005-0000-0000-0000BD080000}"/>
    <cellStyle name="Linked Cell 2 2 9" xfId="2214" xr:uid="{00000000-0005-0000-0000-0000BE080000}"/>
    <cellStyle name="Linked Cell 2 3" xfId="2215" xr:uid="{00000000-0005-0000-0000-0000BF080000}"/>
    <cellStyle name="Linked Cell 2 3 2" xfId="2216" xr:uid="{00000000-0005-0000-0000-0000C0080000}"/>
    <cellStyle name="Linked Cell 2 4" xfId="2217" xr:uid="{00000000-0005-0000-0000-0000C1080000}"/>
    <cellStyle name="Linked Cell 2 4 2" xfId="2218" xr:uid="{00000000-0005-0000-0000-0000C2080000}"/>
    <cellStyle name="Linked Cell 2 5" xfId="2219" xr:uid="{00000000-0005-0000-0000-0000C3080000}"/>
    <cellStyle name="Linked Cell 2 6" xfId="2220" xr:uid="{00000000-0005-0000-0000-0000C4080000}"/>
    <cellStyle name="Linked Cell 2 7" xfId="2221" xr:uid="{00000000-0005-0000-0000-0000C5080000}"/>
    <cellStyle name="Linked Cell 2 8" xfId="2222" xr:uid="{00000000-0005-0000-0000-0000C6080000}"/>
    <cellStyle name="Linked Cell 2 9" xfId="2223" xr:uid="{00000000-0005-0000-0000-0000C7080000}"/>
    <cellStyle name="Linked Cell 3" xfId="2224" xr:uid="{00000000-0005-0000-0000-0000C8080000}"/>
    <cellStyle name="Linked Cell 3 10" xfId="2225" xr:uid="{00000000-0005-0000-0000-0000C9080000}"/>
    <cellStyle name="Linked Cell 3 2" xfId="2226" xr:uid="{00000000-0005-0000-0000-0000CA080000}"/>
    <cellStyle name="Linked Cell 3 3" xfId="2227" xr:uid="{00000000-0005-0000-0000-0000CB080000}"/>
    <cellStyle name="Linked Cell 3 4" xfId="2228" xr:uid="{00000000-0005-0000-0000-0000CC080000}"/>
    <cellStyle name="Linked Cell 3 5" xfId="2229" xr:uid="{00000000-0005-0000-0000-0000CD080000}"/>
    <cellStyle name="Linked Cell 3 6" xfId="2230" xr:uid="{00000000-0005-0000-0000-0000CE080000}"/>
    <cellStyle name="Linked Cell 3 7" xfId="2231" xr:uid="{00000000-0005-0000-0000-0000CF080000}"/>
    <cellStyle name="Linked Cell 3 8" xfId="2232" xr:uid="{00000000-0005-0000-0000-0000D0080000}"/>
    <cellStyle name="Linked Cell 3 9" xfId="2233" xr:uid="{00000000-0005-0000-0000-0000D1080000}"/>
    <cellStyle name="Linked Cell 4" xfId="2234" xr:uid="{00000000-0005-0000-0000-0000D2080000}"/>
    <cellStyle name="Linked Cell 4 10" xfId="2235" xr:uid="{00000000-0005-0000-0000-0000D3080000}"/>
    <cellStyle name="Linked Cell 4 2" xfId="2236" xr:uid="{00000000-0005-0000-0000-0000D4080000}"/>
    <cellStyle name="Linked Cell 4 3" xfId="2237" xr:uid="{00000000-0005-0000-0000-0000D5080000}"/>
    <cellStyle name="Linked Cell 4 4" xfId="2238" xr:uid="{00000000-0005-0000-0000-0000D6080000}"/>
    <cellStyle name="Linked Cell 4 5" xfId="2239" xr:uid="{00000000-0005-0000-0000-0000D7080000}"/>
    <cellStyle name="Linked Cell 4 6" xfId="2240" xr:uid="{00000000-0005-0000-0000-0000D8080000}"/>
    <cellStyle name="Linked Cell 4 7" xfId="2241" xr:uid="{00000000-0005-0000-0000-0000D9080000}"/>
    <cellStyle name="Linked Cell 4 8" xfId="2242" xr:uid="{00000000-0005-0000-0000-0000DA080000}"/>
    <cellStyle name="Linked Cell 4 9" xfId="2243" xr:uid="{00000000-0005-0000-0000-0000DB080000}"/>
    <cellStyle name="Linked Cell 5" xfId="2244" xr:uid="{00000000-0005-0000-0000-0000DC080000}"/>
    <cellStyle name="Linked Cell 5 10" xfId="2245" xr:uid="{00000000-0005-0000-0000-0000DD080000}"/>
    <cellStyle name="Linked Cell 5 2" xfId="2246" xr:uid="{00000000-0005-0000-0000-0000DE080000}"/>
    <cellStyle name="Linked Cell 5 3" xfId="2247" xr:uid="{00000000-0005-0000-0000-0000DF080000}"/>
    <cellStyle name="Linked Cell 5 4" xfId="2248" xr:uid="{00000000-0005-0000-0000-0000E0080000}"/>
    <cellStyle name="Linked Cell 5 5" xfId="2249" xr:uid="{00000000-0005-0000-0000-0000E1080000}"/>
    <cellStyle name="Linked Cell 5 6" xfId="2250" xr:uid="{00000000-0005-0000-0000-0000E2080000}"/>
    <cellStyle name="Linked Cell 5 7" xfId="2251" xr:uid="{00000000-0005-0000-0000-0000E3080000}"/>
    <cellStyle name="Linked Cell 5 8" xfId="2252" xr:uid="{00000000-0005-0000-0000-0000E4080000}"/>
    <cellStyle name="Linked Cell 5 9" xfId="2253" xr:uid="{00000000-0005-0000-0000-0000E5080000}"/>
    <cellStyle name="Linked Cell 6 2" xfId="2254" xr:uid="{00000000-0005-0000-0000-0000E6080000}"/>
    <cellStyle name="Linked Cell 7 2" xfId="2255" xr:uid="{00000000-0005-0000-0000-0000E7080000}"/>
    <cellStyle name="Linked Cell 8" xfId="2256" xr:uid="{00000000-0005-0000-0000-0000E8080000}"/>
    <cellStyle name="Linked Cell 9" xfId="2257" xr:uid="{00000000-0005-0000-0000-0000E9080000}"/>
    <cellStyle name="Neutral 10" xfId="2258" xr:uid="{00000000-0005-0000-0000-0000EA080000}"/>
    <cellStyle name="Neutral 11" xfId="2259" xr:uid="{00000000-0005-0000-0000-0000EB080000}"/>
    <cellStyle name="Neutral 12" xfId="2260" xr:uid="{00000000-0005-0000-0000-0000EC080000}"/>
    <cellStyle name="Neutral 13" xfId="2261" xr:uid="{00000000-0005-0000-0000-0000ED080000}"/>
    <cellStyle name="Neutral 14" xfId="2262" xr:uid="{00000000-0005-0000-0000-0000EE080000}"/>
    <cellStyle name="Neutral 2" xfId="2263" xr:uid="{00000000-0005-0000-0000-0000EF080000}"/>
    <cellStyle name="Neutral 2 10" xfId="2264" xr:uid="{00000000-0005-0000-0000-0000F0080000}"/>
    <cellStyle name="Neutral 2 11" xfId="2265" xr:uid="{00000000-0005-0000-0000-0000F1080000}"/>
    <cellStyle name="Neutral 2 12" xfId="2266" xr:uid="{00000000-0005-0000-0000-0000F2080000}"/>
    <cellStyle name="Neutral 2 13" xfId="2267" xr:uid="{00000000-0005-0000-0000-0000F3080000}"/>
    <cellStyle name="Neutral 2 2" xfId="2268" xr:uid="{00000000-0005-0000-0000-0000F4080000}"/>
    <cellStyle name="Neutral 2 2 10" xfId="2269" xr:uid="{00000000-0005-0000-0000-0000F5080000}"/>
    <cellStyle name="Neutral 2 2 2" xfId="2270" xr:uid="{00000000-0005-0000-0000-0000F6080000}"/>
    <cellStyle name="Neutral 2 2 2 2" xfId="2271" xr:uid="{00000000-0005-0000-0000-0000F7080000}"/>
    <cellStyle name="Neutral 2 2 3" xfId="2272" xr:uid="{00000000-0005-0000-0000-0000F8080000}"/>
    <cellStyle name="Neutral 2 2 4" xfId="2273" xr:uid="{00000000-0005-0000-0000-0000F9080000}"/>
    <cellStyle name="Neutral 2 2 5" xfId="2274" xr:uid="{00000000-0005-0000-0000-0000FA080000}"/>
    <cellStyle name="Neutral 2 2 6" xfId="2275" xr:uid="{00000000-0005-0000-0000-0000FB080000}"/>
    <cellStyle name="Neutral 2 2 7" xfId="2276" xr:uid="{00000000-0005-0000-0000-0000FC080000}"/>
    <cellStyle name="Neutral 2 2 8" xfId="2277" xr:uid="{00000000-0005-0000-0000-0000FD080000}"/>
    <cellStyle name="Neutral 2 2 9" xfId="2278" xr:uid="{00000000-0005-0000-0000-0000FE080000}"/>
    <cellStyle name="Neutral 2 3" xfId="2279" xr:uid="{00000000-0005-0000-0000-0000FF080000}"/>
    <cellStyle name="Neutral 2 3 2" xfId="2280" xr:uid="{00000000-0005-0000-0000-000000090000}"/>
    <cellStyle name="Neutral 2 4" xfId="2281" xr:uid="{00000000-0005-0000-0000-000001090000}"/>
    <cellStyle name="Neutral 2 4 2" xfId="2282" xr:uid="{00000000-0005-0000-0000-000002090000}"/>
    <cellStyle name="Neutral 2 5" xfId="2283" xr:uid="{00000000-0005-0000-0000-000003090000}"/>
    <cellStyle name="Neutral 2 6" xfId="2284" xr:uid="{00000000-0005-0000-0000-000004090000}"/>
    <cellStyle name="Neutral 2 7" xfId="2285" xr:uid="{00000000-0005-0000-0000-000005090000}"/>
    <cellStyle name="Neutral 2 8" xfId="2286" xr:uid="{00000000-0005-0000-0000-000006090000}"/>
    <cellStyle name="Neutral 2 9" xfId="2287" xr:uid="{00000000-0005-0000-0000-000007090000}"/>
    <cellStyle name="Neutral 3" xfId="2288" xr:uid="{00000000-0005-0000-0000-000008090000}"/>
    <cellStyle name="Neutral 3 10" xfId="2289" xr:uid="{00000000-0005-0000-0000-000009090000}"/>
    <cellStyle name="Neutral 3 2" xfId="2290" xr:uid="{00000000-0005-0000-0000-00000A090000}"/>
    <cellStyle name="Neutral 3 3" xfId="2291" xr:uid="{00000000-0005-0000-0000-00000B090000}"/>
    <cellStyle name="Neutral 3 4" xfId="2292" xr:uid="{00000000-0005-0000-0000-00000C090000}"/>
    <cellStyle name="Neutral 3 5" xfId="2293" xr:uid="{00000000-0005-0000-0000-00000D090000}"/>
    <cellStyle name="Neutral 3 6" xfId="2294" xr:uid="{00000000-0005-0000-0000-00000E090000}"/>
    <cellStyle name="Neutral 3 7" xfId="2295" xr:uid="{00000000-0005-0000-0000-00000F090000}"/>
    <cellStyle name="Neutral 3 8" xfId="2296" xr:uid="{00000000-0005-0000-0000-000010090000}"/>
    <cellStyle name="Neutral 3 9" xfId="2297" xr:uid="{00000000-0005-0000-0000-000011090000}"/>
    <cellStyle name="Neutral 4" xfId="2298" xr:uid="{00000000-0005-0000-0000-000012090000}"/>
    <cellStyle name="Neutral 4 10" xfId="2299" xr:uid="{00000000-0005-0000-0000-000013090000}"/>
    <cellStyle name="Neutral 4 2" xfId="2300" xr:uid="{00000000-0005-0000-0000-000014090000}"/>
    <cellStyle name="Neutral 4 3" xfId="2301" xr:uid="{00000000-0005-0000-0000-000015090000}"/>
    <cellStyle name="Neutral 4 4" xfId="2302" xr:uid="{00000000-0005-0000-0000-000016090000}"/>
    <cellStyle name="Neutral 4 5" xfId="2303" xr:uid="{00000000-0005-0000-0000-000017090000}"/>
    <cellStyle name="Neutral 4 6" xfId="2304" xr:uid="{00000000-0005-0000-0000-000018090000}"/>
    <cellStyle name="Neutral 4 7" xfId="2305" xr:uid="{00000000-0005-0000-0000-000019090000}"/>
    <cellStyle name="Neutral 4 8" xfId="2306" xr:uid="{00000000-0005-0000-0000-00001A090000}"/>
    <cellStyle name="Neutral 4 9" xfId="2307" xr:uid="{00000000-0005-0000-0000-00001B090000}"/>
    <cellStyle name="Neutral 5" xfId="2308" xr:uid="{00000000-0005-0000-0000-00001C090000}"/>
    <cellStyle name="Neutral 5 10" xfId="2309" xr:uid="{00000000-0005-0000-0000-00001D090000}"/>
    <cellStyle name="Neutral 5 2" xfId="2310" xr:uid="{00000000-0005-0000-0000-00001E090000}"/>
    <cellStyle name="Neutral 5 3" xfId="2311" xr:uid="{00000000-0005-0000-0000-00001F090000}"/>
    <cellStyle name="Neutral 5 4" xfId="2312" xr:uid="{00000000-0005-0000-0000-000020090000}"/>
    <cellStyle name="Neutral 5 5" xfId="2313" xr:uid="{00000000-0005-0000-0000-000021090000}"/>
    <cellStyle name="Neutral 5 6" xfId="2314" xr:uid="{00000000-0005-0000-0000-000022090000}"/>
    <cellStyle name="Neutral 5 7" xfId="2315" xr:uid="{00000000-0005-0000-0000-000023090000}"/>
    <cellStyle name="Neutral 5 8" xfId="2316" xr:uid="{00000000-0005-0000-0000-000024090000}"/>
    <cellStyle name="Neutral 5 9" xfId="2317" xr:uid="{00000000-0005-0000-0000-000025090000}"/>
    <cellStyle name="Neutral 6 2" xfId="2318" xr:uid="{00000000-0005-0000-0000-000026090000}"/>
    <cellStyle name="Neutral 7 2" xfId="2319" xr:uid="{00000000-0005-0000-0000-000027090000}"/>
    <cellStyle name="Neutral 8" xfId="2320" xr:uid="{00000000-0005-0000-0000-000028090000}"/>
    <cellStyle name="Neutral 9" xfId="2321" xr:uid="{00000000-0005-0000-0000-000029090000}"/>
    <cellStyle name="Normal" xfId="0" builtinId="0"/>
    <cellStyle name="Normal 10" xfId="2322" xr:uid="{00000000-0005-0000-0000-00002B090000}"/>
    <cellStyle name="Normal 10 10" xfId="2323" xr:uid="{00000000-0005-0000-0000-00002C090000}"/>
    <cellStyle name="Normal 10 11" xfId="2324" xr:uid="{00000000-0005-0000-0000-00002D090000}"/>
    <cellStyle name="Normal 10 12" xfId="2325" xr:uid="{00000000-0005-0000-0000-00002E090000}"/>
    <cellStyle name="Normal 10 13" xfId="2326" xr:uid="{00000000-0005-0000-0000-00002F090000}"/>
    <cellStyle name="Normal 10 14" xfId="2327" xr:uid="{00000000-0005-0000-0000-000030090000}"/>
    <cellStyle name="Normal 10 15" xfId="2328" xr:uid="{00000000-0005-0000-0000-000031090000}"/>
    <cellStyle name="Normal 10 16" xfId="2329" xr:uid="{00000000-0005-0000-0000-000032090000}"/>
    <cellStyle name="Normal 10 17" xfId="2330" xr:uid="{00000000-0005-0000-0000-000033090000}"/>
    <cellStyle name="Normal 10 18" xfId="2331" xr:uid="{00000000-0005-0000-0000-000034090000}"/>
    <cellStyle name="Normal 10 19" xfId="2332" xr:uid="{00000000-0005-0000-0000-000035090000}"/>
    <cellStyle name="Normal 10 2" xfId="2333" xr:uid="{00000000-0005-0000-0000-000036090000}"/>
    <cellStyle name="Normal 10 2 2" xfId="2334" xr:uid="{00000000-0005-0000-0000-000037090000}"/>
    <cellStyle name="Normal 10 20" xfId="2335" xr:uid="{00000000-0005-0000-0000-000038090000}"/>
    <cellStyle name="Normal 10 21" xfId="2336" xr:uid="{00000000-0005-0000-0000-000039090000}"/>
    <cellStyle name="Normal 10 22" xfId="2337" xr:uid="{00000000-0005-0000-0000-00003A090000}"/>
    <cellStyle name="Normal 10 23" xfId="2338" xr:uid="{00000000-0005-0000-0000-00003B090000}"/>
    <cellStyle name="Normal 10 24" xfId="2339" xr:uid="{00000000-0005-0000-0000-00003C090000}"/>
    <cellStyle name="Normal 10 25" xfId="2340" xr:uid="{00000000-0005-0000-0000-00003D090000}"/>
    <cellStyle name="Normal 10 26" xfId="2341" xr:uid="{00000000-0005-0000-0000-00003E090000}"/>
    <cellStyle name="Normal 10 27" xfId="2342" xr:uid="{00000000-0005-0000-0000-00003F090000}"/>
    <cellStyle name="Normal 10 28" xfId="2343" xr:uid="{00000000-0005-0000-0000-000040090000}"/>
    <cellStyle name="Normal 10 29" xfId="2344" xr:uid="{00000000-0005-0000-0000-000041090000}"/>
    <cellStyle name="Normal 10 3" xfId="2345" xr:uid="{00000000-0005-0000-0000-000042090000}"/>
    <cellStyle name="Normal 10 30" xfId="2346" xr:uid="{00000000-0005-0000-0000-000043090000}"/>
    <cellStyle name="Normal 10 31" xfId="2347" xr:uid="{00000000-0005-0000-0000-000044090000}"/>
    <cellStyle name="Normal 10 32" xfId="2348" xr:uid="{00000000-0005-0000-0000-000045090000}"/>
    <cellStyle name="Normal 10 33" xfId="2349" xr:uid="{00000000-0005-0000-0000-000046090000}"/>
    <cellStyle name="Normal 10 34" xfId="2350" xr:uid="{00000000-0005-0000-0000-000047090000}"/>
    <cellStyle name="Normal 10 35" xfId="2351" xr:uid="{00000000-0005-0000-0000-000048090000}"/>
    <cellStyle name="Normal 10 36" xfId="2352" xr:uid="{00000000-0005-0000-0000-000049090000}"/>
    <cellStyle name="Normal 10 37" xfId="2353" xr:uid="{00000000-0005-0000-0000-00004A090000}"/>
    <cellStyle name="Normal 10 38" xfId="2354" xr:uid="{00000000-0005-0000-0000-00004B090000}"/>
    <cellStyle name="Normal 10 39" xfId="2355" xr:uid="{00000000-0005-0000-0000-00004C090000}"/>
    <cellStyle name="Normal 10 4" xfId="2356" xr:uid="{00000000-0005-0000-0000-00004D090000}"/>
    <cellStyle name="Normal 10 40" xfId="2357" xr:uid="{00000000-0005-0000-0000-00004E090000}"/>
    <cellStyle name="Normal 10 41" xfId="2358" xr:uid="{00000000-0005-0000-0000-00004F090000}"/>
    <cellStyle name="Normal 10 42" xfId="2359" xr:uid="{00000000-0005-0000-0000-000050090000}"/>
    <cellStyle name="Normal 10 43" xfId="2360" xr:uid="{00000000-0005-0000-0000-000051090000}"/>
    <cellStyle name="Normal 10 44" xfId="2361" xr:uid="{00000000-0005-0000-0000-000052090000}"/>
    <cellStyle name="Normal 10 45" xfId="2362" xr:uid="{00000000-0005-0000-0000-000053090000}"/>
    <cellStyle name="Normal 10 46" xfId="2363" xr:uid="{00000000-0005-0000-0000-000054090000}"/>
    <cellStyle name="Normal 10 47" xfId="2364" xr:uid="{00000000-0005-0000-0000-000055090000}"/>
    <cellStyle name="Normal 10 48" xfId="2365" xr:uid="{00000000-0005-0000-0000-000056090000}"/>
    <cellStyle name="Normal 10 49" xfId="2366" xr:uid="{00000000-0005-0000-0000-000057090000}"/>
    <cellStyle name="Normal 10 5" xfId="2367" xr:uid="{00000000-0005-0000-0000-000058090000}"/>
    <cellStyle name="Normal 10 50" xfId="2368" xr:uid="{00000000-0005-0000-0000-000059090000}"/>
    <cellStyle name="Normal 10 51" xfId="2369" xr:uid="{00000000-0005-0000-0000-00005A090000}"/>
    <cellStyle name="Normal 10 52" xfId="2370" xr:uid="{00000000-0005-0000-0000-00005B090000}"/>
    <cellStyle name="Normal 10 53" xfId="2371" xr:uid="{00000000-0005-0000-0000-00005C090000}"/>
    <cellStyle name="Normal 10 6" xfId="2372" xr:uid="{00000000-0005-0000-0000-00005D090000}"/>
    <cellStyle name="Normal 10 7" xfId="2373" xr:uid="{00000000-0005-0000-0000-00005E090000}"/>
    <cellStyle name="Normal 10 8" xfId="2374" xr:uid="{00000000-0005-0000-0000-00005F090000}"/>
    <cellStyle name="Normal 10 9" xfId="2375" xr:uid="{00000000-0005-0000-0000-000060090000}"/>
    <cellStyle name="Normal 11" xfId="2376" xr:uid="{00000000-0005-0000-0000-000061090000}"/>
    <cellStyle name="Normal 11 10" xfId="2377" xr:uid="{00000000-0005-0000-0000-000062090000}"/>
    <cellStyle name="Normal 11 11" xfId="2378" xr:uid="{00000000-0005-0000-0000-000063090000}"/>
    <cellStyle name="Normal 11 12" xfId="2379" xr:uid="{00000000-0005-0000-0000-000064090000}"/>
    <cellStyle name="Normal 11 13" xfId="2380" xr:uid="{00000000-0005-0000-0000-000065090000}"/>
    <cellStyle name="Normal 11 14" xfId="2381" xr:uid="{00000000-0005-0000-0000-000066090000}"/>
    <cellStyle name="Normal 11 15" xfId="2382" xr:uid="{00000000-0005-0000-0000-000067090000}"/>
    <cellStyle name="Normal 11 16" xfId="2383" xr:uid="{00000000-0005-0000-0000-000068090000}"/>
    <cellStyle name="Normal 11 17" xfId="2384" xr:uid="{00000000-0005-0000-0000-000069090000}"/>
    <cellStyle name="Normal 11 18" xfId="2385" xr:uid="{00000000-0005-0000-0000-00006A090000}"/>
    <cellStyle name="Normal 11 19" xfId="2386" xr:uid="{00000000-0005-0000-0000-00006B090000}"/>
    <cellStyle name="Normal 11 2" xfId="2387" xr:uid="{00000000-0005-0000-0000-00006C090000}"/>
    <cellStyle name="Normal 11 2 2" xfId="2388" xr:uid="{00000000-0005-0000-0000-00006D090000}"/>
    <cellStyle name="Normal 11 20" xfId="2389" xr:uid="{00000000-0005-0000-0000-00006E090000}"/>
    <cellStyle name="Normal 11 21" xfId="2390" xr:uid="{00000000-0005-0000-0000-00006F090000}"/>
    <cellStyle name="Normal 11 22" xfId="2391" xr:uid="{00000000-0005-0000-0000-000070090000}"/>
    <cellStyle name="Normal 11 23" xfId="2392" xr:uid="{00000000-0005-0000-0000-000071090000}"/>
    <cellStyle name="Normal 11 24" xfId="2393" xr:uid="{00000000-0005-0000-0000-000072090000}"/>
    <cellStyle name="Normal 11 25" xfId="2394" xr:uid="{00000000-0005-0000-0000-000073090000}"/>
    <cellStyle name="Normal 11 26" xfId="2395" xr:uid="{00000000-0005-0000-0000-000074090000}"/>
    <cellStyle name="Normal 11 27" xfId="2396" xr:uid="{00000000-0005-0000-0000-000075090000}"/>
    <cellStyle name="Normal 11 28" xfId="2397" xr:uid="{00000000-0005-0000-0000-000076090000}"/>
    <cellStyle name="Normal 11 29" xfId="2398" xr:uid="{00000000-0005-0000-0000-000077090000}"/>
    <cellStyle name="Normal 11 3" xfId="2399" xr:uid="{00000000-0005-0000-0000-000078090000}"/>
    <cellStyle name="Normal 11 3 2" xfId="2400" xr:uid="{00000000-0005-0000-0000-000079090000}"/>
    <cellStyle name="Normal 11 30" xfId="2401" xr:uid="{00000000-0005-0000-0000-00007A090000}"/>
    <cellStyle name="Normal 11 31" xfId="2402" xr:uid="{00000000-0005-0000-0000-00007B090000}"/>
    <cellStyle name="Normal 11 32" xfId="2403" xr:uid="{00000000-0005-0000-0000-00007C090000}"/>
    <cellStyle name="Normal 11 33" xfId="2404" xr:uid="{00000000-0005-0000-0000-00007D090000}"/>
    <cellStyle name="Normal 11 34" xfId="2405" xr:uid="{00000000-0005-0000-0000-00007E090000}"/>
    <cellStyle name="Normal 11 35" xfId="2406" xr:uid="{00000000-0005-0000-0000-00007F090000}"/>
    <cellStyle name="Normal 11 36" xfId="2407" xr:uid="{00000000-0005-0000-0000-000080090000}"/>
    <cellStyle name="Normal 11 37" xfId="2408" xr:uid="{00000000-0005-0000-0000-000081090000}"/>
    <cellStyle name="Normal 11 38" xfId="2409" xr:uid="{00000000-0005-0000-0000-000082090000}"/>
    <cellStyle name="Normal 11 39" xfId="2410" xr:uid="{00000000-0005-0000-0000-000083090000}"/>
    <cellStyle name="Normal 11 4" xfId="2411" xr:uid="{00000000-0005-0000-0000-000084090000}"/>
    <cellStyle name="Normal 11 40" xfId="2412" xr:uid="{00000000-0005-0000-0000-000085090000}"/>
    <cellStyle name="Normal 11 41" xfId="2413" xr:uid="{00000000-0005-0000-0000-000086090000}"/>
    <cellStyle name="Normal 11 42" xfId="2414" xr:uid="{00000000-0005-0000-0000-000087090000}"/>
    <cellStyle name="Normal 11 43" xfId="2415" xr:uid="{00000000-0005-0000-0000-000088090000}"/>
    <cellStyle name="Normal 11 44" xfId="2416" xr:uid="{00000000-0005-0000-0000-000089090000}"/>
    <cellStyle name="Normal 11 45" xfId="2417" xr:uid="{00000000-0005-0000-0000-00008A090000}"/>
    <cellStyle name="Normal 11 46" xfId="2418" xr:uid="{00000000-0005-0000-0000-00008B090000}"/>
    <cellStyle name="Normal 11 47" xfId="2419" xr:uid="{00000000-0005-0000-0000-00008C090000}"/>
    <cellStyle name="Normal 11 48" xfId="2420" xr:uid="{00000000-0005-0000-0000-00008D090000}"/>
    <cellStyle name="Normal 11 49" xfId="2421" xr:uid="{00000000-0005-0000-0000-00008E090000}"/>
    <cellStyle name="Normal 11 5" xfId="2422" xr:uid="{00000000-0005-0000-0000-00008F090000}"/>
    <cellStyle name="Normal 11 50" xfId="2423" xr:uid="{00000000-0005-0000-0000-000090090000}"/>
    <cellStyle name="Normal 11 51" xfId="2424" xr:uid="{00000000-0005-0000-0000-000091090000}"/>
    <cellStyle name="Normal 11 52" xfId="2425" xr:uid="{00000000-0005-0000-0000-000092090000}"/>
    <cellStyle name="Normal 11 53" xfId="2426" xr:uid="{00000000-0005-0000-0000-000093090000}"/>
    <cellStyle name="Normal 11 6" xfId="2427" xr:uid="{00000000-0005-0000-0000-000094090000}"/>
    <cellStyle name="Normal 11 7" xfId="2428" xr:uid="{00000000-0005-0000-0000-000095090000}"/>
    <cellStyle name="Normal 11 8" xfId="2429" xr:uid="{00000000-0005-0000-0000-000096090000}"/>
    <cellStyle name="Normal 11 9" xfId="2430" xr:uid="{00000000-0005-0000-0000-000097090000}"/>
    <cellStyle name="Normal 12" xfId="2431" xr:uid="{00000000-0005-0000-0000-000098090000}"/>
    <cellStyle name="Normal 12 10" xfId="2432" xr:uid="{00000000-0005-0000-0000-000099090000}"/>
    <cellStyle name="Normal 12 11" xfId="2433" xr:uid="{00000000-0005-0000-0000-00009A090000}"/>
    <cellStyle name="Normal 12 12" xfId="2434" xr:uid="{00000000-0005-0000-0000-00009B090000}"/>
    <cellStyle name="Normal 12 13" xfId="2435" xr:uid="{00000000-0005-0000-0000-00009C090000}"/>
    <cellStyle name="Normal 12 14" xfId="2436" xr:uid="{00000000-0005-0000-0000-00009D090000}"/>
    <cellStyle name="Normal 12 15" xfId="2437" xr:uid="{00000000-0005-0000-0000-00009E090000}"/>
    <cellStyle name="Normal 12 16" xfId="2438" xr:uid="{00000000-0005-0000-0000-00009F090000}"/>
    <cellStyle name="Normal 12 17" xfId="2439" xr:uid="{00000000-0005-0000-0000-0000A0090000}"/>
    <cellStyle name="Normal 12 18" xfId="2440" xr:uid="{00000000-0005-0000-0000-0000A1090000}"/>
    <cellStyle name="Normal 12 19" xfId="2441" xr:uid="{00000000-0005-0000-0000-0000A2090000}"/>
    <cellStyle name="Normal 12 2" xfId="2442" xr:uid="{00000000-0005-0000-0000-0000A3090000}"/>
    <cellStyle name="Normal 12 2 2" xfId="2443" xr:uid="{00000000-0005-0000-0000-0000A4090000}"/>
    <cellStyle name="Normal 12 20" xfId="2444" xr:uid="{00000000-0005-0000-0000-0000A5090000}"/>
    <cellStyle name="Normal 12 21" xfId="2445" xr:uid="{00000000-0005-0000-0000-0000A6090000}"/>
    <cellStyle name="Normal 12 22" xfId="2446" xr:uid="{00000000-0005-0000-0000-0000A7090000}"/>
    <cellStyle name="Normal 12 23" xfId="2447" xr:uid="{00000000-0005-0000-0000-0000A8090000}"/>
    <cellStyle name="Normal 12 24" xfId="2448" xr:uid="{00000000-0005-0000-0000-0000A9090000}"/>
    <cellStyle name="Normal 12 25" xfId="2449" xr:uid="{00000000-0005-0000-0000-0000AA090000}"/>
    <cellStyle name="Normal 12 26" xfId="2450" xr:uid="{00000000-0005-0000-0000-0000AB090000}"/>
    <cellStyle name="Normal 12 27" xfId="2451" xr:uid="{00000000-0005-0000-0000-0000AC090000}"/>
    <cellStyle name="Normal 12 28" xfId="2452" xr:uid="{00000000-0005-0000-0000-0000AD090000}"/>
    <cellStyle name="Normal 12 29" xfId="2453" xr:uid="{00000000-0005-0000-0000-0000AE090000}"/>
    <cellStyle name="Normal 12 3" xfId="2454" xr:uid="{00000000-0005-0000-0000-0000AF090000}"/>
    <cellStyle name="Normal 12 3 2" xfId="2455" xr:uid="{00000000-0005-0000-0000-0000B0090000}"/>
    <cellStyle name="Normal 12 30" xfId="2456" xr:uid="{00000000-0005-0000-0000-0000B1090000}"/>
    <cellStyle name="Normal 12 31" xfId="2457" xr:uid="{00000000-0005-0000-0000-0000B2090000}"/>
    <cellStyle name="Normal 12 32" xfId="2458" xr:uid="{00000000-0005-0000-0000-0000B3090000}"/>
    <cellStyle name="Normal 12 33" xfId="2459" xr:uid="{00000000-0005-0000-0000-0000B4090000}"/>
    <cellStyle name="Normal 12 34" xfId="2460" xr:uid="{00000000-0005-0000-0000-0000B5090000}"/>
    <cellStyle name="Normal 12 35" xfId="2461" xr:uid="{00000000-0005-0000-0000-0000B6090000}"/>
    <cellStyle name="Normal 12 36" xfId="2462" xr:uid="{00000000-0005-0000-0000-0000B7090000}"/>
    <cellStyle name="Normal 12 37" xfId="2463" xr:uid="{00000000-0005-0000-0000-0000B8090000}"/>
    <cellStyle name="Normal 12 38" xfId="2464" xr:uid="{00000000-0005-0000-0000-0000B9090000}"/>
    <cellStyle name="Normal 12 39" xfId="2465" xr:uid="{00000000-0005-0000-0000-0000BA090000}"/>
    <cellStyle name="Normal 12 4" xfId="2466" xr:uid="{00000000-0005-0000-0000-0000BB090000}"/>
    <cellStyle name="Normal 12 40" xfId="2467" xr:uid="{00000000-0005-0000-0000-0000BC090000}"/>
    <cellStyle name="Normal 12 41" xfId="2468" xr:uid="{00000000-0005-0000-0000-0000BD090000}"/>
    <cellStyle name="Normal 12 42" xfId="2469" xr:uid="{00000000-0005-0000-0000-0000BE090000}"/>
    <cellStyle name="Normal 12 43" xfId="2470" xr:uid="{00000000-0005-0000-0000-0000BF090000}"/>
    <cellStyle name="Normal 12 44" xfId="2471" xr:uid="{00000000-0005-0000-0000-0000C0090000}"/>
    <cellStyle name="Normal 12 45" xfId="2472" xr:uid="{00000000-0005-0000-0000-0000C1090000}"/>
    <cellStyle name="Normal 12 46" xfId="2473" xr:uid="{00000000-0005-0000-0000-0000C2090000}"/>
    <cellStyle name="Normal 12 47" xfId="2474" xr:uid="{00000000-0005-0000-0000-0000C3090000}"/>
    <cellStyle name="Normal 12 48" xfId="2475" xr:uid="{00000000-0005-0000-0000-0000C4090000}"/>
    <cellStyle name="Normal 12 49" xfId="2476" xr:uid="{00000000-0005-0000-0000-0000C5090000}"/>
    <cellStyle name="Normal 12 5" xfId="2477" xr:uid="{00000000-0005-0000-0000-0000C6090000}"/>
    <cellStyle name="Normal 12 50" xfId="2478" xr:uid="{00000000-0005-0000-0000-0000C7090000}"/>
    <cellStyle name="Normal 12 51" xfId="2479" xr:uid="{00000000-0005-0000-0000-0000C8090000}"/>
    <cellStyle name="Normal 12 52" xfId="2480" xr:uid="{00000000-0005-0000-0000-0000C9090000}"/>
    <cellStyle name="Normal 12 53" xfId="2481" xr:uid="{00000000-0005-0000-0000-0000CA090000}"/>
    <cellStyle name="Normal 12 6" xfId="2482" xr:uid="{00000000-0005-0000-0000-0000CB090000}"/>
    <cellStyle name="Normal 12 7" xfId="2483" xr:uid="{00000000-0005-0000-0000-0000CC090000}"/>
    <cellStyle name="Normal 12 8" xfId="2484" xr:uid="{00000000-0005-0000-0000-0000CD090000}"/>
    <cellStyle name="Normal 12 9" xfId="2485" xr:uid="{00000000-0005-0000-0000-0000CE090000}"/>
    <cellStyle name="Normal 13" xfId="2486" xr:uid="{00000000-0005-0000-0000-0000CF090000}"/>
    <cellStyle name="Normal 13 10" xfId="2487" xr:uid="{00000000-0005-0000-0000-0000D0090000}"/>
    <cellStyle name="Normal 13 11" xfId="2488" xr:uid="{00000000-0005-0000-0000-0000D1090000}"/>
    <cellStyle name="Normal 13 12" xfId="2489" xr:uid="{00000000-0005-0000-0000-0000D2090000}"/>
    <cellStyle name="Normal 13 13" xfId="2490" xr:uid="{00000000-0005-0000-0000-0000D3090000}"/>
    <cellStyle name="Normal 13 14" xfId="2491" xr:uid="{00000000-0005-0000-0000-0000D4090000}"/>
    <cellStyle name="Normal 13 15" xfId="2492" xr:uid="{00000000-0005-0000-0000-0000D5090000}"/>
    <cellStyle name="Normal 13 16" xfId="2493" xr:uid="{00000000-0005-0000-0000-0000D6090000}"/>
    <cellStyle name="Normal 13 17" xfId="2494" xr:uid="{00000000-0005-0000-0000-0000D7090000}"/>
    <cellStyle name="Normal 13 18" xfId="2495" xr:uid="{00000000-0005-0000-0000-0000D8090000}"/>
    <cellStyle name="Normal 13 19" xfId="2496" xr:uid="{00000000-0005-0000-0000-0000D9090000}"/>
    <cellStyle name="Normal 13 2" xfId="2497" xr:uid="{00000000-0005-0000-0000-0000DA090000}"/>
    <cellStyle name="Normal 13 2 2" xfId="2498" xr:uid="{00000000-0005-0000-0000-0000DB090000}"/>
    <cellStyle name="Normal 13 20" xfId="2499" xr:uid="{00000000-0005-0000-0000-0000DC090000}"/>
    <cellStyle name="Normal 13 21" xfId="2500" xr:uid="{00000000-0005-0000-0000-0000DD090000}"/>
    <cellStyle name="Normal 13 22" xfId="2501" xr:uid="{00000000-0005-0000-0000-0000DE090000}"/>
    <cellStyle name="Normal 13 23" xfId="2502" xr:uid="{00000000-0005-0000-0000-0000DF090000}"/>
    <cellStyle name="Normal 13 24" xfId="2503" xr:uid="{00000000-0005-0000-0000-0000E0090000}"/>
    <cellStyle name="Normal 13 25" xfId="2504" xr:uid="{00000000-0005-0000-0000-0000E1090000}"/>
    <cellStyle name="Normal 13 26" xfId="2505" xr:uid="{00000000-0005-0000-0000-0000E2090000}"/>
    <cellStyle name="Normal 13 27" xfId="2506" xr:uid="{00000000-0005-0000-0000-0000E3090000}"/>
    <cellStyle name="Normal 13 28" xfId="2507" xr:uid="{00000000-0005-0000-0000-0000E4090000}"/>
    <cellStyle name="Normal 13 29" xfId="2508" xr:uid="{00000000-0005-0000-0000-0000E5090000}"/>
    <cellStyle name="Normal 13 3" xfId="2509" xr:uid="{00000000-0005-0000-0000-0000E6090000}"/>
    <cellStyle name="Normal 13 3 2" xfId="2510" xr:uid="{00000000-0005-0000-0000-0000E7090000}"/>
    <cellStyle name="Normal 13 3 2 2" xfId="5292" xr:uid="{00000000-0005-0000-0000-0000E8090000}"/>
    <cellStyle name="Normal 13 3 2 3" xfId="6621" xr:uid="{00000000-0005-0000-0000-0000E9090000}"/>
    <cellStyle name="Normal 13 30" xfId="2511" xr:uid="{00000000-0005-0000-0000-0000EA090000}"/>
    <cellStyle name="Normal 13 31" xfId="2512" xr:uid="{00000000-0005-0000-0000-0000EB090000}"/>
    <cellStyle name="Normal 13 32" xfId="2513" xr:uid="{00000000-0005-0000-0000-0000EC090000}"/>
    <cellStyle name="Normal 13 33" xfId="2514" xr:uid="{00000000-0005-0000-0000-0000ED090000}"/>
    <cellStyle name="Normal 13 34" xfId="2515" xr:uid="{00000000-0005-0000-0000-0000EE090000}"/>
    <cellStyle name="Normal 13 35" xfId="2516" xr:uid="{00000000-0005-0000-0000-0000EF090000}"/>
    <cellStyle name="Normal 13 36" xfId="2517" xr:uid="{00000000-0005-0000-0000-0000F0090000}"/>
    <cellStyle name="Normal 13 37" xfId="2518" xr:uid="{00000000-0005-0000-0000-0000F1090000}"/>
    <cellStyle name="Normal 13 38" xfId="2519" xr:uid="{00000000-0005-0000-0000-0000F2090000}"/>
    <cellStyle name="Normal 13 39" xfId="2520" xr:uid="{00000000-0005-0000-0000-0000F3090000}"/>
    <cellStyle name="Normal 13 4" xfId="2521" xr:uid="{00000000-0005-0000-0000-0000F4090000}"/>
    <cellStyle name="Normal 13 4 2" xfId="2522" xr:uid="{00000000-0005-0000-0000-0000F5090000}"/>
    <cellStyle name="Normal 13 4 2 2" xfId="5293" xr:uid="{00000000-0005-0000-0000-0000F6090000}"/>
    <cellStyle name="Normal 13 4 2 3" xfId="6622" xr:uid="{00000000-0005-0000-0000-0000F7090000}"/>
    <cellStyle name="Normal 13 40" xfId="2523" xr:uid="{00000000-0005-0000-0000-0000F8090000}"/>
    <cellStyle name="Normal 13 41" xfId="2524" xr:uid="{00000000-0005-0000-0000-0000F9090000}"/>
    <cellStyle name="Normal 13 42" xfId="2525" xr:uid="{00000000-0005-0000-0000-0000FA090000}"/>
    <cellStyle name="Normal 13 43" xfId="2526" xr:uid="{00000000-0005-0000-0000-0000FB090000}"/>
    <cellStyle name="Normal 13 44" xfId="2527" xr:uid="{00000000-0005-0000-0000-0000FC090000}"/>
    <cellStyle name="Normal 13 45" xfId="2528" xr:uid="{00000000-0005-0000-0000-0000FD090000}"/>
    <cellStyle name="Normal 13 46" xfId="2529" xr:uid="{00000000-0005-0000-0000-0000FE090000}"/>
    <cellStyle name="Normal 13 47" xfId="2530" xr:uid="{00000000-0005-0000-0000-0000FF090000}"/>
    <cellStyle name="Normal 13 48" xfId="2531" xr:uid="{00000000-0005-0000-0000-0000000A0000}"/>
    <cellStyle name="Normal 13 49" xfId="2532" xr:uid="{00000000-0005-0000-0000-0000010A0000}"/>
    <cellStyle name="Normal 13 5" xfId="2533" xr:uid="{00000000-0005-0000-0000-0000020A0000}"/>
    <cellStyle name="Normal 13 5 2" xfId="2534" xr:uid="{00000000-0005-0000-0000-0000030A0000}"/>
    <cellStyle name="Normal 13 5 2 2" xfId="5294" xr:uid="{00000000-0005-0000-0000-0000040A0000}"/>
    <cellStyle name="Normal 13 5 2 3" xfId="6623" xr:uid="{00000000-0005-0000-0000-0000050A0000}"/>
    <cellStyle name="Normal 13 50" xfId="2535" xr:uid="{00000000-0005-0000-0000-0000060A0000}"/>
    <cellStyle name="Normal 13 51" xfId="2536" xr:uid="{00000000-0005-0000-0000-0000070A0000}"/>
    <cellStyle name="Normal 13 52" xfId="2537" xr:uid="{00000000-0005-0000-0000-0000080A0000}"/>
    <cellStyle name="Normal 13 53" xfId="2538" xr:uid="{00000000-0005-0000-0000-0000090A0000}"/>
    <cellStyle name="Normal 13 54" xfId="2539" xr:uid="{00000000-0005-0000-0000-00000A0A0000}"/>
    <cellStyle name="Normal 13 54 2" xfId="5295" xr:uid="{00000000-0005-0000-0000-00000B0A0000}"/>
    <cellStyle name="Normal 13 54 3" xfId="6624" xr:uid="{00000000-0005-0000-0000-00000C0A0000}"/>
    <cellStyle name="Normal 13 6" xfId="2540" xr:uid="{00000000-0005-0000-0000-00000D0A0000}"/>
    <cellStyle name="Normal 13 6 2" xfId="2541" xr:uid="{00000000-0005-0000-0000-00000E0A0000}"/>
    <cellStyle name="Normal 13 6 2 2" xfId="5296" xr:uid="{00000000-0005-0000-0000-00000F0A0000}"/>
    <cellStyle name="Normal 13 6 2 3" xfId="6625" xr:uid="{00000000-0005-0000-0000-0000100A0000}"/>
    <cellStyle name="Normal 13 7" xfId="2542" xr:uid="{00000000-0005-0000-0000-0000110A0000}"/>
    <cellStyle name="Normal 13 8" xfId="2543" xr:uid="{00000000-0005-0000-0000-0000120A0000}"/>
    <cellStyle name="Normal 13 9" xfId="2544" xr:uid="{00000000-0005-0000-0000-0000130A0000}"/>
    <cellStyle name="Normal 14" xfId="2545" xr:uid="{00000000-0005-0000-0000-0000140A0000}"/>
    <cellStyle name="Normal 14 10" xfId="2546" xr:uid="{00000000-0005-0000-0000-0000150A0000}"/>
    <cellStyle name="Normal 14 11" xfId="2547" xr:uid="{00000000-0005-0000-0000-0000160A0000}"/>
    <cellStyle name="Normal 14 12" xfId="2548" xr:uid="{00000000-0005-0000-0000-0000170A0000}"/>
    <cellStyle name="Normal 14 13" xfId="2549" xr:uid="{00000000-0005-0000-0000-0000180A0000}"/>
    <cellStyle name="Normal 14 14" xfId="2550" xr:uid="{00000000-0005-0000-0000-0000190A0000}"/>
    <cellStyle name="Normal 14 15" xfId="2551" xr:uid="{00000000-0005-0000-0000-00001A0A0000}"/>
    <cellStyle name="Normal 14 16" xfId="2552" xr:uid="{00000000-0005-0000-0000-00001B0A0000}"/>
    <cellStyle name="Normal 14 17" xfId="2553" xr:uid="{00000000-0005-0000-0000-00001C0A0000}"/>
    <cellStyle name="Normal 14 18" xfId="2554" xr:uid="{00000000-0005-0000-0000-00001D0A0000}"/>
    <cellStyle name="Normal 14 19" xfId="2555" xr:uid="{00000000-0005-0000-0000-00001E0A0000}"/>
    <cellStyle name="Normal 14 2" xfId="2556" xr:uid="{00000000-0005-0000-0000-00001F0A0000}"/>
    <cellStyle name="Normal 14 20" xfId="2557" xr:uid="{00000000-0005-0000-0000-0000200A0000}"/>
    <cellStyle name="Normal 14 21" xfId="2558" xr:uid="{00000000-0005-0000-0000-0000210A0000}"/>
    <cellStyle name="Normal 14 22" xfId="2559" xr:uid="{00000000-0005-0000-0000-0000220A0000}"/>
    <cellStyle name="Normal 14 23" xfId="2560" xr:uid="{00000000-0005-0000-0000-0000230A0000}"/>
    <cellStyle name="Normal 14 24" xfId="2561" xr:uid="{00000000-0005-0000-0000-0000240A0000}"/>
    <cellStyle name="Normal 14 25" xfId="2562" xr:uid="{00000000-0005-0000-0000-0000250A0000}"/>
    <cellStyle name="Normal 14 26" xfId="2563" xr:uid="{00000000-0005-0000-0000-0000260A0000}"/>
    <cellStyle name="Normal 14 27" xfId="2564" xr:uid="{00000000-0005-0000-0000-0000270A0000}"/>
    <cellStyle name="Normal 14 28" xfId="2565" xr:uid="{00000000-0005-0000-0000-0000280A0000}"/>
    <cellStyle name="Normal 14 29" xfId="2566" xr:uid="{00000000-0005-0000-0000-0000290A0000}"/>
    <cellStyle name="Normal 14 3" xfId="2567" xr:uid="{00000000-0005-0000-0000-00002A0A0000}"/>
    <cellStyle name="Normal 14 30" xfId="2568" xr:uid="{00000000-0005-0000-0000-00002B0A0000}"/>
    <cellStyle name="Normal 14 31" xfId="2569" xr:uid="{00000000-0005-0000-0000-00002C0A0000}"/>
    <cellStyle name="Normal 14 32" xfId="2570" xr:uid="{00000000-0005-0000-0000-00002D0A0000}"/>
    <cellStyle name="Normal 14 33" xfId="2571" xr:uid="{00000000-0005-0000-0000-00002E0A0000}"/>
    <cellStyle name="Normal 14 34" xfId="2572" xr:uid="{00000000-0005-0000-0000-00002F0A0000}"/>
    <cellStyle name="Normal 14 35" xfId="2573" xr:uid="{00000000-0005-0000-0000-0000300A0000}"/>
    <cellStyle name="Normal 14 36" xfId="2574" xr:uid="{00000000-0005-0000-0000-0000310A0000}"/>
    <cellStyle name="Normal 14 37" xfId="2575" xr:uid="{00000000-0005-0000-0000-0000320A0000}"/>
    <cellStyle name="Normal 14 38" xfId="2576" xr:uid="{00000000-0005-0000-0000-0000330A0000}"/>
    <cellStyle name="Normal 14 39" xfId="2577" xr:uid="{00000000-0005-0000-0000-0000340A0000}"/>
    <cellStyle name="Normal 14 4" xfId="2578" xr:uid="{00000000-0005-0000-0000-0000350A0000}"/>
    <cellStyle name="Normal 14 40" xfId="2579" xr:uid="{00000000-0005-0000-0000-0000360A0000}"/>
    <cellStyle name="Normal 14 41" xfId="2580" xr:uid="{00000000-0005-0000-0000-0000370A0000}"/>
    <cellStyle name="Normal 14 42" xfId="2581" xr:uid="{00000000-0005-0000-0000-0000380A0000}"/>
    <cellStyle name="Normal 14 43" xfId="2582" xr:uid="{00000000-0005-0000-0000-0000390A0000}"/>
    <cellStyle name="Normal 14 44" xfId="2583" xr:uid="{00000000-0005-0000-0000-00003A0A0000}"/>
    <cellStyle name="Normal 14 45" xfId="2584" xr:uid="{00000000-0005-0000-0000-00003B0A0000}"/>
    <cellStyle name="Normal 14 46" xfId="2585" xr:uid="{00000000-0005-0000-0000-00003C0A0000}"/>
    <cellStyle name="Normal 14 47" xfId="2586" xr:uid="{00000000-0005-0000-0000-00003D0A0000}"/>
    <cellStyle name="Normal 14 48" xfId="2587" xr:uid="{00000000-0005-0000-0000-00003E0A0000}"/>
    <cellStyle name="Normal 14 49" xfId="2588" xr:uid="{00000000-0005-0000-0000-00003F0A0000}"/>
    <cellStyle name="Normal 14 5" xfId="2589" xr:uid="{00000000-0005-0000-0000-0000400A0000}"/>
    <cellStyle name="Normal 14 50" xfId="2590" xr:uid="{00000000-0005-0000-0000-0000410A0000}"/>
    <cellStyle name="Normal 14 51" xfId="2591" xr:uid="{00000000-0005-0000-0000-0000420A0000}"/>
    <cellStyle name="Normal 14 52" xfId="2592" xr:uid="{00000000-0005-0000-0000-0000430A0000}"/>
    <cellStyle name="Normal 14 53" xfId="2593" xr:uid="{00000000-0005-0000-0000-0000440A0000}"/>
    <cellStyle name="Normal 14 6" xfId="2594" xr:uid="{00000000-0005-0000-0000-0000450A0000}"/>
    <cellStyle name="Normal 14 7" xfId="2595" xr:uid="{00000000-0005-0000-0000-0000460A0000}"/>
    <cellStyle name="Normal 14 8" xfId="2596" xr:uid="{00000000-0005-0000-0000-0000470A0000}"/>
    <cellStyle name="Normal 14 9" xfId="2597" xr:uid="{00000000-0005-0000-0000-0000480A0000}"/>
    <cellStyle name="Normal 15 2" xfId="2598" xr:uid="{00000000-0005-0000-0000-0000490A0000}"/>
    <cellStyle name="Normal 16 2" xfId="2599" xr:uid="{00000000-0005-0000-0000-00004A0A0000}"/>
    <cellStyle name="Normal 2" xfId="2600" xr:uid="{00000000-0005-0000-0000-00004B0A0000}"/>
    <cellStyle name="Normal 2 10" xfId="2601" xr:uid="{00000000-0005-0000-0000-00004C0A0000}"/>
    <cellStyle name="Normal 2 10 10" xfId="2602" xr:uid="{00000000-0005-0000-0000-00004D0A0000}"/>
    <cellStyle name="Normal 2 10 11" xfId="2603" xr:uid="{00000000-0005-0000-0000-00004E0A0000}"/>
    <cellStyle name="Normal 2 10 12" xfId="2604" xr:uid="{00000000-0005-0000-0000-00004F0A0000}"/>
    <cellStyle name="Normal 2 10 13" xfId="2605" xr:uid="{00000000-0005-0000-0000-0000500A0000}"/>
    <cellStyle name="Normal 2 10 14" xfId="2606" xr:uid="{00000000-0005-0000-0000-0000510A0000}"/>
    <cellStyle name="Normal 2 10 15" xfId="2607" xr:uid="{00000000-0005-0000-0000-0000520A0000}"/>
    <cellStyle name="Normal 2 10 16" xfId="2608" xr:uid="{00000000-0005-0000-0000-0000530A0000}"/>
    <cellStyle name="Normal 2 10 17" xfId="2609" xr:uid="{00000000-0005-0000-0000-0000540A0000}"/>
    <cellStyle name="Normal 2 10 18" xfId="2610" xr:uid="{00000000-0005-0000-0000-0000550A0000}"/>
    <cellStyle name="Normal 2 10 19" xfId="2611" xr:uid="{00000000-0005-0000-0000-0000560A0000}"/>
    <cellStyle name="Normal 2 10 2" xfId="2612" xr:uid="{00000000-0005-0000-0000-0000570A0000}"/>
    <cellStyle name="Normal 2 10 2 10" xfId="2613" xr:uid="{00000000-0005-0000-0000-0000580A0000}"/>
    <cellStyle name="Normal 2 10 2 11" xfId="2614" xr:uid="{00000000-0005-0000-0000-0000590A0000}"/>
    <cellStyle name="Normal 2 10 2 12" xfId="2615" xr:uid="{00000000-0005-0000-0000-00005A0A0000}"/>
    <cellStyle name="Normal 2 10 2 13" xfId="2616" xr:uid="{00000000-0005-0000-0000-00005B0A0000}"/>
    <cellStyle name="Normal 2 10 2 14" xfId="2617" xr:uid="{00000000-0005-0000-0000-00005C0A0000}"/>
    <cellStyle name="Normal 2 10 2 15" xfId="2618" xr:uid="{00000000-0005-0000-0000-00005D0A0000}"/>
    <cellStyle name="Normal 2 10 2 16" xfId="2619" xr:uid="{00000000-0005-0000-0000-00005E0A0000}"/>
    <cellStyle name="Normal 2 10 2 17" xfId="2620" xr:uid="{00000000-0005-0000-0000-00005F0A0000}"/>
    <cellStyle name="Normal 2 10 2 18" xfId="2621" xr:uid="{00000000-0005-0000-0000-0000600A0000}"/>
    <cellStyle name="Normal 2 10 2 19" xfId="2622" xr:uid="{00000000-0005-0000-0000-0000610A0000}"/>
    <cellStyle name="Normal 2 10 2 2" xfId="2623" xr:uid="{00000000-0005-0000-0000-0000620A0000}"/>
    <cellStyle name="Normal 2 10 2 20" xfId="2624" xr:uid="{00000000-0005-0000-0000-0000630A0000}"/>
    <cellStyle name="Normal 2 10 2 21" xfId="2625" xr:uid="{00000000-0005-0000-0000-0000640A0000}"/>
    <cellStyle name="Normal 2 10 2 22" xfId="2626" xr:uid="{00000000-0005-0000-0000-0000650A0000}"/>
    <cellStyle name="Normal 2 10 2 23" xfId="2627" xr:uid="{00000000-0005-0000-0000-0000660A0000}"/>
    <cellStyle name="Normal 2 10 2 24" xfId="2628" xr:uid="{00000000-0005-0000-0000-0000670A0000}"/>
    <cellStyle name="Normal 2 10 2 25" xfId="2629" xr:uid="{00000000-0005-0000-0000-0000680A0000}"/>
    <cellStyle name="Normal 2 10 2 26" xfId="2630" xr:uid="{00000000-0005-0000-0000-0000690A0000}"/>
    <cellStyle name="Normal 2 10 2 27" xfId="2631" xr:uid="{00000000-0005-0000-0000-00006A0A0000}"/>
    <cellStyle name="Normal 2 10 2 28" xfId="2632" xr:uid="{00000000-0005-0000-0000-00006B0A0000}"/>
    <cellStyle name="Normal 2 10 2 29" xfId="2633" xr:uid="{00000000-0005-0000-0000-00006C0A0000}"/>
    <cellStyle name="Normal 2 10 2 3" xfId="2634" xr:uid="{00000000-0005-0000-0000-00006D0A0000}"/>
    <cellStyle name="Normal 2 10 2 30" xfId="2635" xr:uid="{00000000-0005-0000-0000-00006E0A0000}"/>
    <cellStyle name="Normal 2 10 2 31" xfId="2636" xr:uid="{00000000-0005-0000-0000-00006F0A0000}"/>
    <cellStyle name="Normal 2 10 2 32" xfId="2637" xr:uid="{00000000-0005-0000-0000-0000700A0000}"/>
    <cellStyle name="Normal 2 10 2 4" xfId="2638" xr:uid="{00000000-0005-0000-0000-0000710A0000}"/>
    <cellStyle name="Normal 2 10 2 5" xfId="2639" xr:uid="{00000000-0005-0000-0000-0000720A0000}"/>
    <cellStyle name="Normal 2 10 2 6" xfId="2640" xr:uid="{00000000-0005-0000-0000-0000730A0000}"/>
    <cellStyle name="Normal 2 10 2 7" xfId="2641" xr:uid="{00000000-0005-0000-0000-0000740A0000}"/>
    <cellStyle name="Normal 2 10 2 8" xfId="2642" xr:uid="{00000000-0005-0000-0000-0000750A0000}"/>
    <cellStyle name="Normal 2 10 2 9" xfId="2643" xr:uid="{00000000-0005-0000-0000-0000760A0000}"/>
    <cellStyle name="Normal 2 10 20" xfId="2644" xr:uid="{00000000-0005-0000-0000-0000770A0000}"/>
    <cellStyle name="Normal 2 10 21" xfId="2645" xr:uid="{00000000-0005-0000-0000-0000780A0000}"/>
    <cellStyle name="Normal 2 10 22" xfId="2646" xr:uid="{00000000-0005-0000-0000-0000790A0000}"/>
    <cellStyle name="Normal 2 10 23" xfId="2647" xr:uid="{00000000-0005-0000-0000-00007A0A0000}"/>
    <cellStyle name="Normal 2 10 24" xfId="2648" xr:uid="{00000000-0005-0000-0000-00007B0A0000}"/>
    <cellStyle name="Normal 2 10 25" xfId="2649" xr:uid="{00000000-0005-0000-0000-00007C0A0000}"/>
    <cellStyle name="Normal 2 10 26" xfId="2650" xr:uid="{00000000-0005-0000-0000-00007D0A0000}"/>
    <cellStyle name="Normal 2 10 27" xfId="2651" xr:uid="{00000000-0005-0000-0000-00007E0A0000}"/>
    <cellStyle name="Normal 2 10 28" xfId="2652" xr:uid="{00000000-0005-0000-0000-00007F0A0000}"/>
    <cellStyle name="Normal 2 10 29" xfId="2653" xr:uid="{00000000-0005-0000-0000-0000800A0000}"/>
    <cellStyle name="Normal 2 10 3" xfId="2654" xr:uid="{00000000-0005-0000-0000-0000810A0000}"/>
    <cellStyle name="Normal 2 10 30" xfId="2655" xr:uid="{00000000-0005-0000-0000-0000820A0000}"/>
    <cellStyle name="Normal 2 10 31" xfId="2656" xr:uid="{00000000-0005-0000-0000-0000830A0000}"/>
    <cellStyle name="Normal 2 10 32" xfId="2657" xr:uid="{00000000-0005-0000-0000-0000840A0000}"/>
    <cellStyle name="Normal 2 10 4" xfId="2658" xr:uid="{00000000-0005-0000-0000-0000850A0000}"/>
    <cellStyle name="Normal 2 10 5" xfId="2659" xr:uid="{00000000-0005-0000-0000-0000860A0000}"/>
    <cellStyle name="Normal 2 10 6" xfId="2660" xr:uid="{00000000-0005-0000-0000-0000870A0000}"/>
    <cellStyle name="Normal 2 10 7" xfId="2661" xr:uid="{00000000-0005-0000-0000-0000880A0000}"/>
    <cellStyle name="Normal 2 10 8" xfId="2662" xr:uid="{00000000-0005-0000-0000-0000890A0000}"/>
    <cellStyle name="Normal 2 10 9" xfId="2663" xr:uid="{00000000-0005-0000-0000-00008A0A0000}"/>
    <cellStyle name="Normal 2 11" xfId="2664" xr:uid="{00000000-0005-0000-0000-00008B0A0000}"/>
    <cellStyle name="Normal 2 11 10" xfId="2665" xr:uid="{00000000-0005-0000-0000-00008C0A0000}"/>
    <cellStyle name="Normal 2 11 11" xfId="2666" xr:uid="{00000000-0005-0000-0000-00008D0A0000}"/>
    <cellStyle name="Normal 2 11 12" xfId="2667" xr:uid="{00000000-0005-0000-0000-00008E0A0000}"/>
    <cellStyle name="Normal 2 11 13" xfId="2668" xr:uid="{00000000-0005-0000-0000-00008F0A0000}"/>
    <cellStyle name="Normal 2 11 14" xfId="2669" xr:uid="{00000000-0005-0000-0000-0000900A0000}"/>
    <cellStyle name="Normal 2 11 15" xfId="2670" xr:uid="{00000000-0005-0000-0000-0000910A0000}"/>
    <cellStyle name="Normal 2 11 16" xfId="2671" xr:uid="{00000000-0005-0000-0000-0000920A0000}"/>
    <cellStyle name="Normal 2 11 17" xfId="2672" xr:uid="{00000000-0005-0000-0000-0000930A0000}"/>
    <cellStyle name="Normal 2 11 18" xfId="2673" xr:uid="{00000000-0005-0000-0000-0000940A0000}"/>
    <cellStyle name="Normal 2 11 19" xfId="2674" xr:uid="{00000000-0005-0000-0000-0000950A0000}"/>
    <cellStyle name="Normal 2 11 2" xfId="2675" xr:uid="{00000000-0005-0000-0000-0000960A0000}"/>
    <cellStyle name="Normal 2 11 2 10" xfId="2676" xr:uid="{00000000-0005-0000-0000-0000970A0000}"/>
    <cellStyle name="Normal 2 11 2 11" xfId="2677" xr:uid="{00000000-0005-0000-0000-0000980A0000}"/>
    <cellStyle name="Normal 2 11 2 12" xfId="2678" xr:uid="{00000000-0005-0000-0000-0000990A0000}"/>
    <cellStyle name="Normal 2 11 2 13" xfId="2679" xr:uid="{00000000-0005-0000-0000-00009A0A0000}"/>
    <cellStyle name="Normal 2 11 2 14" xfId="2680" xr:uid="{00000000-0005-0000-0000-00009B0A0000}"/>
    <cellStyle name="Normal 2 11 2 15" xfId="2681" xr:uid="{00000000-0005-0000-0000-00009C0A0000}"/>
    <cellStyle name="Normal 2 11 2 16" xfId="2682" xr:uid="{00000000-0005-0000-0000-00009D0A0000}"/>
    <cellStyle name="Normal 2 11 2 17" xfId="2683" xr:uid="{00000000-0005-0000-0000-00009E0A0000}"/>
    <cellStyle name="Normal 2 11 2 18" xfId="2684" xr:uid="{00000000-0005-0000-0000-00009F0A0000}"/>
    <cellStyle name="Normal 2 11 2 19" xfId="2685" xr:uid="{00000000-0005-0000-0000-0000A00A0000}"/>
    <cellStyle name="Normal 2 11 2 2" xfId="2686" xr:uid="{00000000-0005-0000-0000-0000A10A0000}"/>
    <cellStyle name="Normal 2 11 2 20" xfId="2687" xr:uid="{00000000-0005-0000-0000-0000A20A0000}"/>
    <cellStyle name="Normal 2 11 2 21" xfId="2688" xr:uid="{00000000-0005-0000-0000-0000A30A0000}"/>
    <cellStyle name="Normal 2 11 2 22" xfId="2689" xr:uid="{00000000-0005-0000-0000-0000A40A0000}"/>
    <cellStyle name="Normal 2 11 2 23" xfId="2690" xr:uid="{00000000-0005-0000-0000-0000A50A0000}"/>
    <cellStyle name="Normal 2 11 2 24" xfId="2691" xr:uid="{00000000-0005-0000-0000-0000A60A0000}"/>
    <cellStyle name="Normal 2 11 2 25" xfId="2692" xr:uid="{00000000-0005-0000-0000-0000A70A0000}"/>
    <cellStyle name="Normal 2 11 2 26" xfId="2693" xr:uid="{00000000-0005-0000-0000-0000A80A0000}"/>
    <cellStyle name="Normal 2 11 2 27" xfId="2694" xr:uid="{00000000-0005-0000-0000-0000A90A0000}"/>
    <cellStyle name="Normal 2 11 2 28" xfId="2695" xr:uid="{00000000-0005-0000-0000-0000AA0A0000}"/>
    <cellStyle name="Normal 2 11 2 29" xfId="2696" xr:uid="{00000000-0005-0000-0000-0000AB0A0000}"/>
    <cellStyle name="Normal 2 11 2 3" xfId="2697" xr:uid="{00000000-0005-0000-0000-0000AC0A0000}"/>
    <cellStyle name="Normal 2 11 2 30" xfId="2698" xr:uid="{00000000-0005-0000-0000-0000AD0A0000}"/>
    <cellStyle name="Normal 2 11 2 31" xfId="2699" xr:uid="{00000000-0005-0000-0000-0000AE0A0000}"/>
    <cellStyle name="Normal 2 11 2 32" xfId="2700" xr:uid="{00000000-0005-0000-0000-0000AF0A0000}"/>
    <cellStyle name="Normal 2 11 2 4" xfId="2701" xr:uid="{00000000-0005-0000-0000-0000B00A0000}"/>
    <cellStyle name="Normal 2 11 2 5" xfId="2702" xr:uid="{00000000-0005-0000-0000-0000B10A0000}"/>
    <cellStyle name="Normal 2 11 2 6" xfId="2703" xr:uid="{00000000-0005-0000-0000-0000B20A0000}"/>
    <cellStyle name="Normal 2 11 2 7" xfId="2704" xr:uid="{00000000-0005-0000-0000-0000B30A0000}"/>
    <cellStyle name="Normal 2 11 2 8" xfId="2705" xr:uid="{00000000-0005-0000-0000-0000B40A0000}"/>
    <cellStyle name="Normal 2 11 2 9" xfId="2706" xr:uid="{00000000-0005-0000-0000-0000B50A0000}"/>
    <cellStyle name="Normal 2 11 20" xfId="2707" xr:uid="{00000000-0005-0000-0000-0000B60A0000}"/>
    <cellStyle name="Normal 2 11 21" xfId="2708" xr:uid="{00000000-0005-0000-0000-0000B70A0000}"/>
    <cellStyle name="Normal 2 11 22" xfId="2709" xr:uid="{00000000-0005-0000-0000-0000B80A0000}"/>
    <cellStyle name="Normal 2 11 23" xfId="2710" xr:uid="{00000000-0005-0000-0000-0000B90A0000}"/>
    <cellStyle name="Normal 2 11 24" xfId="2711" xr:uid="{00000000-0005-0000-0000-0000BA0A0000}"/>
    <cellStyle name="Normal 2 11 25" xfId="2712" xr:uid="{00000000-0005-0000-0000-0000BB0A0000}"/>
    <cellStyle name="Normal 2 11 26" xfId="2713" xr:uid="{00000000-0005-0000-0000-0000BC0A0000}"/>
    <cellStyle name="Normal 2 11 27" xfId="2714" xr:uid="{00000000-0005-0000-0000-0000BD0A0000}"/>
    <cellStyle name="Normal 2 11 28" xfId="2715" xr:uid="{00000000-0005-0000-0000-0000BE0A0000}"/>
    <cellStyle name="Normal 2 11 29" xfId="2716" xr:uid="{00000000-0005-0000-0000-0000BF0A0000}"/>
    <cellStyle name="Normal 2 11 3" xfId="2717" xr:uid="{00000000-0005-0000-0000-0000C00A0000}"/>
    <cellStyle name="Normal 2 11 30" xfId="2718" xr:uid="{00000000-0005-0000-0000-0000C10A0000}"/>
    <cellStyle name="Normal 2 11 31" xfId="2719" xr:uid="{00000000-0005-0000-0000-0000C20A0000}"/>
    <cellStyle name="Normal 2 11 32" xfId="2720" xr:uid="{00000000-0005-0000-0000-0000C30A0000}"/>
    <cellStyle name="Normal 2 11 4" xfId="2721" xr:uid="{00000000-0005-0000-0000-0000C40A0000}"/>
    <cellStyle name="Normal 2 11 5" xfId="2722" xr:uid="{00000000-0005-0000-0000-0000C50A0000}"/>
    <cellStyle name="Normal 2 11 6" xfId="2723" xr:uid="{00000000-0005-0000-0000-0000C60A0000}"/>
    <cellStyle name="Normal 2 11 7" xfId="2724" xr:uid="{00000000-0005-0000-0000-0000C70A0000}"/>
    <cellStyle name="Normal 2 11 8" xfId="2725" xr:uid="{00000000-0005-0000-0000-0000C80A0000}"/>
    <cellStyle name="Normal 2 11 9" xfId="2726" xr:uid="{00000000-0005-0000-0000-0000C90A0000}"/>
    <cellStyle name="Normal 2 12" xfId="2727" xr:uid="{00000000-0005-0000-0000-0000CA0A0000}"/>
    <cellStyle name="Normal 2 12 10" xfId="2728" xr:uid="{00000000-0005-0000-0000-0000CB0A0000}"/>
    <cellStyle name="Normal 2 12 11" xfId="2729" xr:uid="{00000000-0005-0000-0000-0000CC0A0000}"/>
    <cellStyle name="Normal 2 12 12" xfId="2730" xr:uid="{00000000-0005-0000-0000-0000CD0A0000}"/>
    <cellStyle name="Normal 2 12 13" xfId="2731" xr:uid="{00000000-0005-0000-0000-0000CE0A0000}"/>
    <cellStyle name="Normal 2 12 14" xfId="2732" xr:uid="{00000000-0005-0000-0000-0000CF0A0000}"/>
    <cellStyle name="Normal 2 12 15" xfId="2733" xr:uid="{00000000-0005-0000-0000-0000D00A0000}"/>
    <cellStyle name="Normal 2 12 16" xfId="2734" xr:uid="{00000000-0005-0000-0000-0000D10A0000}"/>
    <cellStyle name="Normal 2 12 17" xfId="2735" xr:uid="{00000000-0005-0000-0000-0000D20A0000}"/>
    <cellStyle name="Normal 2 12 18" xfId="2736" xr:uid="{00000000-0005-0000-0000-0000D30A0000}"/>
    <cellStyle name="Normal 2 12 19" xfId="2737" xr:uid="{00000000-0005-0000-0000-0000D40A0000}"/>
    <cellStyle name="Normal 2 12 2" xfId="2738" xr:uid="{00000000-0005-0000-0000-0000D50A0000}"/>
    <cellStyle name="Normal 2 12 2 10" xfId="2739" xr:uid="{00000000-0005-0000-0000-0000D60A0000}"/>
    <cellStyle name="Normal 2 12 2 11" xfId="2740" xr:uid="{00000000-0005-0000-0000-0000D70A0000}"/>
    <cellStyle name="Normal 2 12 2 12" xfId="2741" xr:uid="{00000000-0005-0000-0000-0000D80A0000}"/>
    <cellStyle name="Normal 2 12 2 13" xfId="2742" xr:uid="{00000000-0005-0000-0000-0000D90A0000}"/>
    <cellStyle name="Normal 2 12 2 14" xfId="2743" xr:uid="{00000000-0005-0000-0000-0000DA0A0000}"/>
    <cellStyle name="Normal 2 12 2 15" xfId="2744" xr:uid="{00000000-0005-0000-0000-0000DB0A0000}"/>
    <cellStyle name="Normal 2 12 2 16" xfId="2745" xr:uid="{00000000-0005-0000-0000-0000DC0A0000}"/>
    <cellStyle name="Normal 2 12 2 17" xfId="2746" xr:uid="{00000000-0005-0000-0000-0000DD0A0000}"/>
    <cellStyle name="Normal 2 12 2 18" xfId="2747" xr:uid="{00000000-0005-0000-0000-0000DE0A0000}"/>
    <cellStyle name="Normal 2 12 2 19" xfId="2748" xr:uid="{00000000-0005-0000-0000-0000DF0A0000}"/>
    <cellStyle name="Normal 2 12 2 2" xfId="2749" xr:uid="{00000000-0005-0000-0000-0000E00A0000}"/>
    <cellStyle name="Normal 2 12 2 20" xfId="2750" xr:uid="{00000000-0005-0000-0000-0000E10A0000}"/>
    <cellStyle name="Normal 2 12 2 21" xfId="2751" xr:uid="{00000000-0005-0000-0000-0000E20A0000}"/>
    <cellStyle name="Normal 2 12 2 22" xfId="2752" xr:uid="{00000000-0005-0000-0000-0000E30A0000}"/>
    <cellStyle name="Normal 2 12 2 23" xfId="2753" xr:uid="{00000000-0005-0000-0000-0000E40A0000}"/>
    <cellStyle name="Normal 2 12 2 24" xfId="2754" xr:uid="{00000000-0005-0000-0000-0000E50A0000}"/>
    <cellStyle name="Normal 2 12 2 25" xfId="2755" xr:uid="{00000000-0005-0000-0000-0000E60A0000}"/>
    <cellStyle name="Normal 2 12 2 26" xfId="2756" xr:uid="{00000000-0005-0000-0000-0000E70A0000}"/>
    <cellStyle name="Normal 2 12 2 27" xfId="2757" xr:uid="{00000000-0005-0000-0000-0000E80A0000}"/>
    <cellStyle name="Normal 2 12 2 28" xfId="2758" xr:uid="{00000000-0005-0000-0000-0000E90A0000}"/>
    <cellStyle name="Normal 2 12 2 29" xfId="2759" xr:uid="{00000000-0005-0000-0000-0000EA0A0000}"/>
    <cellStyle name="Normal 2 12 2 3" xfId="2760" xr:uid="{00000000-0005-0000-0000-0000EB0A0000}"/>
    <cellStyle name="Normal 2 12 2 30" xfId="2761" xr:uid="{00000000-0005-0000-0000-0000EC0A0000}"/>
    <cellStyle name="Normal 2 12 2 31" xfId="2762" xr:uid="{00000000-0005-0000-0000-0000ED0A0000}"/>
    <cellStyle name="Normal 2 12 2 32" xfId="2763" xr:uid="{00000000-0005-0000-0000-0000EE0A0000}"/>
    <cellStyle name="Normal 2 12 2 4" xfId="2764" xr:uid="{00000000-0005-0000-0000-0000EF0A0000}"/>
    <cellStyle name="Normal 2 12 2 5" xfId="2765" xr:uid="{00000000-0005-0000-0000-0000F00A0000}"/>
    <cellStyle name="Normal 2 12 2 6" xfId="2766" xr:uid="{00000000-0005-0000-0000-0000F10A0000}"/>
    <cellStyle name="Normal 2 12 2 7" xfId="2767" xr:uid="{00000000-0005-0000-0000-0000F20A0000}"/>
    <cellStyle name="Normal 2 12 2 8" xfId="2768" xr:uid="{00000000-0005-0000-0000-0000F30A0000}"/>
    <cellStyle name="Normal 2 12 2 9" xfId="2769" xr:uid="{00000000-0005-0000-0000-0000F40A0000}"/>
    <cellStyle name="Normal 2 12 20" xfId="2770" xr:uid="{00000000-0005-0000-0000-0000F50A0000}"/>
    <cellStyle name="Normal 2 12 21" xfId="2771" xr:uid="{00000000-0005-0000-0000-0000F60A0000}"/>
    <cellStyle name="Normal 2 12 22" xfId="2772" xr:uid="{00000000-0005-0000-0000-0000F70A0000}"/>
    <cellStyle name="Normal 2 12 23" xfId="2773" xr:uid="{00000000-0005-0000-0000-0000F80A0000}"/>
    <cellStyle name="Normal 2 12 24" xfId="2774" xr:uid="{00000000-0005-0000-0000-0000F90A0000}"/>
    <cellStyle name="Normal 2 12 25" xfId="2775" xr:uid="{00000000-0005-0000-0000-0000FA0A0000}"/>
    <cellStyle name="Normal 2 12 26" xfId="2776" xr:uid="{00000000-0005-0000-0000-0000FB0A0000}"/>
    <cellStyle name="Normal 2 12 27" xfId="2777" xr:uid="{00000000-0005-0000-0000-0000FC0A0000}"/>
    <cellStyle name="Normal 2 12 28" xfId="2778" xr:uid="{00000000-0005-0000-0000-0000FD0A0000}"/>
    <cellStyle name="Normal 2 12 29" xfId="2779" xr:uid="{00000000-0005-0000-0000-0000FE0A0000}"/>
    <cellStyle name="Normal 2 12 3" xfId="2780" xr:uid="{00000000-0005-0000-0000-0000FF0A0000}"/>
    <cellStyle name="Normal 2 12 30" xfId="2781" xr:uid="{00000000-0005-0000-0000-0000000B0000}"/>
    <cellStyle name="Normal 2 12 31" xfId="2782" xr:uid="{00000000-0005-0000-0000-0000010B0000}"/>
    <cellStyle name="Normal 2 12 32" xfId="2783" xr:uid="{00000000-0005-0000-0000-0000020B0000}"/>
    <cellStyle name="Normal 2 12 4" xfId="2784" xr:uid="{00000000-0005-0000-0000-0000030B0000}"/>
    <cellStyle name="Normal 2 12 5" xfId="2785" xr:uid="{00000000-0005-0000-0000-0000040B0000}"/>
    <cellStyle name="Normal 2 12 6" xfId="2786" xr:uid="{00000000-0005-0000-0000-0000050B0000}"/>
    <cellStyle name="Normal 2 12 7" xfId="2787" xr:uid="{00000000-0005-0000-0000-0000060B0000}"/>
    <cellStyle name="Normal 2 12 8" xfId="2788" xr:uid="{00000000-0005-0000-0000-0000070B0000}"/>
    <cellStyle name="Normal 2 12 9" xfId="2789" xr:uid="{00000000-0005-0000-0000-0000080B0000}"/>
    <cellStyle name="Normal 2 13" xfId="2790" xr:uid="{00000000-0005-0000-0000-0000090B0000}"/>
    <cellStyle name="Normal 2 13 10" xfId="2791" xr:uid="{00000000-0005-0000-0000-00000A0B0000}"/>
    <cellStyle name="Normal 2 13 11" xfId="2792" xr:uid="{00000000-0005-0000-0000-00000B0B0000}"/>
    <cellStyle name="Normal 2 13 12" xfId="2793" xr:uid="{00000000-0005-0000-0000-00000C0B0000}"/>
    <cellStyle name="Normal 2 13 13" xfId="2794" xr:uid="{00000000-0005-0000-0000-00000D0B0000}"/>
    <cellStyle name="Normal 2 13 14" xfId="2795" xr:uid="{00000000-0005-0000-0000-00000E0B0000}"/>
    <cellStyle name="Normal 2 13 15" xfId="2796" xr:uid="{00000000-0005-0000-0000-00000F0B0000}"/>
    <cellStyle name="Normal 2 13 16" xfId="2797" xr:uid="{00000000-0005-0000-0000-0000100B0000}"/>
    <cellStyle name="Normal 2 13 17" xfId="2798" xr:uid="{00000000-0005-0000-0000-0000110B0000}"/>
    <cellStyle name="Normal 2 13 18" xfId="2799" xr:uid="{00000000-0005-0000-0000-0000120B0000}"/>
    <cellStyle name="Normal 2 13 19" xfId="2800" xr:uid="{00000000-0005-0000-0000-0000130B0000}"/>
    <cellStyle name="Normal 2 13 2" xfId="2801" xr:uid="{00000000-0005-0000-0000-0000140B0000}"/>
    <cellStyle name="Normal 2 13 2 10" xfId="2802" xr:uid="{00000000-0005-0000-0000-0000150B0000}"/>
    <cellStyle name="Normal 2 13 2 11" xfId="2803" xr:uid="{00000000-0005-0000-0000-0000160B0000}"/>
    <cellStyle name="Normal 2 13 2 12" xfId="2804" xr:uid="{00000000-0005-0000-0000-0000170B0000}"/>
    <cellStyle name="Normal 2 13 2 13" xfId="2805" xr:uid="{00000000-0005-0000-0000-0000180B0000}"/>
    <cellStyle name="Normal 2 13 2 14" xfId="2806" xr:uid="{00000000-0005-0000-0000-0000190B0000}"/>
    <cellStyle name="Normal 2 13 2 15" xfId="2807" xr:uid="{00000000-0005-0000-0000-00001A0B0000}"/>
    <cellStyle name="Normal 2 13 2 16" xfId="2808" xr:uid="{00000000-0005-0000-0000-00001B0B0000}"/>
    <cellStyle name="Normal 2 13 2 17" xfId="2809" xr:uid="{00000000-0005-0000-0000-00001C0B0000}"/>
    <cellStyle name="Normal 2 13 2 18" xfId="2810" xr:uid="{00000000-0005-0000-0000-00001D0B0000}"/>
    <cellStyle name="Normal 2 13 2 19" xfId="2811" xr:uid="{00000000-0005-0000-0000-00001E0B0000}"/>
    <cellStyle name="Normal 2 13 2 2" xfId="2812" xr:uid="{00000000-0005-0000-0000-00001F0B0000}"/>
    <cellStyle name="Normal 2 13 2 20" xfId="2813" xr:uid="{00000000-0005-0000-0000-0000200B0000}"/>
    <cellStyle name="Normal 2 13 2 21" xfId="2814" xr:uid="{00000000-0005-0000-0000-0000210B0000}"/>
    <cellStyle name="Normal 2 13 2 22" xfId="2815" xr:uid="{00000000-0005-0000-0000-0000220B0000}"/>
    <cellStyle name="Normal 2 13 2 23" xfId="2816" xr:uid="{00000000-0005-0000-0000-0000230B0000}"/>
    <cellStyle name="Normal 2 13 2 24" xfId="2817" xr:uid="{00000000-0005-0000-0000-0000240B0000}"/>
    <cellStyle name="Normal 2 13 2 25" xfId="2818" xr:uid="{00000000-0005-0000-0000-0000250B0000}"/>
    <cellStyle name="Normal 2 13 2 26" xfId="2819" xr:uid="{00000000-0005-0000-0000-0000260B0000}"/>
    <cellStyle name="Normal 2 13 2 27" xfId="2820" xr:uid="{00000000-0005-0000-0000-0000270B0000}"/>
    <cellStyle name="Normal 2 13 2 28" xfId="2821" xr:uid="{00000000-0005-0000-0000-0000280B0000}"/>
    <cellStyle name="Normal 2 13 2 29" xfId="2822" xr:uid="{00000000-0005-0000-0000-0000290B0000}"/>
    <cellStyle name="Normal 2 13 2 3" xfId="2823" xr:uid="{00000000-0005-0000-0000-00002A0B0000}"/>
    <cellStyle name="Normal 2 13 2 30" xfId="2824" xr:uid="{00000000-0005-0000-0000-00002B0B0000}"/>
    <cellStyle name="Normal 2 13 2 31" xfId="2825" xr:uid="{00000000-0005-0000-0000-00002C0B0000}"/>
    <cellStyle name="Normal 2 13 2 32" xfId="2826" xr:uid="{00000000-0005-0000-0000-00002D0B0000}"/>
    <cellStyle name="Normal 2 13 2 4" xfId="2827" xr:uid="{00000000-0005-0000-0000-00002E0B0000}"/>
    <cellStyle name="Normal 2 13 2 5" xfId="2828" xr:uid="{00000000-0005-0000-0000-00002F0B0000}"/>
    <cellStyle name="Normal 2 13 2 6" xfId="2829" xr:uid="{00000000-0005-0000-0000-0000300B0000}"/>
    <cellStyle name="Normal 2 13 2 7" xfId="2830" xr:uid="{00000000-0005-0000-0000-0000310B0000}"/>
    <cellStyle name="Normal 2 13 2 8" xfId="2831" xr:uid="{00000000-0005-0000-0000-0000320B0000}"/>
    <cellStyle name="Normal 2 13 2 9" xfId="2832" xr:uid="{00000000-0005-0000-0000-0000330B0000}"/>
    <cellStyle name="Normal 2 13 20" xfId="2833" xr:uid="{00000000-0005-0000-0000-0000340B0000}"/>
    <cellStyle name="Normal 2 13 21" xfId="2834" xr:uid="{00000000-0005-0000-0000-0000350B0000}"/>
    <cellStyle name="Normal 2 13 22" xfId="2835" xr:uid="{00000000-0005-0000-0000-0000360B0000}"/>
    <cellStyle name="Normal 2 13 23" xfId="2836" xr:uid="{00000000-0005-0000-0000-0000370B0000}"/>
    <cellStyle name="Normal 2 13 24" xfId="2837" xr:uid="{00000000-0005-0000-0000-0000380B0000}"/>
    <cellStyle name="Normal 2 13 25" xfId="2838" xr:uid="{00000000-0005-0000-0000-0000390B0000}"/>
    <cellStyle name="Normal 2 13 26" xfId="2839" xr:uid="{00000000-0005-0000-0000-00003A0B0000}"/>
    <cellStyle name="Normal 2 13 27" xfId="2840" xr:uid="{00000000-0005-0000-0000-00003B0B0000}"/>
    <cellStyle name="Normal 2 13 28" xfId="2841" xr:uid="{00000000-0005-0000-0000-00003C0B0000}"/>
    <cellStyle name="Normal 2 13 29" xfId="2842" xr:uid="{00000000-0005-0000-0000-00003D0B0000}"/>
    <cellStyle name="Normal 2 13 3" xfId="2843" xr:uid="{00000000-0005-0000-0000-00003E0B0000}"/>
    <cellStyle name="Normal 2 13 30" xfId="2844" xr:uid="{00000000-0005-0000-0000-00003F0B0000}"/>
    <cellStyle name="Normal 2 13 31" xfId="2845" xr:uid="{00000000-0005-0000-0000-0000400B0000}"/>
    <cellStyle name="Normal 2 13 32" xfId="2846" xr:uid="{00000000-0005-0000-0000-0000410B0000}"/>
    <cellStyle name="Normal 2 13 4" xfId="2847" xr:uid="{00000000-0005-0000-0000-0000420B0000}"/>
    <cellStyle name="Normal 2 13 5" xfId="2848" xr:uid="{00000000-0005-0000-0000-0000430B0000}"/>
    <cellStyle name="Normal 2 13 6" xfId="2849" xr:uid="{00000000-0005-0000-0000-0000440B0000}"/>
    <cellStyle name="Normal 2 13 7" xfId="2850" xr:uid="{00000000-0005-0000-0000-0000450B0000}"/>
    <cellStyle name="Normal 2 13 8" xfId="2851" xr:uid="{00000000-0005-0000-0000-0000460B0000}"/>
    <cellStyle name="Normal 2 13 9" xfId="2852" xr:uid="{00000000-0005-0000-0000-0000470B0000}"/>
    <cellStyle name="Normal 2 14" xfId="2853" xr:uid="{00000000-0005-0000-0000-0000480B0000}"/>
    <cellStyle name="Normal 2 14 10" xfId="2854" xr:uid="{00000000-0005-0000-0000-0000490B0000}"/>
    <cellStyle name="Normal 2 14 11" xfId="2855" xr:uid="{00000000-0005-0000-0000-00004A0B0000}"/>
    <cellStyle name="Normal 2 14 12" xfId="2856" xr:uid="{00000000-0005-0000-0000-00004B0B0000}"/>
    <cellStyle name="Normal 2 14 13" xfId="2857" xr:uid="{00000000-0005-0000-0000-00004C0B0000}"/>
    <cellStyle name="Normal 2 14 14" xfId="2858" xr:uid="{00000000-0005-0000-0000-00004D0B0000}"/>
    <cellStyle name="Normal 2 14 15" xfId="2859" xr:uid="{00000000-0005-0000-0000-00004E0B0000}"/>
    <cellStyle name="Normal 2 14 16" xfId="2860" xr:uid="{00000000-0005-0000-0000-00004F0B0000}"/>
    <cellStyle name="Normal 2 14 17" xfId="2861" xr:uid="{00000000-0005-0000-0000-0000500B0000}"/>
    <cellStyle name="Normal 2 14 18" xfId="2862" xr:uid="{00000000-0005-0000-0000-0000510B0000}"/>
    <cellStyle name="Normal 2 14 19" xfId="2863" xr:uid="{00000000-0005-0000-0000-0000520B0000}"/>
    <cellStyle name="Normal 2 14 2" xfId="2864" xr:uid="{00000000-0005-0000-0000-0000530B0000}"/>
    <cellStyle name="Normal 2 14 2 10" xfId="2865" xr:uid="{00000000-0005-0000-0000-0000540B0000}"/>
    <cellStyle name="Normal 2 14 2 11" xfId="2866" xr:uid="{00000000-0005-0000-0000-0000550B0000}"/>
    <cellStyle name="Normal 2 14 2 12" xfId="2867" xr:uid="{00000000-0005-0000-0000-0000560B0000}"/>
    <cellStyle name="Normal 2 14 2 13" xfId="2868" xr:uid="{00000000-0005-0000-0000-0000570B0000}"/>
    <cellStyle name="Normal 2 14 2 14" xfId="2869" xr:uid="{00000000-0005-0000-0000-0000580B0000}"/>
    <cellStyle name="Normal 2 14 2 15" xfId="2870" xr:uid="{00000000-0005-0000-0000-0000590B0000}"/>
    <cellStyle name="Normal 2 14 2 16" xfId="2871" xr:uid="{00000000-0005-0000-0000-00005A0B0000}"/>
    <cellStyle name="Normal 2 14 2 17" xfId="2872" xr:uid="{00000000-0005-0000-0000-00005B0B0000}"/>
    <cellStyle name="Normal 2 14 2 18" xfId="2873" xr:uid="{00000000-0005-0000-0000-00005C0B0000}"/>
    <cellStyle name="Normal 2 14 2 19" xfId="2874" xr:uid="{00000000-0005-0000-0000-00005D0B0000}"/>
    <cellStyle name="Normal 2 14 2 2" xfId="2875" xr:uid="{00000000-0005-0000-0000-00005E0B0000}"/>
    <cellStyle name="Normal 2 14 2 20" xfId="2876" xr:uid="{00000000-0005-0000-0000-00005F0B0000}"/>
    <cellStyle name="Normal 2 14 2 21" xfId="2877" xr:uid="{00000000-0005-0000-0000-0000600B0000}"/>
    <cellStyle name="Normal 2 14 2 22" xfId="2878" xr:uid="{00000000-0005-0000-0000-0000610B0000}"/>
    <cellStyle name="Normal 2 14 2 23" xfId="2879" xr:uid="{00000000-0005-0000-0000-0000620B0000}"/>
    <cellStyle name="Normal 2 14 2 24" xfId="2880" xr:uid="{00000000-0005-0000-0000-0000630B0000}"/>
    <cellStyle name="Normal 2 14 2 25" xfId="2881" xr:uid="{00000000-0005-0000-0000-0000640B0000}"/>
    <cellStyle name="Normal 2 14 2 26" xfId="2882" xr:uid="{00000000-0005-0000-0000-0000650B0000}"/>
    <cellStyle name="Normal 2 14 2 27" xfId="2883" xr:uid="{00000000-0005-0000-0000-0000660B0000}"/>
    <cellStyle name="Normal 2 14 2 28" xfId="2884" xr:uid="{00000000-0005-0000-0000-0000670B0000}"/>
    <cellStyle name="Normal 2 14 2 29" xfId="2885" xr:uid="{00000000-0005-0000-0000-0000680B0000}"/>
    <cellStyle name="Normal 2 14 2 3" xfId="2886" xr:uid="{00000000-0005-0000-0000-0000690B0000}"/>
    <cellStyle name="Normal 2 14 2 30" xfId="2887" xr:uid="{00000000-0005-0000-0000-00006A0B0000}"/>
    <cellStyle name="Normal 2 14 2 31" xfId="2888" xr:uid="{00000000-0005-0000-0000-00006B0B0000}"/>
    <cellStyle name="Normal 2 14 2 32" xfId="2889" xr:uid="{00000000-0005-0000-0000-00006C0B0000}"/>
    <cellStyle name="Normal 2 14 2 4" xfId="2890" xr:uid="{00000000-0005-0000-0000-00006D0B0000}"/>
    <cellStyle name="Normal 2 14 2 5" xfId="2891" xr:uid="{00000000-0005-0000-0000-00006E0B0000}"/>
    <cellStyle name="Normal 2 14 2 6" xfId="2892" xr:uid="{00000000-0005-0000-0000-00006F0B0000}"/>
    <cellStyle name="Normal 2 14 2 7" xfId="2893" xr:uid="{00000000-0005-0000-0000-0000700B0000}"/>
    <cellStyle name="Normal 2 14 2 8" xfId="2894" xr:uid="{00000000-0005-0000-0000-0000710B0000}"/>
    <cellStyle name="Normal 2 14 2 9" xfId="2895" xr:uid="{00000000-0005-0000-0000-0000720B0000}"/>
    <cellStyle name="Normal 2 14 20" xfId="2896" xr:uid="{00000000-0005-0000-0000-0000730B0000}"/>
    <cellStyle name="Normal 2 14 21" xfId="2897" xr:uid="{00000000-0005-0000-0000-0000740B0000}"/>
    <cellStyle name="Normal 2 14 22" xfId="2898" xr:uid="{00000000-0005-0000-0000-0000750B0000}"/>
    <cellStyle name="Normal 2 14 23" xfId="2899" xr:uid="{00000000-0005-0000-0000-0000760B0000}"/>
    <cellStyle name="Normal 2 14 24" xfId="2900" xr:uid="{00000000-0005-0000-0000-0000770B0000}"/>
    <cellStyle name="Normal 2 14 25" xfId="2901" xr:uid="{00000000-0005-0000-0000-0000780B0000}"/>
    <cellStyle name="Normal 2 14 26" xfId="2902" xr:uid="{00000000-0005-0000-0000-0000790B0000}"/>
    <cellStyle name="Normal 2 14 27" xfId="2903" xr:uid="{00000000-0005-0000-0000-00007A0B0000}"/>
    <cellStyle name="Normal 2 14 28" xfId="2904" xr:uid="{00000000-0005-0000-0000-00007B0B0000}"/>
    <cellStyle name="Normal 2 14 29" xfId="2905" xr:uid="{00000000-0005-0000-0000-00007C0B0000}"/>
    <cellStyle name="Normal 2 14 3" xfId="2906" xr:uid="{00000000-0005-0000-0000-00007D0B0000}"/>
    <cellStyle name="Normal 2 14 30" xfId="2907" xr:uid="{00000000-0005-0000-0000-00007E0B0000}"/>
    <cellStyle name="Normal 2 14 31" xfId="2908" xr:uid="{00000000-0005-0000-0000-00007F0B0000}"/>
    <cellStyle name="Normal 2 14 32" xfId="2909" xr:uid="{00000000-0005-0000-0000-0000800B0000}"/>
    <cellStyle name="Normal 2 14 4" xfId="2910" xr:uid="{00000000-0005-0000-0000-0000810B0000}"/>
    <cellStyle name="Normal 2 14 5" xfId="2911" xr:uid="{00000000-0005-0000-0000-0000820B0000}"/>
    <cellStyle name="Normal 2 14 6" xfId="2912" xr:uid="{00000000-0005-0000-0000-0000830B0000}"/>
    <cellStyle name="Normal 2 14 7" xfId="2913" xr:uid="{00000000-0005-0000-0000-0000840B0000}"/>
    <cellStyle name="Normal 2 14 8" xfId="2914" xr:uid="{00000000-0005-0000-0000-0000850B0000}"/>
    <cellStyle name="Normal 2 14 9" xfId="2915" xr:uid="{00000000-0005-0000-0000-0000860B0000}"/>
    <cellStyle name="Normal 2 15" xfId="2916" xr:uid="{00000000-0005-0000-0000-0000870B0000}"/>
    <cellStyle name="Normal 2 15 10" xfId="2917" xr:uid="{00000000-0005-0000-0000-0000880B0000}"/>
    <cellStyle name="Normal 2 15 11" xfId="2918" xr:uid="{00000000-0005-0000-0000-0000890B0000}"/>
    <cellStyle name="Normal 2 15 12" xfId="2919" xr:uid="{00000000-0005-0000-0000-00008A0B0000}"/>
    <cellStyle name="Normal 2 15 13" xfId="2920" xr:uid="{00000000-0005-0000-0000-00008B0B0000}"/>
    <cellStyle name="Normal 2 15 14" xfId="2921" xr:uid="{00000000-0005-0000-0000-00008C0B0000}"/>
    <cellStyle name="Normal 2 15 15" xfId="2922" xr:uid="{00000000-0005-0000-0000-00008D0B0000}"/>
    <cellStyle name="Normal 2 15 16" xfId="2923" xr:uid="{00000000-0005-0000-0000-00008E0B0000}"/>
    <cellStyle name="Normal 2 15 17" xfId="2924" xr:uid="{00000000-0005-0000-0000-00008F0B0000}"/>
    <cellStyle name="Normal 2 15 18" xfId="2925" xr:uid="{00000000-0005-0000-0000-0000900B0000}"/>
    <cellStyle name="Normal 2 15 19" xfId="2926" xr:uid="{00000000-0005-0000-0000-0000910B0000}"/>
    <cellStyle name="Normal 2 15 2" xfId="2927" xr:uid="{00000000-0005-0000-0000-0000920B0000}"/>
    <cellStyle name="Normal 2 15 2 10" xfId="2928" xr:uid="{00000000-0005-0000-0000-0000930B0000}"/>
    <cellStyle name="Normal 2 15 2 11" xfId="2929" xr:uid="{00000000-0005-0000-0000-0000940B0000}"/>
    <cellStyle name="Normal 2 15 2 12" xfId="2930" xr:uid="{00000000-0005-0000-0000-0000950B0000}"/>
    <cellStyle name="Normal 2 15 2 13" xfId="2931" xr:uid="{00000000-0005-0000-0000-0000960B0000}"/>
    <cellStyle name="Normal 2 15 2 14" xfId="2932" xr:uid="{00000000-0005-0000-0000-0000970B0000}"/>
    <cellStyle name="Normal 2 15 2 15" xfId="2933" xr:uid="{00000000-0005-0000-0000-0000980B0000}"/>
    <cellStyle name="Normal 2 15 2 16" xfId="2934" xr:uid="{00000000-0005-0000-0000-0000990B0000}"/>
    <cellStyle name="Normal 2 15 2 17" xfId="2935" xr:uid="{00000000-0005-0000-0000-00009A0B0000}"/>
    <cellStyle name="Normal 2 15 2 18" xfId="2936" xr:uid="{00000000-0005-0000-0000-00009B0B0000}"/>
    <cellStyle name="Normal 2 15 2 19" xfId="2937" xr:uid="{00000000-0005-0000-0000-00009C0B0000}"/>
    <cellStyle name="Normal 2 15 2 2" xfId="2938" xr:uid="{00000000-0005-0000-0000-00009D0B0000}"/>
    <cellStyle name="Normal 2 15 2 20" xfId="2939" xr:uid="{00000000-0005-0000-0000-00009E0B0000}"/>
    <cellStyle name="Normal 2 15 2 21" xfId="2940" xr:uid="{00000000-0005-0000-0000-00009F0B0000}"/>
    <cellStyle name="Normal 2 15 2 22" xfId="2941" xr:uid="{00000000-0005-0000-0000-0000A00B0000}"/>
    <cellStyle name="Normal 2 15 2 23" xfId="2942" xr:uid="{00000000-0005-0000-0000-0000A10B0000}"/>
    <cellStyle name="Normal 2 15 2 24" xfId="2943" xr:uid="{00000000-0005-0000-0000-0000A20B0000}"/>
    <cellStyle name="Normal 2 15 2 25" xfId="2944" xr:uid="{00000000-0005-0000-0000-0000A30B0000}"/>
    <cellStyle name="Normal 2 15 2 26" xfId="2945" xr:uid="{00000000-0005-0000-0000-0000A40B0000}"/>
    <cellStyle name="Normal 2 15 2 27" xfId="2946" xr:uid="{00000000-0005-0000-0000-0000A50B0000}"/>
    <cellStyle name="Normal 2 15 2 28" xfId="2947" xr:uid="{00000000-0005-0000-0000-0000A60B0000}"/>
    <cellStyle name="Normal 2 15 2 29" xfId="2948" xr:uid="{00000000-0005-0000-0000-0000A70B0000}"/>
    <cellStyle name="Normal 2 15 2 3" xfId="2949" xr:uid="{00000000-0005-0000-0000-0000A80B0000}"/>
    <cellStyle name="Normal 2 15 2 30" xfId="2950" xr:uid="{00000000-0005-0000-0000-0000A90B0000}"/>
    <cellStyle name="Normal 2 15 2 31" xfId="2951" xr:uid="{00000000-0005-0000-0000-0000AA0B0000}"/>
    <cellStyle name="Normal 2 15 2 32" xfId="2952" xr:uid="{00000000-0005-0000-0000-0000AB0B0000}"/>
    <cellStyle name="Normal 2 15 2 4" xfId="2953" xr:uid="{00000000-0005-0000-0000-0000AC0B0000}"/>
    <cellStyle name="Normal 2 15 2 5" xfId="2954" xr:uid="{00000000-0005-0000-0000-0000AD0B0000}"/>
    <cellStyle name="Normal 2 15 2 6" xfId="2955" xr:uid="{00000000-0005-0000-0000-0000AE0B0000}"/>
    <cellStyle name="Normal 2 15 2 7" xfId="2956" xr:uid="{00000000-0005-0000-0000-0000AF0B0000}"/>
    <cellStyle name="Normal 2 15 2 8" xfId="2957" xr:uid="{00000000-0005-0000-0000-0000B00B0000}"/>
    <cellStyle name="Normal 2 15 2 9" xfId="2958" xr:uid="{00000000-0005-0000-0000-0000B10B0000}"/>
    <cellStyle name="Normal 2 15 20" xfId="2959" xr:uid="{00000000-0005-0000-0000-0000B20B0000}"/>
    <cellStyle name="Normal 2 15 21" xfId="2960" xr:uid="{00000000-0005-0000-0000-0000B30B0000}"/>
    <cellStyle name="Normal 2 15 22" xfId="2961" xr:uid="{00000000-0005-0000-0000-0000B40B0000}"/>
    <cellStyle name="Normal 2 15 23" xfId="2962" xr:uid="{00000000-0005-0000-0000-0000B50B0000}"/>
    <cellStyle name="Normal 2 15 24" xfId="2963" xr:uid="{00000000-0005-0000-0000-0000B60B0000}"/>
    <cellStyle name="Normal 2 15 25" xfId="2964" xr:uid="{00000000-0005-0000-0000-0000B70B0000}"/>
    <cellStyle name="Normal 2 15 26" xfId="2965" xr:uid="{00000000-0005-0000-0000-0000B80B0000}"/>
    <cellStyle name="Normal 2 15 27" xfId="2966" xr:uid="{00000000-0005-0000-0000-0000B90B0000}"/>
    <cellStyle name="Normal 2 15 28" xfId="2967" xr:uid="{00000000-0005-0000-0000-0000BA0B0000}"/>
    <cellStyle name="Normal 2 15 29" xfId="2968" xr:uid="{00000000-0005-0000-0000-0000BB0B0000}"/>
    <cellStyle name="Normal 2 15 3" xfId="2969" xr:uid="{00000000-0005-0000-0000-0000BC0B0000}"/>
    <cellStyle name="Normal 2 15 30" xfId="2970" xr:uid="{00000000-0005-0000-0000-0000BD0B0000}"/>
    <cellStyle name="Normal 2 15 31" xfId="2971" xr:uid="{00000000-0005-0000-0000-0000BE0B0000}"/>
    <cellStyle name="Normal 2 15 32" xfId="2972" xr:uid="{00000000-0005-0000-0000-0000BF0B0000}"/>
    <cellStyle name="Normal 2 15 4" xfId="2973" xr:uid="{00000000-0005-0000-0000-0000C00B0000}"/>
    <cellStyle name="Normal 2 15 5" xfId="2974" xr:uid="{00000000-0005-0000-0000-0000C10B0000}"/>
    <cellStyle name="Normal 2 15 6" xfId="2975" xr:uid="{00000000-0005-0000-0000-0000C20B0000}"/>
    <cellStyle name="Normal 2 15 7" xfId="2976" xr:uid="{00000000-0005-0000-0000-0000C30B0000}"/>
    <cellStyle name="Normal 2 15 8" xfId="2977" xr:uid="{00000000-0005-0000-0000-0000C40B0000}"/>
    <cellStyle name="Normal 2 15 9" xfId="2978" xr:uid="{00000000-0005-0000-0000-0000C50B0000}"/>
    <cellStyle name="Normal 2 16" xfId="2979" xr:uid="{00000000-0005-0000-0000-0000C60B0000}"/>
    <cellStyle name="Normal 2 16 10" xfId="2980" xr:uid="{00000000-0005-0000-0000-0000C70B0000}"/>
    <cellStyle name="Normal 2 16 11" xfId="2981" xr:uid="{00000000-0005-0000-0000-0000C80B0000}"/>
    <cellStyle name="Normal 2 16 12" xfId="2982" xr:uid="{00000000-0005-0000-0000-0000C90B0000}"/>
    <cellStyle name="Normal 2 16 13" xfId="2983" xr:uid="{00000000-0005-0000-0000-0000CA0B0000}"/>
    <cellStyle name="Normal 2 16 14" xfId="2984" xr:uid="{00000000-0005-0000-0000-0000CB0B0000}"/>
    <cellStyle name="Normal 2 16 15" xfId="2985" xr:uid="{00000000-0005-0000-0000-0000CC0B0000}"/>
    <cellStyle name="Normal 2 16 16" xfId="2986" xr:uid="{00000000-0005-0000-0000-0000CD0B0000}"/>
    <cellStyle name="Normal 2 16 17" xfId="2987" xr:uid="{00000000-0005-0000-0000-0000CE0B0000}"/>
    <cellStyle name="Normal 2 16 18" xfId="2988" xr:uid="{00000000-0005-0000-0000-0000CF0B0000}"/>
    <cellStyle name="Normal 2 16 19" xfId="2989" xr:uid="{00000000-0005-0000-0000-0000D00B0000}"/>
    <cellStyle name="Normal 2 16 2" xfId="2990" xr:uid="{00000000-0005-0000-0000-0000D10B0000}"/>
    <cellStyle name="Normal 2 16 2 10" xfId="2991" xr:uid="{00000000-0005-0000-0000-0000D20B0000}"/>
    <cellStyle name="Normal 2 16 2 11" xfId="2992" xr:uid="{00000000-0005-0000-0000-0000D30B0000}"/>
    <cellStyle name="Normal 2 16 2 12" xfId="2993" xr:uid="{00000000-0005-0000-0000-0000D40B0000}"/>
    <cellStyle name="Normal 2 16 2 13" xfId="2994" xr:uid="{00000000-0005-0000-0000-0000D50B0000}"/>
    <cellStyle name="Normal 2 16 2 14" xfId="2995" xr:uid="{00000000-0005-0000-0000-0000D60B0000}"/>
    <cellStyle name="Normal 2 16 2 15" xfId="2996" xr:uid="{00000000-0005-0000-0000-0000D70B0000}"/>
    <cellStyle name="Normal 2 16 2 16" xfId="2997" xr:uid="{00000000-0005-0000-0000-0000D80B0000}"/>
    <cellStyle name="Normal 2 16 2 17" xfId="2998" xr:uid="{00000000-0005-0000-0000-0000D90B0000}"/>
    <cellStyle name="Normal 2 16 2 18" xfId="2999" xr:uid="{00000000-0005-0000-0000-0000DA0B0000}"/>
    <cellStyle name="Normal 2 16 2 19" xfId="3000" xr:uid="{00000000-0005-0000-0000-0000DB0B0000}"/>
    <cellStyle name="Normal 2 16 2 2" xfId="3001" xr:uid="{00000000-0005-0000-0000-0000DC0B0000}"/>
    <cellStyle name="Normal 2 16 2 20" xfId="3002" xr:uid="{00000000-0005-0000-0000-0000DD0B0000}"/>
    <cellStyle name="Normal 2 16 2 21" xfId="3003" xr:uid="{00000000-0005-0000-0000-0000DE0B0000}"/>
    <cellStyle name="Normal 2 16 2 22" xfId="3004" xr:uid="{00000000-0005-0000-0000-0000DF0B0000}"/>
    <cellStyle name="Normal 2 16 2 23" xfId="3005" xr:uid="{00000000-0005-0000-0000-0000E00B0000}"/>
    <cellStyle name="Normal 2 16 2 24" xfId="3006" xr:uid="{00000000-0005-0000-0000-0000E10B0000}"/>
    <cellStyle name="Normal 2 16 2 25" xfId="3007" xr:uid="{00000000-0005-0000-0000-0000E20B0000}"/>
    <cellStyle name="Normal 2 16 2 26" xfId="3008" xr:uid="{00000000-0005-0000-0000-0000E30B0000}"/>
    <cellStyle name="Normal 2 16 2 27" xfId="3009" xr:uid="{00000000-0005-0000-0000-0000E40B0000}"/>
    <cellStyle name="Normal 2 16 2 28" xfId="3010" xr:uid="{00000000-0005-0000-0000-0000E50B0000}"/>
    <cellStyle name="Normal 2 16 2 29" xfId="3011" xr:uid="{00000000-0005-0000-0000-0000E60B0000}"/>
    <cellStyle name="Normal 2 16 2 3" xfId="3012" xr:uid="{00000000-0005-0000-0000-0000E70B0000}"/>
    <cellStyle name="Normal 2 16 2 30" xfId="3013" xr:uid="{00000000-0005-0000-0000-0000E80B0000}"/>
    <cellStyle name="Normal 2 16 2 31" xfId="3014" xr:uid="{00000000-0005-0000-0000-0000E90B0000}"/>
    <cellStyle name="Normal 2 16 2 32" xfId="3015" xr:uid="{00000000-0005-0000-0000-0000EA0B0000}"/>
    <cellStyle name="Normal 2 16 2 4" xfId="3016" xr:uid="{00000000-0005-0000-0000-0000EB0B0000}"/>
    <cellStyle name="Normal 2 16 2 5" xfId="3017" xr:uid="{00000000-0005-0000-0000-0000EC0B0000}"/>
    <cellStyle name="Normal 2 16 2 6" xfId="3018" xr:uid="{00000000-0005-0000-0000-0000ED0B0000}"/>
    <cellStyle name="Normal 2 16 2 7" xfId="3019" xr:uid="{00000000-0005-0000-0000-0000EE0B0000}"/>
    <cellStyle name="Normal 2 16 2 8" xfId="3020" xr:uid="{00000000-0005-0000-0000-0000EF0B0000}"/>
    <cellStyle name="Normal 2 16 2 9" xfId="3021" xr:uid="{00000000-0005-0000-0000-0000F00B0000}"/>
    <cellStyle name="Normal 2 16 20" xfId="3022" xr:uid="{00000000-0005-0000-0000-0000F10B0000}"/>
    <cellStyle name="Normal 2 16 21" xfId="3023" xr:uid="{00000000-0005-0000-0000-0000F20B0000}"/>
    <cellStyle name="Normal 2 16 22" xfId="3024" xr:uid="{00000000-0005-0000-0000-0000F30B0000}"/>
    <cellStyle name="Normal 2 16 23" xfId="3025" xr:uid="{00000000-0005-0000-0000-0000F40B0000}"/>
    <cellStyle name="Normal 2 16 24" xfId="3026" xr:uid="{00000000-0005-0000-0000-0000F50B0000}"/>
    <cellStyle name="Normal 2 16 25" xfId="3027" xr:uid="{00000000-0005-0000-0000-0000F60B0000}"/>
    <cellStyle name="Normal 2 16 26" xfId="3028" xr:uid="{00000000-0005-0000-0000-0000F70B0000}"/>
    <cellStyle name="Normal 2 16 27" xfId="3029" xr:uid="{00000000-0005-0000-0000-0000F80B0000}"/>
    <cellStyle name="Normal 2 16 28" xfId="3030" xr:uid="{00000000-0005-0000-0000-0000F90B0000}"/>
    <cellStyle name="Normal 2 16 29" xfId="3031" xr:uid="{00000000-0005-0000-0000-0000FA0B0000}"/>
    <cellStyle name="Normal 2 16 3" xfId="3032" xr:uid="{00000000-0005-0000-0000-0000FB0B0000}"/>
    <cellStyle name="Normal 2 16 30" xfId="3033" xr:uid="{00000000-0005-0000-0000-0000FC0B0000}"/>
    <cellStyle name="Normal 2 16 31" xfId="3034" xr:uid="{00000000-0005-0000-0000-0000FD0B0000}"/>
    <cellStyle name="Normal 2 16 32" xfId="3035" xr:uid="{00000000-0005-0000-0000-0000FE0B0000}"/>
    <cellStyle name="Normal 2 16 4" xfId="3036" xr:uid="{00000000-0005-0000-0000-0000FF0B0000}"/>
    <cellStyle name="Normal 2 16 5" xfId="3037" xr:uid="{00000000-0005-0000-0000-0000000C0000}"/>
    <cellStyle name="Normal 2 16 6" xfId="3038" xr:uid="{00000000-0005-0000-0000-0000010C0000}"/>
    <cellStyle name="Normal 2 16 7" xfId="3039" xr:uid="{00000000-0005-0000-0000-0000020C0000}"/>
    <cellStyle name="Normal 2 16 8" xfId="3040" xr:uid="{00000000-0005-0000-0000-0000030C0000}"/>
    <cellStyle name="Normal 2 16 9" xfId="3041" xr:uid="{00000000-0005-0000-0000-0000040C0000}"/>
    <cellStyle name="Normal 2 17" xfId="3042" xr:uid="{00000000-0005-0000-0000-0000050C0000}"/>
    <cellStyle name="Normal 2 17 10" xfId="3043" xr:uid="{00000000-0005-0000-0000-0000060C0000}"/>
    <cellStyle name="Normal 2 17 11" xfId="3044" xr:uid="{00000000-0005-0000-0000-0000070C0000}"/>
    <cellStyle name="Normal 2 17 12" xfId="3045" xr:uid="{00000000-0005-0000-0000-0000080C0000}"/>
    <cellStyle name="Normal 2 17 13" xfId="3046" xr:uid="{00000000-0005-0000-0000-0000090C0000}"/>
    <cellStyle name="Normal 2 17 14" xfId="3047" xr:uid="{00000000-0005-0000-0000-00000A0C0000}"/>
    <cellStyle name="Normal 2 17 15" xfId="3048" xr:uid="{00000000-0005-0000-0000-00000B0C0000}"/>
    <cellStyle name="Normal 2 17 16" xfId="3049" xr:uid="{00000000-0005-0000-0000-00000C0C0000}"/>
    <cellStyle name="Normal 2 17 17" xfId="3050" xr:uid="{00000000-0005-0000-0000-00000D0C0000}"/>
    <cellStyle name="Normal 2 17 18" xfId="3051" xr:uid="{00000000-0005-0000-0000-00000E0C0000}"/>
    <cellStyle name="Normal 2 17 19" xfId="3052" xr:uid="{00000000-0005-0000-0000-00000F0C0000}"/>
    <cellStyle name="Normal 2 17 2" xfId="3053" xr:uid="{00000000-0005-0000-0000-0000100C0000}"/>
    <cellStyle name="Normal 2 17 2 10" xfId="3054" xr:uid="{00000000-0005-0000-0000-0000110C0000}"/>
    <cellStyle name="Normal 2 17 2 11" xfId="3055" xr:uid="{00000000-0005-0000-0000-0000120C0000}"/>
    <cellStyle name="Normal 2 17 2 12" xfId="3056" xr:uid="{00000000-0005-0000-0000-0000130C0000}"/>
    <cellStyle name="Normal 2 17 2 13" xfId="3057" xr:uid="{00000000-0005-0000-0000-0000140C0000}"/>
    <cellStyle name="Normal 2 17 2 14" xfId="3058" xr:uid="{00000000-0005-0000-0000-0000150C0000}"/>
    <cellStyle name="Normal 2 17 2 15" xfId="3059" xr:uid="{00000000-0005-0000-0000-0000160C0000}"/>
    <cellStyle name="Normal 2 17 2 16" xfId="3060" xr:uid="{00000000-0005-0000-0000-0000170C0000}"/>
    <cellStyle name="Normal 2 17 2 17" xfId="3061" xr:uid="{00000000-0005-0000-0000-0000180C0000}"/>
    <cellStyle name="Normal 2 17 2 18" xfId="3062" xr:uid="{00000000-0005-0000-0000-0000190C0000}"/>
    <cellStyle name="Normal 2 17 2 19" xfId="3063" xr:uid="{00000000-0005-0000-0000-00001A0C0000}"/>
    <cellStyle name="Normal 2 17 2 2" xfId="3064" xr:uid="{00000000-0005-0000-0000-00001B0C0000}"/>
    <cellStyle name="Normal 2 17 2 20" xfId="3065" xr:uid="{00000000-0005-0000-0000-00001C0C0000}"/>
    <cellStyle name="Normal 2 17 2 21" xfId="3066" xr:uid="{00000000-0005-0000-0000-00001D0C0000}"/>
    <cellStyle name="Normal 2 17 2 22" xfId="3067" xr:uid="{00000000-0005-0000-0000-00001E0C0000}"/>
    <cellStyle name="Normal 2 17 2 23" xfId="3068" xr:uid="{00000000-0005-0000-0000-00001F0C0000}"/>
    <cellStyle name="Normal 2 17 2 24" xfId="3069" xr:uid="{00000000-0005-0000-0000-0000200C0000}"/>
    <cellStyle name="Normal 2 17 2 25" xfId="3070" xr:uid="{00000000-0005-0000-0000-0000210C0000}"/>
    <cellStyle name="Normal 2 17 2 26" xfId="3071" xr:uid="{00000000-0005-0000-0000-0000220C0000}"/>
    <cellStyle name="Normal 2 17 2 27" xfId="3072" xr:uid="{00000000-0005-0000-0000-0000230C0000}"/>
    <cellStyle name="Normal 2 17 2 28" xfId="3073" xr:uid="{00000000-0005-0000-0000-0000240C0000}"/>
    <cellStyle name="Normal 2 17 2 29" xfId="3074" xr:uid="{00000000-0005-0000-0000-0000250C0000}"/>
    <cellStyle name="Normal 2 17 2 3" xfId="3075" xr:uid="{00000000-0005-0000-0000-0000260C0000}"/>
    <cellStyle name="Normal 2 17 2 30" xfId="3076" xr:uid="{00000000-0005-0000-0000-0000270C0000}"/>
    <cellStyle name="Normal 2 17 2 31" xfId="3077" xr:uid="{00000000-0005-0000-0000-0000280C0000}"/>
    <cellStyle name="Normal 2 17 2 32" xfId="3078" xr:uid="{00000000-0005-0000-0000-0000290C0000}"/>
    <cellStyle name="Normal 2 17 2 4" xfId="3079" xr:uid="{00000000-0005-0000-0000-00002A0C0000}"/>
    <cellStyle name="Normal 2 17 2 5" xfId="3080" xr:uid="{00000000-0005-0000-0000-00002B0C0000}"/>
    <cellStyle name="Normal 2 17 2 6" xfId="3081" xr:uid="{00000000-0005-0000-0000-00002C0C0000}"/>
    <cellStyle name="Normal 2 17 2 7" xfId="3082" xr:uid="{00000000-0005-0000-0000-00002D0C0000}"/>
    <cellStyle name="Normal 2 17 2 8" xfId="3083" xr:uid="{00000000-0005-0000-0000-00002E0C0000}"/>
    <cellStyle name="Normal 2 17 2 9" xfId="3084" xr:uid="{00000000-0005-0000-0000-00002F0C0000}"/>
    <cellStyle name="Normal 2 17 20" xfId="3085" xr:uid="{00000000-0005-0000-0000-0000300C0000}"/>
    <cellStyle name="Normal 2 17 21" xfId="3086" xr:uid="{00000000-0005-0000-0000-0000310C0000}"/>
    <cellStyle name="Normal 2 17 22" xfId="3087" xr:uid="{00000000-0005-0000-0000-0000320C0000}"/>
    <cellStyle name="Normal 2 17 23" xfId="3088" xr:uid="{00000000-0005-0000-0000-0000330C0000}"/>
    <cellStyle name="Normal 2 17 24" xfId="3089" xr:uid="{00000000-0005-0000-0000-0000340C0000}"/>
    <cellStyle name="Normal 2 17 25" xfId="3090" xr:uid="{00000000-0005-0000-0000-0000350C0000}"/>
    <cellStyle name="Normal 2 17 26" xfId="3091" xr:uid="{00000000-0005-0000-0000-0000360C0000}"/>
    <cellStyle name="Normal 2 17 27" xfId="3092" xr:uid="{00000000-0005-0000-0000-0000370C0000}"/>
    <cellStyle name="Normal 2 17 28" xfId="3093" xr:uid="{00000000-0005-0000-0000-0000380C0000}"/>
    <cellStyle name="Normal 2 17 29" xfId="3094" xr:uid="{00000000-0005-0000-0000-0000390C0000}"/>
    <cellStyle name="Normal 2 17 3" xfId="3095" xr:uid="{00000000-0005-0000-0000-00003A0C0000}"/>
    <cellStyle name="Normal 2 17 30" xfId="3096" xr:uid="{00000000-0005-0000-0000-00003B0C0000}"/>
    <cellStyle name="Normal 2 17 31" xfId="3097" xr:uid="{00000000-0005-0000-0000-00003C0C0000}"/>
    <cellStyle name="Normal 2 17 32" xfId="3098" xr:uid="{00000000-0005-0000-0000-00003D0C0000}"/>
    <cellStyle name="Normal 2 17 4" xfId="3099" xr:uid="{00000000-0005-0000-0000-00003E0C0000}"/>
    <cellStyle name="Normal 2 17 5" xfId="3100" xr:uid="{00000000-0005-0000-0000-00003F0C0000}"/>
    <cellStyle name="Normal 2 17 6" xfId="3101" xr:uid="{00000000-0005-0000-0000-0000400C0000}"/>
    <cellStyle name="Normal 2 17 7" xfId="3102" xr:uid="{00000000-0005-0000-0000-0000410C0000}"/>
    <cellStyle name="Normal 2 17 8" xfId="3103" xr:uid="{00000000-0005-0000-0000-0000420C0000}"/>
    <cellStyle name="Normal 2 17 9" xfId="3104" xr:uid="{00000000-0005-0000-0000-0000430C0000}"/>
    <cellStyle name="Normal 2 18" xfId="3105" xr:uid="{00000000-0005-0000-0000-0000440C0000}"/>
    <cellStyle name="Normal 2 18 10" xfId="3106" xr:uid="{00000000-0005-0000-0000-0000450C0000}"/>
    <cellStyle name="Normal 2 18 11" xfId="3107" xr:uid="{00000000-0005-0000-0000-0000460C0000}"/>
    <cellStyle name="Normal 2 18 12" xfId="3108" xr:uid="{00000000-0005-0000-0000-0000470C0000}"/>
    <cellStyle name="Normal 2 18 13" xfId="3109" xr:uid="{00000000-0005-0000-0000-0000480C0000}"/>
    <cellStyle name="Normal 2 18 14" xfId="3110" xr:uid="{00000000-0005-0000-0000-0000490C0000}"/>
    <cellStyle name="Normal 2 18 15" xfId="3111" xr:uid="{00000000-0005-0000-0000-00004A0C0000}"/>
    <cellStyle name="Normal 2 18 16" xfId="3112" xr:uid="{00000000-0005-0000-0000-00004B0C0000}"/>
    <cellStyle name="Normal 2 18 17" xfId="3113" xr:uid="{00000000-0005-0000-0000-00004C0C0000}"/>
    <cellStyle name="Normal 2 18 18" xfId="3114" xr:uid="{00000000-0005-0000-0000-00004D0C0000}"/>
    <cellStyle name="Normal 2 18 19" xfId="3115" xr:uid="{00000000-0005-0000-0000-00004E0C0000}"/>
    <cellStyle name="Normal 2 18 2" xfId="3116" xr:uid="{00000000-0005-0000-0000-00004F0C0000}"/>
    <cellStyle name="Normal 2 18 2 10" xfId="3117" xr:uid="{00000000-0005-0000-0000-0000500C0000}"/>
    <cellStyle name="Normal 2 18 2 11" xfId="3118" xr:uid="{00000000-0005-0000-0000-0000510C0000}"/>
    <cellStyle name="Normal 2 18 2 12" xfId="3119" xr:uid="{00000000-0005-0000-0000-0000520C0000}"/>
    <cellStyle name="Normal 2 18 2 13" xfId="3120" xr:uid="{00000000-0005-0000-0000-0000530C0000}"/>
    <cellStyle name="Normal 2 18 2 14" xfId="3121" xr:uid="{00000000-0005-0000-0000-0000540C0000}"/>
    <cellStyle name="Normal 2 18 2 15" xfId="3122" xr:uid="{00000000-0005-0000-0000-0000550C0000}"/>
    <cellStyle name="Normal 2 18 2 16" xfId="3123" xr:uid="{00000000-0005-0000-0000-0000560C0000}"/>
    <cellStyle name="Normal 2 18 2 17" xfId="3124" xr:uid="{00000000-0005-0000-0000-0000570C0000}"/>
    <cellStyle name="Normal 2 18 2 18" xfId="3125" xr:uid="{00000000-0005-0000-0000-0000580C0000}"/>
    <cellStyle name="Normal 2 18 2 19" xfId="3126" xr:uid="{00000000-0005-0000-0000-0000590C0000}"/>
    <cellStyle name="Normal 2 18 2 2" xfId="3127" xr:uid="{00000000-0005-0000-0000-00005A0C0000}"/>
    <cellStyle name="Normal 2 18 2 20" xfId="3128" xr:uid="{00000000-0005-0000-0000-00005B0C0000}"/>
    <cellStyle name="Normal 2 18 2 21" xfId="3129" xr:uid="{00000000-0005-0000-0000-00005C0C0000}"/>
    <cellStyle name="Normal 2 18 2 22" xfId="3130" xr:uid="{00000000-0005-0000-0000-00005D0C0000}"/>
    <cellStyle name="Normal 2 18 2 23" xfId="3131" xr:uid="{00000000-0005-0000-0000-00005E0C0000}"/>
    <cellStyle name="Normal 2 18 2 24" xfId="3132" xr:uid="{00000000-0005-0000-0000-00005F0C0000}"/>
    <cellStyle name="Normal 2 18 2 25" xfId="3133" xr:uid="{00000000-0005-0000-0000-0000600C0000}"/>
    <cellStyle name="Normal 2 18 2 26" xfId="3134" xr:uid="{00000000-0005-0000-0000-0000610C0000}"/>
    <cellStyle name="Normal 2 18 2 27" xfId="3135" xr:uid="{00000000-0005-0000-0000-0000620C0000}"/>
    <cellStyle name="Normal 2 18 2 28" xfId="3136" xr:uid="{00000000-0005-0000-0000-0000630C0000}"/>
    <cellStyle name="Normal 2 18 2 29" xfId="3137" xr:uid="{00000000-0005-0000-0000-0000640C0000}"/>
    <cellStyle name="Normal 2 18 2 3" xfId="3138" xr:uid="{00000000-0005-0000-0000-0000650C0000}"/>
    <cellStyle name="Normal 2 18 2 30" xfId="3139" xr:uid="{00000000-0005-0000-0000-0000660C0000}"/>
    <cellStyle name="Normal 2 18 2 31" xfId="3140" xr:uid="{00000000-0005-0000-0000-0000670C0000}"/>
    <cellStyle name="Normal 2 18 2 32" xfId="3141" xr:uid="{00000000-0005-0000-0000-0000680C0000}"/>
    <cellStyle name="Normal 2 18 2 4" xfId="3142" xr:uid="{00000000-0005-0000-0000-0000690C0000}"/>
    <cellStyle name="Normal 2 18 2 5" xfId="3143" xr:uid="{00000000-0005-0000-0000-00006A0C0000}"/>
    <cellStyle name="Normal 2 18 2 6" xfId="3144" xr:uid="{00000000-0005-0000-0000-00006B0C0000}"/>
    <cellStyle name="Normal 2 18 2 7" xfId="3145" xr:uid="{00000000-0005-0000-0000-00006C0C0000}"/>
    <cellStyle name="Normal 2 18 2 8" xfId="3146" xr:uid="{00000000-0005-0000-0000-00006D0C0000}"/>
    <cellStyle name="Normal 2 18 2 9" xfId="3147" xr:uid="{00000000-0005-0000-0000-00006E0C0000}"/>
    <cellStyle name="Normal 2 18 20" xfId="3148" xr:uid="{00000000-0005-0000-0000-00006F0C0000}"/>
    <cellStyle name="Normal 2 18 21" xfId="3149" xr:uid="{00000000-0005-0000-0000-0000700C0000}"/>
    <cellStyle name="Normal 2 18 22" xfId="3150" xr:uid="{00000000-0005-0000-0000-0000710C0000}"/>
    <cellStyle name="Normal 2 18 23" xfId="3151" xr:uid="{00000000-0005-0000-0000-0000720C0000}"/>
    <cellStyle name="Normal 2 18 24" xfId="3152" xr:uid="{00000000-0005-0000-0000-0000730C0000}"/>
    <cellStyle name="Normal 2 18 25" xfId="3153" xr:uid="{00000000-0005-0000-0000-0000740C0000}"/>
    <cellStyle name="Normal 2 18 26" xfId="3154" xr:uid="{00000000-0005-0000-0000-0000750C0000}"/>
    <cellStyle name="Normal 2 18 27" xfId="3155" xr:uid="{00000000-0005-0000-0000-0000760C0000}"/>
    <cellStyle name="Normal 2 18 28" xfId="3156" xr:uid="{00000000-0005-0000-0000-0000770C0000}"/>
    <cellStyle name="Normal 2 18 29" xfId="3157" xr:uid="{00000000-0005-0000-0000-0000780C0000}"/>
    <cellStyle name="Normal 2 18 3" xfId="3158" xr:uid="{00000000-0005-0000-0000-0000790C0000}"/>
    <cellStyle name="Normal 2 18 30" xfId="3159" xr:uid="{00000000-0005-0000-0000-00007A0C0000}"/>
    <cellStyle name="Normal 2 18 31" xfId="3160" xr:uid="{00000000-0005-0000-0000-00007B0C0000}"/>
    <cellStyle name="Normal 2 18 32" xfId="3161" xr:uid="{00000000-0005-0000-0000-00007C0C0000}"/>
    <cellStyle name="Normal 2 18 33" xfId="5297" xr:uid="{00000000-0005-0000-0000-00007D0C0000}"/>
    <cellStyle name="Normal 2 18 4" xfId="3162" xr:uid="{00000000-0005-0000-0000-00007E0C0000}"/>
    <cellStyle name="Normal 2 18 5" xfId="3163" xr:uid="{00000000-0005-0000-0000-00007F0C0000}"/>
    <cellStyle name="Normal 2 18 6" xfId="3164" xr:uid="{00000000-0005-0000-0000-0000800C0000}"/>
    <cellStyle name="Normal 2 18 7" xfId="3165" xr:uid="{00000000-0005-0000-0000-0000810C0000}"/>
    <cellStyle name="Normal 2 18 8" xfId="3166" xr:uid="{00000000-0005-0000-0000-0000820C0000}"/>
    <cellStyle name="Normal 2 18 9" xfId="3167" xr:uid="{00000000-0005-0000-0000-0000830C0000}"/>
    <cellStyle name="Normal 2 19" xfId="3168" xr:uid="{00000000-0005-0000-0000-0000840C0000}"/>
    <cellStyle name="Normal 2 19 2" xfId="3169" xr:uid="{00000000-0005-0000-0000-0000850C0000}"/>
    <cellStyle name="Normal 2 2" xfId="3170" xr:uid="{00000000-0005-0000-0000-0000860C0000}"/>
    <cellStyle name="Normal 2 2 10" xfId="3171" xr:uid="{00000000-0005-0000-0000-0000870C0000}"/>
    <cellStyle name="Normal 2 2 11" xfId="3172" xr:uid="{00000000-0005-0000-0000-0000880C0000}"/>
    <cellStyle name="Normal 2 2 12" xfId="3173" xr:uid="{00000000-0005-0000-0000-0000890C0000}"/>
    <cellStyle name="Normal 2 2 13" xfId="3174" xr:uid="{00000000-0005-0000-0000-00008A0C0000}"/>
    <cellStyle name="Normal 2 2 14" xfId="3175" xr:uid="{00000000-0005-0000-0000-00008B0C0000}"/>
    <cellStyle name="Normal 2 2 15" xfId="3176" xr:uid="{00000000-0005-0000-0000-00008C0C0000}"/>
    <cellStyle name="Normal 2 2 16" xfId="3177" xr:uid="{00000000-0005-0000-0000-00008D0C0000}"/>
    <cellStyle name="Normal 2 2 17" xfId="3178" xr:uid="{00000000-0005-0000-0000-00008E0C0000}"/>
    <cellStyle name="Normal 2 2 18" xfId="3179" xr:uid="{00000000-0005-0000-0000-00008F0C0000}"/>
    <cellStyle name="Normal 2 2 19" xfId="3180" xr:uid="{00000000-0005-0000-0000-0000900C0000}"/>
    <cellStyle name="Normal 2 2 2" xfId="3181" xr:uid="{00000000-0005-0000-0000-0000910C0000}"/>
    <cellStyle name="Normal 2 2 20" xfId="3182" xr:uid="{00000000-0005-0000-0000-0000920C0000}"/>
    <cellStyle name="Normal 2 2 21" xfId="3183" xr:uid="{00000000-0005-0000-0000-0000930C0000}"/>
    <cellStyle name="Normal 2 2 22" xfId="3184" xr:uid="{00000000-0005-0000-0000-0000940C0000}"/>
    <cellStyle name="Normal 2 2 23" xfId="3185" xr:uid="{00000000-0005-0000-0000-0000950C0000}"/>
    <cellStyle name="Normal 2 2 24" xfId="3186" xr:uid="{00000000-0005-0000-0000-0000960C0000}"/>
    <cellStyle name="Normal 2 2 25" xfId="3187" xr:uid="{00000000-0005-0000-0000-0000970C0000}"/>
    <cellStyle name="Normal 2 2 26" xfId="3188" xr:uid="{00000000-0005-0000-0000-0000980C0000}"/>
    <cellStyle name="Normal 2 2 27" xfId="3189" xr:uid="{00000000-0005-0000-0000-0000990C0000}"/>
    <cellStyle name="Normal 2 2 28" xfId="3190" xr:uid="{00000000-0005-0000-0000-00009A0C0000}"/>
    <cellStyle name="Normal 2 2 29" xfId="3191" xr:uid="{00000000-0005-0000-0000-00009B0C0000}"/>
    <cellStyle name="Normal 2 2 3" xfId="3192" xr:uid="{00000000-0005-0000-0000-00009C0C0000}"/>
    <cellStyle name="Normal 2 2 30" xfId="3193" xr:uid="{00000000-0005-0000-0000-00009D0C0000}"/>
    <cellStyle name="Normal 2 2 31" xfId="3194" xr:uid="{00000000-0005-0000-0000-00009E0C0000}"/>
    <cellStyle name="Normal 2 2 32" xfId="3195" xr:uid="{00000000-0005-0000-0000-00009F0C0000}"/>
    <cellStyle name="Normal 2 2 33" xfId="3196" xr:uid="{00000000-0005-0000-0000-0000A00C0000}"/>
    <cellStyle name="Normal 2 2 34" xfId="3197" xr:uid="{00000000-0005-0000-0000-0000A10C0000}"/>
    <cellStyle name="Normal 2 2 35" xfId="3198" xr:uid="{00000000-0005-0000-0000-0000A20C0000}"/>
    <cellStyle name="Normal 2 2 36" xfId="3199" xr:uid="{00000000-0005-0000-0000-0000A30C0000}"/>
    <cellStyle name="Normal 2 2 37" xfId="3200" xr:uid="{00000000-0005-0000-0000-0000A40C0000}"/>
    <cellStyle name="Normal 2 2 38" xfId="3201" xr:uid="{00000000-0005-0000-0000-0000A50C0000}"/>
    <cellStyle name="Normal 2 2 39" xfId="3202" xr:uid="{00000000-0005-0000-0000-0000A60C0000}"/>
    <cellStyle name="Normal 2 2 4" xfId="3203" xr:uid="{00000000-0005-0000-0000-0000A70C0000}"/>
    <cellStyle name="Normal 2 2 40" xfId="3204" xr:uid="{00000000-0005-0000-0000-0000A80C0000}"/>
    <cellStyle name="Normal 2 2 41" xfId="3205" xr:uid="{00000000-0005-0000-0000-0000A90C0000}"/>
    <cellStyle name="Normal 2 2 42" xfId="3206" xr:uid="{00000000-0005-0000-0000-0000AA0C0000}"/>
    <cellStyle name="Normal 2 2 43" xfId="3207" xr:uid="{00000000-0005-0000-0000-0000AB0C0000}"/>
    <cellStyle name="Normal 2 2 44" xfId="5298" xr:uid="{00000000-0005-0000-0000-0000AC0C0000}"/>
    <cellStyle name="Normal 2 2 45" xfId="6626" xr:uid="{00000000-0005-0000-0000-0000AD0C0000}"/>
    <cellStyle name="Normal 2 2 5" xfId="3208" xr:uid="{00000000-0005-0000-0000-0000AE0C0000}"/>
    <cellStyle name="Normal 2 2 6" xfId="3209" xr:uid="{00000000-0005-0000-0000-0000AF0C0000}"/>
    <cellStyle name="Normal 2 2 7" xfId="3210" xr:uid="{00000000-0005-0000-0000-0000B00C0000}"/>
    <cellStyle name="Normal 2 2 8" xfId="3211" xr:uid="{00000000-0005-0000-0000-0000B10C0000}"/>
    <cellStyle name="Normal 2 2 9" xfId="3212" xr:uid="{00000000-0005-0000-0000-0000B20C0000}"/>
    <cellStyle name="Normal 2 20" xfId="3213" xr:uid="{00000000-0005-0000-0000-0000B30C0000}"/>
    <cellStyle name="Normal 2 20 2" xfId="3214" xr:uid="{00000000-0005-0000-0000-0000B40C0000}"/>
    <cellStyle name="Normal 2 21" xfId="3215" xr:uid="{00000000-0005-0000-0000-0000B50C0000}"/>
    <cellStyle name="Normal 2 21 2" xfId="3216" xr:uid="{00000000-0005-0000-0000-0000B60C0000}"/>
    <cellStyle name="Normal 2 22" xfId="3217" xr:uid="{00000000-0005-0000-0000-0000B70C0000}"/>
    <cellStyle name="Normal 2 22 2" xfId="3218" xr:uid="{00000000-0005-0000-0000-0000B80C0000}"/>
    <cellStyle name="Normal 2 23" xfId="3219" xr:uid="{00000000-0005-0000-0000-0000B90C0000}"/>
    <cellStyle name="Normal 2 23 2" xfId="3220" xr:uid="{00000000-0005-0000-0000-0000BA0C0000}"/>
    <cellStyle name="Normal 2 24" xfId="3221" xr:uid="{00000000-0005-0000-0000-0000BB0C0000}"/>
    <cellStyle name="Normal 2 24 2" xfId="3222" xr:uid="{00000000-0005-0000-0000-0000BC0C0000}"/>
    <cellStyle name="Normal 2 25" xfId="3223" xr:uid="{00000000-0005-0000-0000-0000BD0C0000}"/>
    <cellStyle name="Normal 2 26" xfId="3224" xr:uid="{00000000-0005-0000-0000-0000BE0C0000}"/>
    <cellStyle name="Normal 2 27" xfId="3225" xr:uid="{00000000-0005-0000-0000-0000BF0C0000}"/>
    <cellStyle name="Normal 2 28" xfId="3226" xr:uid="{00000000-0005-0000-0000-0000C00C0000}"/>
    <cellStyle name="Normal 2 29" xfId="3227" xr:uid="{00000000-0005-0000-0000-0000C10C0000}"/>
    <cellStyle name="Normal 2 3" xfId="3228" xr:uid="{00000000-0005-0000-0000-0000C20C0000}"/>
    <cellStyle name="Normal 2 3 10" xfId="3229" xr:uid="{00000000-0005-0000-0000-0000C30C0000}"/>
    <cellStyle name="Normal 2 3 100" xfId="3230" xr:uid="{00000000-0005-0000-0000-0000C40C0000}"/>
    <cellStyle name="Normal 2 3 101" xfId="3231" xr:uid="{00000000-0005-0000-0000-0000C50C0000}"/>
    <cellStyle name="Normal 2 3 102" xfId="3232" xr:uid="{00000000-0005-0000-0000-0000C60C0000}"/>
    <cellStyle name="Normal 2 3 103" xfId="3233" xr:uid="{00000000-0005-0000-0000-0000C70C0000}"/>
    <cellStyle name="Normal 2 3 104" xfId="3234" xr:uid="{00000000-0005-0000-0000-0000C80C0000}"/>
    <cellStyle name="Normal 2 3 105" xfId="3235" xr:uid="{00000000-0005-0000-0000-0000C90C0000}"/>
    <cellStyle name="Normal 2 3 106" xfId="3236" xr:uid="{00000000-0005-0000-0000-0000CA0C0000}"/>
    <cellStyle name="Normal 2 3 107" xfId="3237" xr:uid="{00000000-0005-0000-0000-0000CB0C0000}"/>
    <cellStyle name="Normal 2 3 108" xfId="3238" xr:uid="{00000000-0005-0000-0000-0000CC0C0000}"/>
    <cellStyle name="Normal 2 3 109" xfId="3239" xr:uid="{00000000-0005-0000-0000-0000CD0C0000}"/>
    <cellStyle name="Normal 2 3 11" xfId="3240" xr:uid="{00000000-0005-0000-0000-0000CE0C0000}"/>
    <cellStyle name="Normal 2 3 110" xfId="3241" xr:uid="{00000000-0005-0000-0000-0000CF0C0000}"/>
    <cellStyle name="Normal 2 3 111" xfId="3242" xr:uid="{00000000-0005-0000-0000-0000D00C0000}"/>
    <cellStyle name="Normal 2 3 112" xfId="3243" xr:uid="{00000000-0005-0000-0000-0000D10C0000}"/>
    <cellStyle name="Normal 2 3 113" xfId="3244" xr:uid="{00000000-0005-0000-0000-0000D20C0000}"/>
    <cellStyle name="Normal 2 3 114" xfId="3245" xr:uid="{00000000-0005-0000-0000-0000D30C0000}"/>
    <cellStyle name="Normal 2 3 115" xfId="3246" xr:uid="{00000000-0005-0000-0000-0000D40C0000}"/>
    <cellStyle name="Normal 2 3 116" xfId="3247" xr:uid="{00000000-0005-0000-0000-0000D50C0000}"/>
    <cellStyle name="Normal 2 3 117" xfId="3248" xr:uid="{00000000-0005-0000-0000-0000D60C0000}"/>
    <cellStyle name="Normal 2 3 118" xfId="3249" xr:uid="{00000000-0005-0000-0000-0000D70C0000}"/>
    <cellStyle name="Normal 2 3 119" xfId="3250" xr:uid="{00000000-0005-0000-0000-0000D80C0000}"/>
    <cellStyle name="Normal 2 3 12" xfId="3251" xr:uid="{00000000-0005-0000-0000-0000D90C0000}"/>
    <cellStyle name="Normal 2 3 120" xfId="3252" xr:uid="{00000000-0005-0000-0000-0000DA0C0000}"/>
    <cellStyle name="Normal 2 3 121" xfId="3253" xr:uid="{00000000-0005-0000-0000-0000DB0C0000}"/>
    <cellStyle name="Normal 2 3 122" xfId="3254" xr:uid="{00000000-0005-0000-0000-0000DC0C0000}"/>
    <cellStyle name="Normal 2 3 123" xfId="3255" xr:uid="{00000000-0005-0000-0000-0000DD0C0000}"/>
    <cellStyle name="Normal 2 3 124" xfId="3256" xr:uid="{00000000-0005-0000-0000-0000DE0C0000}"/>
    <cellStyle name="Normal 2 3 125" xfId="3257" xr:uid="{00000000-0005-0000-0000-0000DF0C0000}"/>
    <cellStyle name="Normal 2 3 126" xfId="3258" xr:uid="{00000000-0005-0000-0000-0000E00C0000}"/>
    <cellStyle name="Normal 2 3 13" xfId="3259" xr:uid="{00000000-0005-0000-0000-0000E10C0000}"/>
    <cellStyle name="Normal 2 3 14" xfId="3260" xr:uid="{00000000-0005-0000-0000-0000E20C0000}"/>
    <cellStyle name="Normal 2 3 15" xfId="3261" xr:uid="{00000000-0005-0000-0000-0000E30C0000}"/>
    <cellStyle name="Normal 2 3 16" xfId="3262" xr:uid="{00000000-0005-0000-0000-0000E40C0000}"/>
    <cellStyle name="Normal 2 3 17" xfId="3263" xr:uid="{00000000-0005-0000-0000-0000E50C0000}"/>
    <cellStyle name="Normal 2 3 18" xfId="3264" xr:uid="{00000000-0005-0000-0000-0000E60C0000}"/>
    <cellStyle name="Normal 2 3 19" xfId="3265" xr:uid="{00000000-0005-0000-0000-0000E70C0000}"/>
    <cellStyle name="Normal 2 3 2" xfId="3266" xr:uid="{00000000-0005-0000-0000-0000E80C0000}"/>
    <cellStyle name="Normal 2 3 2 10" xfId="3267" xr:uid="{00000000-0005-0000-0000-0000E90C0000}"/>
    <cellStyle name="Normal 2 3 2 100" xfId="3268" xr:uid="{00000000-0005-0000-0000-0000EA0C0000}"/>
    <cellStyle name="Normal 2 3 2 101" xfId="3269" xr:uid="{00000000-0005-0000-0000-0000EB0C0000}"/>
    <cellStyle name="Normal 2 3 2 102" xfId="3270" xr:uid="{00000000-0005-0000-0000-0000EC0C0000}"/>
    <cellStyle name="Normal 2 3 2 103" xfId="3271" xr:uid="{00000000-0005-0000-0000-0000ED0C0000}"/>
    <cellStyle name="Normal 2 3 2 11" xfId="3272" xr:uid="{00000000-0005-0000-0000-0000EE0C0000}"/>
    <cellStyle name="Normal 2 3 2 12" xfId="3273" xr:uid="{00000000-0005-0000-0000-0000EF0C0000}"/>
    <cellStyle name="Normal 2 3 2 13" xfId="3274" xr:uid="{00000000-0005-0000-0000-0000F00C0000}"/>
    <cellStyle name="Normal 2 3 2 14" xfId="3275" xr:uid="{00000000-0005-0000-0000-0000F10C0000}"/>
    <cellStyle name="Normal 2 3 2 15" xfId="3276" xr:uid="{00000000-0005-0000-0000-0000F20C0000}"/>
    <cellStyle name="Normal 2 3 2 16" xfId="3277" xr:uid="{00000000-0005-0000-0000-0000F30C0000}"/>
    <cellStyle name="Normal 2 3 2 17" xfId="3278" xr:uid="{00000000-0005-0000-0000-0000F40C0000}"/>
    <cellStyle name="Normal 2 3 2 18" xfId="3279" xr:uid="{00000000-0005-0000-0000-0000F50C0000}"/>
    <cellStyle name="Normal 2 3 2 19" xfId="3280" xr:uid="{00000000-0005-0000-0000-0000F60C0000}"/>
    <cellStyle name="Normal 2 3 2 2" xfId="3281" xr:uid="{00000000-0005-0000-0000-0000F70C0000}"/>
    <cellStyle name="Normal 2 3 2 2 10" xfId="3282" xr:uid="{00000000-0005-0000-0000-0000F80C0000}"/>
    <cellStyle name="Normal 2 3 2 2 11" xfId="3283" xr:uid="{00000000-0005-0000-0000-0000F90C0000}"/>
    <cellStyle name="Normal 2 3 2 2 12" xfId="3284" xr:uid="{00000000-0005-0000-0000-0000FA0C0000}"/>
    <cellStyle name="Normal 2 3 2 2 13" xfId="3285" xr:uid="{00000000-0005-0000-0000-0000FB0C0000}"/>
    <cellStyle name="Normal 2 3 2 2 14" xfId="3286" xr:uid="{00000000-0005-0000-0000-0000FC0C0000}"/>
    <cellStyle name="Normal 2 3 2 2 15" xfId="3287" xr:uid="{00000000-0005-0000-0000-0000FD0C0000}"/>
    <cellStyle name="Normal 2 3 2 2 16" xfId="3288" xr:uid="{00000000-0005-0000-0000-0000FE0C0000}"/>
    <cellStyle name="Normal 2 3 2 2 17" xfId="3289" xr:uid="{00000000-0005-0000-0000-0000FF0C0000}"/>
    <cellStyle name="Normal 2 3 2 2 18" xfId="3290" xr:uid="{00000000-0005-0000-0000-0000000D0000}"/>
    <cellStyle name="Normal 2 3 2 2 19" xfId="3291" xr:uid="{00000000-0005-0000-0000-0000010D0000}"/>
    <cellStyle name="Normal 2 3 2 2 2" xfId="3292" xr:uid="{00000000-0005-0000-0000-0000020D0000}"/>
    <cellStyle name="Normal 2 3 2 2 2 10" xfId="3293" xr:uid="{00000000-0005-0000-0000-0000030D0000}"/>
    <cellStyle name="Normal 2 3 2 2 2 11" xfId="3294" xr:uid="{00000000-0005-0000-0000-0000040D0000}"/>
    <cellStyle name="Normal 2 3 2 2 2 12" xfId="3295" xr:uid="{00000000-0005-0000-0000-0000050D0000}"/>
    <cellStyle name="Normal 2 3 2 2 2 13" xfId="3296" xr:uid="{00000000-0005-0000-0000-0000060D0000}"/>
    <cellStyle name="Normal 2 3 2 2 2 14" xfId="3297" xr:uid="{00000000-0005-0000-0000-0000070D0000}"/>
    <cellStyle name="Normal 2 3 2 2 2 15" xfId="3298" xr:uid="{00000000-0005-0000-0000-0000080D0000}"/>
    <cellStyle name="Normal 2 3 2 2 2 16" xfId="3299" xr:uid="{00000000-0005-0000-0000-0000090D0000}"/>
    <cellStyle name="Normal 2 3 2 2 2 17" xfId="3300" xr:uid="{00000000-0005-0000-0000-00000A0D0000}"/>
    <cellStyle name="Normal 2 3 2 2 2 18" xfId="3301" xr:uid="{00000000-0005-0000-0000-00000B0D0000}"/>
    <cellStyle name="Normal 2 3 2 2 2 19" xfId="3302" xr:uid="{00000000-0005-0000-0000-00000C0D0000}"/>
    <cellStyle name="Normal 2 3 2 2 2 2" xfId="3303" xr:uid="{00000000-0005-0000-0000-00000D0D0000}"/>
    <cellStyle name="Normal 2 3 2 2 2 20" xfId="3304" xr:uid="{00000000-0005-0000-0000-00000E0D0000}"/>
    <cellStyle name="Normal 2 3 2 2 2 21" xfId="3305" xr:uid="{00000000-0005-0000-0000-00000F0D0000}"/>
    <cellStyle name="Normal 2 3 2 2 2 22" xfId="3306" xr:uid="{00000000-0005-0000-0000-0000100D0000}"/>
    <cellStyle name="Normal 2 3 2 2 2 23" xfId="3307" xr:uid="{00000000-0005-0000-0000-0000110D0000}"/>
    <cellStyle name="Normal 2 3 2 2 2 24" xfId="3308" xr:uid="{00000000-0005-0000-0000-0000120D0000}"/>
    <cellStyle name="Normal 2 3 2 2 2 25" xfId="3309" xr:uid="{00000000-0005-0000-0000-0000130D0000}"/>
    <cellStyle name="Normal 2 3 2 2 2 26" xfId="3310" xr:uid="{00000000-0005-0000-0000-0000140D0000}"/>
    <cellStyle name="Normal 2 3 2 2 2 27" xfId="3311" xr:uid="{00000000-0005-0000-0000-0000150D0000}"/>
    <cellStyle name="Normal 2 3 2 2 2 28" xfId="3312" xr:uid="{00000000-0005-0000-0000-0000160D0000}"/>
    <cellStyle name="Normal 2 3 2 2 2 29" xfId="3313" xr:uid="{00000000-0005-0000-0000-0000170D0000}"/>
    <cellStyle name="Normal 2 3 2 2 2 3" xfId="3314" xr:uid="{00000000-0005-0000-0000-0000180D0000}"/>
    <cellStyle name="Normal 2 3 2 2 2 30" xfId="3315" xr:uid="{00000000-0005-0000-0000-0000190D0000}"/>
    <cellStyle name="Normal 2 3 2 2 2 31" xfId="3316" xr:uid="{00000000-0005-0000-0000-00001A0D0000}"/>
    <cellStyle name="Normal 2 3 2 2 2 32" xfId="3317" xr:uid="{00000000-0005-0000-0000-00001B0D0000}"/>
    <cellStyle name="Normal 2 3 2 2 2 4" xfId="3318" xr:uid="{00000000-0005-0000-0000-00001C0D0000}"/>
    <cellStyle name="Normal 2 3 2 2 2 5" xfId="3319" xr:uid="{00000000-0005-0000-0000-00001D0D0000}"/>
    <cellStyle name="Normal 2 3 2 2 2 6" xfId="3320" xr:uid="{00000000-0005-0000-0000-00001E0D0000}"/>
    <cellStyle name="Normal 2 3 2 2 2 7" xfId="3321" xr:uid="{00000000-0005-0000-0000-00001F0D0000}"/>
    <cellStyle name="Normal 2 3 2 2 2 8" xfId="3322" xr:uid="{00000000-0005-0000-0000-0000200D0000}"/>
    <cellStyle name="Normal 2 3 2 2 2 9" xfId="3323" xr:uid="{00000000-0005-0000-0000-0000210D0000}"/>
    <cellStyle name="Normal 2 3 2 2 20" xfId="3324" xr:uid="{00000000-0005-0000-0000-0000220D0000}"/>
    <cellStyle name="Normal 2 3 2 2 21" xfId="3325" xr:uid="{00000000-0005-0000-0000-0000230D0000}"/>
    <cellStyle name="Normal 2 3 2 2 22" xfId="3326" xr:uid="{00000000-0005-0000-0000-0000240D0000}"/>
    <cellStyle name="Normal 2 3 2 2 23" xfId="3327" xr:uid="{00000000-0005-0000-0000-0000250D0000}"/>
    <cellStyle name="Normal 2 3 2 2 24" xfId="3328" xr:uid="{00000000-0005-0000-0000-0000260D0000}"/>
    <cellStyle name="Normal 2 3 2 2 25" xfId="3329" xr:uid="{00000000-0005-0000-0000-0000270D0000}"/>
    <cellStyle name="Normal 2 3 2 2 26" xfId="3330" xr:uid="{00000000-0005-0000-0000-0000280D0000}"/>
    <cellStyle name="Normal 2 3 2 2 27" xfId="3331" xr:uid="{00000000-0005-0000-0000-0000290D0000}"/>
    <cellStyle name="Normal 2 3 2 2 28" xfId="3332" xr:uid="{00000000-0005-0000-0000-00002A0D0000}"/>
    <cellStyle name="Normal 2 3 2 2 29" xfId="3333" xr:uid="{00000000-0005-0000-0000-00002B0D0000}"/>
    <cellStyle name="Normal 2 3 2 2 3" xfId="3334" xr:uid="{00000000-0005-0000-0000-00002C0D0000}"/>
    <cellStyle name="Normal 2 3 2 2 30" xfId="3335" xr:uid="{00000000-0005-0000-0000-00002D0D0000}"/>
    <cellStyle name="Normal 2 3 2 2 31" xfId="3336" xr:uid="{00000000-0005-0000-0000-00002E0D0000}"/>
    <cellStyle name="Normal 2 3 2 2 32" xfId="3337" xr:uid="{00000000-0005-0000-0000-00002F0D0000}"/>
    <cellStyle name="Normal 2 3 2 2 33" xfId="3338" xr:uid="{00000000-0005-0000-0000-0000300D0000}"/>
    <cellStyle name="Normal 2 3 2 2 34" xfId="3339" xr:uid="{00000000-0005-0000-0000-0000310D0000}"/>
    <cellStyle name="Normal 2 3 2 2 35" xfId="3340" xr:uid="{00000000-0005-0000-0000-0000320D0000}"/>
    <cellStyle name="Normal 2 3 2 2 36" xfId="3341" xr:uid="{00000000-0005-0000-0000-0000330D0000}"/>
    <cellStyle name="Normal 2 3 2 2 4" xfId="3342" xr:uid="{00000000-0005-0000-0000-0000340D0000}"/>
    <cellStyle name="Normal 2 3 2 2 5" xfId="3343" xr:uid="{00000000-0005-0000-0000-0000350D0000}"/>
    <cellStyle name="Normal 2 3 2 2 6" xfId="3344" xr:uid="{00000000-0005-0000-0000-0000360D0000}"/>
    <cellStyle name="Normal 2 3 2 2 7" xfId="3345" xr:uid="{00000000-0005-0000-0000-0000370D0000}"/>
    <cellStyle name="Normal 2 3 2 2 8" xfId="3346" xr:uid="{00000000-0005-0000-0000-0000380D0000}"/>
    <cellStyle name="Normal 2 3 2 2 9" xfId="3347" xr:uid="{00000000-0005-0000-0000-0000390D0000}"/>
    <cellStyle name="Normal 2 3 2 20" xfId="3348" xr:uid="{00000000-0005-0000-0000-00003A0D0000}"/>
    <cellStyle name="Normal 2 3 2 21" xfId="3349" xr:uid="{00000000-0005-0000-0000-00003B0D0000}"/>
    <cellStyle name="Normal 2 3 2 22" xfId="3350" xr:uid="{00000000-0005-0000-0000-00003C0D0000}"/>
    <cellStyle name="Normal 2 3 2 23" xfId="3351" xr:uid="{00000000-0005-0000-0000-00003D0D0000}"/>
    <cellStyle name="Normal 2 3 2 24" xfId="3352" xr:uid="{00000000-0005-0000-0000-00003E0D0000}"/>
    <cellStyle name="Normal 2 3 2 25" xfId="3353" xr:uid="{00000000-0005-0000-0000-00003F0D0000}"/>
    <cellStyle name="Normal 2 3 2 26" xfId="3354" xr:uid="{00000000-0005-0000-0000-0000400D0000}"/>
    <cellStyle name="Normal 2 3 2 27" xfId="3355" xr:uid="{00000000-0005-0000-0000-0000410D0000}"/>
    <cellStyle name="Normal 2 3 2 28" xfId="3356" xr:uid="{00000000-0005-0000-0000-0000420D0000}"/>
    <cellStyle name="Normal 2 3 2 29" xfId="3357" xr:uid="{00000000-0005-0000-0000-0000430D0000}"/>
    <cellStyle name="Normal 2 3 2 3" xfId="3358" xr:uid="{00000000-0005-0000-0000-0000440D0000}"/>
    <cellStyle name="Normal 2 3 2 30" xfId="3359" xr:uid="{00000000-0005-0000-0000-0000450D0000}"/>
    <cellStyle name="Normal 2 3 2 31" xfId="3360" xr:uid="{00000000-0005-0000-0000-0000460D0000}"/>
    <cellStyle name="Normal 2 3 2 32" xfId="3361" xr:uid="{00000000-0005-0000-0000-0000470D0000}"/>
    <cellStyle name="Normal 2 3 2 33" xfId="3362" xr:uid="{00000000-0005-0000-0000-0000480D0000}"/>
    <cellStyle name="Normal 2 3 2 34" xfId="3363" xr:uid="{00000000-0005-0000-0000-0000490D0000}"/>
    <cellStyle name="Normal 2 3 2 35" xfId="3364" xr:uid="{00000000-0005-0000-0000-00004A0D0000}"/>
    <cellStyle name="Normal 2 3 2 36" xfId="3365" xr:uid="{00000000-0005-0000-0000-00004B0D0000}"/>
    <cellStyle name="Normal 2 3 2 37" xfId="3366" xr:uid="{00000000-0005-0000-0000-00004C0D0000}"/>
    <cellStyle name="Normal 2 3 2 38" xfId="3367" xr:uid="{00000000-0005-0000-0000-00004D0D0000}"/>
    <cellStyle name="Normal 2 3 2 39" xfId="3368" xr:uid="{00000000-0005-0000-0000-00004E0D0000}"/>
    <cellStyle name="Normal 2 3 2 4" xfId="3369" xr:uid="{00000000-0005-0000-0000-00004F0D0000}"/>
    <cellStyle name="Normal 2 3 2 40" xfId="3370" xr:uid="{00000000-0005-0000-0000-0000500D0000}"/>
    <cellStyle name="Normal 2 3 2 41" xfId="3371" xr:uid="{00000000-0005-0000-0000-0000510D0000}"/>
    <cellStyle name="Normal 2 3 2 42" xfId="3372" xr:uid="{00000000-0005-0000-0000-0000520D0000}"/>
    <cellStyle name="Normal 2 3 2 43" xfId="3373" xr:uid="{00000000-0005-0000-0000-0000530D0000}"/>
    <cellStyle name="Normal 2 3 2 44" xfId="3374" xr:uid="{00000000-0005-0000-0000-0000540D0000}"/>
    <cellStyle name="Normal 2 3 2 45" xfId="3375" xr:uid="{00000000-0005-0000-0000-0000550D0000}"/>
    <cellStyle name="Normal 2 3 2 46" xfId="3376" xr:uid="{00000000-0005-0000-0000-0000560D0000}"/>
    <cellStyle name="Normal 2 3 2 47" xfId="3377" xr:uid="{00000000-0005-0000-0000-0000570D0000}"/>
    <cellStyle name="Normal 2 3 2 48" xfId="3378" xr:uid="{00000000-0005-0000-0000-0000580D0000}"/>
    <cellStyle name="Normal 2 3 2 49" xfId="3379" xr:uid="{00000000-0005-0000-0000-0000590D0000}"/>
    <cellStyle name="Normal 2 3 2 5" xfId="3380" xr:uid="{00000000-0005-0000-0000-00005A0D0000}"/>
    <cellStyle name="Normal 2 3 2 50" xfId="3381" xr:uid="{00000000-0005-0000-0000-00005B0D0000}"/>
    <cellStyle name="Normal 2 3 2 51" xfId="3382" xr:uid="{00000000-0005-0000-0000-00005C0D0000}"/>
    <cellStyle name="Normal 2 3 2 52" xfId="3383" xr:uid="{00000000-0005-0000-0000-00005D0D0000}"/>
    <cellStyle name="Normal 2 3 2 53" xfId="3384" xr:uid="{00000000-0005-0000-0000-00005E0D0000}"/>
    <cellStyle name="Normal 2 3 2 54" xfId="3385" xr:uid="{00000000-0005-0000-0000-00005F0D0000}"/>
    <cellStyle name="Normal 2 3 2 55" xfId="3386" xr:uid="{00000000-0005-0000-0000-0000600D0000}"/>
    <cellStyle name="Normal 2 3 2 56" xfId="3387" xr:uid="{00000000-0005-0000-0000-0000610D0000}"/>
    <cellStyle name="Normal 2 3 2 57" xfId="3388" xr:uid="{00000000-0005-0000-0000-0000620D0000}"/>
    <cellStyle name="Normal 2 3 2 58" xfId="3389" xr:uid="{00000000-0005-0000-0000-0000630D0000}"/>
    <cellStyle name="Normal 2 3 2 59" xfId="3390" xr:uid="{00000000-0005-0000-0000-0000640D0000}"/>
    <cellStyle name="Normal 2 3 2 6" xfId="3391" xr:uid="{00000000-0005-0000-0000-0000650D0000}"/>
    <cellStyle name="Normal 2 3 2 60" xfId="3392" xr:uid="{00000000-0005-0000-0000-0000660D0000}"/>
    <cellStyle name="Normal 2 3 2 61" xfId="3393" xr:uid="{00000000-0005-0000-0000-0000670D0000}"/>
    <cellStyle name="Normal 2 3 2 62" xfId="3394" xr:uid="{00000000-0005-0000-0000-0000680D0000}"/>
    <cellStyle name="Normal 2 3 2 63" xfId="3395" xr:uid="{00000000-0005-0000-0000-0000690D0000}"/>
    <cellStyle name="Normal 2 3 2 64" xfId="3396" xr:uid="{00000000-0005-0000-0000-00006A0D0000}"/>
    <cellStyle name="Normal 2 3 2 65" xfId="3397" xr:uid="{00000000-0005-0000-0000-00006B0D0000}"/>
    <cellStyle name="Normal 2 3 2 66" xfId="3398" xr:uid="{00000000-0005-0000-0000-00006C0D0000}"/>
    <cellStyle name="Normal 2 3 2 67" xfId="3399" xr:uid="{00000000-0005-0000-0000-00006D0D0000}"/>
    <cellStyle name="Normal 2 3 2 68" xfId="3400" xr:uid="{00000000-0005-0000-0000-00006E0D0000}"/>
    <cellStyle name="Normal 2 3 2 69" xfId="3401" xr:uid="{00000000-0005-0000-0000-00006F0D0000}"/>
    <cellStyle name="Normal 2 3 2 7" xfId="3402" xr:uid="{00000000-0005-0000-0000-0000700D0000}"/>
    <cellStyle name="Normal 2 3 2 70" xfId="3403" xr:uid="{00000000-0005-0000-0000-0000710D0000}"/>
    <cellStyle name="Normal 2 3 2 71" xfId="3404" xr:uid="{00000000-0005-0000-0000-0000720D0000}"/>
    <cellStyle name="Normal 2 3 2 72" xfId="3405" xr:uid="{00000000-0005-0000-0000-0000730D0000}"/>
    <cellStyle name="Normal 2 3 2 73" xfId="3406" xr:uid="{00000000-0005-0000-0000-0000740D0000}"/>
    <cellStyle name="Normal 2 3 2 74" xfId="3407" xr:uid="{00000000-0005-0000-0000-0000750D0000}"/>
    <cellStyle name="Normal 2 3 2 75" xfId="3408" xr:uid="{00000000-0005-0000-0000-0000760D0000}"/>
    <cellStyle name="Normal 2 3 2 76" xfId="3409" xr:uid="{00000000-0005-0000-0000-0000770D0000}"/>
    <cellStyle name="Normal 2 3 2 77" xfId="3410" xr:uid="{00000000-0005-0000-0000-0000780D0000}"/>
    <cellStyle name="Normal 2 3 2 78" xfId="3411" xr:uid="{00000000-0005-0000-0000-0000790D0000}"/>
    <cellStyle name="Normal 2 3 2 79" xfId="3412" xr:uid="{00000000-0005-0000-0000-00007A0D0000}"/>
    <cellStyle name="Normal 2 3 2 8" xfId="3413" xr:uid="{00000000-0005-0000-0000-00007B0D0000}"/>
    <cellStyle name="Normal 2 3 2 80" xfId="3414" xr:uid="{00000000-0005-0000-0000-00007C0D0000}"/>
    <cellStyle name="Normal 2 3 2 81" xfId="3415" xr:uid="{00000000-0005-0000-0000-00007D0D0000}"/>
    <cellStyle name="Normal 2 3 2 82" xfId="3416" xr:uid="{00000000-0005-0000-0000-00007E0D0000}"/>
    <cellStyle name="Normal 2 3 2 83" xfId="3417" xr:uid="{00000000-0005-0000-0000-00007F0D0000}"/>
    <cellStyle name="Normal 2 3 2 84" xfId="3418" xr:uid="{00000000-0005-0000-0000-0000800D0000}"/>
    <cellStyle name="Normal 2 3 2 85" xfId="3419" xr:uid="{00000000-0005-0000-0000-0000810D0000}"/>
    <cellStyle name="Normal 2 3 2 86" xfId="3420" xr:uid="{00000000-0005-0000-0000-0000820D0000}"/>
    <cellStyle name="Normal 2 3 2 87" xfId="3421" xr:uid="{00000000-0005-0000-0000-0000830D0000}"/>
    <cellStyle name="Normal 2 3 2 88" xfId="3422" xr:uid="{00000000-0005-0000-0000-0000840D0000}"/>
    <cellStyle name="Normal 2 3 2 89" xfId="3423" xr:uid="{00000000-0005-0000-0000-0000850D0000}"/>
    <cellStyle name="Normal 2 3 2 9" xfId="3424" xr:uid="{00000000-0005-0000-0000-0000860D0000}"/>
    <cellStyle name="Normal 2 3 2 90" xfId="3425" xr:uid="{00000000-0005-0000-0000-0000870D0000}"/>
    <cellStyle name="Normal 2 3 2 91" xfId="3426" xr:uid="{00000000-0005-0000-0000-0000880D0000}"/>
    <cellStyle name="Normal 2 3 2 92" xfId="3427" xr:uid="{00000000-0005-0000-0000-0000890D0000}"/>
    <cellStyle name="Normal 2 3 2 93" xfId="3428" xr:uid="{00000000-0005-0000-0000-00008A0D0000}"/>
    <cellStyle name="Normal 2 3 2 94" xfId="3429" xr:uid="{00000000-0005-0000-0000-00008B0D0000}"/>
    <cellStyle name="Normal 2 3 2 95" xfId="3430" xr:uid="{00000000-0005-0000-0000-00008C0D0000}"/>
    <cellStyle name="Normal 2 3 2 96" xfId="3431" xr:uid="{00000000-0005-0000-0000-00008D0D0000}"/>
    <cellStyle name="Normal 2 3 2 97" xfId="3432" xr:uid="{00000000-0005-0000-0000-00008E0D0000}"/>
    <cellStyle name="Normal 2 3 2 98" xfId="3433" xr:uid="{00000000-0005-0000-0000-00008F0D0000}"/>
    <cellStyle name="Normal 2 3 2 99" xfId="3434" xr:uid="{00000000-0005-0000-0000-0000900D0000}"/>
    <cellStyle name="Normal 2 3 20" xfId="3435" xr:uid="{00000000-0005-0000-0000-0000910D0000}"/>
    <cellStyle name="Normal 2 3 21" xfId="3436" xr:uid="{00000000-0005-0000-0000-0000920D0000}"/>
    <cellStyle name="Normal 2 3 22" xfId="3437" xr:uid="{00000000-0005-0000-0000-0000930D0000}"/>
    <cellStyle name="Normal 2 3 23" xfId="3438" xr:uid="{00000000-0005-0000-0000-0000940D0000}"/>
    <cellStyle name="Normal 2 3 24" xfId="3439" xr:uid="{00000000-0005-0000-0000-0000950D0000}"/>
    <cellStyle name="Normal 2 3 25" xfId="3440" xr:uid="{00000000-0005-0000-0000-0000960D0000}"/>
    <cellStyle name="Normal 2 3 26" xfId="3441" xr:uid="{00000000-0005-0000-0000-0000970D0000}"/>
    <cellStyle name="Normal 2 3 27" xfId="3442" xr:uid="{00000000-0005-0000-0000-0000980D0000}"/>
    <cellStyle name="Normal 2 3 27 2" xfId="3443" xr:uid="{00000000-0005-0000-0000-0000990D0000}"/>
    <cellStyle name="Normal 2 3 27 3" xfId="3444" xr:uid="{00000000-0005-0000-0000-00009A0D0000}"/>
    <cellStyle name="Normal 2 3 27 4" xfId="3445" xr:uid="{00000000-0005-0000-0000-00009B0D0000}"/>
    <cellStyle name="Normal 2 3 27 5" xfId="3446" xr:uid="{00000000-0005-0000-0000-00009C0D0000}"/>
    <cellStyle name="Normal 2 3 27 6" xfId="3447" xr:uid="{00000000-0005-0000-0000-00009D0D0000}"/>
    <cellStyle name="Normal 2 3 28" xfId="3448" xr:uid="{00000000-0005-0000-0000-00009E0D0000}"/>
    <cellStyle name="Normal 2 3 29" xfId="3449" xr:uid="{00000000-0005-0000-0000-00009F0D0000}"/>
    <cellStyle name="Normal 2 3 3" xfId="3450" xr:uid="{00000000-0005-0000-0000-0000A00D0000}"/>
    <cellStyle name="Normal 2 3 3 2" xfId="3451" xr:uid="{00000000-0005-0000-0000-0000A10D0000}"/>
    <cellStyle name="Normal 2 3 30" xfId="3452" xr:uid="{00000000-0005-0000-0000-0000A20D0000}"/>
    <cellStyle name="Normal 2 3 31" xfId="3453" xr:uid="{00000000-0005-0000-0000-0000A30D0000}"/>
    <cellStyle name="Normal 2 3 32" xfId="3454" xr:uid="{00000000-0005-0000-0000-0000A40D0000}"/>
    <cellStyle name="Normal 2 3 33" xfId="3455" xr:uid="{00000000-0005-0000-0000-0000A50D0000}"/>
    <cellStyle name="Normal 2 3 34" xfId="3456" xr:uid="{00000000-0005-0000-0000-0000A60D0000}"/>
    <cellStyle name="Normal 2 3 35" xfId="3457" xr:uid="{00000000-0005-0000-0000-0000A70D0000}"/>
    <cellStyle name="Normal 2 3 36" xfId="3458" xr:uid="{00000000-0005-0000-0000-0000A80D0000}"/>
    <cellStyle name="Normal 2 3 37" xfId="3459" xr:uid="{00000000-0005-0000-0000-0000A90D0000}"/>
    <cellStyle name="Normal 2 3 38" xfId="3460" xr:uid="{00000000-0005-0000-0000-0000AA0D0000}"/>
    <cellStyle name="Normal 2 3 39" xfId="3461" xr:uid="{00000000-0005-0000-0000-0000AB0D0000}"/>
    <cellStyle name="Normal 2 3 4" xfId="3462" xr:uid="{00000000-0005-0000-0000-0000AC0D0000}"/>
    <cellStyle name="Normal 2 3 4 2" xfId="3463" xr:uid="{00000000-0005-0000-0000-0000AD0D0000}"/>
    <cellStyle name="Normal 2 3 40" xfId="3464" xr:uid="{00000000-0005-0000-0000-0000AE0D0000}"/>
    <cellStyle name="Normal 2 3 41" xfId="3465" xr:uid="{00000000-0005-0000-0000-0000AF0D0000}"/>
    <cellStyle name="Normal 2 3 42" xfId="3466" xr:uid="{00000000-0005-0000-0000-0000B00D0000}"/>
    <cellStyle name="Normal 2 3 43" xfId="3467" xr:uid="{00000000-0005-0000-0000-0000B10D0000}"/>
    <cellStyle name="Normal 2 3 44" xfId="3468" xr:uid="{00000000-0005-0000-0000-0000B20D0000}"/>
    <cellStyle name="Normal 2 3 45" xfId="3469" xr:uid="{00000000-0005-0000-0000-0000B30D0000}"/>
    <cellStyle name="Normal 2 3 46" xfId="3470" xr:uid="{00000000-0005-0000-0000-0000B40D0000}"/>
    <cellStyle name="Normal 2 3 47" xfId="3471" xr:uid="{00000000-0005-0000-0000-0000B50D0000}"/>
    <cellStyle name="Normal 2 3 48" xfId="3472" xr:uid="{00000000-0005-0000-0000-0000B60D0000}"/>
    <cellStyle name="Normal 2 3 49" xfId="3473" xr:uid="{00000000-0005-0000-0000-0000B70D0000}"/>
    <cellStyle name="Normal 2 3 5" xfId="3474" xr:uid="{00000000-0005-0000-0000-0000B80D0000}"/>
    <cellStyle name="Normal 2 3 5 2" xfId="3475" xr:uid="{00000000-0005-0000-0000-0000B90D0000}"/>
    <cellStyle name="Normal 2 3 50" xfId="3476" xr:uid="{00000000-0005-0000-0000-0000BA0D0000}"/>
    <cellStyle name="Normal 2 3 51" xfId="3477" xr:uid="{00000000-0005-0000-0000-0000BB0D0000}"/>
    <cellStyle name="Normal 2 3 52" xfId="3478" xr:uid="{00000000-0005-0000-0000-0000BC0D0000}"/>
    <cellStyle name="Normal 2 3 53" xfId="3479" xr:uid="{00000000-0005-0000-0000-0000BD0D0000}"/>
    <cellStyle name="Normal 2 3 54" xfId="3480" xr:uid="{00000000-0005-0000-0000-0000BE0D0000}"/>
    <cellStyle name="Normal 2 3 55" xfId="3481" xr:uid="{00000000-0005-0000-0000-0000BF0D0000}"/>
    <cellStyle name="Normal 2 3 56" xfId="3482" xr:uid="{00000000-0005-0000-0000-0000C00D0000}"/>
    <cellStyle name="Normal 2 3 57" xfId="3483" xr:uid="{00000000-0005-0000-0000-0000C10D0000}"/>
    <cellStyle name="Normal 2 3 58" xfId="3484" xr:uid="{00000000-0005-0000-0000-0000C20D0000}"/>
    <cellStyle name="Normal 2 3 59" xfId="3485" xr:uid="{00000000-0005-0000-0000-0000C30D0000}"/>
    <cellStyle name="Normal 2 3 6" xfId="3486" xr:uid="{00000000-0005-0000-0000-0000C40D0000}"/>
    <cellStyle name="Normal 2 3 60" xfId="3487" xr:uid="{00000000-0005-0000-0000-0000C50D0000}"/>
    <cellStyle name="Normal 2 3 61" xfId="3488" xr:uid="{00000000-0005-0000-0000-0000C60D0000}"/>
    <cellStyle name="Normal 2 3 62" xfId="3489" xr:uid="{00000000-0005-0000-0000-0000C70D0000}"/>
    <cellStyle name="Normal 2 3 63" xfId="3490" xr:uid="{00000000-0005-0000-0000-0000C80D0000}"/>
    <cellStyle name="Normal 2 3 64" xfId="3491" xr:uid="{00000000-0005-0000-0000-0000C90D0000}"/>
    <cellStyle name="Normal 2 3 65" xfId="3492" xr:uid="{00000000-0005-0000-0000-0000CA0D0000}"/>
    <cellStyle name="Normal 2 3 66" xfId="3493" xr:uid="{00000000-0005-0000-0000-0000CB0D0000}"/>
    <cellStyle name="Normal 2 3 67" xfId="3494" xr:uid="{00000000-0005-0000-0000-0000CC0D0000}"/>
    <cellStyle name="Normal 2 3 68" xfId="3495" xr:uid="{00000000-0005-0000-0000-0000CD0D0000}"/>
    <cellStyle name="Normal 2 3 69" xfId="3496" xr:uid="{00000000-0005-0000-0000-0000CE0D0000}"/>
    <cellStyle name="Normal 2 3 7" xfId="3497" xr:uid="{00000000-0005-0000-0000-0000CF0D0000}"/>
    <cellStyle name="Normal 2 3 70" xfId="3498" xr:uid="{00000000-0005-0000-0000-0000D00D0000}"/>
    <cellStyle name="Normal 2 3 71" xfId="3499" xr:uid="{00000000-0005-0000-0000-0000D10D0000}"/>
    <cellStyle name="Normal 2 3 72" xfId="3500" xr:uid="{00000000-0005-0000-0000-0000D20D0000}"/>
    <cellStyle name="Normal 2 3 73" xfId="3501" xr:uid="{00000000-0005-0000-0000-0000D30D0000}"/>
    <cellStyle name="Normal 2 3 74" xfId="3502" xr:uid="{00000000-0005-0000-0000-0000D40D0000}"/>
    <cellStyle name="Normal 2 3 75" xfId="3503" xr:uid="{00000000-0005-0000-0000-0000D50D0000}"/>
    <cellStyle name="Normal 2 3 76" xfId="3504" xr:uid="{00000000-0005-0000-0000-0000D60D0000}"/>
    <cellStyle name="Normal 2 3 77" xfId="3505" xr:uid="{00000000-0005-0000-0000-0000D70D0000}"/>
    <cellStyle name="Normal 2 3 78" xfId="3506" xr:uid="{00000000-0005-0000-0000-0000D80D0000}"/>
    <cellStyle name="Normal 2 3 79" xfId="3507" xr:uid="{00000000-0005-0000-0000-0000D90D0000}"/>
    <cellStyle name="Normal 2 3 8" xfId="3508" xr:uid="{00000000-0005-0000-0000-0000DA0D0000}"/>
    <cellStyle name="Normal 2 3 80" xfId="3509" xr:uid="{00000000-0005-0000-0000-0000DB0D0000}"/>
    <cellStyle name="Normal 2 3 81" xfId="3510" xr:uid="{00000000-0005-0000-0000-0000DC0D0000}"/>
    <cellStyle name="Normal 2 3 82" xfId="3511" xr:uid="{00000000-0005-0000-0000-0000DD0D0000}"/>
    <cellStyle name="Normal 2 3 83" xfId="3512" xr:uid="{00000000-0005-0000-0000-0000DE0D0000}"/>
    <cellStyle name="Normal 2 3 84" xfId="3513" xr:uid="{00000000-0005-0000-0000-0000DF0D0000}"/>
    <cellStyle name="Normal 2 3 85" xfId="3514" xr:uid="{00000000-0005-0000-0000-0000E00D0000}"/>
    <cellStyle name="Normal 2 3 86" xfId="3515" xr:uid="{00000000-0005-0000-0000-0000E10D0000}"/>
    <cellStyle name="Normal 2 3 87" xfId="3516" xr:uid="{00000000-0005-0000-0000-0000E20D0000}"/>
    <cellStyle name="Normal 2 3 88" xfId="3517" xr:uid="{00000000-0005-0000-0000-0000E30D0000}"/>
    <cellStyle name="Normal 2 3 89" xfId="3518" xr:uid="{00000000-0005-0000-0000-0000E40D0000}"/>
    <cellStyle name="Normal 2 3 9" xfId="3519" xr:uid="{00000000-0005-0000-0000-0000E50D0000}"/>
    <cellStyle name="Normal 2 3 90" xfId="3520" xr:uid="{00000000-0005-0000-0000-0000E60D0000}"/>
    <cellStyle name="Normal 2 3 91" xfId="3521" xr:uid="{00000000-0005-0000-0000-0000E70D0000}"/>
    <cellStyle name="Normal 2 3 92" xfId="3522" xr:uid="{00000000-0005-0000-0000-0000E80D0000}"/>
    <cellStyle name="Normal 2 3 93" xfId="3523" xr:uid="{00000000-0005-0000-0000-0000E90D0000}"/>
    <cellStyle name="Normal 2 3 94" xfId="3524" xr:uid="{00000000-0005-0000-0000-0000EA0D0000}"/>
    <cellStyle name="Normal 2 3 95" xfId="3525" xr:uid="{00000000-0005-0000-0000-0000EB0D0000}"/>
    <cellStyle name="Normal 2 3 96" xfId="3526" xr:uid="{00000000-0005-0000-0000-0000EC0D0000}"/>
    <cellStyle name="Normal 2 3 97" xfId="3527" xr:uid="{00000000-0005-0000-0000-0000ED0D0000}"/>
    <cellStyle name="Normal 2 3 98" xfId="3528" xr:uid="{00000000-0005-0000-0000-0000EE0D0000}"/>
    <cellStyle name="Normal 2 3 99" xfId="3529" xr:uid="{00000000-0005-0000-0000-0000EF0D0000}"/>
    <cellStyle name="Normal 2 30" xfId="3530" xr:uid="{00000000-0005-0000-0000-0000F00D0000}"/>
    <cellStyle name="Normal 2 31" xfId="3531" xr:uid="{00000000-0005-0000-0000-0000F10D0000}"/>
    <cellStyle name="Normal 2 32" xfId="3532" xr:uid="{00000000-0005-0000-0000-0000F20D0000}"/>
    <cellStyle name="Normal 2 33" xfId="3533" xr:uid="{00000000-0005-0000-0000-0000F30D0000}"/>
    <cellStyle name="Normal 2 34" xfId="3534" xr:uid="{00000000-0005-0000-0000-0000F40D0000}"/>
    <cellStyle name="Normal 2 35" xfId="3535" xr:uid="{00000000-0005-0000-0000-0000F50D0000}"/>
    <cellStyle name="Normal 2 35 2" xfId="3536" xr:uid="{00000000-0005-0000-0000-0000F60D0000}"/>
    <cellStyle name="Normal 2 35 2 2" xfId="5299" xr:uid="{00000000-0005-0000-0000-0000F70D0000}"/>
    <cellStyle name="Normal 2 36" xfId="3537" xr:uid="{00000000-0005-0000-0000-0000F80D0000}"/>
    <cellStyle name="Normal 2 37" xfId="3538" xr:uid="{00000000-0005-0000-0000-0000F90D0000}"/>
    <cellStyle name="Normal 2 38" xfId="3539" xr:uid="{00000000-0005-0000-0000-0000FA0D0000}"/>
    <cellStyle name="Normal 2 39" xfId="3540" xr:uid="{00000000-0005-0000-0000-0000FB0D0000}"/>
    <cellStyle name="Normal 2 4" xfId="3541" xr:uid="{00000000-0005-0000-0000-0000FC0D0000}"/>
    <cellStyle name="Normal 2 4 10" xfId="3542" xr:uid="{00000000-0005-0000-0000-0000FD0D0000}"/>
    <cellStyle name="Normal 2 4 11" xfId="3543" xr:uid="{00000000-0005-0000-0000-0000FE0D0000}"/>
    <cellStyle name="Normal 2 4 12" xfId="3544" xr:uid="{00000000-0005-0000-0000-0000FF0D0000}"/>
    <cellStyle name="Normal 2 4 13" xfId="3545" xr:uid="{00000000-0005-0000-0000-0000000E0000}"/>
    <cellStyle name="Normal 2 4 14" xfId="3546" xr:uid="{00000000-0005-0000-0000-0000010E0000}"/>
    <cellStyle name="Normal 2 4 15" xfId="3547" xr:uid="{00000000-0005-0000-0000-0000020E0000}"/>
    <cellStyle name="Normal 2 4 16" xfId="3548" xr:uid="{00000000-0005-0000-0000-0000030E0000}"/>
    <cellStyle name="Normal 2 4 17" xfId="3549" xr:uid="{00000000-0005-0000-0000-0000040E0000}"/>
    <cellStyle name="Normal 2 4 18" xfId="3550" xr:uid="{00000000-0005-0000-0000-0000050E0000}"/>
    <cellStyle name="Normal 2 4 19" xfId="3551" xr:uid="{00000000-0005-0000-0000-0000060E0000}"/>
    <cellStyle name="Normal 2 4 2" xfId="3552" xr:uid="{00000000-0005-0000-0000-0000070E0000}"/>
    <cellStyle name="Normal 2 4 2 10" xfId="3553" xr:uid="{00000000-0005-0000-0000-0000080E0000}"/>
    <cellStyle name="Normal 2 4 2 11" xfId="3554" xr:uid="{00000000-0005-0000-0000-0000090E0000}"/>
    <cellStyle name="Normal 2 4 2 12" xfId="3555" xr:uid="{00000000-0005-0000-0000-00000A0E0000}"/>
    <cellStyle name="Normal 2 4 2 13" xfId="3556" xr:uid="{00000000-0005-0000-0000-00000B0E0000}"/>
    <cellStyle name="Normal 2 4 2 14" xfId="3557" xr:uid="{00000000-0005-0000-0000-00000C0E0000}"/>
    <cellStyle name="Normal 2 4 2 15" xfId="3558" xr:uid="{00000000-0005-0000-0000-00000D0E0000}"/>
    <cellStyle name="Normal 2 4 2 16" xfId="3559" xr:uid="{00000000-0005-0000-0000-00000E0E0000}"/>
    <cellStyle name="Normal 2 4 2 17" xfId="3560" xr:uid="{00000000-0005-0000-0000-00000F0E0000}"/>
    <cellStyle name="Normal 2 4 2 18" xfId="3561" xr:uid="{00000000-0005-0000-0000-0000100E0000}"/>
    <cellStyle name="Normal 2 4 2 19" xfId="3562" xr:uid="{00000000-0005-0000-0000-0000110E0000}"/>
    <cellStyle name="Normal 2 4 2 2" xfId="3563" xr:uid="{00000000-0005-0000-0000-0000120E0000}"/>
    <cellStyle name="Normal 2 4 2 2 10" xfId="3564" xr:uid="{00000000-0005-0000-0000-0000130E0000}"/>
    <cellStyle name="Normal 2 4 2 2 11" xfId="3565" xr:uid="{00000000-0005-0000-0000-0000140E0000}"/>
    <cellStyle name="Normal 2 4 2 2 12" xfId="3566" xr:uid="{00000000-0005-0000-0000-0000150E0000}"/>
    <cellStyle name="Normal 2 4 2 2 13" xfId="3567" xr:uid="{00000000-0005-0000-0000-0000160E0000}"/>
    <cellStyle name="Normal 2 4 2 2 14" xfId="3568" xr:uid="{00000000-0005-0000-0000-0000170E0000}"/>
    <cellStyle name="Normal 2 4 2 2 15" xfId="3569" xr:uid="{00000000-0005-0000-0000-0000180E0000}"/>
    <cellStyle name="Normal 2 4 2 2 16" xfId="3570" xr:uid="{00000000-0005-0000-0000-0000190E0000}"/>
    <cellStyle name="Normal 2 4 2 2 17" xfId="3571" xr:uid="{00000000-0005-0000-0000-00001A0E0000}"/>
    <cellStyle name="Normal 2 4 2 2 18" xfId="3572" xr:uid="{00000000-0005-0000-0000-00001B0E0000}"/>
    <cellStyle name="Normal 2 4 2 2 19" xfId="3573" xr:uid="{00000000-0005-0000-0000-00001C0E0000}"/>
    <cellStyle name="Normal 2 4 2 2 2" xfId="3574" xr:uid="{00000000-0005-0000-0000-00001D0E0000}"/>
    <cellStyle name="Normal 2 4 2 2 20" xfId="3575" xr:uid="{00000000-0005-0000-0000-00001E0E0000}"/>
    <cellStyle name="Normal 2 4 2 2 21" xfId="3576" xr:uid="{00000000-0005-0000-0000-00001F0E0000}"/>
    <cellStyle name="Normal 2 4 2 2 22" xfId="3577" xr:uid="{00000000-0005-0000-0000-0000200E0000}"/>
    <cellStyle name="Normal 2 4 2 2 23" xfId="3578" xr:uid="{00000000-0005-0000-0000-0000210E0000}"/>
    <cellStyle name="Normal 2 4 2 2 24" xfId="3579" xr:uid="{00000000-0005-0000-0000-0000220E0000}"/>
    <cellStyle name="Normal 2 4 2 2 25" xfId="3580" xr:uid="{00000000-0005-0000-0000-0000230E0000}"/>
    <cellStyle name="Normal 2 4 2 2 26" xfId="3581" xr:uid="{00000000-0005-0000-0000-0000240E0000}"/>
    <cellStyle name="Normal 2 4 2 2 27" xfId="3582" xr:uid="{00000000-0005-0000-0000-0000250E0000}"/>
    <cellStyle name="Normal 2 4 2 2 28" xfId="3583" xr:uid="{00000000-0005-0000-0000-0000260E0000}"/>
    <cellStyle name="Normal 2 4 2 2 29" xfId="3584" xr:uid="{00000000-0005-0000-0000-0000270E0000}"/>
    <cellStyle name="Normal 2 4 2 2 3" xfId="3585" xr:uid="{00000000-0005-0000-0000-0000280E0000}"/>
    <cellStyle name="Normal 2 4 2 2 30" xfId="3586" xr:uid="{00000000-0005-0000-0000-0000290E0000}"/>
    <cellStyle name="Normal 2 4 2 2 31" xfId="3587" xr:uid="{00000000-0005-0000-0000-00002A0E0000}"/>
    <cellStyle name="Normal 2 4 2 2 32" xfId="3588" xr:uid="{00000000-0005-0000-0000-00002B0E0000}"/>
    <cellStyle name="Normal 2 4 2 2 4" xfId="3589" xr:uid="{00000000-0005-0000-0000-00002C0E0000}"/>
    <cellStyle name="Normal 2 4 2 2 5" xfId="3590" xr:uid="{00000000-0005-0000-0000-00002D0E0000}"/>
    <cellStyle name="Normal 2 4 2 2 6" xfId="3591" xr:uid="{00000000-0005-0000-0000-00002E0E0000}"/>
    <cellStyle name="Normal 2 4 2 2 7" xfId="3592" xr:uid="{00000000-0005-0000-0000-00002F0E0000}"/>
    <cellStyle name="Normal 2 4 2 2 8" xfId="3593" xr:uid="{00000000-0005-0000-0000-0000300E0000}"/>
    <cellStyle name="Normal 2 4 2 2 9" xfId="3594" xr:uid="{00000000-0005-0000-0000-0000310E0000}"/>
    <cellStyle name="Normal 2 4 2 20" xfId="3595" xr:uid="{00000000-0005-0000-0000-0000320E0000}"/>
    <cellStyle name="Normal 2 4 2 21" xfId="3596" xr:uid="{00000000-0005-0000-0000-0000330E0000}"/>
    <cellStyle name="Normal 2 4 2 22" xfId="3597" xr:uid="{00000000-0005-0000-0000-0000340E0000}"/>
    <cellStyle name="Normal 2 4 2 23" xfId="3598" xr:uid="{00000000-0005-0000-0000-0000350E0000}"/>
    <cellStyle name="Normal 2 4 2 24" xfId="3599" xr:uid="{00000000-0005-0000-0000-0000360E0000}"/>
    <cellStyle name="Normal 2 4 2 25" xfId="3600" xr:uid="{00000000-0005-0000-0000-0000370E0000}"/>
    <cellStyle name="Normal 2 4 2 26" xfId="3601" xr:uid="{00000000-0005-0000-0000-0000380E0000}"/>
    <cellStyle name="Normal 2 4 2 27" xfId="3602" xr:uid="{00000000-0005-0000-0000-0000390E0000}"/>
    <cellStyle name="Normal 2 4 2 28" xfId="3603" xr:uid="{00000000-0005-0000-0000-00003A0E0000}"/>
    <cellStyle name="Normal 2 4 2 29" xfId="3604" xr:uid="{00000000-0005-0000-0000-00003B0E0000}"/>
    <cellStyle name="Normal 2 4 2 3" xfId="3605" xr:uid="{00000000-0005-0000-0000-00003C0E0000}"/>
    <cellStyle name="Normal 2 4 2 30" xfId="3606" xr:uid="{00000000-0005-0000-0000-00003D0E0000}"/>
    <cellStyle name="Normal 2 4 2 31" xfId="3607" xr:uid="{00000000-0005-0000-0000-00003E0E0000}"/>
    <cellStyle name="Normal 2 4 2 32" xfId="3608" xr:uid="{00000000-0005-0000-0000-00003F0E0000}"/>
    <cellStyle name="Normal 2 4 2 4" xfId="3609" xr:uid="{00000000-0005-0000-0000-0000400E0000}"/>
    <cellStyle name="Normal 2 4 2 5" xfId="3610" xr:uid="{00000000-0005-0000-0000-0000410E0000}"/>
    <cellStyle name="Normal 2 4 2 6" xfId="3611" xr:uid="{00000000-0005-0000-0000-0000420E0000}"/>
    <cellStyle name="Normal 2 4 2 7" xfId="3612" xr:uid="{00000000-0005-0000-0000-0000430E0000}"/>
    <cellStyle name="Normal 2 4 2 8" xfId="3613" xr:uid="{00000000-0005-0000-0000-0000440E0000}"/>
    <cellStyle name="Normal 2 4 2 9" xfId="3614" xr:uid="{00000000-0005-0000-0000-0000450E0000}"/>
    <cellStyle name="Normal 2 4 20" xfId="3615" xr:uid="{00000000-0005-0000-0000-0000460E0000}"/>
    <cellStyle name="Normal 2 4 21" xfId="3616" xr:uid="{00000000-0005-0000-0000-0000470E0000}"/>
    <cellStyle name="Normal 2 4 22" xfId="3617" xr:uid="{00000000-0005-0000-0000-0000480E0000}"/>
    <cellStyle name="Normal 2 4 23" xfId="3618" xr:uid="{00000000-0005-0000-0000-0000490E0000}"/>
    <cellStyle name="Normal 2 4 24" xfId="3619" xr:uid="{00000000-0005-0000-0000-00004A0E0000}"/>
    <cellStyle name="Normal 2 4 25" xfId="3620" xr:uid="{00000000-0005-0000-0000-00004B0E0000}"/>
    <cellStyle name="Normal 2 4 26" xfId="3621" xr:uid="{00000000-0005-0000-0000-00004C0E0000}"/>
    <cellStyle name="Normal 2 4 27" xfId="3622" xr:uid="{00000000-0005-0000-0000-00004D0E0000}"/>
    <cellStyle name="Normal 2 4 28" xfId="3623" xr:uid="{00000000-0005-0000-0000-00004E0E0000}"/>
    <cellStyle name="Normal 2 4 29" xfId="3624" xr:uid="{00000000-0005-0000-0000-00004F0E0000}"/>
    <cellStyle name="Normal 2 4 3" xfId="3625" xr:uid="{00000000-0005-0000-0000-0000500E0000}"/>
    <cellStyle name="Normal 2 4 30" xfId="3626" xr:uid="{00000000-0005-0000-0000-0000510E0000}"/>
    <cellStyle name="Normal 2 4 31" xfId="3627" xr:uid="{00000000-0005-0000-0000-0000520E0000}"/>
    <cellStyle name="Normal 2 4 32" xfId="3628" xr:uid="{00000000-0005-0000-0000-0000530E0000}"/>
    <cellStyle name="Normal 2 4 33" xfId="3629" xr:uid="{00000000-0005-0000-0000-0000540E0000}"/>
    <cellStyle name="Normal 2 4 34" xfId="3630" xr:uid="{00000000-0005-0000-0000-0000550E0000}"/>
    <cellStyle name="Normal 2 4 35" xfId="3631" xr:uid="{00000000-0005-0000-0000-0000560E0000}"/>
    <cellStyle name="Normal 2 4 4" xfId="3632" xr:uid="{00000000-0005-0000-0000-0000570E0000}"/>
    <cellStyle name="Normal 2 4 5" xfId="3633" xr:uid="{00000000-0005-0000-0000-0000580E0000}"/>
    <cellStyle name="Normal 2 4 6" xfId="3634" xr:uid="{00000000-0005-0000-0000-0000590E0000}"/>
    <cellStyle name="Normal 2 4 7" xfId="3635" xr:uid="{00000000-0005-0000-0000-00005A0E0000}"/>
    <cellStyle name="Normal 2 4 8" xfId="3636" xr:uid="{00000000-0005-0000-0000-00005B0E0000}"/>
    <cellStyle name="Normal 2 4 9" xfId="3637" xr:uid="{00000000-0005-0000-0000-00005C0E0000}"/>
    <cellStyle name="Normal 2 40" xfId="3638" xr:uid="{00000000-0005-0000-0000-00005D0E0000}"/>
    <cellStyle name="Normal 2 41" xfId="3639" xr:uid="{00000000-0005-0000-0000-00005E0E0000}"/>
    <cellStyle name="Normal 2 42" xfId="3640" xr:uid="{00000000-0005-0000-0000-00005F0E0000}"/>
    <cellStyle name="Normal 2 43" xfId="3641" xr:uid="{00000000-0005-0000-0000-0000600E0000}"/>
    <cellStyle name="Normal 2 44" xfId="3642" xr:uid="{00000000-0005-0000-0000-0000610E0000}"/>
    <cellStyle name="Normal 2 45" xfId="3643" xr:uid="{00000000-0005-0000-0000-0000620E0000}"/>
    <cellStyle name="Normal 2 46" xfId="3644" xr:uid="{00000000-0005-0000-0000-0000630E0000}"/>
    <cellStyle name="Normal 2 47" xfId="3645" xr:uid="{00000000-0005-0000-0000-0000640E0000}"/>
    <cellStyle name="Normal 2 48" xfId="3646" xr:uid="{00000000-0005-0000-0000-0000650E0000}"/>
    <cellStyle name="Normal 2 49" xfId="3647" xr:uid="{00000000-0005-0000-0000-0000660E0000}"/>
    <cellStyle name="Normal 2 5" xfId="3648" xr:uid="{00000000-0005-0000-0000-0000670E0000}"/>
    <cellStyle name="Normal 2 5 10" xfId="3649" xr:uid="{00000000-0005-0000-0000-0000680E0000}"/>
    <cellStyle name="Normal 2 5 11" xfId="3650" xr:uid="{00000000-0005-0000-0000-0000690E0000}"/>
    <cellStyle name="Normal 2 5 12" xfId="3651" xr:uid="{00000000-0005-0000-0000-00006A0E0000}"/>
    <cellStyle name="Normal 2 5 13" xfId="3652" xr:uid="{00000000-0005-0000-0000-00006B0E0000}"/>
    <cellStyle name="Normal 2 5 14" xfId="3653" xr:uid="{00000000-0005-0000-0000-00006C0E0000}"/>
    <cellStyle name="Normal 2 5 15" xfId="3654" xr:uid="{00000000-0005-0000-0000-00006D0E0000}"/>
    <cellStyle name="Normal 2 5 16" xfId="3655" xr:uid="{00000000-0005-0000-0000-00006E0E0000}"/>
    <cellStyle name="Normal 2 5 17" xfId="3656" xr:uid="{00000000-0005-0000-0000-00006F0E0000}"/>
    <cellStyle name="Normal 2 5 18" xfId="3657" xr:uid="{00000000-0005-0000-0000-0000700E0000}"/>
    <cellStyle name="Normal 2 5 19" xfId="3658" xr:uid="{00000000-0005-0000-0000-0000710E0000}"/>
    <cellStyle name="Normal 2 5 2" xfId="3659" xr:uid="{00000000-0005-0000-0000-0000720E0000}"/>
    <cellStyle name="Normal 2 5 2 10" xfId="3660" xr:uid="{00000000-0005-0000-0000-0000730E0000}"/>
    <cellStyle name="Normal 2 5 2 11" xfId="3661" xr:uid="{00000000-0005-0000-0000-0000740E0000}"/>
    <cellStyle name="Normal 2 5 2 12" xfId="3662" xr:uid="{00000000-0005-0000-0000-0000750E0000}"/>
    <cellStyle name="Normal 2 5 2 13" xfId="3663" xr:uid="{00000000-0005-0000-0000-0000760E0000}"/>
    <cellStyle name="Normal 2 5 2 14" xfId="3664" xr:uid="{00000000-0005-0000-0000-0000770E0000}"/>
    <cellStyle name="Normal 2 5 2 15" xfId="3665" xr:uid="{00000000-0005-0000-0000-0000780E0000}"/>
    <cellStyle name="Normal 2 5 2 16" xfId="3666" xr:uid="{00000000-0005-0000-0000-0000790E0000}"/>
    <cellStyle name="Normal 2 5 2 17" xfId="3667" xr:uid="{00000000-0005-0000-0000-00007A0E0000}"/>
    <cellStyle name="Normal 2 5 2 18" xfId="3668" xr:uid="{00000000-0005-0000-0000-00007B0E0000}"/>
    <cellStyle name="Normal 2 5 2 19" xfId="3669" xr:uid="{00000000-0005-0000-0000-00007C0E0000}"/>
    <cellStyle name="Normal 2 5 2 2" xfId="3670" xr:uid="{00000000-0005-0000-0000-00007D0E0000}"/>
    <cellStyle name="Normal 2 5 2 20" xfId="3671" xr:uid="{00000000-0005-0000-0000-00007E0E0000}"/>
    <cellStyle name="Normal 2 5 2 21" xfId="3672" xr:uid="{00000000-0005-0000-0000-00007F0E0000}"/>
    <cellStyle name="Normal 2 5 2 22" xfId="3673" xr:uid="{00000000-0005-0000-0000-0000800E0000}"/>
    <cellStyle name="Normal 2 5 2 23" xfId="3674" xr:uid="{00000000-0005-0000-0000-0000810E0000}"/>
    <cellStyle name="Normal 2 5 2 24" xfId="3675" xr:uid="{00000000-0005-0000-0000-0000820E0000}"/>
    <cellStyle name="Normal 2 5 2 25" xfId="3676" xr:uid="{00000000-0005-0000-0000-0000830E0000}"/>
    <cellStyle name="Normal 2 5 2 26" xfId="3677" xr:uid="{00000000-0005-0000-0000-0000840E0000}"/>
    <cellStyle name="Normal 2 5 2 27" xfId="3678" xr:uid="{00000000-0005-0000-0000-0000850E0000}"/>
    <cellStyle name="Normal 2 5 2 28" xfId="3679" xr:uid="{00000000-0005-0000-0000-0000860E0000}"/>
    <cellStyle name="Normal 2 5 2 29" xfId="3680" xr:uid="{00000000-0005-0000-0000-0000870E0000}"/>
    <cellStyle name="Normal 2 5 2 3" xfId="3681" xr:uid="{00000000-0005-0000-0000-0000880E0000}"/>
    <cellStyle name="Normal 2 5 2 30" xfId="3682" xr:uid="{00000000-0005-0000-0000-0000890E0000}"/>
    <cellStyle name="Normal 2 5 2 31" xfId="3683" xr:uid="{00000000-0005-0000-0000-00008A0E0000}"/>
    <cellStyle name="Normal 2 5 2 32" xfId="3684" xr:uid="{00000000-0005-0000-0000-00008B0E0000}"/>
    <cellStyle name="Normal 2 5 2 4" xfId="3685" xr:uid="{00000000-0005-0000-0000-00008C0E0000}"/>
    <cellStyle name="Normal 2 5 2 5" xfId="3686" xr:uid="{00000000-0005-0000-0000-00008D0E0000}"/>
    <cellStyle name="Normal 2 5 2 6" xfId="3687" xr:uid="{00000000-0005-0000-0000-00008E0E0000}"/>
    <cellStyle name="Normal 2 5 2 7" xfId="3688" xr:uid="{00000000-0005-0000-0000-00008F0E0000}"/>
    <cellStyle name="Normal 2 5 2 8" xfId="3689" xr:uid="{00000000-0005-0000-0000-0000900E0000}"/>
    <cellStyle name="Normal 2 5 2 9" xfId="3690" xr:uid="{00000000-0005-0000-0000-0000910E0000}"/>
    <cellStyle name="Normal 2 5 20" xfId="3691" xr:uid="{00000000-0005-0000-0000-0000920E0000}"/>
    <cellStyle name="Normal 2 5 21" xfId="3692" xr:uid="{00000000-0005-0000-0000-0000930E0000}"/>
    <cellStyle name="Normal 2 5 22" xfId="3693" xr:uid="{00000000-0005-0000-0000-0000940E0000}"/>
    <cellStyle name="Normal 2 5 23" xfId="3694" xr:uid="{00000000-0005-0000-0000-0000950E0000}"/>
    <cellStyle name="Normal 2 5 24" xfId="3695" xr:uid="{00000000-0005-0000-0000-0000960E0000}"/>
    <cellStyle name="Normal 2 5 25" xfId="3696" xr:uid="{00000000-0005-0000-0000-0000970E0000}"/>
    <cellStyle name="Normal 2 5 26" xfId="3697" xr:uid="{00000000-0005-0000-0000-0000980E0000}"/>
    <cellStyle name="Normal 2 5 27" xfId="3698" xr:uid="{00000000-0005-0000-0000-0000990E0000}"/>
    <cellStyle name="Normal 2 5 28" xfId="3699" xr:uid="{00000000-0005-0000-0000-00009A0E0000}"/>
    <cellStyle name="Normal 2 5 29" xfId="3700" xr:uid="{00000000-0005-0000-0000-00009B0E0000}"/>
    <cellStyle name="Normal 2 5 3" xfId="3701" xr:uid="{00000000-0005-0000-0000-00009C0E0000}"/>
    <cellStyle name="Normal 2 5 30" xfId="3702" xr:uid="{00000000-0005-0000-0000-00009D0E0000}"/>
    <cellStyle name="Normal 2 5 31" xfId="3703" xr:uid="{00000000-0005-0000-0000-00009E0E0000}"/>
    <cellStyle name="Normal 2 5 32" xfId="3704" xr:uid="{00000000-0005-0000-0000-00009F0E0000}"/>
    <cellStyle name="Normal 2 5 33" xfId="3705" xr:uid="{00000000-0005-0000-0000-0000A00E0000}"/>
    <cellStyle name="Normal 2 5 34" xfId="3706" xr:uid="{00000000-0005-0000-0000-0000A10E0000}"/>
    <cellStyle name="Normal 2 5 35" xfId="3707" xr:uid="{00000000-0005-0000-0000-0000A20E0000}"/>
    <cellStyle name="Normal 2 5 4" xfId="3708" xr:uid="{00000000-0005-0000-0000-0000A30E0000}"/>
    <cellStyle name="Normal 2 5 5" xfId="3709" xr:uid="{00000000-0005-0000-0000-0000A40E0000}"/>
    <cellStyle name="Normal 2 5 6" xfId="3710" xr:uid="{00000000-0005-0000-0000-0000A50E0000}"/>
    <cellStyle name="Normal 2 5 7" xfId="3711" xr:uid="{00000000-0005-0000-0000-0000A60E0000}"/>
    <cellStyle name="Normal 2 5 8" xfId="3712" xr:uid="{00000000-0005-0000-0000-0000A70E0000}"/>
    <cellStyle name="Normal 2 5 9" xfId="3713" xr:uid="{00000000-0005-0000-0000-0000A80E0000}"/>
    <cellStyle name="Normal 2 50" xfId="3714" xr:uid="{00000000-0005-0000-0000-0000A90E0000}"/>
    <cellStyle name="Normal 2 51" xfId="3715" xr:uid="{00000000-0005-0000-0000-0000AA0E0000}"/>
    <cellStyle name="Normal 2 52" xfId="3716" xr:uid="{00000000-0005-0000-0000-0000AB0E0000}"/>
    <cellStyle name="Normal 2 53" xfId="3717" xr:uid="{00000000-0005-0000-0000-0000AC0E0000}"/>
    <cellStyle name="Normal 2 6" xfId="3718" xr:uid="{00000000-0005-0000-0000-0000AD0E0000}"/>
    <cellStyle name="Normal 2 6 10" xfId="3719" xr:uid="{00000000-0005-0000-0000-0000AE0E0000}"/>
    <cellStyle name="Normal 2 6 11" xfId="3720" xr:uid="{00000000-0005-0000-0000-0000AF0E0000}"/>
    <cellStyle name="Normal 2 6 12" xfId="3721" xr:uid="{00000000-0005-0000-0000-0000B00E0000}"/>
    <cellStyle name="Normal 2 6 13" xfId="3722" xr:uid="{00000000-0005-0000-0000-0000B10E0000}"/>
    <cellStyle name="Normal 2 6 14" xfId="3723" xr:uid="{00000000-0005-0000-0000-0000B20E0000}"/>
    <cellStyle name="Normal 2 6 15" xfId="3724" xr:uid="{00000000-0005-0000-0000-0000B30E0000}"/>
    <cellStyle name="Normal 2 6 16" xfId="3725" xr:uid="{00000000-0005-0000-0000-0000B40E0000}"/>
    <cellStyle name="Normal 2 6 17" xfId="3726" xr:uid="{00000000-0005-0000-0000-0000B50E0000}"/>
    <cellStyle name="Normal 2 6 18" xfId="3727" xr:uid="{00000000-0005-0000-0000-0000B60E0000}"/>
    <cellStyle name="Normal 2 6 19" xfId="3728" xr:uid="{00000000-0005-0000-0000-0000B70E0000}"/>
    <cellStyle name="Normal 2 6 2" xfId="3729" xr:uid="{00000000-0005-0000-0000-0000B80E0000}"/>
    <cellStyle name="Normal 2 6 2 10" xfId="3730" xr:uid="{00000000-0005-0000-0000-0000B90E0000}"/>
    <cellStyle name="Normal 2 6 2 11" xfId="3731" xr:uid="{00000000-0005-0000-0000-0000BA0E0000}"/>
    <cellStyle name="Normal 2 6 2 12" xfId="3732" xr:uid="{00000000-0005-0000-0000-0000BB0E0000}"/>
    <cellStyle name="Normal 2 6 2 13" xfId="3733" xr:uid="{00000000-0005-0000-0000-0000BC0E0000}"/>
    <cellStyle name="Normal 2 6 2 14" xfId="3734" xr:uid="{00000000-0005-0000-0000-0000BD0E0000}"/>
    <cellStyle name="Normal 2 6 2 15" xfId="3735" xr:uid="{00000000-0005-0000-0000-0000BE0E0000}"/>
    <cellStyle name="Normal 2 6 2 16" xfId="3736" xr:uid="{00000000-0005-0000-0000-0000BF0E0000}"/>
    <cellStyle name="Normal 2 6 2 17" xfId="3737" xr:uid="{00000000-0005-0000-0000-0000C00E0000}"/>
    <cellStyle name="Normal 2 6 2 18" xfId="3738" xr:uid="{00000000-0005-0000-0000-0000C10E0000}"/>
    <cellStyle name="Normal 2 6 2 19" xfId="3739" xr:uid="{00000000-0005-0000-0000-0000C20E0000}"/>
    <cellStyle name="Normal 2 6 2 2" xfId="3740" xr:uid="{00000000-0005-0000-0000-0000C30E0000}"/>
    <cellStyle name="Normal 2 6 2 20" xfId="3741" xr:uid="{00000000-0005-0000-0000-0000C40E0000}"/>
    <cellStyle name="Normal 2 6 2 21" xfId="3742" xr:uid="{00000000-0005-0000-0000-0000C50E0000}"/>
    <cellStyle name="Normal 2 6 2 22" xfId="3743" xr:uid="{00000000-0005-0000-0000-0000C60E0000}"/>
    <cellStyle name="Normal 2 6 2 23" xfId="3744" xr:uid="{00000000-0005-0000-0000-0000C70E0000}"/>
    <cellStyle name="Normal 2 6 2 24" xfId="3745" xr:uid="{00000000-0005-0000-0000-0000C80E0000}"/>
    <cellStyle name="Normal 2 6 2 25" xfId="3746" xr:uid="{00000000-0005-0000-0000-0000C90E0000}"/>
    <cellStyle name="Normal 2 6 2 26" xfId="3747" xr:uid="{00000000-0005-0000-0000-0000CA0E0000}"/>
    <cellStyle name="Normal 2 6 2 27" xfId="3748" xr:uid="{00000000-0005-0000-0000-0000CB0E0000}"/>
    <cellStyle name="Normal 2 6 2 28" xfId="3749" xr:uid="{00000000-0005-0000-0000-0000CC0E0000}"/>
    <cellStyle name="Normal 2 6 2 29" xfId="3750" xr:uid="{00000000-0005-0000-0000-0000CD0E0000}"/>
    <cellStyle name="Normal 2 6 2 3" xfId="3751" xr:uid="{00000000-0005-0000-0000-0000CE0E0000}"/>
    <cellStyle name="Normal 2 6 2 30" xfId="3752" xr:uid="{00000000-0005-0000-0000-0000CF0E0000}"/>
    <cellStyle name="Normal 2 6 2 31" xfId="3753" xr:uid="{00000000-0005-0000-0000-0000D00E0000}"/>
    <cellStyle name="Normal 2 6 2 32" xfId="3754" xr:uid="{00000000-0005-0000-0000-0000D10E0000}"/>
    <cellStyle name="Normal 2 6 2 4" xfId="3755" xr:uid="{00000000-0005-0000-0000-0000D20E0000}"/>
    <cellStyle name="Normal 2 6 2 5" xfId="3756" xr:uid="{00000000-0005-0000-0000-0000D30E0000}"/>
    <cellStyle name="Normal 2 6 2 6" xfId="3757" xr:uid="{00000000-0005-0000-0000-0000D40E0000}"/>
    <cellStyle name="Normal 2 6 2 7" xfId="3758" xr:uid="{00000000-0005-0000-0000-0000D50E0000}"/>
    <cellStyle name="Normal 2 6 2 8" xfId="3759" xr:uid="{00000000-0005-0000-0000-0000D60E0000}"/>
    <cellStyle name="Normal 2 6 2 9" xfId="3760" xr:uid="{00000000-0005-0000-0000-0000D70E0000}"/>
    <cellStyle name="Normal 2 6 20" xfId="3761" xr:uid="{00000000-0005-0000-0000-0000D80E0000}"/>
    <cellStyle name="Normal 2 6 21" xfId="3762" xr:uid="{00000000-0005-0000-0000-0000D90E0000}"/>
    <cellStyle name="Normal 2 6 22" xfId="3763" xr:uid="{00000000-0005-0000-0000-0000DA0E0000}"/>
    <cellStyle name="Normal 2 6 23" xfId="3764" xr:uid="{00000000-0005-0000-0000-0000DB0E0000}"/>
    <cellStyle name="Normal 2 6 24" xfId="3765" xr:uid="{00000000-0005-0000-0000-0000DC0E0000}"/>
    <cellStyle name="Normal 2 6 25" xfId="3766" xr:uid="{00000000-0005-0000-0000-0000DD0E0000}"/>
    <cellStyle name="Normal 2 6 26" xfId="3767" xr:uid="{00000000-0005-0000-0000-0000DE0E0000}"/>
    <cellStyle name="Normal 2 6 27" xfId="3768" xr:uid="{00000000-0005-0000-0000-0000DF0E0000}"/>
    <cellStyle name="Normal 2 6 28" xfId="3769" xr:uid="{00000000-0005-0000-0000-0000E00E0000}"/>
    <cellStyle name="Normal 2 6 29" xfId="3770" xr:uid="{00000000-0005-0000-0000-0000E10E0000}"/>
    <cellStyle name="Normal 2 6 3" xfId="3771" xr:uid="{00000000-0005-0000-0000-0000E20E0000}"/>
    <cellStyle name="Normal 2 6 30" xfId="3772" xr:uid="{00000000-0005-0000-0000-0000E30E0000}"/>
    <cellStyle name="Normal 2 6 31" xfId="3773" xr:uid="{00000000-0005-0000-0000-0000E40E0000}"/>
    <cellStyle name="Normal 2 6 32" xfId="3774" xr:uid="{00000000-0005-0000-0000-0000E50E0000}"/>
    <cellStyle name="Normal 2 6 4" xfId="3775" xr:uid="{00000000-0005-0000-0000-0000E60E0000}"/>
    <cellStyle name="Normal 2 6 5" xfId="3776" xr:uid="{00000000-0005-0000-0000-0000E70E0000}"/>
    <cellStyle name="Normal 2 6 6" xfId="3777" xr:uid="{00000000-0005-0000-0000-0000E80E0000}"/>
    <cellStyle name="Normal 2 6 7" xfId="3778" xr:uid="{00000000-0005-0000-0000-0000E90E0000}"/>
    <cellStyle name="Normal 2 6 8" xfId="3779" xr:uid="{00000000-0005-0000-0000-0000EA0E0000}"/>
    <cellStyle name="Normal 2 6 9" xfId="3780" xr:uid="{00000000-0005-0000-0000-0000EB0E0000}"/>
    <cellStyle name="Normal 2 7" xfId="3781" xr:uid="{00000000-0005-0000-0000-0000EC0E0000}"/>
    <cellStyle name="Normal 2 7 10" xfId="3782" xr:uid="{00000000-0005-0000-0000-0000ED0E0000}"/>
    <cellStyle name="Normal 2 7 11" xfId="3783" xr:uid="{00000000-0005-0000-0000-0000EE0E0000}"/>
    <cellStyle name="Normal 2 7 12" xfId="3784" xr:uid="{00000000-0005-0000-0000-0000EF0E0000}"/>
    <cellStyle name="Normal 2 7 13" xfId="3785" xr:uid="{00000000-0005-0000-0000-0000F00E0000}"/>
    <cellStyle name="Normal 2 7 14" xfId="3786" xr:uid="{00000000-0005-0000-0000-0000F10E0000}"/>
    <cellStyle name="Normal 2 7 15" xfId="3787" xr:uid="{00000000-0005-0000-0000-0000F20E0000}"/>
    <cellStyle name="Normal 2 7 16" xfId="3788" xr:uid="{00000000-0005-0000-0000-0000F30E0000}"/>
    <cellStyle name="Normal 2 7 17" xfId="3789" xr:uid="{00000000-0005-0000-0000-0000F40E0000}"/>
    <cellStyle name="Normal 2 7 18" xfId="3790" xr:uid="{00000000-0005-0000-0000-0000F50E0000}"/>
    <cellStyle name="Normal 2 7 19" xfId="3791" xr:uid="{00000000-0005-0000-0000-0000F60E0000}"/>
    <cellStyle name="Normal 2 7 2" xfId="3792" xr:uid="{00000000-0005-0000-0000-0000F70E0000}"/>
    <cellStyle name="Normal 2 7 2 10" xfId="3793" xr:uid="{00000000-0005-0000-0000-0000F80E0000}"/>
    <cellStyle name="Normal 2 7 2 11" xfId="3794" xr:uid="{00000000-0005-0000-0000-0000F90E0000}"/>
    <cellStyle name="Normal 2 7 2 12" xfId="3795" xr:uid="{00000000-0005-0000-0000-0000FA0E0000}"/>
    <cellStyle name="Normal 2 7 2 13" xfId="3796" xr:uid="{00000000-0005-0000-0000-0000FB0E0000}"/>
    <cellStyle name="Normal 2 7 2 14" xfId="3797" xr:uid="{00000000-0005-0000-0000-0000FC0E0000}"/>
    <cellStyle name="Normal 2 7 2 15" xfId="3798" xr:uid="{00000000-0005-0000-0000-0000FD0E0000}"/>
    <cellStyle name="Normal 2 7 2 16" xfId="3799" xr:uid="{00000000-0005-0000-0000-0000FE0E0000}"/>
    <cellStyle name="Normal 2 7 2 17" xfId="3800" xr:uid="{00000000-0005-0000-0000-0000FF0E0000}"/>
    <cellStyle name="Normal 2 7 2 18" xfId="3801" xr:uid="{00000000-0005-0000-0000-0000000F0000}"/>
    <cellStyle name="Normal 2 7 2 19" xfId="3802" xr:uid="{00000000-0005-0000-0000-0000010F0000}"/>
    <cellStyle name="Normal 2 7 2 2" xfId="3803" xr:uid="{00000000-0005-0000-0000-0000020F0000}"/>
    <cellStyle name="Normal 2 7 2 20" xfId="3804" xr:uid="{00000000-0005-0000-0000-0000030F0000}"/>
    <cellStyle name="Normal 2 7 2 21" xfId="3805" xr:uid="{00000000-0005-0000-0000-0000040F0000}"/>
    <cellStyle name="Normal 2 7 2 22" xfId="3806" xr:uid="{00000000-0005-0000-0000-0000050F0000}"/>
    <cellStyle name="Normal 2 7 2 23" xfId="3807" xr:uid="{00000000-0005-0000-0000-0000060F0000}"/>
    <cellStyle name="Normal 2 7 2 24" xfId="3808" xr:uid="{00000000-0005-0000-0000-0000070F0000}"/>
    <cellStyle name="Normal 2 7 2 25" xfId="3809" xr:uid="{00000000-0005-0000-0000-0000080F0000}"/>
    <cellStyle name="Normal 2 7 2 26" xfId="3810" xr:uid="{00000000-0005-0000-0000-0000090F0000}"/>
    <cellStyle name="Normal 2 7 2 27" xfId="3811" xr:uid="{00000000-0005-0000-0000-00000A0F0000}"/>
    <cellStyle name="Normal 2 7 2 28" xfId="3812" xr:uid="{00000000-0005-0000-0000-00000B0F0000}"/>
    <cellStyle name="Normal 2 7 2 29" xfId="3813" xr:uid="{00000000-0005-0000-0000-00000C0F0000}"/>
    <cellStyle name="Normal 2 7 2 3" xfId="3814" xr:uid="{00000000-0005-0000-0000-00000D0F0000}"/>
    <cellStyle name="Normal 2 7 2 30" xfId="3815" xr:uid="{00000000-0005-0000-0000-00000E0F0000}"/>
    <cellStyle name="Normal 2 7 2 31" xfId="3816" xr:uid="{00000000-0005-0000-0000-00000F0F0000}"/>
    <cellStyle name="Normal 2 7 2 32" xfId="3817" xr:uid="{00000000-0005-0000-0000-0000100F0000}"/>
    <cellStyle name="Normal 2 7 2 4" xfId="3818" xr:uid="{00000000-0005-0000-0000-0000110F0000}"/>
    <cellStyle name="Normal 2 7 2 5" xfId="3819" xr:uid="{00000000-0005-0000-0000-0000120F0000}"/>
    <cellStyle name="Normal 2 7 2 6" xfId="3820" xr:uid="{00000000-0005-0000-0000-0000130F0000}"/>
    <cellStyle name="Normal 2 7 2 7" xfId="3821" xr:uid="{00000000-0005-0000-0000-0000140F0000}"/>
    <cellStyle name="Normal 2 7 2 8" xfId="3822" xr:uid="{00000000-0005-0000-0000-0000150F0000}"/>
    <cellStyle name="Normal 2 7 2 9" xfId="3823" xr:uid="{00000000-0005-0000-0000-0000160F0000}"/>
    <cellStyle name="Normal 2 7 20" xfId="3824" xr:uid="{00000000-0005-0000-0000-0000170F0000}"/>
    <cellStyle name="Normal 2 7 21" xfId="3825" xr:uid="{00000000-0005-0000-0000-0000180F0000}"/>
    <cellStyle name="Normal 2 7 22" xfId="3826" xr:uid="{00000000-0005-0000-0000-0000190F0000}"/>
    <cellStyle name="Normal 2 7 23" xfId="3827" xr:uid="{00000000-0005-0000-0000-00001A0F0000}"/>
    <cellStyle name="Normal 2 7 24" xfId="3828" xr:uid="{00000000-0005-0000-0000-00001B0F0000}"/>
    <cellStyle name="Normal 2 7 25" xfId="3829" xr:uid="{00000000-0005-0000-0000-00001C0F0000}"/>
    <cellStyle name="Normal 2 7 26" xfId="3830" xr:uid="{00000000-0005-0000-0000-00001D0F0000}"/>
    <cellStyle name="Normal 2 7 27" xfId="3831" xr:uid="{00000000-0005-0000-0000-00001E0F0000}"/>
    <cellStyle name="Normal 2 7 28" xfId="3832" xr:uid="{00000000-0005-0000-0000-00001F0F0000}"/>
    <cellStyle name="Normal 2 7 29" xfId="3833" xr:uid="{00000000-0005-0000-0000-0000200F0000}"/>
    <cellStyle name="Normal 2 7 3" xfId="3834" xr:uid="{00000000-0005-0000-0000-0000210F0000}"/>
    <cellStyle name="Normal 2 7 30" xfId="3835" xr:uid="{00000000-0005-0000-0000-0000220F0000}"/>
    <cellStyle name="Normal 2 7 31" xfId="3836" xr:uid="{00000000-0005-0000-0000-0000230F0000}"/>
    <cellStyle name="Normal 2 7 32" xfId="3837" xr:uid="{00000000-0005-0000-0000-0000240F0000}"/>
    <cellStyle name="Normal 2 7 4" xfId="3838" xr:uid="{00000000-0005-0000-0000-0000250F0000}"/>
    <cellStyle name="Normal 2 7 5" xfId="3839" xr:uid="{00000000-0005-0000-0000-0000260F0000}"/>
    <cellStyle name="Normal 2 7 6" xfId="3840" xr:uid="{00000000-0005-0000-0000-0000270F0000}"/>
    <cellStyle name="Normal 2 7 7" xfId="3841" xr:uid="{00000000-0005-0000-0000-0000280F0000}"/>
    <cellStyle name="Normal 2 7 8" xfId="3842" xr:uid="{00000000-0005-0000-0000-0000290F0000}"/>
    <cellStyle name="Normal 2 7 9" xfId="3843" xr:uid="{00000000-0005-0000-0000-00002A0F0000}"/>
    <cellStyle name="Normal 2 8" xfId="3844" xr:uid="{00000000-0005-0000-0000-00002B0F0000}"/>
    <cellStyle name="Normal 2 8 10" xfId="3845" xr:uid="{00000000-0005-0000-0000-00002C0F0000}"/>
    <cellStyle name="Normal 2 8 11" xfId="3846" xr:uid="{00000000-0005-0000-0000-00002D0F0000}"/>
    <cellStyle name="Normal 2 8 12" xfId="3847" xr:uid="{00000000-0005-0000-0000-00002E0F0000}"/>
    <cellStyle name="Normal 2 8 13" xfId="3848" xr:uid="{00000000-0005-0000-0000-00002F0F0000}"/>
    <cellStyle name="Normal 2 8 14" xfId="3849" xr:uid="{00000000-0005-0000-0000-0000300F0000}"/>
    <cellStyle name="Normal 2 8 15" xfId="3850" xr:uid="{00000000-0005-0000-0000-0000310F0000}"/>
    <cellStyle name="Normal 2 8 16" xfId="3851" xr:uid="{00000000-0005-0000-0000-0000320F0000}"/>
    <cellStyle name="Normal 2 8 17" xfId="3852" xr:uid="{00000000-0005-0000-0000-0000330F0000}"/>
    <cellStyle name="Normal 2 8 18" xfId="3853" xr:uid="{00000000-0005-0000-0000-0000340F0000}"/>
    <cellStyle name="Normal 2 8 19" xfId="3854" xr:uid="{00000000-0005-0000-0000-0000350F0000}"/>
    <cellStyle name="Normal 2 8 2" xfId="3855" xr:uid="{00000000-0005-0000-0000-0000360F0000}"/>
    <cellStyle name="Normal 2 8 2 10" xfId="3856" xr:uid="{00000000-0005-0000-0000-0000370F0000}"/>
    <cellStyle name="Normal 2 8 2 11" xfId="3857" xr:uid="{00000000-0005-0000-0000-0000380F0000}"/>
    <cellStyle name="Normal 2 8 2 12" xfId="3858" xr:uid="{00000000-0005-0000-0000-0000390F0000}"/>
    <cellStyle name="Normal 2 8 2 13" xfId="3859" xr:uid="{00000000-0005-0000-0000-00003A0F0000}"/>
    <cellStyle name="Normal 2 8 2 14" xfId="3860" xr:uid="{00000000-0005-0000-0000-00003B0F0000}"/>
    <cellStyle name="Normal 2 8 2 15" xfId="3861" xr:uid="{00000000-0005-0000-0000-00003C0F0000}"/>
    <cellStyle name="Normal 2 8 2 16" xfId="3862" xr:uid="{00000000-0005-0000-0000-00003D0F0000}"/>
    <cellStyle name="Normal 2 8 2 17" xfId="3863" xr:uid="{00000000-0005-0000-0000-00003E0F0000}"/>
    <cellStyle name="Normal 2 8 2 18" xfId="3864" xr:uid="{00000000-0005-0000-0000-00003F0F0000}"/>
    <cellStyle name="Normal 2 8 2 19" xfId="3865" xr:uid="{00000000-0005-0000-0000-0000400F0000}"/>
    <cellStyle name="Normal 2 8 2 2" xfId="3866" xr:uid="{00000000-0005-0000-0000-0000410F0000}"/>
    <cellStyle name="Normal 2 8 2 20" xfId="3867" xr:uid="{00000000-0005-0000-0000-0000420F0000}"/>
    <cellStyle name="Normal 2 8 2 21" xfId="3868" xr:uid="{00000000-0005-0000-0000-0000430F0000}"/>
    <cellStyle name="Normal 2 8 2 22" xfId="3869" xr:uid="{00000000-0005-0000-0000-0000440F0000}"/>
    <cellStyle name="Normal 2 8 2 23" xfId="3870" xr:uid="{00000000-0005-0000-0000-0000450F0000}"/>
    <cellStyle name="Normal 2 8 2 24" xfId="3871" xr:uid="{00000000-0005-0000-0000-0000460F0000}"/>
    <cellStyle name="Normal 2 8 2 25" xfId="3872" xr:uid="{00000000-0005-0000-0000-0000470F0000}"/>
    <cellStyle name="Normal 2 8 2 26" xfId="3873" xr:uid="{00000000-0005-0000-0000-0000480F0000}"/>
    <cellStyle name="Normal 2 8 2 27" xfId="3874" xr:uid="{00000000-0005-0000-0000-0000490F0000}"/>
    <cellStyle name="Normal 2 8 2 28" xfId="3875" xr:uid="{00000000-0005-0000-0000-00004A0F0000}"/>
    <cellStyle name="Normal 2 8 2 29" xfId="3876" xr:uid="{00000000-0005-0000-0000-00004B0F0000}"/>
    <cellStyle name="Normal 2 8 2 3" xfId="3877" xr:uid="{00000000-0005-0000-0000-00004C0F0000}"/>
    <cellStyle name="Normal 2 8 2 30" xfId="3878" xr:uid="{00000000-0005-0000-0000-00004D0F0000}"/>
    <cellStyle name="Normal 2 8 2 31" xfId="3879" xr:uid="{00000000-0005-0000-0000-00004E0F0000}"/>
    <cellStyle name="Normal 2 8 2 32" xfId="3880" xr:uid="{00000000-0005-0000-0000-00004F0F0000}"/>
    <cellStyle name="Normal 2 8 2 4" xfId="3881" xr:uid="{00000000-0005-0000-0000-0000500F0000}"/>
    <cellStyle name="Normal 2 8 2 5" xfId="3882" xr:uid="{00000000-0005-0000-0000-0000510F0000}"/>
    <cellStyle name="Normal 2 8 2 6" xfId="3883" xr:uid="{00000000-0005-0000-0000-0000520F0000}"/>
    <cellStyle name="Normal 2 8 2 7" xfId="3884" xr:uid="{00000000-0005-0000-0000-0000530F0000}"/>
    <cellStyle name="Normal 2 8 2 8" xfId="3885" xr:uid="{00000000-0005-0000-0000-0000540F0000}"/>
    <cellStyle name="Normal 2 8 2 9" xfId="3886" xr:uid="{00000000-0005-0000-0000-0000550F0000}"/>
    <cellStyle name="Normal 2 8 20" xfId="3887" xr:uid="{00000000-0005-0000-0000-0000560F0000}"/>
    <cellStyle name="Normal 2 8 21" xfId="3888" xr:uid="{00000000-0005-0000-0000-0000570F0000}"/>
    <cellStyle name="Normal 2 8 22" xfId="3889" xr:uid="{00000000-0005-0000-0000-0000580F0000}"/>
    <cellStyle name="Normal 2 8 23" xfId="3890" xr:uid="{00000000-0005-0000-0000-0000590F0000}"/>
    <cellStyle name="Normal 2 8 24" xfId="3891" xr:uid="{00000000-0005-0000-0000-00005A0F0000}"/>
    <cellStyle name="Normal 2 8 25" xfId="3892" xr:uid="{00000000-0005-0000-0000-00005B0F0000}"/>
    <cellStyle name="Normal 2 8 26" xfId="3893" xr:uid="{00000000-0005-0000-0000-00005C0F0000}"/>
    <cellStyle name="Normal 2 8 27" xfId="3894" xr:uid="{00000000-0005-0000-0000-00005D0F0000}"/>
    <cellStyle name="Normal 2 8 28" xfId="3895" xr:uid="{00000000-0005-0000-0000-00005E0F0000}"/>
    <cellStyle name="Normal 2 8 29" xfId="3896" xr:uid="{00000000-0005-0000-0000-00005F0F0000}"/>
    <cellStyle name="Normal 2 8 3" xfId="3897" xr:uid="{00000000-0005-0000-0000-0000600F0000}"/>
    <cellStyle name="Normal 2 8 30" xfId="3898" xr:uid="{00000000-0005-0000-0000-0000610F0000}"/>
    <cellStyle name="Normal 2 8 31" xfId="3899" xr:uid="{00000000-0005-0000-0000-0000620F0000}"/>
    <cellStyle name="Normal 2 8 32" xfId="3900" xr:uid="{00000000-0005-0000-0000-0000630F0000}"/>
    <cellStyle name="Normal 2 8 4" xfId="3901" xr:uid="{00000000-0005-0000-0000-0000640F0000}"/>
    <cellStyle name="Normal 2 8 5" xfId="3902" xr:uid="{00000000-0005-0000-0000-0000650F0000}"/>
    <cellStyle name="Normal 2 8 6" xfId="3903" xr:uid="{00000000-0005-0000-0000-0000660F0000}"/>
    <cellStyle name="Normal 2 8 7" xfId="3904" xr:uid="{00000000-0005-0000-0000-0000670F0000}"/>
    <cellStyle name="Normal 2 8 8" xfId="3905" xr:uid="{00000000-0005-0000-0000-0000680F0000}"/>
    <cellStyle name="Normal 2 8 9" xfId="3906" xr:uid="{00000000-0005-0000-0000-0000690F0000}"/>
    <cellStyle name="Normal 2 9" xfId="3907" xr:uid="{00000000-0005-0000-0000-00006A0F0000}"/>
    <cellStyle name="Normal 2 9 10" xfId="3908" xr:uid="{00000000-0005-0000-0000-00006B0F0000}"/>
    <cellStyle name="Normal 2 9 11" xfId="3909" xr:uid="{00000000-0005-0000-0000-00006C0F0000}"/>
    <cellStyle name="Normal 2 9 12" xfId="3910" xr:uid="{00000000-0005-0000-0000-00006D0F0000}"/>
    <cellStyle name="Normal 2 9 13" xfId="3911" xr:uid="{00000000-0005-0000-0000-00006E0F0000}"/>
    <cellStyle name="Normal 2 9 14" xfId="3912" xr:uid="{00000000-0005-0000-0000-00006F0F0000}"/>
    <cellStyle name="Normal 2 9 15" xfId="3913" xr:uid="{00000000-0005-0000-0000-0000700F0000}"/>
    <cellStyle name="Normal 2 9 16" xfId="3914" xr:uid="{00000000-0005-0000-0000-0000710F0000}"/>
    <cellStyle name="Normal 2 9 17" xfId="3915" xr:uid="{00000000-0005-0000-0000-0000720F0000}"/>
    <cellStyle name="Normal 2 9 18" xfId="3916" xr:uid="{00000000-0005-0000-0000-0000730F0000}"/>
    <cellStyle name="Normal 2 9 19" xfId="3917" xr:uid="{00000000-0005-0000-0000-0000740F0000}"/>
    <cellStyle name="Normal 2 9 2" xfId="3918" xr:uid="{00000000-0005-0000-0000-0000750F0000}"/>
    <cellStyle name="Normal 2 9 2 10" xfId="3919" xr:uid="{00000000-0005-0000-0000-0000760F0000}"/>
    <cellStyle name="Normal 2 9 2 11" xfId="3920" xr:uid="{00000000-0005-0000-0000-0000770F0000}"/>
    <cellStyle name="Normal 2 9 2 12" xfId="3921" xr:uid="{00000000-0005-0000-0000-0000780F0000}"/>
    <cellStyle name="Normal 2 9 2 13" xfId="3922" xr:uid="{00000000-0005-0000-0000-0000790F0000}"/>
    <cellStyle name="Normal 2 9 2 14" xfId="3923" xr:uid="{00000000-0005-0000-0000-00007A0F0000}"/>
    <cellStyle name="Normal 2 9 2 15" xfId="3924" xr:uid="{00000000-0005-0000-0000-00007B0F0000}"/>
    <cellStyle name="Normal 2 9 2 16" xfId="3925" xr:uid="{00000000-0005-0000-0000-00007C0F0000}"/>
    <cellStyle name="Normal 2 9 2 17" xfId="3926" xr:uid="{00000000-0005-0000-0000-00007D0F0000}"/>
    <cellStyle name="Normal 2 9 2 18" xfId="3927" xr:uid="{00000000-0005-0000-0000-00007E0F0000}"/>
    <cellStyle name="Normal 2 9 2 19" xfId="3928" xr:uid="{00000000-0005-0000-0000-00007F0F0000}"/>
    <cellStyle name="Normal 2 9 2 2" xfId="3929" xr:uid="{00000000-0005-0000-0000-0000800F0000}"/>
    <cellStyle name="Normal 2 9 2 20" xfId="3930" xr:uid="{00000000-0005-0000-0000-0000810F0000}"/>
    <cellStyle name="Normal 2 9 2 21" xfId="3931" xr:uid="{00000000-0005-0000-0000-0000820F0000}"/>
    <cellStyle name="Normal 2 9 2 22" xfId="3932" xr:uid="{00000000-0005-0000-0000-0000830F0000}"/>
    <cellStyle name="Normal 2 9 2 23" xfId="3933" xr:uid="{00000000-0005-0000-0000-0000840F0000}"/>
    <cellStyle name="Normal 2 9 2 24" xfId="3934" xr:uid="{00000000-0005-0000-0000-0000850F0000}"/>
    <cellStyle name="Normal 2 9 2 25" xfId="3935" xr:uid="{00000000-0005-0000-0000-0000860F0000}"/>
    <cellStyle name="Normal 2 9 2 26" xfId="3936" xr:uid="{00000000-0005-0000-0000-0000870F0000}"/>
    <cellStyle name="Normal 2 9 2 27" xfId="3937" xr:uid="{00000000-0005-0000-0000-0000880F0000}"/>
    <cellStyle name="Normal 2 9 2 28" xfId="3938" xr:uid="{00000000-0005-0000-0000-0000890F0000}"/>
    <cellStyle name="Normal 2 9 2 29" xfId="3939" xr:uid="{00000000-0005-0000-0000-00008A0F0000}"/>
    <cellStyle name="Normal 2 9 2 3" xfId="3940" xr:uid="{00000000-0005-0000-0000-00008B0F0000}"/>
    <cellStyle name="Normal 2 9 2 30" xfId="3941" xr:uid="{00000000-0005-0000-0000-00008C0F0000}"/>
    <cellStyle name="Normal 2 9 2 31" xfId="3942" xr:uid="{00000000-0005-0000-0000-00008D0F0000}"/>
    <cellStyle name="Normal 2 9 2 32" xfId="3943" xr:uid="{00000000-0005-0000-0000-00008E0F0000}"/>
    <cellStyle name="Normal 2 9 2 4" xfId="3944" xr:uid="{00000000-0005-0000-0000-00008F0F0000}"/>
    <cellStyle name="Normal 2 9 2 5" xfId="3945" xr:uid="{00000000-0005-0000-0000-0000900F0000}"/>
    <cellStyle name="Normal 2 9 2 6" xfId="3946" xr:uid="{00000000-0005-0000-0000-0000910F0000}"/>
    <cellStyle name="Normal 2 9 2 7" xfId="3947" xr:uid="{00000000-0005-0000-0000-0000920F0000}"/>
    <cellStyle name="Normal 2 9 2 8" xfId="3948" xr:uid="{00000000-0005-0000-0000-0000930F0000}"/>
    <cellStyle name="Normal 2 9 2 9" xfId="3949" xr:uid="{00000000-0005-0000-0000-0000940F0000}"/>
    <cellStyle name="Normal 2 9 20" xfId="3950" xr:uid="{00000000-0005-0000-0000-0000950F0000}"/>
    <cellStyle name="Normal 2 9 21" xfId="3951" xr:uid="{00000000-0005-0000-0000-0000960F0000}"/>
    <cellStyle name="Normal 2 9 22" xfId="3952" xr:uid="{00000000-0005-0000-0000-0000970F0000}"/>
    <cellStyle name="Normal 2 9 23" xfId="3953" xr:uid="{00000000-0005-0000-0000-0000980F0000}"/>
    <cellStyle name="Normal 2 9 24" xfId="3954" xr:uid="{00000000-0005-0000-0000-0000990F0000}"/>
    <cellStyle name="Normal 2 9 25" xfId="3955" xr:uid="{00000000-0005-0000-0000-00009A0F0000}"/>
    <cellStyle name="Normal 2 9 26" xfId="3956" xr:uid="{00000000-0005-0000-0000-00009B0F0000}"/>
    <cellStyle name="Normal 2 9 27" xfId="3957" xr:uid="{00000000-0005-0000-0000-00009C0F0000}"/>
    <cellStyle name="Normal 2 9 28" xfId="3958" xr:uid="{00000000-0005-0000-0000-00009D0F0000}"/>
    <cellStyle name="Normal 2 9 29" xfId="3959" xr:uid="{00000000-0005-0000-0000-00009E0F0000}"/>
    <cellStyle name="Normal 2 9 3" xfId="3960" xr:uid="{00000000-0005-0000-0000-00009F0F0000}"/>
    <cellStyle name="Normal 2 9 30" xfId="3961" xr:uid="{00000000-0005-0000-0000-0000A00F0000}"/>
    <cellStyle name="Normal 2 9 31" xfId="3962" xr:uid="{00000000-0005-0000-0000-0000A10F0000}"/>
    <cellStyle name="Normal 2 9 32" xfId="3963" xr:uid="{00000000-0005-0000-0000-0000A20F0000}"/>
    <cellStyle name="Normal 2 9 4" xfId="3964" xr:uid="{00000000-0005-0000-0000-0000A30F0000}"/>
    <cellStyle name="Normal 2 9 5" xfId="3965" xr:uid="{00000000-0005-0000-0000-0000A40F0000}"/>
    <cellStyle name="Normal 2 9 6" xfId="3966" xr:uid="{00000000-0005-0000-0000-0000A50F0000}"/>
    <cellStyle name="Normal 2 9 7" xfId="3967" xr:uid="{00000000-0005-0000-0000-0000A60F0000}"/>
    <cellStyle name="Normal 2 9 8" xfId="3968" xr:uid="{00000000-0005-0000-0000-0000A70F0000}"/>
    <cellStyle name="Normal 2 9 9" xfId="3969" xr:uid="{00000000-0005-0000-0000-0000A80F0000}"/>
    <cellStyle name="Normal 20" xfId="3970" xr:uid="{00000000-0005-0000-0000-0000A90F0000}"/>
    <cellStyle name="Normal 21" xfId="3971" xr:uid="{00000000-0005-0000-0000-0000AA0F0000}"/>
    <cellStyle name="Normal 21 10" xfId="3972" xr:uid="{00000000-0005-0000-0000-0000AB0F0000}"/>
    <cellStyle name="Normal 21 10 2" xfId="5301" xr:uid="{00000000-0005-0000-0000-0000AC0F0000}"/>
    <cellStyle name="Normal 21 10 3" xfId="6628" xr:uid="{00000000-0005-0000-0000-0000AD0F0000}"/>
    <cellStyle name="Normal 21 11" xfId="3973" xr:uid="{00000000-0005-0000-0000-0000AE0F0000}"/>
    <cellStyle name="Normal 21 11 2" xfId="5302" xr:uid="{00000000-0005-0000-0000-0000AF0F0000}"/>
    <cellStyle name="Normal 21 11 3" xfId="6629" xr:uid="{00000000-0005-0000-0000-0000B00F0000}"/>
    <cellStyle name="Normal 21 12" xfId="3974" xr:uid="{00000000-0005-0000-0000-0000B10F0000}"/>
    <cellStyle name="Normal 21 12 2" xfId="5303" xr:uid="{00000000-0005-0000-0000-0000B20F0000}"/>
    <cellStyle name="Normal 21 12 3" xfId="6630" xr:uid="{00000000-0005-0000-0000-0000B30F0000}"/>
    <cellStyle name="Normal 21 13" xfId="3975" xr:uid="{00000000-0005-0000-0000-0000B40F0000}"/>
    <cellStyle name="Normal 21 13 2" xfId="5304" xr:uid="{00000000-0005-0000-0000-0000B50F0000}"/>
    <cellStyle name="Normal 21 13 3" xfId="6631" xr:uid="{00000000-0005-0000-0000-0000B60F0000}"/>
    <cellStyle name="Normal 21 14" xfId="3976" xr:uid="{00000000-0005-0000-0000-0000B70F0000}"/>
    <cellStyle name="Normal 21 14 2" xfId="5305" xr:uid="{00000000-0005-0000-0000-0000B80F0000}"/>
    <cellStyle name="Normal 21 14 3" xfId="6632" xr:uid="{00000000-0005-0000-0000-0000B90F0000}"/>
    <cellStyle name="Normal 21 15" xfId="3977" xr:uid="{00000000-0005-0000-0000-0000BA0F0000}"/>
    <cellStyle name="Normal 21 15 2" xfId="5306" xr:uid="{00000000-0005-0000-0000-0000BB0F0000}"/>
    <cellStyle name="Normal 21 15 3" xfId="6633" xr:uid="{00000000-0005-0000-0000-0000BC0F0000}"/>
    <cellStyle name="Normal 21 16" xfId="3978" xr:uid="{00000000-0005-0000-0000-0000BD0F0000}"/>
    <cellStyle name="Normal 21 16 2" xfId="5307" xr:uid="{00000000-0005-0000-0000-0000BE0F0000}"/>
    <cellStyle name="Normal 21 16 3" xfId="6634" xr:uid="{00000000-0005-0000-0000-0000BF0F0000}"/>
    <cellStyle name="Normal 21 17" xfId="3979" xr:uid="{00000000-0005-0000-0000-0000C00F0000}"/>
    <cellStyle name="Normal 21 17 2" xfId="5308" xr:uid="{00000000-0005-0000-0000-0000C10F0000}"/>
    <cellStyle name="Normal 21 17 3" xfId="6635" xr:uid="{00000000-0005-0000-0000-0000C20F0000}"/>
    <cellStyle name="Normal 21 18" xfId="3980" xr:uid="{00000000-0005-0000-0000-0000C30F0000}"/>
    <cellStyle name="Normal 21 18 2" xfId="5309" xr:uid="{00000000-0005-0000-0000-0000C40F0000}"/>
    <cellStyle name="Normal 21 18 3" xfId="6636" xr:uid="{00000000-0005-0000-0000-0000C50F0000}"/>
    <cellStyle name="Normal 21 19" xfId="3981" xr:uid="{00000000-0005-0000-0000-0000C60F0000}"/>
    <cellStyle name="Normal 21 19 2" xfId="5310" xr:uid="{00000000-0005-0000-0000-0000C70F0000}"/>
    <cellStyle name="Normal 21 19 3" xfId="6637" xr:uid="{00000000-0005-0000-0000-0000C80F0000}"/>
    <cellStyle name="Normal 21 2" xfId="3982" xr:uid="{00000000-0005-0000-0000-0000C90F0000}"/>
    <cellStyle name="Normal 21 2 2" xfId="5311" xr:uid="{00000000-0005-0000-0000-0000CA0F0000}"/>
    <cellStyle name="Normal 21 2 3" xfId="6638" xr:uid="{00000000-0005-0000-0000-0000CB0F0000}"/>
    <cellStyle name="Normal 21 20" xfId="3983" xr:uid="{00000000-0005-0000-0000-0000CC0F0000}"/>
    <cellStyle name="Normal 21 20 2" xfId="5312" xr:uid="{00000000-0005-0000-0000-0000CD0F0000}"/>
    <cellStyle name="Normal 21 20 3" xfId="6639" xr:uid="{00000000-0005-0000-0000-0000CE0F0000}"/>
    <cellStyle name="Normal 21 21" xfId="3984" xr:uid="{00000000-0005-0000-0000-0000CF0F0000}"/>
    <cellStyle name="Normal 21 21 2" xfId="5313" xr:uid="{00000000-0005-0000-0000-0000D00F0000}"/>
    <cellStyle name="Normal 21 21 3" xfId="6640" xr:uid="{00000000-0005-0000-0000-0000D10F0000}"/>
    <cellStyle name="Normal 21 22" xfId="3985" xr:uid="{00000000-0005-0000-0000-0000D20F0000}"/>
    <cellStyle name="Normal 21 22 2" xfId="5314" xr:uid="{00000000-0005-0000-0000-0000D30F0000}"/>
    <cellStyle name="Normal 21 22 3" xfId="6641" xr:uid="{00000000-0005-0000-0000-0000D40F0000}"/>
    <cellStyle name="Normal 21 23" xfId="3986" xr:uid="{00000000-0005-0000-0000-0000D50F0000}"/>
    <cellStyle name="Normal 21 23 2" xfId="5315" xr:uid="{00000000-0005-0000-0000-0000D60F0000}"/>
    <cellStyle name="Normal 21 23 3" xfId="6642" xr:uid="{00000000-0005-0000-0000-0000D70F0000}"/>
    <cellStyle name="Normal 21 24" xfId="3987" xr:uid="{00000000-0005-0000-0000-0000D80F0000}"/>
    <cellStyle name="Normal 21 24 2" xfId="5316" xr:uid="{00000000-0005-0000-0000-0000D90F0000}"/>
    <cellStyle name="Normal 21 24 3" xfId="6643" xr:uid="{00000000-0005-0000-0000-0000DA0F0000}"/>
    <cellStyle name="Normal 21 25" xfId="3988" xr:uid="{00000000-0005-0000-0000-0000DB0F0000}"/>
    <cellStyle name="Normal 21 25 2" xfId="5317" xr:uid="{00000000-0005-0000-0000-0000DC0F0000}"/>
    <cellStyle name="Normal 21 25 3" xfId="6644" xr:uid="{00000000-0005-0000-0000-0000DD0F0000}"/>
    <cellStyle name="Normal 21 26" xfId="3989" xr:uid="{00000000-0005-0000-0000-0000DE0F0000}"/>
    <cellStyle name="Normal 21 26 2" xfId="5318" xr:uid="{00000000-0005-0000-0000-0000DF0F0000}"/>
    <cellStyle name="Normal 21 26 3" xfId="6645" xr:uid="{00000000-0005-0000-0000-0000E00F0000}"/>
    <cellStyle name="Normal 21 27" xfId="3990" xr:uid="{00000000-0005-0000-0000-0000E10F0000}"/>
    <cellStyle name="Normal 21 27 2" xfId="5319" xr:uid="{00000000-0005-0000-0000-0000E20F0000}"/>
    <cellStyle name="Normal 21 27 3" xfId="6646" xr:uid="{00000000-0005-0000-0000-0000E30F0000}"/>
    <cellStyle name="Normal 21 28" xfId="3991" xr:uid="{00000000-0005-0000-0000-0000E40F0000}"/>
    <cellStyle name="Normal 21 28 2" xfId="5320" xr:uid="{00000000-0005-0000-0000-0000E50F0000}"/>
    <cellStyle name="Normal 21 28 3" xfId="6647" xr:uid="{00000000-0005-0000-0000-0000E60F0000}"/>
    <cellStyle name="Normal 21 29" xfId="3992" xr:uid="{00000000-0005-0000-0000-0000E70F0000}"/>
    <cellStyle name="Normal 21 29 2" xfId="5321" xr:uid="{00000000-0005-0000-0000-0000E80F0000}"/>
    <cellStyle name="Normal 21 29 3" xfId="6648" xr:uid="{00000000-0005-0000-0000-0000E90F0000}"/>
    <cellStyle name="Normal 21 3" xfId="3993" xr:uid="{00000000-0005-0000-0000-0000EA0F0000}"/>
    <cellStyle name="Normal 21 3 2" xfId="5322" xr:uid="{00000000-0005-0000-0000-0000EB0F0000}"/>
    <cellStyle name="Normal 21 3 3" xfId="6649" xr:uid="{00000000-0005-0000-0000-0000EC0F0000}"/>
    <cellStyle name="Normal 21 30" xfId="3994" xr:uid="{00000000-0005-0000-0000-0000ED0F0000}"/>
    <cellStyle name="Normal 21 30 2" xfId="5323" xr:uid="{00000000-0005-0000-0000-0000EE0F0000}"/>
    <cellStyle name="Normal 21 30 3" xfId="6650" xr:uid="{00000000-0005-0000-0000-0000EF0F0000}"/>
    <cellStyle name="Normal 21 31" xfId="3995" xr:uid="{00000000-0005-0000-0000-0000F00F0000}"/>
    <cellStyle name="Normal 21 31 2" xfId="5324" xr:uid="{00000000-0005-0000-0000-0000F10F0000}"/>
    <cellStyle name="Normal 21 32" xfId="3996" xr:uid="{00000000-0005-0000-0000-0000F20F0000}"/>
    <cellStyle name="Normal 21 32 2" xfId="5325" xr:uid="{00000000-0005-0000-0000-0000F30F0000}"/>
    <cellStyle name="Normal 21 33" xfId="3997" xr:uid="{00000000-0005-0000-0000-0000F40F0000}"/>
    <cellStyle name="Normal 21 33 2" xfId="5326" xr:uid="{00000000-0005-0000-0000-0000F50F0000}"/>
    <cellStyle name="Normal 21 34" xfId="3998" xr:uid="{00000000-0005-0000-0000-0000F60F0000}"/>
    <cellStyle name="Normal 21 34 2" xfId="5327" xr:uid="{00000000-0005-0000-0000-0000F70F0000}"/>
    <cellStyle name="Normal 21 35" xfId="3999" xr:uid="{00000000-0005-0000-0000-0000F80F0000}"/>
    <cellStyle name="Normal 21 35 2" xfId="5328" xr:uid="{00000000-0005-0000-0000-0000F90F0000}"/>
    <cellStyle name="Normal 21 36" xfId="4000" xr:uid="{00000000-0005-0000-0000-0000FA0F0000}"/>
    <cellStyle name="Normal 21 36 2" xfId="5329" xr:uid="{00000000-0005-0000-0000-0000FB0F0000}"/>
    <cellStyle name="Normal 21 37" xfId="4001" xr:uid="{00000000-0005-0000-0000-0000FC0F0000}"/>
    <cellStyle name="Normal 21 37 2" xfId="5330" xr:uid="{00000000-0005-0000-0000-0000FD0F0000}"/>
    <cellStyle name="Normal 21 38" xfId="4002" xr:uid="{00000000-0005-0000-0000-0000FE0F0000}"/>
    <cellStyle name="Normal 21 38 2" xfId="5331" xr:uid="{00000000-0005-0000-0000-0000FF0F0000}"/>
    <cellStyle name="Normal 21 39" xfId="4003" xr:uid="{00000000-0005-0000-0000-000000100000}"/>
    <cellStyle name="Normal 21 39 2" xfId="5332" xr:uid="{00000000-0005-0000-0000-000001100000}"/>
    <cellStyle name="Normal 21 4" xfId="4004" xr:uid="{00000000-0005-0000-0000-000002100000}"/>
    <cellStyle name="Normal 21 4 2" xfId="5333" xr:uid="{00000000-0005-0000-0000-000003100000}"/>
    <cellStyle name="Normal 21 40" xfId="4005" xr:uid="{00000000-0005-0000-0000-000004100000}"/>
    <cellStyle name="Normal 21 40 2" xfId="5334" xr:uid="{00000000-0005-0000-0000-000005100000}"/>
    <cellStyle name="Normal 21 41" xfId="4006" xr:uid="{00000000-0005-0000-0000-000006100000}"/>
    <cellStyle name="Normal 21 41 2" xfId="5335" xr:uid="{00000000-0005-0000-0000-000007100000}"/>
    <cellStyle name="Normal 21 42" xfId="4007" xr:uid="{00000000-0005-0000-0000-000008100000}"/>
    <cellStyle name="Normal 21 42 2" xfId="5336" xr:uid="{00000000-0005-0000-0000-000009100000}"/>
    <cellStyle name="Normal 21 43" xfId="4008" xr:uid="{00000000-0005-0000-0000-00000A100000}"/>
    <cellStyle name="Normal 21 43 2" xfId="5337" xr:uid="{00000000-0005-0000-0000-00000B100000}"/>
    <cellStyle name="Normal 21 44" xfId="4009" xr:uid="{00000000-0005-0000-0000-00000C100000}"/>
    <cellStyle name="Normal 21 44 2" xfId="5338" xr:uid="{00000000-0005-0000-0000-00000D100000}"/>
    <cellStyle name="Normal 21 45" xfId="4010" xr:uid="{00000000-0005-0000-0000-00000E100000}"/>
    <cellStyle name="Normal 21 45 2" xfId="5339" xr:uid="{00000000-0005-0000-0000-00000F100000}"/>
    <cellStyle name="Normal 21 46" xfId="4011" xr:uid="{00000000-0005-0000-0000-000010100000}"/>
    <cellStyle name="Normal 21 46 2" xfId="5340" xr:uid="{00000000-0005-0000-0000-000011100000}"/>
    <cellStyle name="Normal 21 47" xfId="4012" xr:uid="{00000000-0005-0000-0000-000012100000}"/>
    <cellStyle name="Normal 21 47 2" xfId="5341" xr:uid="{00000000-0005-0000-0000-000013100000}"/>
    <cellStyle name="Normal 21 48" xfId="4013" xr:uid="{00000000-0005-0000-0000-000014100000}"/>
    <cellStyle name="Normal 21 48 2" xfId="5342" xr:uid="{00000000-0005-0000-0000-000015100000}"/>
    <cellStyle name="Normal 21 49" xfId="4014" xr:uid="{00000000-0005-0000-0000-000016100000}"/>
    <cellStyle name="Normal 21 49 2" xfId="5343" xr:uid="{00000000-0005-0000-0000-000017100000}"/>
    <cellStyle name="Normal 21 5" xfId="4015" xr:uid="{00000000-0005-0000-0000-000018100000}"/>
    <cellStyle name="Normal 21 5 2" xfId="5344" xr:uid="{00000000-0005-0000-0000-000019100000}"/>
    <cellStyle name="Normal 21 50" xfId="4016" xr:uid="{00000000-0005-0000-0000-00001A100000}"/>
    <cellStyle name="Normal 21 50 2" xfId="5345" xr:uid="{00000000-0005-0000-0000-00001B100000}"/>
    <cellStyle name="Normal 21 51" xfId="4017" xr:uid="{00000000-0005-0000-0000-00001C100000}"/>
    <cellStyle name="Normal 21 51 2" xfId="5346" xr:uid="{00000000-0005-0000-0000-00001D100000}"/>
    <cellStyle name="Normal 21 52" xfId="4018" xr:uid="{00000000-0005-0000-0000-00001E100000}"/>
    <cellStyle name="Normal 21 52 2" xfId="5347" xr:uid="{00000000-0005-0000-0000-00001F100000}"/>
    <cellStyle name="Normal 21 53" xfId="4019" xr:uid="{00000000-0005-0000-0000-000020100000}"/>
    <cellStyle name="Normal 21 53 2" xfId="5348" xr:uid="{00000000-0005-0000-0000-000021100000}"/>
    <cellStyle name="Normal 21 54" xfId="4020" xr:uid="{00000000-0005-0000-0000-000022100000}"/>
    <cellStyle name="Normal 21 54 2" xfId="5349" xr:uid="{00000000-0005-0000-0000-000023100000}"/>
    <cellStyle name="Normal 21 55" xfId="4021" xr:uid="{00000000-0005-0000-0000-000024100000}"/>
    <cellStyle name="Normal 21 55 2" xfId="5350" xr:uid="{00000000-0005-0000-0000-000025100000}"/>
    <cellStyle name="Normal 21 56" xfId="4022" xr:uid="{00000000-0005-0000-0000-000026100000}"/>
    <cellStyle name="Normal 21 56 2" xfId="5351" xr:uid="{00000000-0005-0000-0000-000027100000}"/>
    <cellStyle name="Normal 21 57" xfId="4023" xr:uid="{00000000-0005-0000-0000-000028100000}"/>
    <cellStyle name="Normal 21 57 2" xfId="5352" xr:uid="{00000000-0005-0000-0000-000029100000}"/>
    <cellStyle name="Normal 21 58" xfId="4024" xr:uid="{00000000-0005-0000-0000-00002A100000}"/>
    <cellStyle name="Normal 21 58 2" xfId="5353" xr:uid="{00000000-0005-0000-0000-00002B100000}"/>
    <cellStyle name="Normal 21 59" xfId="4025" xr:uid="{00000000-0005-0000-0000-00002C100000}"/>
    <cellStyle name="Normal 21 59 2" xfId="5354" xr:uid="{00000000-0005-0000-0000-00002D100000}"/>
    <cellStyle name="Normal 21 6" xfId="4026" xr:uid="{00000000-0005-0000-0000-00002E100000}"/>
    <cellStyle name="Normal 21 6 2" xfId="5355" xr:uid="{00000000-0005-0000-0000-00002F100000}"/>
    <cellStyle name="Normal 21 60" xfId="4027" xr:uid="{00000000-0005-0000-0000-000030100000}"/>
    <cellStyle name="Normal 21 60 2" xfId="5356" xr:uid="{00000000-0005-0000-0000-000031100000}"/>
    <cellStyle name="Normal 21 61" xfId="4028" xr:uid="{00000000-0005-0000-0000-000032100000}"/>
    <cellStyle name="Normal 21 61 2" xfId="5357" xr:uid="{00000000-0005-0000-0000-000033100000}"/>
    <cellStyle name="Normal 21 62" xfId="4029" xr:uid="{00000000-0005-0000-0000-000034100000}"/>
    <cellStyle name="Normal 21 62 2" xfId="5358" xr:uid="{00000000-0005-0000-0000-000035100000}"/>
    <cellStyle name="Normal 21 63" xfId="4030" xr:uid="{00000000-0005-0000-0000-000036100000}"/>
    <cellStyle name="Normal 21 63 2" xfId="5359" xr:uid="{00000000-0005-0000-0000-000037100000}"/>
    <cellStyle name="Normal 21 64" xfId="4031" xr:uid="{00000000-0005-0000-0000-000038100000}"/>
    <cellStyle name="Normal 21 64 2" xfId="5360" xr:uid="{00000000-0005-0000-0000-000039100000}"/>
    <cellStyle name="Normal 21 65" xfId="4032" xr:uid="{00000000-0005-0000-0000-00003A100000}"/>
    <cellStyle name="Normal 21 65 2" xfId="5361" xr:uid="{00000000-0005-0000-0000-00003B100000}"/>
    <cellStyle name="Normal 21 66" xfId="4033" xr:uid="{00000000-0005-0000-0000-00003C100000}"/>
    <cellStyle name="Normal 21 66 2" xfId="5362" xr:uid="{00000000-0005-0000-0000-00003D100000}"/>
    <cellStyle name="Normal 21 67" xfId="4034" xr:uid="{00000000-0005-0000-0000-00003E100000}"/>
    <cellStyle name="Normal 21 67 2" xfId="5363" xr:uid="{00000000-0005-0000-0000-00003F100000}"/>
    <cellStyle name="Normal 21 68" xfId="4035" xr:uid="{00000000-0005-0000-0000-000040100000}"/>
    <cellStyle name="Normal 21 68 2" xfId="5364" xr:uid="{00000000-0005-0000-0000-000041100000}"/>
    <cellStyle name="Normal 21 69" xfId="5300" xr:uid="{00000000-0005-0000-0000-000042100000}"/>
    <cellStyle name="Normal 21 7" xfId="4036" xr:uid="{00000000-0005-0000-0000-000043100000}"/>
    <cellStyle name="Normal 21 7 2" xfId="5365" xr:uid="{00000000-0005-0000-0000-000044100000}"/>
    <cellStyle name="Normal 21 70" xfId="6627" xr:uid="{00000000-0005-0000-0000-000045100000}"/>
    <cellStyle name="Normal 21 8" xfId="4037" xr:uid="{00000000-0005-0000-0000-000046100000}"/>
    <cellStyle name="Normal 21 8 2" xfId="5366" xr:uid="{00000000-0005-0000-0000-000047100000}"/>
    <cellStyle name="Normal 21 9" xfId="4038" xr:uid="{00000000-0005-0000-0000-000048100000}"/>
    <cellStyle name="Normal 21 9 2" xfId="5367" xr:uid="{00000000-0005-0000-0000-000049100000}"/>
    <cellStyle name="Normal 3" xfId="4039" xr:uid="{00000000-0005-0000-0000-00004A100000}"/>
    <cellStyle name="Normal 3 10" xfId="4040" xr:uid="{00000000-0005-0000-0000-00004B100000}"/>
    <cellStyle name="Normal 3 10 10" xfId="4041" xr:uid="{00000000-0005-0000-0000-00004C100000}"/>
    <cellStyle name="Normal 3 10 10 2" xfId="5370" xr:uid="{00000000-0005-0000-0000-00004D100000}"/>
    <cellStyle name="Normal 3 10 11" xfId="4042" xr:uid="{00000000-0005-0000-0000-00004E100000}"/>
    <cellStyle name="Normal 3 10 11 2" xfId="5371" xr:uid="{00000000-0005-0000-0000-00004F100000}"/>
    <cellStyle name="Normal 3 10 12" xfId="4043" xr:uid="{00000000-0005-0000-0000-000050100000}"/>
    <cellStyle name="Normal 3 10 12 2" xfId="5372" xr:uid="{00000000-0005-0000-0000-000051100000}"/>
    <cellStyle name="Normal 3 10 13" xfId="4044" xr:uid="{00000000-0005-0000-0000-000052100000}"/>
    <cellStyle name="Normal 3 10 13 2" xfId="5373" xr:uid="{00000000-0005-0000-0000-000053100000}"/>
    <cellStyle name="Normal 3 10 14" xfId="4045" xr:uid="{00000000-0005-0000-0000-000054100000}"/>
    <cellStyle name="Normal 3 10 14 2" xfId="5374" xr:uid="{00000000-0005-0000-0000-000055100000}"/>
    <cellStyle name="Normal 3 10 15" xfId="4046" xr:uid="{00000000-0005-0000-0000-000056100000}"/>
    <cellStyle name="Normal 3 10 15 2" xfId="5375" xr:uid="{00000000-0005-0000-0000-000057100000}"/>
    <cellStyle name="Normal 3 10 16" xfId="4047" xr:uid="{00000000-0005-0000-0000-000058100000}"/>
    <cellStyle name="Normal 3 10 16 2" xfId="5376" xr:uid="{00000000-0005-0000-0000-000059100000}"/>
    <cellStyle name="Normal 3 10 17" xfId="4048" xr:uid="{00000000-0005-0000-0000-00005A100000}"/>
    <cellStyle name="Normal 3 10 17 2" xfId="5377" xr:uid="{00000000-0005-0000-0000-00005B100000}"/>
    <cellStyle name="Normal 3 10 18" xfId="4049" xr:uid="{00000000-0005-0000-0000-00005C100000}"/>
    <cellStyle name="Normal 3 10 18 2" xfId="5378" xr:uid="{00000000-0005-0000-0000-00005D100000}"/>
    <cellStyle name="Normal 3 10 19" xfId="4050" xr:uid="{00000000-0005-0000-0000-00005E100000}"/>
    <cellStyle name="Normal 3 10 19 2" xfId="5379" xr:uid="{00000000-0005-0000-0000-00005F100000}"/>
    <cellStyle name="Normal 3 10 2" xfId="4051" xr:uid="{00000000-0005-0000-0000-000060100000}"/>
    <cellStyle name="Normal 3 10 2 10" xfId="4052" xr:uid="{00000000-0005-0000-0000-000061100000}"/>
    <cellStyle name="Normal 3 10 2 10 2" xfId="5381" xr:uid="{00000000-0005-0000-0000-000062100000}"/>
    <cellStyle name="Normal 3 10 2 11" xfId="4053" xr:uid="{00000000-0005-0000-0000-000063100000}"/>
    <cellStyle name="Normal 3 10 2 11 2" xfId="5382" xr:uid="{00000000-0005-0000-0000-000064100000}"/>
    <cellStyle name="Normal 3 10 2 12" xfId="4054" xr:uid="{00000000-0005-0000-0000-000065100000}"/>
    <cellStyle name="Normal 3 10 2 12 2" xfId="5383" xr:uid="{00000000-0005-0000-0000-000066100000}"/>
    <cellStyle name="Normal 3 10 2 13" xfId="4055" xr:uid="{00000000-0005-0000-0000-000067100000}"/>
    <cellStyle name="Normal 3 10 2 13 2" xfId="5384" xr:uid="{00000000-0005-0000-0000-000068100000}"/>
    <cellStyle name="Normal 3 10 2 14" xfId="4056" xr:uid="{00000000-0005-0000-0000-000069100000}"/>
    <cellStyle name="Normal 3 10 2 14 2" xfId="5385" xr:uid="{00000000-0005-0000-0000-00006A100000}"/>
    <cellStyle name="Normal 3 10 2 15" xfId="4057" xr:uid="{00000000-0005-0000-0000-00006B100000}"/>
    <cellStyle name="Normal 3 10 2 15 2" xfId="5386" xr:uid="{00000000-0005-0000-0000-00006C100000}"/>
    <cellStyle name="Normal 3 10 2 16" xfId="4058" xr:uid="{00000000-0005-0000-0000-00006D100000}"/>
    <cellStyle name="Normal 3 10 2 16 2" xfId="5387" xr:uid="{00000000-0005-0000-0000-00006E100000}"/>
    <cellStyle name="Normal 3 10 2 17" xfId="4059" xr:uid="{00000000-0005-0000-0000-00006F100000}"/>
    <cellStyle name="Normal 3 10 2 17 2" xfId="5388" xr:uid="{00000000-0005-0000-0000-000070100000}"/>
    <cellStyle name="Normal 3 10 2 18" xfId="4060" xr:uid="{00000000-0005-0000-0000-000071100000}"/>
    <cellStyle name="Normal 3 10 2 18 2" xfId="5389" xr:uid="{00000000-0005-0000-0000-000072100000}"/>
    <cellStyle name="Normal 3 10 2 19" xfId="4061" xr:uid="{00000000-0005-0000-0000-000073100000}"/>
    <cellStyle name="Normal 3 10 2 19 2" xfId="5390" xr:uid="{00000000-0005-0000-0000-000074100000}"/>
    <cellStyle name="Normal 3 10 2 2" xfId="4062" xr:uid="{00000000-0005-0000-0000-000075100000}"/>
    <cellStyle name="Normal 3 10 2 2 2" xfId="5391" xr:uid="{00000000-0005-0000-0000-000076100000}"/>
    <cellStyle name="Normal 3 10 2 20" xfId="4063" xr:uid="{00000000-0005-0000-0000-000077100000}"/>
    <cellStyle name="Normal 3 10 2 20 2" xfId="5392" xr:uid="{00000000-0005-0000-0000-000078100000}"/>
    <cellStyle name="Normal 3 10 2 21" xfId="4064" xr:uid="{00000000-0005-0000-0000-000079100000}"/>
    <cellStyle name="Normal 3 10 2 21 2" xfId="5393" xr:uid="{00000000-0005-0000-0000-00007A100000}"/>
    <cellStyle name="Normal 3 10 2 22" xfId="4065" xr:uid="{00000000-0005-0000-0000-00007B100000}"/>
    <cellStyle name="Normal 3 10 2 22 2" xfId="5394" xr:uid="{00000000-0005-0000-0000-00007C100000}"/>
    <cellStyle name="Normal 3 10 2 23" xfId="4066" xr:uid="{00000000-0005-0000-0000-00007D100000}"/>
    <cellStyle name="Normal 3 10 2 23 2" xfId="5395" xr:uid="{00000000-0005-0000-0000-00007E100000}"/>
    <cellStyle name="Normal 3 10 2 24" xfId="4067" xr:uid="{00000000-0005-0000-0000-00007F100000}"/>
    <cellStyle name="Normal 3 10 2 24 2" xfId="5396" xr:uid="{00000000-0005-0000-0000-000080100000}"/>
    <cellStyle name="Normal 3 10 2 25" xfId="4068" xr:uid="{00000000-0005-0000-0000-000081100000}"/>
    <cellStyle name="Normal 3 10 2 25 2" xfId="5397" xr:uid="{00000000-0005-0000-0000-000082100000}"/>
    <cellStyle name="Normal 3 10 2 26" xfId="4069" xr:uid="{00000000-0005-0000-0000-000083100000}"/>
    <cellStyle name="Normal 3 10 2 26 2" xfId="5398" xr:uid="{00000000-0005-0000-0000-000084100000}"/>
    <cellStyle name="Normal 3 10 2 27" xfId="4070" xr:uid="{00000000-0005-0000-0000-000085100000}"/>
    <cellStyle name="Normal 3 10 2 27 2" xfId="5399" xr:uid="{00000000-0005-0000-0000-000086100000}"/>
    <cellStyle name="Normal 3 10 2 28" xfId="4071" xr:uid="{00000000-0005-0000-0000-000087100000}"/>
    <cellStyle name="Normal 3 10 2 28 2" xfId="5400" xr:uid="{00000000-0005-0000-0000-000088100000}"/>
    <cellStyle name="Normal 3 10 2 29" xfId="4072" xr:uid="{00000000-0005-0000-0000-000089100000}"/>
    <cellStyle name="Normal 3 10 2 29 2" xfId="5401" xr:uid="{00000000-0005-0000-0000-00008A100000}"/>
    <cellStyle name="Normal 3 10 2 3" xfId="4073" xr:uid="{00000000-0005-0000-0000-00008B100000}"/>
    <cellStyle name="Normal 3 10 2 3 2" xfId="5402" xr:uid="{00000000-0005-0000-0000-00008C100000}"/>
    <cellStyle name="Normal 3 10 2 30" xfId="4074" xr:uid="{00000000-0005-0000-0000-00008D100000}"/>
    <cellStyle name="Normal 3 10 2 30 2" xfId="5403" xr:uid="{00000000-0005-0000-0000-00008E100000}"/>
    <cellStyle name="Normal 3 10 2 31" xfId="4075" xr:uid="{00000000-0005-0000-0000-00008F100000}"/>
    <cellStyle name="Normal 3 10 2 31 2" xfId="5404" xr:uid="{00000000-0005-0000-0000-000090100000}"/>
    <cellStyle name="Normal 3 10 2 32" xfId="4076" xr:uid="{00000000-0005-0000-0000-000091100000}"/>
    <cellStyle name="Normal 3 10 2 32 2" xfId="5405" xr:uid="{00000000-0005-0000-0000-000092100000}"/>
    <cellStyle name="Normal 3 10 2 33" xfId="5380" xr:uid="{00000000-0005-0000-0000-000093100000}"/>
    <cellStyle name="Normal 3 10 2 4" xfId="4077" xr:uid="{00000000-0005-0000-0000-000094100000}"/>
    <cellStyle name="Normal 3 10 2 4 2" xfId="5406" xr:uid="{00000000-0005-0000-0000-000095100000}"/>
    <cellStyle name="Normal 3 10 2 5" xfId="4078" xr:uid="{00000000-0005-0000-0000-000096100000}"/>
    <cellStyle name="Normal 3 10 2 5 2" xfId="5407" xr:uid="{00000000-0005-0000-0000-000097100000}"/>
    <cellStyle name="Normal 3 10 2 6" xfId="4079" xr:uid="{00000000-0005-0000-0000-000098100000}"/>
    <cellStyle name="Normal 3 10 2 6 2" xfId="5408" xr:uid="{00000000-0005-0000-0000-000099100000}"/>
    <cellStyle name="Normal 3 10 2 7" xfId="4080" xr:uid="{00000000-0005-0000-0000-00009A100000}"/>
    <cellStyle name="Normal 3 10 2 7 2" xfId="5409" xr:uid="{00000000-0005-0000-0000-00009B100000}"/>
    <cellStyle name="Normal 3 10 2 8" xfId="4081" xr:uid="{00000000-0005-0000-0000-00009C100000}"/>
    <cellStyle name="Normal 3 10 2 8 2" xfId="5410" xr:uid="{00000000-0005-0000-0000-00009D100000}"/>
    <cellStyle name="Normal 3 10 2 9" xfId="4082" xr:uid="{00000000-0005-0000-0000-00009E100000}"/>
    <cellStyle name="Normal 3 10 2 9 2" xfId="5411" xr:uid="{00000000-0005-0000-0000-00009F100000}"/>
    <cellStyle name="Normal 3 10 20" xfId="4083" xr:uid="{00000000-0005-0000-0000-0000A0100000}"/>
    <cellStyle name="Normal 3 10 20 2" xfId="5412" xr:uid="{00000000-0005-0000-0000-0000A1100000}"/>
    <cellStyle name="Normal 3 10 21" xfId="4084" xr:uid="{00000000-0005-0000-0000-0000A2100000}"/>
    <cellStyle name="Normal 3 10 21 2" xfId="5413" xr:uid="{00000000-0005-0000-0000-0000A3100000}"/>
    <cellStyle name="Normal 3 10 22" xfId="4085" xr:uid="{00000000-0005-0000-0000-0000A4100000}"/>
    <cellStyle name="Normal 3 10 22 2" xfId="5414" xr:uid="{00000000-0005-0000-0000-0000A5100000}"/>
    <cellStyle name="Normal 3 10 23" xfId="4086" xr:uid="{00000000-0005-0000-0000-0000A6100000}"/>
    <cellStyle name="Normal 3 10 23 2" xfId="5415" xr:uid="{00000000-0005-0000-0000-0000A7100000}"/>
    <cellStyle name="Normal 3 10 24" xfId="4087" xr:uid="{00000000-0005-0000-0000-0000A8100000}"/>
    <cellStyle name="Normal 3 10 24 2" xfId="5416" xr:uid="{00000000-0005-0000-0000-0000A9100000}"/>
    <cellStyle name="Normal 3 10 25" xfId="4088" xr:uid="{00000000-0005-0000-0000-0000AA100000}"/>
    <cellStyle name="Normal 3 10 25 2" xfId="5417" xr:uid="{00000000-0005-0000-0000-0000AB100000}"/>
    <cellStyle name="Normal 3 10 26" xfId="4089" xr:uid="{00000000-0005-0000-0000-0000AC100000}"/>
    <cellStyle name="Normal 3 10 26 2" xfId="5418" xr:uid="{00000000-0005-0000-0000-0000AD100000}"/>
    <cellStyle name="Normal 3 10 27" xfId="4090" xr:uid="{00000000-0005-0000-0000-0000AE100000}"/>
    <cellStyle name="Normal 3 10 27 2" xfId="5419" xr:uid="{00000000-0005-0000-0000-0000AF100000}"/>
    <cellStyle name="Normal 3 10 28" xfId="4091" xr:uid="{00000000-0005-0000-0000-0000B0100000}"/>
    <cellStyle name="Normal 3 10 28 2" xfId="5420" xr:uid="{00000000-0005-0000-0000-0000B1100000}"/>
    <cellStyle name="Normal 3 10 29" xfId="4092" xr:uid="{00000000-0005-0000-0000-0000B2100000}"/>
    <cellStyle name="Normal 3 10 29 2" xfId="5421" xr:uid="{00000000-0005-0000-0000-0000B3100000}"/>
    <cellStyle name="Normal 3 10 3" xfId="4093" xr:uid="{00000000-0005-0000-0000-0000B4100000}"/>
    <cellStyle name="Normal 3 10 3 2" xfId="5422" xr:uid="{00000000-0005-0000-0000-0000B5100000}"/>
    <cellStyle name="Normal 3 10 30" xfId="4094" xr:uid="{00000000-0005-0000-0000-0000B6100000}"/>
    <cellStyle name="Normal 3 10 30 2" xfId="5423" xr:uid="{00000000-0005-0000-0000-0000B7100000}"/>
    <cellStyle name="Normal 3 10 31" xfId="4095" xr:uid="{00000000-0005-0000-0000-0000B8100000}"/>
    <cellStyle name="Normal 3 10 31 2" xfId="5424" xr:uid="{00000000-0005-0000-0000-0000B9100000}"/>
    <cellStyle name="Normal 3 10 32" xfId="4096" xr:uid="{00000000-0005-0000-0000-0000BA100000}"/>
    <cellStyle name="Normal 3 10 32 2" xfId="5425" xr:uid="{00000000-0005-0000-0000-0000BB100000}"/>
    <cellStyle name="Normal 3 10 33" xfId="4097" xr:uid="{00000000-0005-0000-0000-0000BC100000}"/>
    <cellStyle name="Normal 3 10 33 2" xfId="5426" xr:uid="{00000000-0005-0000-0000-0000BD100000}"/>
    <cellStyle name="Normal 3 10 34" xfId="4098" xr:uid="{00000000-0005-0000-0000-0000BE100000}"/>
    <cellStyle name="Normal 3 10 34 2" xfId="5427" xr:uid="{00000000-0005-0000-0000-0000BF100000}"/>
    <cellStyle name="Normal 3 10 35" xfId="5369" xr:uid="{00000000-0005-0000-0000-0000C0100000}"/>
    <cellStyle name="Normal 3 10 4" xfId="4099" xr:uid="{00000000-0005-0000-0000-0000C1100000}"/>
    <cellStyle name="Normal 3 10 4 2" xfId="5428" xr:uid="{00000000-0005-0000-0000-0000C2100000}"/>
    <cellStyle name="Normal 3 10 5" xfId="4100" xr:uid="{00000000-0005-0000-0000-0000C3100000}"/>
    <cellStyle name="Normal 3 10 5 2" xfId="5429" xr:uid="{00000000-0005-0000-0000-0000C4100000}"/>
    <cellStyle name="Normal 3 10 6" xfId="4101" xr:uid="{00000000-0005-0000-0000-0000C5100000}"/>
    <cellStyle name="Normal 3 10 6 2" xfId="5430" xr:uid="{00000000-0005-0000-0000-0000C6100000}"/>
    <cellStyle name="Normal 3 10 7" xfId="4102" xr:uid="{00000000-0005-0000-0000-0000C7100000}"/>
    <cellStyle name="Normal 3 10 7 2" xfId="5431" xr:uid="{00000000-0005-0000-0000-0000C8100000}"/>
    <cellStyle name="Normal 3 10 8" xfId="4103" xr:uid="{00000000-0005-0000-0000-0000C9100000}"/>
    <cellStyle name="Normal 3 10 8 2" xfId="5432" xr:uid="{00000000-0005-0000-0000-0000CA100000}"/>
    <cellStyle name="Normal 3 10 9" xfId="4104" xr:uid="{00000000-0005-0000-0000-0000CB100000}"/>
    <cellStyle name="Normal 3 10 9 2" xfId="5433" xr:uid="{00000000-0005-0000-0000-0000CC100000}"/>
    <cellStyle name="Normal 3 11" xfId="4105" xr:uid="{00000000-0005-0000-0000-0000CD100000}"/>
    <cellStyle name="Normal 3 11 10" xfId="4106" xr:uid="{00000000-0005-0000-0000-0000CE100000}"/>
    <cellStyle name="Normal 3 11 10 2" xfId="5435" xr:uid="{00000000-0005-0000-0000-0000CF100000}"/>
    <cellStyle name="Normal 3 11 11" xfId="4107" xr:uid="{00000000-0005-0000-0000-0000D0100000}"/>
    <cellStyle name="Normal 3 11 11 2" xfId="5436" xr:uid="{00000000-0005-0000-0000-0000D1100000}"/>
    <cellStyle name="Normal 3 11 12" xfId="4108" xr:uid="{00000000-0005-0000-0000-0000D2100000}"/>
    <cellStyle name="Normal 3 11 12 2" xfId="5437" xr:uid="{00000000-0005-0000-0000-0000D3100000}"/>
    <cellStyle name="Normal 3 11 13" xfId="4109" xr:uid="{00000000-0005-0000-0000-0000D4100000}"/>
    <cellStyle name="Normal 3 11 13 2" xfId="5438" xr:uid="{00000000-0005-0000-0000-0000D5100000}"/>
    <cellStyle name="Normal 3 11 14" xfId="4110" xr:uid="{00000000-0005-0000-0000-0000D6100000}"/>
    <cellStyle name="Normal 3 11 14 2" xfId="5439" xr:uid="{00000000-0005-0000-0000-0000D7100000}"/>
    <cellStyle name="Normal 3 11 15" xfId="4111" xr:uid="{00000000-0005-0000-0000-0000D8100000}"/>
    <cellStyle name="Normal 3 11 15 2" xfId="5440" xr:uid="{00000000-0005-0000-0000-0000D9100000}"/>
    <cellStyle name="Normal 3 11 16" xfId="4112" xr:uid="{00000000-0005-0000-0000-0000DA100000}"/>
    <cellStyle name="Normal 3 11 16 2" xfId="5441" xr:uid="{00000000-0005-0000-0000-0000DB100000}"/>
    <cellStyle name="Normal 3 11 17" xfId="4113" xr:uid="{00000000-0005-0000-0000-0000DC100000}"/>
    <cellStyle name="Normal 3 11 17 2" xfId="5442" xr:uid="{00000000-0005-0000-0000-0000DD100000}"/>
    <cellStyle name="Normal 3 11 18" xfId="4114" xr:uid="{00000000-0005-0000-0000-0000DE100000}"/>
    <cellStyle name="Normal 3 11 18 2" xfId="5443" xr:uid="{00000000-0005-0000-0000-0000DF100000}"/>
    <cellStyle name="Normal 3 11 19" xfId="4115" xr:uid="{00000000-0005-0000-0000-0000E0100000}"/>
    <cellStyle name="Normal 3 11 19 2" xfId="5444" xr:uid="{00000000-0005-0000-0000-0000E1100000}"/>
    <cellStyle name="Normal 3 11 2" xfId="4116" xr:uid="{00000000-0005-0000-0000-0000E2100000}"/>
    <cellStyle name="Normal 3 11 2 10" xfId="4117" xr:uid="{00000000-0005-0000-0000-0000E3100000}"/>
    <cellStyle name="Normal 3 11 2 10 2" xfId="5446" xr:uid="{00000000-0005-0000-0000-0000E4100000}"/>
    <cellStyle name="Normal 3 11 2 11" xfId="4118" xr:uid="{00000000-0005-0000-0000-0000E5100000}"/>
    <cellStyle name="Normal 3 11 2 11 2" xfId="5447" xr:uid="{00000000-0005-0000-0000-0000E6100000}"/>
    <cellStyle name="Normal 3 11 2 12" xfId="4119" xr:uid="{00000000-0005-0000-0000-0000E7100000}"/>
    <cellStyle name="Normal 3 11 2 12 2" xfId="5448" xr:uid="{00000000-0005-0000-0000-0000E8100000}"/>
    <cellStyle name="Normal 3 11 2 13" xfId="4120" xr:uid="{00000000-0005-0000-0000-0000E9100000}"/>
    <cellStyle name="Normal 3 11 2 13 2" xfId="5449" xr:uid="{00000000-0005-0000-0000-0000EA100000}"/>
    <cellStyle name="Normal 3 11 2 14" xfId="4121" xr:uid="{00000000-0005-0000-0000-0000EB100000}"/>
    <cellStyle name="Normal 3 11 2 14 2" xfId="5450" xr:uid="{00000000-0005-0000-0000-0000EC100000}"/>
    <cellStyle name="Normal 3 11 2 15" xfId="4122" xr:uid="{00000000-0005-0000-0000-0000ED100000}"/>
    <cellStyle name="Normal 3 11 2 15 2" xfId="5451" xr:uid="{00000000-0005-0000-0000-0000EE100000}"/>
    <cellStyle name="Normal 3 11 2 16" xfId="4123" xr:uid="{00000000-0005-0000-0000-0000EF100000}"/>
    <cellStyle name="Normal 3 11 2 16 2" xfId="5452" xr:uid="{00000000-0005-0000-0000-0000F0100000}"/>
    <cellStyle name="Normal 3 11 2 17" xfId="4124" xr:uid="{00000000-0005-0000-0000-0000F1100000}"/>
    <cellStyle name="Normal 3 11 2 17 2" xfId="5453" xr:uid="{00000000-0005-0000-0000-0000F2100000}"/>
    <cellStyle name="Normal 3 11 2 18" xfId="4125" xr:uid="{00000000-0005-0000-0000-0000F3100000}"/>
    <cellStyle name="Normal 3 11 2 18 2" xfId="5454" xr:uid="{00000000-0005-0000-0000-0000F4100000}"/>
    <cellStyle name="Normal 3 11 2 19" xfId="4126" xr:uid="{00000000-0005-0000-0000-0000F5100000}"/>
    <cellStyle name="Normal 3 11 2 19 2" xfId="5455" xr:uid="{00000000-0005-0000-0000-0000F6100000}"/>
    <cellStyle name="Normal 3 11 2 2" xfId="4127" xr:uid="{00000000-0005-0000-0000-0000F7100000}"/>
    <cellStyle name="Normal 3 11 2 2 2" xfId="5456" xr:uid="{00000000-0005-0000-0000-0000F8100000}"/>
    <cellStyle name="Normal 3 11 2 20" xfId="4128" xr:uid="{00000000-0005-0000-0000-0000F9100000}"/>
    <cellStyle name="Normal 3 11 2 20 2" xfId="5457" xr:uid="{00000000-0005-0000-0000-0000FA100000}"/>
    <cellStyle name="Normal 3 11 2 21" xfId="4129" xr:uid="{00000000-0005-0000-0000-0000FB100000}"/>
    <cellStyle name="Normal 3 11 2 21 2" xfId="5458" xr:uid="{00000000-0005-0000-0000-0000FC100000}"/>
    <cellStyle name="Normal 3 11 2 22" xfId="4130" xr:uid="{00000000-0005-0000-0000-0000FD100000}"/>
    <cellStyle name="Normal 3 11 2 22 2" xfId="5459" xr:uid="{00000000-0005-0000-0000-0000FE100000}"/>
    <cellStyle name="Normal 3 11 2 23" xfId="4131" xr:uid="{00000000-0005-0000-0000-0000FF100000}"/>
    <cellStyle name="Normal 3 11 2 23 2" xfId="5460" xr:uid="{00000000-0005-0000-0000-000000110000}"/>
    <cellStyle name="Normal 3 11 2 24" xfId="4132" xr:uid="{00000000-0005-0000-0000-000001110000}"/>
    <cellStyle name="Normal 3 11 2 24 2" xfId="5461" xr:uid="{00000000-0005-0000-0000-000002110000}"/>
    <cellStyle name="Normal 3 11 2 25" xfId="4133" xr:uid="{00000000-0005-0000-0000-000003110000}"/>
    <cellStyle name="Normal 3 11 2 25 2" xfId="5462" xr:uid="{00000000-0005-0000-0000-000004110000}"/>
    <cellStyle name="Normal 3 11 2 26" xfId="4134" xr:uid="{00000000-0005-0000-0000-000005110000}"/>
    <cellStyle name="Normal 3 11 2 26 2" xfId="5463" xr:uid="{00000000-0005-0000-0000-000006110000}"/>
    <cellStyle name="Normal 3 11 2 27" xfId="4135" xr:uid="{00000000-0005-0000-0000-000007110000}"/>
    <cellStyle name="Normal 3 11 2 27 2" xfId="5464" xr:uid="{00000000-0005-0000-0000-000008110000}"/>
    <cellStyle name="Normal 3 11 2 28" xfId="4136" xr:uid="{00000000-0005-0000-0000-000009110000}"/>
    <cellStyle name="Normal 3 11 2 28 2" xfId="5465" xr:uid="{00000000-0005-0000-0000-00000A110000}"/>
    <cellStyle name="Normal 3 11 2 29" xfId="4137" xr:uid="{00000000-0005-0000-0000-00000B110000}"/>
    <cellStyle name="Normal 3 11 2 29 2" xfId="5466" xr:uid="{00000000-0005-0000-0000-00000C110000}"/>
    <cellStyle name="Normal 3 11 2 3" xfId="4138" xr:uid="{00000000-0005-0000-0000-00000D110000}"/>
    <cellStyle name="Normal 3 11 2 3 2" xfId="5467" xr:uid="{00000000-0005-0000-0000-00000E110000}"/>
    <cellStyle name="Normal 3 11 2 30" xfId="4139" xr:uid="{00000000-0005-0000-0000-00000F110000}"/>
    <cellStyle name="Normal 3 11 2 30 2" xfId="5468" xr:uid="{00000000-0005-0000-0000-000010110000}"/>
    <cellStyle name="Normal 3 11 2 31" xfId="4140" xr:uid="{00000000-0005-0000-0000-000011110000}"/>
    <cellStyle name="Normal 3 11 2 31 2" xfId="5469" xr:uid="{00000000-0005-0000-0000-000012110000}"/>
    <cellStyle name="Normal 3 11 2 32" xfId="4141" xr:uid="{00000000-0005-0000-0000-000013110000}"/>
    <cellStyle name="Normal 3 11 2 32 2" xfId="5470" xr:uid="{00000000-0005-0000-0000-000014110000}"/>
    <cellStyle name="Normal 3 11 2 33" xfId="5445" xr:uid="{00000000-0005-0000-0000-000015110000}"/>
    <cellStyle name="Normal 3 11 2 4" xfId="4142" xr:uid="{00000000-0005-0000-0000-000016110000}"/>
    <cellStyle name="Normal 3 11 2 4 2" xfId="5471" xr:uid="{00000000-0005-0000-0000-000017110000}"/>
    <cellStyle name="Normal 3 11 2 5" xfId="4143" xr:uid="{00000000-0005-0000-0000-000018110000}"/>
    <cellStyle name="Normal 3 11 2 5 2" xfId="5472" xr:uid="{00000000-0005-0000-0000-000019110000}"/>
    <cellStyle name="Normal 3 11 2 6" xfId="4144" xr:uid="{00000000-0005-0000-0000-00001A110000}"/>
    <cellStyle name="Normal 3 11 2 6 2" xfId="5473" xr:uid="{00000000-0005-0000-0000-00001B110000}"/>
    <cellStyle name="Normal 3 11 2 7" xfId="4145" xr:uid="{00000000-0005-0000-0000-00001C110000}"/>
    <cellStyle name="Normal 3 11 2 7 2" xfId="5474" xr:uid="{00000000-0005-0000-0000-00001D110000}"/>
    <cellStyle name="Normal 3 11 2 8" xfId="4146" xr:uid="{00000000-0005-0000-0000-00001E110000}"/>
    <cellStyle name="Normal 3 11 2 8 2" xfId="5475" xr:uid="{00000000-0005-0000-0000-00001F110000}"/>
    <cellStyle name="Normal 3 11 2 9" xfId="4147" xr:uid="{00000000-0005-0000-0000-000020110000}"/>
    <cellStyle name="Normal 3 11 2 9 2" xfId="5476" xr:uid="{00000000-0005-0000-0000-000021110000}"/>
    <cellStyle name="Normal 3 11 20" xfId="4148" xr:uid="{00000000-0005-0000-0000-000022110000}"/>
    <cellStyle name="Normal 3 11 20 2" xfId="5477" xr:uid="{00000000-0005-0000-0000-000023110000}"/>
    <cellStyle name="Normal 3 11 21" xfId="4149" xr:uid="{00000000-0005-0000-0000-000024110000}"/>
    <cellStyle name="Normal 3 11 21 2" xfId="5478" xr:uid="{00000000-0005-0000-0000-000025110000}"/>
    <cellStyle name="Normal 3 11 22" xfId="4150" xr:uid="{00000000-0005-0000-0000-000026110000}"/>
    <cellStyle name="Normal 3 11 22 2" xfId="5479" xr:uid="{00000000-0005-0000-0000-000027110000}"/>
    <cellStyle name="Normal 3 11 23" xfId="4151" xr:uid="{00000000-0005-0000-0000-000028110000}"/>
    <cellStyle name="Normal 3 11 23 2" xfId="5480" xr:uid="{00000000-0005-0000-0000-000029110000}"/>
    <cellStyle name="Normal 3 11 24" xfId="4152" xr:uid="{00000000-0005-0000-0000-00002A110000}"/>
    <cellStyle name="Normal 3 11 24 2" xfId="5481" xr:uid="{00000000-0005-0000-0000-00002B110000}"/>
    <cellStyle name="Normal 3 11 25" xfId="4153" xr:uid="{00000000-0005-0000-0000-00002C110000}"/>
    <cellStyle name="Normal 3 11 25 2" xfId="5482" xr:uid="{00000000-0005-0000-0000-00002D110000}"/>
    <cellStyle name="Normal 3 11 26" xfId="4154" xr:uid="{00000000-0005-0000-0000-00002E110000}"/>
    <cellStyle name="Normal 3 11 26 2" xfId="5483" xr:uid="{00000000-0005-0000-0000-00002F110000}"/>
    <cellStyle name="Normal 3 11 27" xfId="4155" xr:uid="{00000000-0005-0000-0000-000030110000}"/>
    <cellStyle name="Normal 3 11 27 2" xfId="5484" xr:uid="{00000000-0005-0000-0000-000031110000}"/>
    <cellStyle name="Normal 3 11 28" xfId="4156" xr:uid="{00000000-0005-0000-0000-000032110000}"/>
    <cellStyle name="Normal 3 11 28 2" xfId="5485" xr:uid="{00000000-0005-0000-0000-000033110000}"/>
    <cellStyle name="Normal 3 11 29" xfId="4157" xr:uid="{00000000-0005-0000-0000-000034110000}"/>
    <cellStyle name="Normal 3 11 29 2" xfId="5486" xr:uid="{00000000-0005-0000-0000-000035110000}"/>
    <cellStyle name="Normal 3 11 3" xfId="4158" xr:uid="{00000000-0005-0000-0000-000036110000}"/>
    <cellStyle name="Normal 3 11 3 2" xfId="5487" xr:uid="{00000000-0005-0000-0000-000037110000}"/>
    <cellStyle name="Normal 3 11 30" xfId="4159" xr:uid="{00000000-0005-0000-0000-000038110000}"/>
    <cellStyle name="Normal 3 11 30 2" xfId="5488" xr:uid="{00000000-0005-0000-0000-000039110000}"/>
    <cellStyle name="Normal 3 11 31" xfId="4160" xr:uid="{00000000-0005-0000-0000-00003A110000}"/>
    <cellStyle name="Normal 3 11 31 2" xfId="5489" xr:uid="{00000000-0005-0000-0000-00003B110000}"/>
    <cellStyle name="Normal 3 11 32" xfId="4161" xr:uid="{00000000-0005-0000-0000-00003C110000}"/>
    <cellStyle name="Normal 3 11 32 2" xfId="5490" xr:uid="{00000000-0005-0000-0000-00003D110000}"/>
    <cellStyle name="Normal 3 11 33" xfId="4162" xr:uid="{00000000-0005-0000-0000-00003E110000}"/>
    <cellStyle name="Normal 3 11 33 2" xfId="5491" xr:uid="{00000000-0005-0000-0000-00003F110000}"/>
    <cellStyle name="Normal 3 11 34" xfId="4163" xr:uid="{00000000-0005-0000-0000-000040110000}"/>
    <cellStyle name="Normal 3 11 34 2" xfId="5492" xr:uid="{00000000-0005-0000-0000-000041110000}"/>
    <cellStyle name="Normal 3 11 35" xfId="5434" xr:uid="{00000000-0005-0000-0000-000042110000}"/>
    <cellStyle name="Normal 3 11 4" xfId="4164" xr:uid="{00000000-0005-0000-0000-000043110000}"/>
    <cellStyle name="Normal 3 11 4 2" xfId="5493" xr:uid="{00000000-0005-0000-0000-000044110000}"/>
    <cellStyle name="Normal 3 11 5" xfId="4165" xr:uid="{00000000-0005-0000-0000-000045110000}"/>
    <cellStyle name="Normal 3 11 5 2" xfId="5494" xr:uid="{00000000-0005-0000-0000-000046110000}"/>
    <cellStyle name="Normal 3 11 6" xfId="4166" xr:uid="{00000000-0005-0000-0000-000047110000}"/>
    <cellStyle name="Normal 3 11 6 2" xfId="5495" xr:uid="{00000000-0005-0000-0000-000048110000}"/>
    <cellStyle name="Normal 3 11 7" xfId="4167" xr:uid="{00000000-0005-0000-0000-000049110000}"/>
    <cellStyle name="Normal 3 11 7 2" xfId="5496" xr:uid="{00000000-0005-0000-0000-00004A110000}"/>
    <cellStyle name="Normal 3 11 8" xfId="4168" xr:uid="{00000000-0005-0000-0000-00004B110000}"/>
    <cellStyle name="Normal 3 11 8 2" xfId="5497" xr:uid="{00000000-0005-0000-0000-00004C110000}"/>
    <cellStyle name="Normal 3 11 9" xfId="4169" xr:uid="{00000000-0005-0000-0000-00004D110000}"/>
    <cellStyle name="Normal 3 11 9 2" xfId="5498" xr:uid="{00000000-0005-0000-0000-00004E110000}"/>
    <cellStyle name="Normal 3 12" xfId="4170" xr:uid="{00000000-0005-0000-0000-00004F110000}"/>
    <cellStyle name="Normal 3 12 10" xfId="4171" xr:uid="{00000000-0005-0000-0000-000050110000}"/>
    <cellStyle name="Normal 3 12 10 2" xfId="5500" xr:uid="{00000000-0005-0000-0000-000051110000}"/>
    <cellStyle name="Normal 3 12 11" xfId="4172" xr:uid="{00000000-0005-0000-0000-000052110000}"/>
    <cellStyle name="Normal 3 12 11 2" xfId="5501" xr:uid="{00000000-0005-0000-0000-000053110000}"/>
    <cellStyle name="Normal 3 12 12" xfId="4173" xr:uid="{00000000-0005-0000-0000-000054110000}"/>
    <cellStyle name="Normal 3 12 12 2" xfId="5502" xr:uid="{00000000-0005-0000-0000-000055110000}"/>
    <cellStyle name="Normal 3 12 13" xfId="4174" xr:uid="{00000000-0005-0000-0000-000056110000}"/>
    <cellStyle name="Normal 3 12 13 2" xfId="5503" xr:uid="{00000000-0005-0000-0000-000057110000}"/>
    <cellStyle name="Normal 3 12 14" xfId="4175" xr:uid="{00000000-0005-0000-0000-000058110000}"/>
    <cellStyle name="Normal 3 12 14 2" xfId="5504" xr:uid="{00000000-0005-0000-0000-000059110000}"/>
    <cellStyle name="Normal 3 12 15" xfId="4176" xr:uid="{00000000-0005-0000-0000-00005A110000}"/>
    <cellStyle name="Normal 3 12 15 2" xfId="5505" xr:uid="{00000000-0005-0000-0000-00005B110000}"/>
    <cellStyle name="Normal 3 12 16" xfId="4177" xr:uid="{00000000-0005-0000-0000-00005C110000}"/>
    <cellStyle name="Normal 3 12 16 2" xfId="5506" xr:uid="{00000000-0005-0000-0000-00005D110000}"/>
    <cellStyle name="Normal 3 12 17" xfId="4178" xr:uid="{00000000-0005-0000-0000-00005E110000}"/>
    <cellStyle name="Normal 3 12 17 2" xfId="5507" xr:uid="{00000000-0005-0000-0000-00005F110000}"/>
    <cellStyle name="Normal 3 12 18" xfId="4179" xr:uid="{00000000-0005-0000-0000-000060110000}"/>
    <cellStyle name="Normal 3 12 18 2" xfId="5508" xr:uid="{00000000-0005-0000-0000-000061110000}"/>
    <cellStyle name="Normal 3 12 19" xfId="4180" xr:uid="{00000000-0005-0000-0000-000062110000}"/>
    <cellStyle name="Normal 3 12 19 2" xfId="5509" xr:uid="{00000000-0005-0000-0000-000063110000}"/>
    <cellStyle name="Normal 3 12 2" xfId="4181" xr:uid="{00000000-0005-0000-0000-000064110000}"/>
    <cellStyle name="Normal 3 12 2 10" xfId="4182" xr:uid="{00000000-0005-0000-0000-000065110000}"/>
    <cellStyle name="Normal 3 12 2 10 2" xfId="5511" xr:uid="{00000000-0005-0000-0000-000066110000}"/>
    <cellStyle name="Normal 3 12 2 11" xfId="4183" xr:uid="{00000000-0005-0000-0000-000067110000}"/>
    <cellStyle name="Normal 3 12 2 11 2" xfId="5512" xr:uid="{00000000-0005-0000-0000-000068110000}"/>
    <cellStyle name="Normal 3 12 2 12" xfId="4184" xr:uid="{00000000-0005-0000-0000-000069110000}"/>
    <cellStyle name="Normal 3 12 2 12 2" xfId="5513" xr:uid="{00000000-0005-0000-0000-00006A110000}"/>
    <cellStyle name="Normal 3 12 2 13" xfId="4185" xr:uid="{00000000-0005-0000-0000-00006B110000}"/>
    <cellStyle name="Normal 3 12 2 13 2" xfId="5514" xr:uid="{00000000-0005-0000-0000-00006C110000}"/>
    <cellStyle name="Normal 3 12 2 14" xfId="4186" xr:uid="{00000000-0005-0000-0000-00006D110000}"/>
    <cellStyle name="Normal 3 12 2 14 2" xfId="5515" xr:uid="{00000000-0005-0000-0000-00006E110000}"/>
    <cellStyle name="Normal 3 12 2 15" xfId="4187" xr:uid="{00000000-0005-0000-0000-00006F110000}"/>
    <cellStyle name="Normal 3 12 2 15 2" xfId="5516" xr:uid="{00000000-0005-0000-0000-000070110000}"/>
    <cellStyle name="Normal 3 12 2 16" xfId="4188" xr:uid="{00000000-0005-0000-0000-000071110000}"/>
    <cellStyle name="Normal 3 12 2 16 2" xfId="5517" xr:uid="{00000000-0005-0000-0000-000072110000}"/>
    <cellStyle name="Normal 3 12 2 17" xfId="4189" xr:uid="{00000000-0005-0000-0000-000073110000}"/>
    <cellStyle name="Normal 3 12 2 17 2" xfId="5518" xr:uid="{00000000-0005-0000-0000-000074110000}"/>
    <cellStyle name="Normal 3 12 2 18" xfId="4190" xr:uid="{00000000-0005-0000-0000-000075110000}"/>
    <cellStyle name="Normal 3 12 2 18 2" xfId="5519" xr:uid="{00000000-0005-0000-0000-000076110000}"/>
    <cellStyle name="Normal 3 12 2 19" xfId="4191" xr:uid="{00000000-0005-0000-0000-000077110000}"/>
    <cellStyle name="Normal 3 12 2 19 2" xfId="5520" xr:uid="{00000000-0005-0000-0000-000078110000}"/>
    <cellStyle name="Normal 3 12 2 2" xfId="4192" xr:uid="{00000000-0005-0000-0000-000079110000}"/>
    <cellStyle name="Normal 3 12 2 2 2" xfId="5521" xr:uid="{00000000-0005-0000-0000-00007A110000}"/>
    <cellStyle name="Normal 3 12 2 20" xfId="4193" xr:uid="{00000000-0005-0000-0000-00007B110000}"/>
    <cellStyle name="Normal 3 12 2 20 2" xfId="5522" xr:uid="{00000000-0005-0000-0000-00007C110000}"/>
    <cellStyle name="Normal 3 12 2 21" xfId="4194" xr:uid="{00000000-0005-0000-0000-00007D110000}"/>
    <cellStyle name="Normal 3 12 2 21 2" xfId="5523" xr:uid="{00000000-0005-0000-0000-00007E110000}"/>
    <cellStyle name="Normal 3 12 2 22" xfId="4195" xr:uid="{00000000-0005-0000-0000-00007F110000}"/>
    <cellStyle name="Normal 3 12 2 22 2" xfId="5524" xr:uid="{00000000-0005-0000-0000-000080110000}"/>
    <cellStyle name="Normal 3 12 2 23" xfId="4196" xr:uid="{00000000-0005-0000-0000-000081110000}"/>
    <cellStyle name="Normal 3 12 2 23 2" xfId="5525" xr:uid="{00000000-0005-0000-0000-000082110000}"/>
    <cellStyle name="Normal 3 12 2 24" xfId="4197" xr:uid="{00000000-0005-0000-0000-000083110000}"/>
    <cellStyle name="Normal 3 12 2 24 2" xfId="5526" xr:uid="{00000000-0005-0000-0000-000084110000}"/>
    <cellStyle name="Normal 3 12 2 25" xfId="4198" xr:uid="{00000000-0005-0000-0000-000085110000}"/>
    <cellStyle name="Normal 3 12 2 25 2" xfId="5527" xr:uid="{00000000-0005-0000-0000-000086110000}"/>
    <cellStyle name="Normal 3 12 2 26" xfId="4199" xr:uid="{00000000-0005-0000-0000-000087110000}"/>
    <cellStyle name="Normal 3 12 2 26 2" xfId="5528" xr:uid="{00000000-0005-0000-0000-000088110000}"/>
    <cellStyle name="Normal 3 12 2 27" xfId="4200" xr:uid="{00000000-0005-0000-0000-000089110000}"/>
    <cellStyle name="Normal 3 12 2 27 2" xfId="5529" xr:uid="{00000000-0005-0000-0000-00008A110000}"/>
    <cellStyle name="Normal 3 12 2 28" xfId="4201" xr:uid="{00000000-0005-0000-0000-00008B110000}"/>
    <cellStyle name="Normal 3 12 2 28 2" xfId="5530" xr:uid="{00000000-0005-0000-0000-00008C110000}"/>
    <cellStyle name="Normal 3 12 2 29" xfId="4202" xr:uid="{00000000-0005-0000-0000-00008D110000}"/>
    <cellStyle name="Normal 3 12 2 29 2" xfId="5531" xr:uid="{00000000-0005-0000-0000-00008E110000}"/>
    <cellStyle name="Normal 3 12 2 3" xfId="4203" xr:uid="{00000000-0005-0000-0000-00008F110000}"/>
    <cellStyle name="Normal 3 12 2 3 2" xfId="5532" xr:uid="{00000000-0005-0000-0000-000090110000}"/>
    <cellStyle name="Normal 3 12 2 30" xfId="4204" xr:uid="{00000000-0005-0000-0000-000091110000}"/>
    <cellStyle name="Normal 3 12 2 30 2" xfId="5533" xr:uid="{00000000-0005-0000-0000-000092110000}"/>
    <cellStyle name="Normal 3 12 2 31" xfId="4205" xr:uid="{00000000-0005-0000-0000-000093110000}"/>
    <cellStyle name="Normal 3 12 2 31 2" xfId="5534" xr:uid="{00000000-0005-0000-0000-000094110000}"/>
    <cellStyle name="Normal 3 12 2 32" xfId="4206" xr:uid="{00000000-0005-0000-0000-000095110000}"/>
    <cellStyle name="Normal 3 12 2 32 2" xfId="5535" xr:uid="{00000000-0005-0000-0000-000096110000}"/>
    <cellStyle name="Normal 3 12 2 33" xfId="5510" xr:uid="{00000000-0005-0000-0000-000097110000}"/>
    <cellStyle name="Normal 3 12 2 4" xfId="4207" xr:uid="{00000000-0005-0000-0000-000098110000}"/>
    <cellStyle name="Normal 3 12 2 4 2" xfId="5536" xr:uid="{00000000-0005-0000-0000-000099110000}"/>
    <cellStyle name="Normal 3 12 2 5" xfId="4208" xr:uid="{00000000-0005-0000-0000-00009A110000}"/>
    <cellStyle name="Normal 3 12 2 5 2" xfId="5537" xr:uid="{00000000-0005-0000-0000-00009B110000}"/>
    <cellStyle name="Normal 3 12 2 6" xfId="4209" xr:uid="{00000000-0005-0000-0000-00009C110000}"/>
    <cellStyle name="Normal 3 12 2 6 2" xfId="5538" xr:uid="{00000000-0005-0000-0000-00009D110000}"/>
    <cellStyle name="Normal 3 12 2 7" xfId="4210" xr:uid="{00000000-0005-0000-0000-00009E110000}"/>
    <cellStyle name="Normal 3 12 2 7 2" xfId="5539" xr:uid="{00000000-0005-0000-0000-00009F110000}"/>
    <cellStyle name="Normal 3 12 2 8" xfId="4211" xr:uid="{00000000-0005-0000-0000-0000A0110000}"/>
    <cellStyle name="Normal 3 12 2 8 2" xfId="5540" xr:uid="{00000000-0005-0000-0000-0000A1110000}"/>
    <cellStyle name="Normal 3 12 2 9" xfId="4212" xr:uid="{00000000-0005-0000-0000-0000A2110000}"/>
    <cellStyle name="Normal 3 12 2 9 2" xfId="5541" xr:uid="{00000000-0005-0000-0000-0000A3110000}"/>
    <cellStyle name="Normal 3 12 20" xfId="4213" xr:uid="{00000000-0005-0000-0000-0000A4110000}"/>
    <cellStyle name="Normal 3 12 20 2" xfId="5542" xr:uid="{00000000-0005-0000-0000-0000A5110000}"/>
    <cellStyle name="Normal 3 12 21" xfId="4214" xr:uid="{00000000-0005-0000-0000-0000A6110000}"/>
    <cellStyle name="Normal 3 12 21 2" xfId="5543" xr:uid="{00000000-0005-0000-0000-0000A7110000}"/>
    <cellStyle name="Normal 3 12 22" xfId="4215" xr:uid="{00000000-0005-0000-0000-0000A8110000}"/>
    <cellStyle name="Normal 3 12 22 2" xfId="5544" xr:uid="{00000000-0005-0000-0000-0000A9110000}"/>
    <cellStyle name="Normal 3 12 23" xfId="4216" xr:uid="{00000000-0005-0000-0000-0000AA110000}"/>
    <cellStyle name="Normal 3 12 23 2" xfId="5545" xr:uid="{00000000-0005-0000-0000-0000AB110000}"/>
    <cellStyle name="Normal 3 12 24" xfId="4217" xr:uid="{00000000-0005-0000-0000-0000AC110000}"/>
    <cellStyle name="Normal 3 12 24 2" xfId="5546" xr:uid="{00000000-0005-0000-0000-0000AD110000}"/>
    <cellStyle name="Normal 3 12 25" xfId="4218" xr:uid="{00000000-0005-0000-0000-0000AE110000}"/>
    <cellStyle name="Normal 3 12 25 2" xfId="5547" xr:uid="{00000000-0005-0000-0000-0000AF110000}"/>
    <cellStyle name="Normal 3 12 26" xfId="4219" xr:uid="{00000000-0005-0000-0000-0000B0110000}"/>
    <cellStyle name="Normal 3 12 26 2" xfId="5548" xr:uid="{00000000-0005-0000-0000-0000B1110000}"/>
    <cellStyle name="Normal 3 12 27" xfId="4220" xr:uid="{00000000-0005-0000-0000-0000B2110000}"/>
    <cellStyle name="Normal 3 12 27 2" xfId="5549" xr:uid="{00000000-0005-0000-0000-0000B3110000}"/>
    <cellStyle name="Normal 3 12 28" xfId="4221" xr:uid="{00000000-0005-0000-0000-0000B4110000}"/>
    <cellStyle name="Normal 3 12 28 2" xfId="5550" xr:uid="{00000000-0005-0000-0000-0000B5110000}"/>
    <cellStyle name="Normal 3 12 29" xfId="4222" xr:uid="{00000000-0005-0000-0000-0000B6110000}"/>
    <cellStyle name="Normal 3 12 29 2" xfId="5551" xr:uid="{00000000-0005-0000-0000-0000B7110000}"/>
    <cellStyle name="Normal 3 12 3" xfId="4223" xr:uid="{00000000-0005-0000-0000-0000B8110000}"/>
    <cellStyle name="Normal 3 12 3 2" xfId="5552" xr:uid="{00000000-0005-0000-0000-0000B9110000}"/>
    <cellStyle name="Normal 3 12 30" xfId="4224" xr:uid="{00000000-0005-0000-0000-0000BA110000}"/>
    <cellStyle name="Normal 3 12 30 2" xfId="5553" xr:uid="{00000000-0005-0000-0000-0000BB110000}"/>
    <cellStyle name="Normal 3 12 31" xfId="4225" xr:uid="{00000000-0005-0000-0000-0000BC110000}"/>
    <cellStyle name="Normal 3 12 31 2" xfId="5554" xr:uid="{00000000-0005-0000-0000-0000BD110000}"/>
    <cellStyle name="Normal 3 12 32" xfId="4226" xr:uid="{00000000-0005-0000-0000-0000BE110000}"/>
    <cellStyle name="Normal 3 12 32 2" xfId="5555" xr:uid="{00000000-0005-0000-0000-0000BF110000}"/>
    <cellStyle name="Normal 3 12 33" xfId="4227" xr:uid="{00000000-0005-0000-0000-0000C0110000}"/>
    <cellStyle name="Normal 3 12 33 2" xfId="5556" xr:uid="{00000000-0005-0000-0000-0000C1110000}"/>
    <cellStyle name="Normal 3 12 34" xfId="4228" xr:uid="{00000000-0005-0000-0000-0000C2110000}"/>
    <cellStyle name="Normal 3 12 34 2" xfId="5557" xr:uid="{00000000-0005-0000-0000-0000C3110000}"/>
    <cellStyle name="Normal 3 12 35" xfId="5499" xr:uid="{00000000-0005-0000-0000-0000C4110000}"/>
    <cellStyle name="Normal 3 12 4" xfId="4229" xr:uid="{00000000-0005-0000-0000-0000C5110000}"/>
    <cellStyle name="Normal 3 12 4 2" xfId="5558" xr:uid="{00000000-0005-0000-0000-0000C6110000}"/>
    <cellStyle name="Normal 3 12 5" xfId="4230" xr:uid="{00000000-0005-0000-0000-0000C7110000}"/>
    <cellStyle name="Normal 3 12 5 2" xfId="5559" xr:uid="{00000000-0005-0000-0000-0000C8110000}"/>
    <cellStyle name="Normal 3 12 6" xfId="4231" xr:uid="{00000000-0005-0000-0000-0000C9110000}"/>
    <cellStyle name="Normal 3 12 6 2" xfId="5560" xr:uid="{00000000-0005-0000-0000-0000CA110000}"/>
    <cellStyle name="Normal 3 12 7" xfId="4232" xr:uid="{00000000-0005-0000-0000-0000CB110000}"/>
    <cellStyle name="Normal 3 12 7 2" xfId="5561" xr:uid="{00000000-0005-0000-0000-0000CC110000}"/>
    <cellStyle name="Normal 3 12 8" xfId="4233" xr:uid="{00000000-0005-0000-0000-0000CD110000}"/>
    <cellStyle name="Normal 3 12 8 2" xfId="5562" xr:uid="{00000000-0005-0000-0000-0000CE110000}"/>
    <cellStyle name="Normal 3 12 9" xfId="4234" xr:uid="{00000000-0005-0000-0000-0000CF110000}"/>
    <cellStyle name="Normal 3 12 9 2" xfId="5563" xr:uid="{00000000-0005-0000-0000-0000D0110000}"/>
    <cellStyle name="Normal 3 13" xfId="4235" xr:uid="{00000000-0005-0000-0000-0000D1110000}"/>
    <cellStyle name="Normal 3 13 10" xfId="4236" xr:uid="{00000000-0005-0000-0000-0000D2110000}"/>
    <cellStyle name="Normal 3 13 10 2" xfId="5565" xr:uid="{00000000-0005-0000-0000-0000D3110000}"/>
    <cellStyle name="Normal 3 13 11" xfId="4237" xr:uid="{00000000-0005-0000-0000-0000D4110000}"/>
    <cellStyle name="Normal 3 13 11 2" xfId="5566" xr:uid="{00000000-0005-0000-0000-0000D5110000}"/>
    <cellStyle name="Normal 3 13 12" xfId="4238" xr:uid="{00000000-0005-0000-0000-0000D6110000}"/>
    <cellStyle name="Normal 3 13 12 2" xfId="5567" xr:uid="{00000000-0005-0000-0000-0000D7110000}"/>
    <cellStyle name="Normal 3 13 13" xfId="4239" xr:uid="{00000000-0005-0000-0000-0000D8110000}"/>
    <cellStyle name="Normal 3 13 13 2" xfId="5568" xr:uid="{00000000-0005-0000-0000-0000D9110000}"/>
    <cellStyle name="Normal 3 13 14" xfId="4240" xr:uid="{00000000-0005-0000-0000-0000DA110000}"/>
    <cellStyle name="Normal 3 13 14 2" xfId="5569" xr:uid="{00000000-0005-0000-0000-0000DB110000}"/>
    <cellStyle name="Normal 3 13 15" xfId="4241" xr:uid="{00000000-0005-0000-0000-0000DC110000}"/>
    <cellStyle name="Normal 3 13 15 2" xfId="5570" xr:uid="{00000000-0005-0000-0000-0000DD110000}"/>
    <cellStyle name="Normal 3 13 16" xfId="4242" xr:uid="{00000000-0005-0000-0000-0000DE110000}"/>
    <cellStyle name="Normal 3 13 16 2" xfId="5571" xr:uid="{00000000-0005-0000-0000-0000DF110000}"/>
    <cellStyle name="Normal 3 13 17" xfId="4243" xr:uid="{00000000-0005-0000-0000-0000E0110000}"/>
    <cellStyle name="Normal 3 13 17 2" xfId="5572" xr:uid="{00000000-0005-0000-0000-0000E1110000}"/>
    <cellStyle name="Normal 3 13 18" xfId="4244" xr:uid="{00000000-0005-0000-0000-0000E2110000}"/>
    <cellStyle name="Normal 3 13 18 2" xfId="5573" xr:uid="{00000000-0005-0000-0000-0000E3110000}"/>
    <cellStyle name="Normal 3 13 19" xfId="4245" xr:uid="{00000000-0005-0000-0000-0000E4110000}"/>
    <cellStyle name="Normal 3 13 19 2" xfId="5574" xr:uid="{00000000-0005-0000-0000-0000E5110000}"/>
    <cellStyle name="Normal 3 13 2" xfId="4246" xr:uid="{00000000-0005-0000-0000-0000E6110000}"/>
    <cellStyle name="Normal 3 13 2 10" xfId="4247" xr:uid="{00000000-0005-0000-0000-0000E7110000}"/>
    <cellStyle name="Normal 3 13 2 10 2" xfId="5576" xr:uid="{00000000-0005-0000-0000-0000E8110000}"/>
    <cellStyle name="Normal 3 13 2 11" xfId="4248" xr:uid="{00000000-0005-0000-0000-0000E9110000}"/>
    <cellStyle name="Normal 3 13 2 11 2" xfId="5577" xr:uid="{00000000-0005-0000-0000-0000EA110000}"/>
    <cellStyle name="Normal 3 13 2 12" xfId="4249" xr:uid="{00000000-0005-0000-0000-0000EB110000}"/>
    <cellStyle name="Normal 3 13 2 12 2" xfId="5578" xr:uid="{00000000-0005-0000-0000-0000EC110000}"/>
    <cellStyle name="Normal 3 13 2 13" xfId="4250" xr:uid="{00000000-0005-0000-0000-0000ED110000}"/>
    <cellStyle name="Normal 3 13 2 13 2" xfId="5579" xr:uid="{00000000-0005-0000-0000-0000EE110000}"/>
    <cellStyle name="Normal 3 13 2 14" xfId="4251" xr:uid="{00000000-0005-0000-0000-0000EF110000}"/>
    <cellStyle name="Normal 3 13 2 14 2" xfId="5580" xr:uid="{00000000-0005-0000-0000-0000F0110000}"/>
    <cellStyle name="Normal 3 13 2 15" xfId="4252" xr:uid="{00000000-0005-0000-0000-0000F1110000}"/>
    <cellStyle name="Normal 3 13 2 15 2" xfId="5581" xr:uid="{00000000-0005-0000-0000-0000F2110000}"/>
    <cellStyle name="Normal 3 13 2 16" xfId="4253" xr:uid="{00000000-0005-0000-0000-0000F3110000}"/>
    <cellStyle name="Normal 3 13 2 16 2" xfId="5582" xr:uid="{00000000-0005-0000-0000-0000F4110000}"/>
    <cellStyle name="Normal 3 13 2 17" xfId="4254" xr:uid="{00000000-0005-0000-0000-0000F5110000}"/>
    <cellStyle name="Normal 3 13 2 17 2" xfId="5583" xr:uid="{00000000-0005-0000-0000-0000F6110000}"/>
    <cellStyle name="Normal 3 13 2 18" xfId="4255" xr:uid="{00000000-0005-0000-0000-0000F7110000}"/>
    <cellStyle name="Normal 3 13 2 18 2" xfId="5584" xr:uid="{00000000-0005-0000-0000-0000F8110000}"/>
    <cellStyle name="Normal 3 13 2 19" xfId="4256" xr:uid="{00000000-0005-0000-0000-0000F9110000}"/>
    <cellStyle name="Normal 3 13 2 19 2" xfId="5585" xr:uid="{00000000-0005-0000-0000-0000FA110000}"/>
    <cellStyle name="Normal 3 13 2 2" xfId="4257" xr:uid="{00000000-0005-0000-0000-0000FB110000}"/>
    <cellStyle name="Normal 3 13 2 2 2" xfId="5586" xr:uid="{00000000-0005-0000-0000-0000FC110000}"/>
    <cellStyle name="Normal 3 13 2 20" xfId="4258" xr:uid="{00000000-0005-0000-0000-0000FD110000}"/>
    <cellStyle name="Normal 3 13 2 20 2" xfId="5587" xr:uid="{00000000-0005-0000-0000-0000FE110000}"/>
    <cellStyle name="Normal 3 13 2 21" xfId="4259" xr:uid="{00000000-0005-0000-0000-0000FF110000}"/>
    <cellStyle name="Normal 3 13 2 21 2" xfId="5588" xr:uid="{00000000-0005-0000-0000-000000120000}"/>
    <cellStyle name="Normal 3 13 2 22" xfId="4260" xr:uid="{00000000-0005-0000-0000-000001120000}"/>
    <cellStyle name="Normal 3 13 2 22 2" xfId="5589" xr:uid="{00000000-0005-0000-0000-000002120000}"/>
    <cellStyle name="Normal 3 13 2 23" xfId="4261" xr:uid="{00000000-0005-0000-0000-000003120000}"/>
    <cellStyle name="Normal 3 13 2 23 2" xfId="5590" xr:uid="{00000000-0005-0000-0000-000004120000}"/>
    <cellStyle name="Normal 3 13 2 24" xfId="4262" xr:uid="{00000000-0005-0000-0000-000005120000}"/>
    <cellStyle name="Normal 3 13 2 24 2" xfId="5591" xr:uid="{00000000-0005-0000-0000-000006120000}"/>
    <cellStyle name="Normal 3 13 2 25" xfId="4263" xr:uid="{00000000-0005-0000-0000-000007120000}"/>
    <cellStyle name="Normal 3 13 2 25 2" xfId="5592" xr:uid="{00000000-0005-0000-0000-000008120000}"/>
    <cellStyle name="Normal 3 13 2 26" xfId="4264" xr:uid="{00000000-0005-0000-0000-000009120000}"/>
    <cellStyle name="Normal 3 13 2 26 2" xfId="5593" xr:uid="{00000000-0005-0000-0000-00000A120000}"/>
    <cellStyle name="Normal 3 13 2 27" xfId="4265" xr:uid="{00000000-0005-0000-0000-00000B120000}"/>
    <cellStyle name="Normal 3 13 2 27 2" xfId="5594" xr:uid="{00000000-0005-0000-0000-00000C120000}"/>
    <cellStyle name="Normal 3 13 2 28" xfId="4266" xr:uid="{00000000-0005-0000-0000-00000D120000}"/>
    <cellStyle name="Normal 3 13 2 28 2" xfId="5595" xr:uid="{00000000-0005-0000-0000-00000E120000}"/>
    <cellStyle name="Normal 3 13 2 29" xfId="4267" xr:uid="{00000000-0005-0000-0000-00000F120000}"/>
    <cellStyle name="Normal 3 13 2 29 2" xfId="5596" xr:uid="{00000000-0005-0000-0000-000010120000}"/>
    <cellStyle name="Normal 3 13 2 3" xfId="4268" xr:uid="{00000000-0005-0000-0000-000011120000}"/>
    <cellStyle name="Normal 3 13 2 3 2" xfId="5597" xr:uid="{00000000-0005-0000-0000-000012120000}"/>
    <cellStyle name="Normal 3 13 2 30" xfId="4269" xr:uid="{00000000-0005-0000-0000-000013120000}"/>
    <cellStyle name="Normal 3 13 2 30 2" xfId="5598" xr:uid="{00000000-0005-0000-0000-000014120000}"/>
    <cellStyle name="Normal 3 13 2 31" xfId="4270" xr:uid="{00000000-0005-0000-0000-000015120000}"/>
    <cellStyle name="Normal 3 13 2 31 2" xfId="5599" xr:uid="{00000000-0005-0000-0000-000016120000}"/>
    <cellStyle name="Normal 3 13 2 32" xfId="4271" xr:uid="{00000000-0005-0000-0000-000017120000}"/>
    <cellStyle name="Normal 3 13 2 32 2" xfId="5600" xr:uid="{00000000-0005-0000-0000-000018120000}"/>
    <cellStyle name="Normal 3 13 2 33" xfId="5575" xr:uid="{00000000-0005-0000-0000-000019120000}"/>
    <cellStyle name="Normal 3 13 2 4" xfId="4272" xr:uid="{00000000-0005-0000-0000-00001A120000}"/>
    <cellStyle name="Normal 3 13 2 4 2" xfId="5601" xr:uid="{00000000-0005-0000-0000-00001B120000}"/>
    <cellStyle name="Normal 3 13 2 5" xfId="4273" xr:uid="{00000000-0005-0000-0000-00001C120000}"/>
    <cellStyle name="Normal 3 13 2 5 2" xfId="5602" xr:uid="{00000000-0005-0000-0000-00001D120000}"/>
    <cellStyle name="Normal 3 13 2 6" xfId="4274" xr:uid="{00000000-0005-0000-0000-00001E120000}"/>
    <cellStyle name="Normal 3 13 2 6 2" xfId="5603" xr:uid="{00000000-0005-0000-0000-00001F120000}"/>
    <cellStyle name="Normal 3 13 2 7" xfId="4275" xr:uid="{00000000-0005-0000-0000-000020120000}"/>
    <cellStyle name="Normal 3 13 2 7 2" xfId="5604" xr:uid="{00000000-0005-0000-0000-000021120000}"/>
    <cellStyle name="Normal 3 13 2 8" xfId="4276" xr:uid="{00000000-0005-0000-0000-000022120000}"/>
    <cellStyle name="Normal 3 13 2 8 2" xfId="5605" xr:uid="{00000000-0005-0000-0000-000023120000}"/>
    <cellStyle name="Normal 3 13 2 9" xfId="4277" xr:uid="{00000000-0005-0000-0000-000024120000}"/>
    <cellStyle name="Normal 3 13 2 9 2" xfId="5606" xr:uid="{00000000-0005-0000-0000-000025120000}"/>
    <cellStyle name="Normal 3 13 20" xfId="4278" xr:uid="{00000000-0005-0000-0000-000026120000}"/>
    <cellStyle name="Normal 3 13 20 2" xfId="5607" xr:uid="{00000000-0005-0000-0000-000027120000}"/>
    <cellStyle name="Normal 3 13 21" xfId="4279" xr:uid="{00000000-0005-0000-0000-000028120000}"/>
    <cellStyle name="Normal 3 13 21 2" xfId="5608" xr:uid="{00000000-0005-0000-0000-000029120000}"/>
    <cellStyle name="Normal 3 13 22" xfId="4280" xr:uid="{00000000-0005-0000-0000-00002A120000}"/>
    <cellStyle name="Normal 3 13 22 2" xfId="5609" xr:uid="{00000000-0005-0000-0000-00002B120000}"/>
    <cellStyle name="Normal 3 13 23" xfId="4281" xr:uid="{00000000-0005-0000-0000-00002C120000}"/>
    <cellStyle name="Normal 3 13 23 2" xfId="5610" xr:uid="{00000000-0005-0000-0000-00002D120000}"/>
    <cellStyle name="Normal 3 13 24" xfId="4282" xr:uid="{00000000-0005-0000-0000-00002E120000}"/>
    <cellStyle name="Normal 3 13 24 2" xfId="5611" xr:uid="{00000000-0005-0000-0000-00002F120000}"/>
    <cellStyle name="Normal 3 13 25" xfId="4283" xr:uid="{00000000-0005-0000-0000-000030120000}"/>
    <cellStyle name="Normal 3 13 25 2" xfId="5612" xr:uid="{00000000-0005-0000-0000-000031120000}"/>
    <cellStyle name="Normal 3 13 26" xfId="4284" xr:uid="{00000000-0005-0000-0000-000032120000}"/>
    <cellStyle name="Normal 3 13 26 2" xfId="5613" xr:uid="{00000000-0005-0000-0000-000033120000}"/>
    <cellStyle name="Normal 3 13 27" xfId="4285" xr:uid="{00000000-0005-0000-0000-000034120000}"/>
    <cellStyle name="Normal 3 13 27 2" xfId="5614" xr:uid="{00000000-0005-0000-0000-000035120000}"/>
    <cellStyle name="Normal 3 13 28" xfId="4286" xr:uid="{00000000-0005-0000-0000-000036120000}"/>
    <cellStyle name="Normal 3 13 28 2" xfId="5615" xr:uid="{00000000-0005-0000-0000-000037120000}"/>
    <cellStyle name="Normal 3 13 29" xfId="4287" xr:uid="{00000000-0005-0000-0000-000038120000}"/>
    <cellStyle name="Normal 3 13 29 2" xfId="5616" xr:uid="{00000000-0005-0000-0000-000039120000}"/>
    <cellStyle name="Normal 3 13 3" xfId="4288" xr:uid="{00000000-0005-0000-0000-00003A120000}"/>
    <cellStyle name="Normal 3 13 3 2" xfId="5617" xr:uid="{00000000-0005-0000-0000-00003B120000}"/>
    <cellStyle name="Normal 3 13 30" xfId="4289" xr:uid="{00000000-0005-0000-0000-00003C120000}"/>
    <cellStyle name="Normal 3 13 30 2" xfId="5618" xr:uid="{00000000-0005-0000-0000-00003D120000}"/>
    <cellStyle name="Normal 3 13 31" xfId="4290" xr:uid="{00000000-0005-0000-0000-00003E120000}"/>
    <cellStyle name="Normal 3 13 31 2" xfId="5619" xr:uid="{00000000-0005-0000-0000-00003F120000}"/>
    <cellStyle name="Normal 3 13 32" xfId="4291" xr:uid="{00000000-0005-0000-0000-000040120000}"/>
    <cellStyle name="Normal 3 13 32 2" xfId="5620" xr:uid="{00000000-0005-0000-0000-000041120000}"/>
    <cellStyle name="Normal 3 13 33" xfId="4292" xr:uid="{00000000-0005-0000-0000-000042120000}"/>
    <cellStyle name="Normal 3 13 33 2" xfId="5621" xr:uid="{00000000-0005-0000-0000-000043120000}"/>
    <cellStyle name="Normal 3 13 34" xfId="4293" xr:uid="{00000000-0005-0000-0000-000044120000}"/>
    <cellStyle name="Normal 3 13 34 2" xfId="5622" xr:uid="{00000000-0005-0000-0000-000045120000}"/>
    <cellStyle name="Normal 3 13 35" xfId="5564" xr:uid="{00000000-0005-0000-0000-000046120000}"/>
    <cellStyle name="Normal 3 13 4" xfId="4294" xr:uid="{00000000-0005-0000-0000-000047120000}"/>
    <cellStyle name="Normal 3 13 4 2" xfId="5623" xr:uid="{00000000-0005-0000-0000-000048120000}"/>
    <cellStyle name="Normal 3 13 5" xfId="4295" xr:uid="{00000000-0005-0000-0000-000049120000}"/>
    <cellStyle name="Normal 3 13 5 2" xfId="5624" xr:uid="{00000000-0005-0000-0000-00004A120000}"/>
    <cellStyle name="Normal 3 13 6" xfId="4296" xr:uid="{00000000-0005-0000-0000-00004B120000}"/>
    <cellStyle name="Normal 3 13 6 2" xfId="5625" xr:uid="{00000000-0005-0000-0000-00004C120000}"/>
    <cellStyle name="Normal 3 13 7" xfId="4297" xr:uid="{00000000-0005-0000-0000-00004D120000}"/>
    <cellStyle name="Normal 3 13 7 2" xfId="5626" xr:uid="{00000000-0005-0000-0000-00004E120000}"/>
    <cellStyle name="Normal 3 13 8" xfId="4298" xr:uid="{00000000-0005-0000-0000-00004F120000}"/>
    <cellStyle name="Normal 3 13 8 2" xfId="5627" xr:uid="{00000000-0005-0000-0000-000050120000}"/>
    <cellStyle name="Normal 3 13 9" xfId="4299" xr:uid="{00000000-0005-0000-0000-000051120000}"/>
    <cellStyle name="Normal 3 13 9 2" xfId="5628" xr:uid="{00000000-0005-0000-0000-000052120000}"/>
    <cellStyle name="Normal 3 14" xfId="4300" xr:uid="{00000000-0005-0000-0000-000053120000}"/>
    <cellStyle name="Normal 3 14 10" xfId="4301" xr:uid="{00000000-0005-0000-0000-000054120000}"/>
    <cellStyle name="Normal 3 14 10 2" xfId="5630" xr:uid="{00000000-0005-0000-0000-000055120000}"/>
    <cellStyle name="Normal 3 14 11" xfId="4302" xr:uid="{00000000-0005-0000-0000-000056120000}"/>
    <cellStyle name="Normal 3 14 11 2" xfId="5631" xr:uid="{00000000-0005-0000-0000-000057120000}"/>
    <cellStyle name="Normal 3 14 12" xfId="4303" xr:uid="{00000000-0005-0000-0000-000058120000}"/>
    <cellStyle name="Normal 3 14 12 2" xfId="5632" xr:uid="{00000000-0005-0000-0000-000059120000}"/>
    <cellStyle name="Normal 3 14 13" xfId="4304" xr:uid="{00000000-0005-0000-0000-00005A120000}"/>
    <cellStyle name="Normal 3 14 13 2" xfId="5633" xr:uid="{00000000-0005-0000-0000-00005B120000}"/>
    <cellStyle name="Normal 3 14 14" xfId="4305" xr:uid="{00000000-0005-0000-0000-00005C120000}"/>
    <cellStyle name="Normal 3 14 14 2" xfId="5634" xr:uid="{00000000-0005-0000-0000-00005D120000}"/>
    <cellStyle name="Normal 3 14 15" xfId="4306" xr:uid="{00000000-0005-0000-0000-00005E120000}"/>
    <cellStyle name="Normal 3 14 15 2" xfId="5635" xr:uid="{00000000-0005-0000-0000-00005F120000}"/>
    <cellStyle name="Normal 3 14 16" xfId="4307" xr:uid="{00000000-0005-0000-0000-000060120000}"/>
    <cellStyle name="Normal 3 14 16 2" xfId="5636" xr:uid="{00000000-0005-0000-0000-000061120000}"/>
    <cellStyle name="Normal 3 14 17" xfId="4308" xr:uid="{00000000-0005-0000-0000-000062120000}"/>
    <cellStyle name="Normal 3 14 17 2" xfId="5637" xr:uid="{00000000-0005-0000-0000-000063120000}"/>
    <cellStyle name="Normal 3 14 18" xfId="4309" xr:uid="{00000000-0005-0000-0000-000064120000}"/>
    <cellStyle name="Normal 3 14 18 2" xfId="5638" xr:uid="{00000000-0005-0000-0000-000065120000}"/>
    <cellStyle name="Normal 3 14 19" xfId="4310" xr:uid="{00000000-0005-0000-0000-000066120000}"/>
    <cellStyle name="Normal 3 14 19 2" xfId="5639" xr:uid="{00000000-0005-0000-0000-000067120000}"/>
    <cellStyle name="Normal 3 14 2" xfId="4311" xr:uid="{00000000-0005-0000-0000-000068120000}"/>
    <cellStyle name="Normal 3 14 2 10" xfId="4312" xr:uid="{00000000-0005-0000-0000-000069120000}"/>
    <cellStyle name="Normal 3 14 2 10 2" xfId="5641" xr:uid="{00000000-0005-0000-0000-00006A120000}"/>
    <cellStyle name="Normal 3 14 2 11" xfId="4313" xr:uid="{00000000-0005-0000-0000-00006B120000}"/>
    <cellStyle name="Normal 3 14 2 11 2" xfId="5642" xr:uid="{00000000-0005-0000-0000-00006C120000}"/>
    <cellStyle name="Normal 3 14 2 12" xfId="4314" xr:uid="{00000000-0005-0000-0000-00006D120000}"/>
    <cellStyle name="Normal 3 14 2 12 2" xfId="5643" xr:uid="{00000000-0005-0000-0000-00006E120000}"/>
    <cellStyle name="Normal 3 14 2 13" xfId="4315" xr:uid="{00000000-0005-0000-0000-00006F120000}"/>
    <cellStyle name="Normal 3 14 2 13 2" xfId="5644" xr:uid="{00000000-0005-0000-0000-000070120000}"/>
    <cellStyle name="Normal 3 14 2 14" xfId="4316" xr:uid="{00000000-0005-0000-0000-000071120000}"/>
    <cellStyle name="Normal 3 14 2 14 2" xfId="5645" xr:uid="{00000000-0005-0000-0000-000072120000}"/>
    <cellStyle name="Normal 3 14 2 15" xfId="4317" xr:uid="{00000000-0005-0000-0000-000073120000}"/>
    <cellStyle name="Normal 3 14 2 15 2" xfId="5646" xr:uid="{00000000-0005-0000-0000-000074120000}"/>
    <cellStyle name="Normal 3 14 2 16" xfId="4318" xr:uid="{00000000-0005-0000-0000-000075120000}"/>
    <cellStyle name="Normal 3 14 2 16 2" xfId="5647" xr:uid="{00000000-0005-0000-0000-000076120000}"/>
    <cellStyle name="Normal 3 14 2 17" xfId="4319" xr:uid="{00000000-0005-0000-0000-000077120000}"/>
    <cellStyle name="Normal 3 14 2 17 2" xfId="5648" xr:uid="{00000000-0005-0000-0000-000078120000}"/>
    <cellStyle name="Normal 3 14 2 18" xfId="4320" xr:uid="{00000000-0005-0000-0000-000079120000}"/>
    <cellStyle name="Normal 3 14 2 18 2" xfId="5649" xr:uid="{00000000-0005-0000-0000-00007A120000}"/>
    <cellStyle name="Normal 3 14 2 19" xfId="4321" xr:uid="{00000000-0005-0000-0000-00007B120000}"/>
    <cellStyle name="Normal 3 14 2 19 2" xfId="5650" xr:uid="{00000000-0005-0000-0000-00007C120000}"/>
    <cellStyle name="Normal 3 14 2 2" xfId="4322" xr:uid="{00000000-0005-0000-0000-00007D120000}"/>
    <cellStyle name="Normal 3 14 2 2 2" xfId="5651" xr:uid="{00000000-0005-0000-0000-00007E120000}"/>
    <cellStyle name="Normal 3 14 2 20" xfId="4323" xr:uid="{00000000-0005-0000-0000-00007F120000}"/>
    <cellStyle name="Normal 3 14 2 20 2" xfId="5652" xr:uid="{00000000-0005-0000-0000-000080120000}"/>
    <cellStyle name="Normal 3 14 2 21" xfId="4324" xr:uid="{00000000-0005-0000-0000-000081120000}"/>
    <cellStyle name="Normal 3 14 2 21 2" xfId="5653" xr:uid="{00000000-0005-0000-0000-000082120000}"/>
    <cellStyle name="Normal 3 14 2 22" xfId="4325" xr:uid="{00000000-0005-0000-0000-000083120000}"/>
    <cellStyle name="Normal 3 14 2 22 2" xfId="5654" xr:uid="{00000000-0005-0000-0000-000084120000}"/>
    <cellStyle name="Normal 3 14 2 23" xfId="4326" xr:uid="{00000000-0005-0000-0000-000085120000}"/>
    <cellStyle name="Normal 3 14 2 23 2" xfId="5655" xr:uid="{00000000-0005-0000-0000-000086120000}"/>
    <cellStyle name="Normal 3 14 2 24" xfId="4327" xr:uid="{00000000-0005-0000-0000-000087120000}"/>
    <cellStyle name="Normal 3 14 2 24 2" xfId="5656" xr:uid="{00000000-0005-0000-0000-000088120000}"/>
    <cellStyle name="Normal 3 14 2 25" xfId="4328" xr:uid="{00000000-0005-0000-0000-000089120000}"/>
    <cellStyle name="Normal 3 14 2 25 2" xfId="5657" xr:uid="{00000000-0005-0000-0000-00008A120000}"/>
    <cellStyle name="Normal 3 14 2 26" xfId="4329" xr:uid="{00000000-0005-0000-0000-00008B120000}"/>
    <cellStyle name="Normal 3 14 2 26 2" xfId="5658" xr:uid="{00000000-0005-0000-0000-00008C120000}"/>
    <cellStyle name="Normal 3 14 2 27" xfId="4330" xr:uid="{00000000-0005-0000-0000-00008D120000}"/>
    <cellStyle name="Normal 3 14 2 27 2" xfId="5659" xr:uid="{00000000-0005-0000-0000-00008E120000}"/>
    <cellStyle name="Normal 3 14 2 28" xfId="4331" xr:uid="{00000000-0005-0000-0000-00008F120000}"/>
    <cellStyle name="Normal 3 14 2 28 2" xfId="5660" xr:uid="{00000000-0005-0000-0000-000090120000}"/>
    <cellStyle name="Normal 3 14 2 29" xfId="4332" xr:uid="{00000000-0005-0000-0000-000091120000}"/>
    <cellStyle name="Normal 3 14 2 29 2" xfId="5661" xr:uid="{00000000-0005-0000-0000-000092120000}"/>
    <cellStyle name="Normal 3 14 2 3" xfId="4333" xr:uid="{00000000-0005-0000-0000-000093120000}"/>
    <cellStyle name="Normal 3 14 2 3 2" xfId="5662" xr:uid="{00000000-0005-0000-0000-000094120000}"/>
    <cellStyle name="Normal 3 14 2 30" xfId="4334" xr:uid="{00000000-0005-0000-0000-000095120000}"/>
    <cellStyle name="Normal 3 14 2 30 2" xfId="5663" xr:uid="{00000000-0005-0000-0000-000096120000}"/>
    <cellStyle name="Normal 3 14 2 31" xfId="4335" xr:uid="{00000000-0005-0000-0000-000097120000}"/>
    <cellStyle name="Normal 3 14 2 31 2" xfId="5664" xr:uid="{00000000-0005-0000-0000-000098120000}"/>
    <cellStyle name="Normal 3 14 2 32" xfId="4336" xr:uid="{00000000-0005-0000-0000-000099120000}"/>
    <cellStyle name="Normal 3 14 2 32 2" xfId="5665" xr:uid="{00000000-0005-0000-0000-00009A120000}"/>
    <cellStyle name="Normal 3 14 2 33" xfId="5640" xr:uid="{00000000-0005-0000-0000-00009B120000}"/>
    <cellStyle name="Normal 3 14 2 4" xfId="4337" xr:uid="{00000000-0005-0000-0000-00009C120000}"/>
    <cellStyle name="Normal 3 14 2 4 2" xfId="5666" xr:uid="{00000000-0005-0000-0000-00009D120000}"/>
    <cellStyle name="Normal 3 14 2 5" xfId="4338" xr:uid="{00000000-0005-0000-0000-00009E120000}"/>
    <cellStyle name="Normal 3 14 2 5 2" xfId="5667" xr:uid="{00000000-0005-0000-0000-00009F120000}"/>
    <cellStyle name="Normal 3 14 2 6" xfId="4339" xr:uid="{00000000-0005-0000-0000-0000A0120000}"/>
    <cellStyle name="Normal 3 14 2 6 2" xfId="5668" xr:uid="{00000000-0005-0000-0000-0000A1120000}"/>
    <cellStyle name="Normal 3 14 2 7" xfId="4340" xr:uid="{00000000-0005-0000-0000-0000A2120000}"/>
    <cellStyle name="Normal 3 14 2 7 2" xfId="5669" xr:uid="{00000000-0005-0000-0000-0000A3120000}"/>
    <cellStyle name="Normal 3 14 2 8" xfId="4341" xr:uid="{00000000-0005-0000-0000-0000A4120000}"/>
    <cellStyle name="Normal 3 14 2 8 2" xfId="5670" xr:uid="{00000000-0005-0000-0000-0000A5120000}"/>
    <cellStyle name="Normal 3 14 2 9" xfId="4342" xr:uid="{00000000-0005-0000-0000-0000A6120000}"/>
    <cellStyle name="Normal 3 14 2 9 2" xfId="5671" xr:uid="{00000000-0005-0000-0000-0000A7120000}"/>
    <cellStyle name="Normal 3 14 20" xfId="4343" xr:uid="{00000000-0005-0000-0000-0000A8120000}"/>
    <cellStyle name="Normal 3 14 20 2" xfId="5672" xr:uid="{00000000-0005-0000-0000-0000A9120000}"/>
    <cellStyle name="Normal 3 14 21" xfId="4344" xr:uid="{00000000-0005-0000-0000-0000AA120000}"/>
    <cellStyle name="Normal 3 14 21 2" xfId="5673" xr:uid="{00000000-0005-0000-0000-0000AB120000}"/>
    <cellStyle name="Normal 3 14 22" xfId="4345" xr:uid="{00000000-0005-0000-0000-0000AC120000}"/>
    <cellStyle name="Normal 3 14 22 2" xfId="5674" xr:uid="{00000000-0005-0000-0000-0000AD120000}"/>
    <cellStyle name="Normal 3 14 23" xfId="4346" xr:uid="{00000000-0005-0000-0000-0000AE120000}"/>
    <cellStyle name="Normal 3 14 23 2" xfId="5675" xr:uid="{00000000-0005-0000-0000-0000AF120000}"/>
    <cellStyle name="Normal 3 14 24" xfId="4347" xr:uid="{00000000-0005-0000-0000-0000B0120000}"/>
    <cellStyle name="Normal 3 14 24 2" xfId="5676" xr:uid="{00000000-0005-0000-0000-0000B1120000}"/>
    <cellStyle name="Normal 3 14 25" xfId="4348" xr:uid="{00000000-0005-0000-0000-0000B2120000}"/>
    <cellStyle name="Normal 3 14 25 2" xfId="5677" xr:uid="{00000000-0005-0000-0000-0000B3120000}"/>
    <cellStyle name="Normal 3 14 26" xfId="4349" xr:uid="{00000000-0005-0000-0000-0000B4120000}"/>
    <cellStyle name="Normal 3 14 26 2" xfId="5678" xr:uid="{00000000-0005-0000-0000-0000B5120000}"/>
    <cellStyle name="Normal 3 14 27" xfId="4350" xr:uid="{00000000-0005-0000-0000-0000B6120000}"/>
    <cellStyle name="Normal 3 14 27 2" xfId="5679" xr:uid="{00000000-0005-0000-0000-0000B7120000}"/>
    <cellStyle name="Normal 3 14 28" xfId="4351" xr:uid="{00000000-0005-0000-0000-0000B8120000}"/>
    <cellStyle name="Normal 3 14 28 2" xfId="5680" xr:uid="{00000000-0005-0000-0000-0000B9120000}"/>
    <cellStyle name="Normal 3 14 29" xfId="4352" xr:uid="{00000000-0005-0000-0000-0000BA120000}"/>
    <cellStyle name="Normal 3 14 29 2" xfId="5681" xr:uid="{00000000-0005-0000-0000-0000BB120000}"/>
    <cellStyle name="Normal 3 14 3" xfId="4353" xr:uid="{00000000-0005-0000-0000-0000BC120000}"/>
    <cellStyle name="Normal 3 14 3 2" xfId="5682" xr:uid="{00000000-0005-0000-0000-0000BD120000}"/>
    <cellStyle name="Normal 3 14 30" xfId="4354" xr:uid="{00000000-0005-0000-0000-0000BE120000}"/>
    <cellStyle name="Normal 3 14 30 2" xfId="5683" xr:uid="{00000000-0005-0000-0000-0000BF120000}"/>
    <cellStyle name="Normal 3 14 31" xfId="4355" xr:uid="{00000000-0005-0000-0000-0000C0120000}"/>
    <cellStyle name="Normal 3 14 31 2" xfId="5684" xr:uid="{00000000-0005-0000-0000-0000C1120000}"/>
    <cellStyle name="Normal 3 14 32" xfId="4356" xr:uid="{00000000-0005-0000-0000-0000C2120000}"/>
    <cellStyle name="Normal 3 14 32 2" xfId="5685" xr:uid="{00000000-0005-0000-0000-0000C3120000}"/>
    <cellStyle name="Normal 3 14 33" xfId="4357" xr:uid="{00000000-0005-0000-0000-0000C4120000}"/>
    <cellStyle name="Normal 3 14 33 2" xfId="5686" xr:uid="{00000000-0005-0000-0000-0000C5120000}"/>
    <cellStyle name="Normal 3 14 34" xfId="4358" xr:uid="{00000000-0005-0000-0000-0000C6120000}"/>
    <cellStyle name="Normal 3 14 34 2" xfId="5687" xr:uid="{00000000-0005-0000-0000-0000C7120000}"/>
    <cellStyle name="Normal 3 14 35" xfId="5629" xr:uid="{00000000-0005-0000-0000-0000C8120000}"/>
    <cellStyle name="Normal 3 14 4" xfId="4359" xr:uid="{00000000-0005-0000-0000-0000C9120000}"/>
    <cellStyle name="Normal 3 14 4 2" xfId="5688" xr:uid="{00000000-0005-0000-0000-0000CA120000}"/>
    <cellStyle name="Normal 3 14 5" xfId="4360" xr:uid="{00000000-0005-0000-0000-0000CB120000}"/>
    <cellStyle name="Normal 3 14 5 2" xfId="5689" xr:uid="{00000000-0005-0000-0000-0000CC120000}"/>
    <cellStyle name="Normal 3 14 6" xfId="4361" xr:uid="{00000000-0005-0000-0000-0000CD120000}"/>
    <cellStyle name="Normal 3 14 6 2" xfId="5690" xr:uid="{00000000-0005-0000-0000-0000CE120000}"/>
    <cellStyle name="Normal 3 14 7" xfId="4362" xr:uid="{00000000-0005-0000-0000-0000CF120000}"/>
    <cellStyle name="Normal 3 14 7 2" xfId="5691" xr:uid="{00000000-0005-0000-0000-0000D0120000}"/>
    <cellStyle name="Normal 3 14 8" xfId="4363" xr:uid="{00000000-0005-0000-0000-0000D1120000}"/>
    <cellStyle name="Normal 3 14 8 2" xfId="5692" xr:uid="{00000000-0005-0000-0000-0000D2120000}"/>
    <cellStyle name="Normal 3 14 9" xfId="4364" xr:uid="{00000000-0005-0000-0000-0000D3120000}"/>
    <cellStyle name="Normal 3 14 9 2" xfId="5693" xr:uid="{00000000-0005-0000-0000-0000D4120000}"/>
    <cellStyle name="Normal 3 15" xfId="4365" xr:uid="{00000000-0005-0000-0000-0000D5120000}"/>
    <cellStyle name="Normal 3 15 10" xfId="4366" xr:uid="{00000000-0005-0000-0000-0000D6120000}"/>
    <cellStyle name="Normal 3 15 10 2" xfId="5695" xr:uid="{00000000-0005-0000-0000-0000D7120000}"/>
    <cellStyle name="Normal 3 15 11" xfId="4367" xr:uid="{00000000-0005-0000-0000-0000D8120000}"/>
    <cellStyle name="Normal 3 15 11 2" xfId="5696" xr:uid="{00000000-0005-0000-0000-0000D9120000}"/>
    <cellStyle name="Normal 3 15 12" xfId="4368" xr:uid="{00000000-0005-0000-0000-0000DA120000}"/>
    <cellStyle name="Normal 3 15 12 2" xfId="5697" xr:uid="{00000000-0005-0000-0000-0000DB120000}"/>
    <cellStyle name="Normal 3 15 13" xfId="4369" xr:uid="{00000000-0005-0000-0000-0000DC120000}"/>
    <cellStyle name="Normal 3 15 13 2" xfId="5698" xr:uid="{00000000-0005-0000-0000-0000DD120000}"/>
    <cellStyle name="Normal 3 15 14" xfId="4370" xr:uid="{00000000-0005-0000-0000-0000DE120000}"/>
    <cellStyle name="Normal 3 15 14 2" xfId="5699" xr:uid="{00000000-0005-0000-0000-0000DF120000}"/>
    <cellStyle name="Normal 3 15 15" xfId="4371" xr:uid="{00000000-0005-0000-0000-0000E0120000}"/>
    <cellStyle name="Normal 3 15 15 2" xfId="5700" xr:uid="{00000000-0005-0000-0000-0000E1120000}"/>
    <cellStyle name="Normal 3 15 16" xfId="4372" xr:uid="{00000000-0005-0000-0000-0000E2120000}"/>
    <cellStyle name="Normal 3 15 16 2" xfId="5701" xr:uid="{00000000-0005-0000-0000-0000E3120000}"/>
    <cellStyle name="Normal 3 15 17" xfId="4373" xr:uid="{00000000-0005-0000-0000-0000E4120000}"/>
    <cellStyle name="Normal 3 15 17 2" xfId="5702" xr:uid="{00000000-0005-0000-0000-0000E5120000}"/>
    <cellStyle name="Normal 3 15 18" xfId="4374" xr:uid="{00000000-0005-0000-0000-0000E6120000}"/>
    <cellStyle name="Normal 3 15 18 2" xfId="5703" xr:uid="{00000000-0005-0000-0000-0000E7120000}"/>
    <cellStyle name="Normal 3 15 19" xfId="4375" xr:uid="{00000000-0005-0000-0000-0000E8120000}"/>
    <cellStyle name="Normal 3 15 19 2" xfId="5704" xr:uid="{00000000-0005-0000-0000-0000E9120000}"/>
    <cellStyle name="Normal 3 15 2" xfId="4376" xr:uid="{00000000-0005-0000-0000-0000EA120000}"/>
    <cellStyle name="Normal 3 15 2 2" xfId="5705" xr:uid="{00000000-0005-0000-0000-0000EB120000}"/>
    <cellStyle name="Normal 3 15 20" xfId="4377" xr:uid="{00000000-0005-0000-0000-0000EC120000}"/>
    <cellStyle name="Normal 3 15 20 2" xfId="5706" xr:uid="{00000000-0005-0000-0000-0000ED120000}"/>
    <cellStyle name="Normal 3 15 21" xfId="4378" xr:uid="{00000000-0005-0000-0000-0000EE120000}"/>
    <cellStyle name="Normal 3 15 21 2" xfId="5707" xr:uid="{00000000-0005-0000-0000-0000EF120000}"/>
    <cellStyle name="Normal 3 15 22" xfId="4379" xr:uid="{00000000-0005-0000-0000-0000F0120000}"/>
    <cellStyle name="Normal 3 15 22 2" xfId="5708" xr:uid="{00000000-0005-0000-0000-0000F1120000}"/>
    <cellStyle name="Normal 3 15 23" xfId="4380" xr:uid="{00000000-0005-0000-0000-0000F2120000}"/>
    <cellStyle name="Normal 3 15 23 2" xfId="5709" xr:uid="{00000000-0005-0000-0000-0000F3120000}"/>
    <cellStyle name="Normal 3 15 24" xfId="4381" xr:uid="{00000000-0005-0000-0000-0000F4120000}"/>
    <cellStyle name="Normal 3 15 24 2" xfId="5710" xr:uid="{00000000-0005-0000-0000-0000F5120000}"/>
    <cellStyle name="Normal 3 15 25" xfId="4382" xr:uid="{00000000-0005-0000-0000-0000F6120000}"/>
    <cellStyle name="Normal 3 15 25 2" xfId="5711" xr:uid="{00000000-0005-0000-0000-0000F7120000}"/>
    <cellStyle name="Normal 3 15 26" xfId="4383" xr:uid="{00000000-0005-0000-0000-0000F8120000}"/>
    <cellStyle name="Normal 3 15 26 2" xfId="5712" xr:uid="{00000000-0005-0000-0000-0000F9120000}"/>
    <cellStyle name="Normal 3 15 27" xfId="4384" xr:uid="{00000000-0005-0000-0000-0000FA120000}"/>
    <cellStyle name="Normal 3 15 27 2" xfId="5713" xr:uid="{00000000-0005-0000-0000-0000FB120000}"/>
    <cellStyle name="Normal 3 15 28" xfId="4385" xr:uid="{00000000-0005-0000-0000-0000FC120000}"/>
    <cellStyle name="Normal 3 15 28 2" xfId="5714" xr:uid="{00000000-0005-0000-0000-0000FD120000}"/>
    <cellStyle name="Normal 3 15 29" xfId="4386" xr:uid="{00000000-0005-0000-0000-0000FE120000}"/>
    <cellStyle name="Normal 3 15 29 2" xfId="5715" xr:uid="{00000000-0005-0000-0000-0000FF120000}"/>
    <cellStyle name="Normal 3 15 3" xfId="4387" xr:uid="{00000000-0005-0000-0000-000000130000}"/>
    <cellStyle name="Normal 3 15 3 2" xfId="5716" xr:uid="{00000000-0005-0000-0000-000001130000}"/>
    <cellStyle name="Normal 3 15 30" xfId="4388" xr:uid="{00000000-0005-0000-0000-000002130000}"/>
    <cellStyle name="Normal 3 15 30 2" xfId="5717" xr:uid="{00000000-0005-0000-0000-000003130000}"/>
    <cellStyle name="Normal 3 15 31" xfId="4389" xr:uid="{00000000-0005-0000-0000-000004130000}"/>
    <cellStyle name="Normal 3 15 31 2" xfId="5718" xr:uid="{00000000-0005-0000-0000-000005130000}"/>
    <cellStyle name="Normal 3 15 32" xfId="4390" xr:uid="{00000000-0005-0000-0000-000006130000}"/>
    <cellStyle name="Normal 3 15 32 2" xfId="5719" xr:uid="{00000000-0005-0000-0000-000007130000}"/>
    <cellStyle name="Normal 3 15 33" xfId="5694" xr:uid="{00000000-0005-0000-0000-000008130000}"/>
    <cellStyle name="Normal 3 15 4" xfId="4391" xr:uid="{00000000-0005-0000-0000-000009130000}"/>
    <cellStyle name="Normal 3 15 4 2" xfId="5720" xr:uid="{00000000-0005-0000-0000-00000A130000}"/>
    <cellStyle name="Normal 3 15 5" xfId="4392" xr:uid="{00000000-0005-0000-0000-00000B130000}"/>
    <cellStyle name="Normal 3 15 5 2" xfId="5721" xr:uid="{00000000-0005-0000-0000-00000C130000}"/>
    <cellStyle name="Normal 3 15 6" xfId="4393" xr:uid="{00000000-0005-0000-0000-00000D130000}"/>
    <cellStyle name="Normal 3 15 6 2" xfId="5722" xr:uid="{00000000-0005-0000-0000-00000E130000}"/>
    <cellStyle name="Normal 3 15 7" xfId="4394" xr:uid="{00000000-0005-0000-0000-00000F130000}"/>
    <cellStyle name="Normal 3 15 7 2" xfId="5723" xr:uid="{00000000-0005-0000-0000-000010130000}"/>
    <cellStyle name="Normal 3 15 8" xfId="4395" xr:uid="{00000000-0005-0000-0000-000011130000}"/>
    <cellStyle name="Normal 3 15 8 2" xfId="5724" xr:uid="{00000000-0005-0000-0000-000012130000}"/>
    <cellStyle name="Normal 3 15 9" xfId="4396" xr:uid="{00000000-0005-0000-0000-000013130000}"/>
    <cellStyle name="Normal 3 15 9 2" xfId="5725" xr:uid="{00000000-0005-0000-0000-000014130000}"/>
    <cellStyle name="Normal 3 16" xfId="4397" xr:uid="{00000000-0005-0000-0000-000015130000}"/>
    <cellStyle name="Normal 3 16 10" xfId="4398" xr:uid="{00000000-0005-0000-0000-000016130000}"/>
    <cellStyle name="Normal 3 16 10 2" xfId="5727" xr:uid="{00000000-0005-0000-0000-000017130000}"/>
    <cellStyle name="Normal 3 16 11" xfId="4399" xr:uid="{00000000-0005-0000-0000-000018130000}"/>
    <cellStyle name="Normal 3 16 11 2" xfId="5728" xr:uid="{00000000-0005-0000-0000-000019130000}"/>
    <cellStyle name="Normal 3 16 12" xfId="4400" xr:uid="{00000000-0005-0000-0000-00001A130000}"/>
    <cellStyle name="Normal 3 16 12 2" xfId="5729" xr:uid="{00000000-0005-0000-0000-00001B130000}"/>
    <cellStyle name="Normal 3 16 13" xfId="4401" xr:uid="{00000000-0005-0000-0000-00001C130000}"/>
    <cellStyle name="Normal 3 16 13 2" xfId="5730" xr:uid="{00000000-0005-0000-0000-00001D130000}"/>
    <cellStyle name="Normal 3 16 14" xfId="4402" xr:uid="{00000000-0005-0000-0000-00001E130000}"/>
    <cellStyle name="Normal 3 16 14 2" xfId="5731" xr:uid="{00000000-0005-0000-0000-00001F130000}"/>
    <cellStyle name="Normal 3 16 15" xfId="4403" xr:uid="{00000000-0005-0000-0000-000020130000}"/>
    <cellStyle name="Normal 3 16 15 2" xfId="5732" xr:uid="{00000000-0005-0000-0000-000021130000}"/>
    <cellStyle name="Normal 3 16 16" xfId="4404" xr:uid="{00000000-0005-0000-0000-000022130000}"/>
    <cellStyle name="Normal 3 16 16 2" xfId="5733" xr:uid="{00000000-0005-0000-0000-000023130000}"/>
    <cellStyle name="Normal 3 16 17" xfId="4405" xr:uid="{00000000-0005-0000-0000-000024130000}"/>
    <cellStyle name="Normal 3 16 17 2" xfId="5734" xr:uid="{00000000-0005-0000-0000-000025130000}"/>
    <cellStyle name="Normal 3 16 18" xfId="4406" xr:uid="{00000000-0005-0000-0000-000026130000}"/>
    <cellStyle name="Normal 3 16 18 2" xfId="5735" xr:uid="{00000000-0005-0000-0000-000027130000}"/>
    <cellStyle name="Normal 3 16 19" xfId="4407" xr:uid="{00000000-0005-0000-0000-000028130000}"/>
    <cellStyle name="Normal 3 16 19 2" xfId="5736" xr:uid="{00000000-0005-0000-0000-000029130000}"/>
    <cellStyle name="Normal 3 16 2" xfId="4408" xr:uid="{00000000-0005-0000-0000-00002A130000}"/>
    <cellStyle name="Normal 3 16 2 2" xfId="5737" xr:uid="{00000000-0005-0000-0000-00002B130000}"/>
    <cellStyle name="Normal 3 16 20" xfId="4409" xr:uid="{00000000-0005-0000-0000-00002C130000}"/>
    <cellStyle name="Normal 3 16 20 2" xfId="5738" xr:uid="{00000000-0005-0000-0000-00002D130000}"/>
    <cellStyle name="Normal 3 16 21" xfId="4410" xr:uid="{00000000-0005-0000-0000-00002E130000}"/>
    <cellStyle name="Normal 3 16 21 2" xfId="5739" xr:uid="{00000000-0005-0000-0000-00002F130000}"/>
    <cellStyle name="Normal 3 16 22" xfId="4411" xr:uid="{00000000-0005-0000-0000-000030130000}"/>
    <cellStyle name="Normal 3 16 22 2" xfId="5740" xr:uid="{00000000-0005-0000-0000-000031130000}"/>
    <cellStyle name="Normal 3 16 23" xfId="4412" xr:uid="{00000000-0005-0000-0000-000032130000}"/>
    <cellStyle name="Normal 3 16 23 2" xfId="5741" xr:uid="{00000000-0005-0000-0000-000033130000}"/>
    <cellStyle name="Normal 3 16 24" xfId="4413" xr:uid="{00000000-0005-0000-0000-000034130000}"/>
    <cellStyle name="Normal 3 16 24 2" xfId="5742" xr:uid="{00000000-0005-0000-0000-000035130000}"/>
    <cellStyle name="Normal 3 16 25" xfId="4414" xr:uid="{00000000-0005-0000-0000-000036130000}"/>
    <cellStyle name="Normal 3 16 25 2" xfId="5743" xr:uid="{00000000-0005-0000-0000-000037130000}"/>
    <cellStyle name="Normal 3 16 26" xfId="4415" xr:uid="{00000000-0005-0000-0000-000038130000}"/>
    <cellStyle name="Normal 3 16 26 2" xfId="5744" xr:uid="{00000000-0005-0000-0000-000039130000}"/>
    <cellStyle name="Normal 3 16 27" xfId="4416" xr:uid="{00000000-0005-0000-0000-00003A130000}"/>
    <cellStyle name="Normal 3 16 27 2" xfId="5745" xr:uid="{00000000-0005-0000-0000-00003B130000}"/>
    <cellStyle name="Normal 3 16 28" xfId="4417" xr:uid="{00000000-0005-0000-0000-00003C130000}"/>
    <cellStyle name="Normal 3 16 28 2" xfId="5746" xr:uid="{00000000-0005-0000-0000-00003D130000}"/>
    <cellStyle name="Normal 3 16 29" xfId="4418" xr:uid="{00000000-0005-0000-0000-00003E130000}"/>
    <cellStyle name="Normal 3 16 29 2" xfId="5747" xr:uid="{00000000-0005-0000-0000-00003F130000}"/>
    <cellStyle name="Normal 3 16 3" xfId="4419" xr:uid="{00000000-0005-0000-0000-000040130000}"/>
    <cellStyle name="Normal 3 16 3 2" xfId="5748" xr:uid="{00000000-0005-0000-0000-000041130000}"/>
    <cellStyle name="Normal 3 16 30" xfId="4420" xr:uid="{00000000-0005-0000-0000-000042130000}"/>
    <cellStyle name="Normal 3 16 30 2" xfId="5749" xr:uid="{00000000-0005-0000-0000-000043130000}"/>
    <cellStyle name="Normal 3 16 31" xfId="4421" xr:uid="{00000000-0005-0000-0000-000044130000}"/>
    <cellStyle name="Normal 3 16 31 2" xfId="5750" xr:uid="{00000000-0005-0000-0000-000045130000}"/>
    <cellStyle name="Normal 3 16 32" xfId="4422" xr:uid="{00000000-0005-0000-0000-000046130000}"/>
    <cellStyle name="Normal 3 16 32 2" xfId="5751" xr:uid="{00000000-0005-0000-0000-000047130000}"/>
    <cellStyle name="Normal 3 16 33" xfId="5726" xr:uid="{00000000-0005-0000-0000-000048130000}"/>
    <cellStyle name="Normal 3 16 4" xfId="4423" xr:uid="{00000000-0005-0000-0000-000049130000}"/>
    <cellStyle name="Normal 3 16 4 2" xfId="5752" xr:uid="{00000000-0005-0000-0000-00004A130000}"/>
    <cellStyle name="Normal 3 16 5" xfId="4424" xr:uid="{00000000-0005-0000-0000-00004B130000}"/>
    <cellStyle name="Normal 3 16 5 2" xfId="5753" xr:uid="{00000000-0005-0000-0000-00004C130000}"/>
    <cellStyle name="Normal 3 16 6" xfId="4425" xr:uid="{00000000-0005-0000-0000-00004D130000}"/>
    <cellStyle name="Normal 3 16 6 2" xfId="5754" xr:uid="{00000000-0005-0000-0000-00004E130000}"/>
    <cellStyle name="Normal 3 16 7" xfId="4426" xr:uid="{00000000-0005-0000-0000-00004F130000}"/>
    <cellStyle name="Normal 3 16 7 2" xfId="5755" xr:uid="{00000000-0005-0000-0000-000050130000}"/>
    <cellStyle name="Normal 3 16 8" xfId="4427" xr:uid="{00000000-0005-0000-0000-000051130000}"/>
    <cellStyle name="Normal 3 16 8 2" xfId="5756" xr:uid="{00000000-0005-0000-0000-000052130000}"/>
    <cellStyle name="Normal 3 16 9" xfId="4428" xr:uid="{00000000-0005-0000-0000-000053130000}"/>
    <cellStyle name="Normal 3 16 9 2" xfId="5757" xr:uid="{00000000-0005-0000-0000-000054130000}"/>
    <cellStyle name="Normal 3 17" xfId="4429" xr:uid="{00000000-0005-0000-0000-000055130000}"/>
    <cellStyle name="Normal 3 17 2" xfId="5758" xr:uid="{00000000-0005-0000-0000-000056130000}"/>
    <cellStyle name="Normal 3 18" xfId="4430" xr:uid="{00000000-0005-0000-0000-000057130000}"/>
    <cellStyle name="Normal 3 18 2" xfId="5759" xr:uid="{00000000-0005-0000-0000-000058130000}"/>
    <cellStyle name="Normal 3 19" xfId="4431" xr:uid="{00000000-0005-0000-0000-000059130000}"/>
    <cellStyle name="Normal 3 19 2" xfId="5760" xr:uid="{00000000-0005-0000-0000-00005A130000}"/>
    <cellStyle name="Normal 3 2" xfId="4432" xr:uid="{00000000-0005-0000-0000-00005B130000}"/>
    <cellStyle name="Normal 3 2 10" xfId="4433" xr:uid="{00000000-0005-0000-0000-00005C130000}"/>
    <cellStyle name="Normal 3 2 10 2" xfId="5762" xr:uid="{00000000-0005-0000-0000-00005D130000}"/>
    <cellStyle name="Normal 3 2 11" xfId="4434" xr:uid="{00000000-0005-0000-0000-00005E130000}"/>
    <cellStyle name="Normal 3 2 11 2" xfId="5763" xr:uid="{00000000-0005-0000-0000-00005F130000}"/>
    <cellStyle name="Normal 3 2 12" xfId="4435" xr:uid="{00000000-0005-0000-0000-000060130000}"/>
    <cellStyle name="Normal 3 2 12 2" xfId="5764" xr:uid="{00000000-0005-0000-0000-000061130000}"/>
    <cellStyle name="Normal 3 2 13" xfId="4436" xr:uid="{00000000-0005-0000-0000-000062130000}"/>
    <cellStyle name="Normal 3 2 13 2" xfId="5765" xr:uid="{00000000-0005-0000-0000-000063130000}"/>
    <cellStyle name="Normal 3 2 14" xfId="4437" xr:uid="{00000000-0005-0000-0000-000064130000}"/>
    <cellStyle name="Normal 3 2 14 2" xfId="5766" xr:uid="{00000000-0005-0000-0000-000065130000}"/>
    <cellStyle name="Normal 3 2 15" xfId="4438" xr:uid="{00000000-0005-0000-0000-000066130000}"/>
    <cellStyle name="Normal 3 2 15 2" xfId="5767" xr:uid="{00000000-0005-0000-0000-000067130000}"/>
    <cellStyle name="Normal 3 2 16" xfId="4439" xr:uid="{00000000-0005-0000-0000-000068130000}"/>
    <cellStyle name="Normal 3 2 16 2" xfId="5768" xr:uid="{00000000-0005-0000-0000-000069130000}"/>
    <cellStyle name="Normal 3 2 17" xfId="4440" xr:uid="{00000000-0005-0000-0000-00006A130000}"/>
    <cellStyle name="Normal 3 2 17 2" xfId="5769" xr:uid="{00000000-0005-0000-0000-00006B130000}"/>
    <cellStyle name="Normal 3 2 18" xfId="4441" xr:uid="{00000000-0005-0000-0000-00006C130000}"/>
    <cellStyle name="Normal 3 2 18 2" xfId="5770" xr:uid="{00000000-0005-0000-0000-00006D130000}"/>
    <cellStyle name="Normal 3 2 19" xfId="4442" xr:uid="{00000000-0005-0000-0000-00006E130000}"/>
    <cellStyle name="Normal 3 2 19 2" xfId="5771" xr:uid="{00000000-0005-0000-0000-00006F130000}"/>
    <cellStyle name="Normal 3 2 2" xfId="4443" xr:uid="{00000000-0005-0000-0000-000070130000}"/>
    <cellStyle name="Normal 3 2 2 10" xfId="4444" xr:uid="{00000000-0005-0000-0000-000071130000}"/>
    <cellStyle name="Normal 3 2 2 10 2" xfId="5773" xr:uid="{00000000-0005-0000-0000-000072130000}"/>
    <cellStyle name="Normal 3 2 2 11" xfId="4445" xr:uid="{00000000-0005-0000-0000-000073130000}"/>
    <cellStyle name="Normal 3 2 2 11 2" xfId="5774" xr:uid="{00000000-0005-0000-0000-000074130000}"/>
    <cellStyle name="Normal 3 2 2 12" xfId="4446" xr:uid="{00000000-0005-0000-0000-000075130000}"/>
    <cellStyle name="Normal 3 2 2 12 2" xfId="5775" xr:uid="{00000000-0005-0000-0000-000076130000}"/>
    <cellStyle name="Normal 3 2 2 13" xfId="4447" xr:uid="{00000000-0005-0000-0000-000077130000}"/>
    <cellStyle name="Normal 3 2 2 13 2" xfId="5776" xr:uid="{00000000-0005-0000-0000-000078130000}"/>
    <cellStyle name="Normal 3 2 2 14" xfId="4448" xr:uid="{00000000-0005-0000-0000-000079130000}"/>
    <cellStyle name="Normal 3 2 2 14 2" xfId="5777" xr:uid="{00000000-0005-0000-0000-00007A130000}"/>
    <cellStyle name="Normal 3 2 2 15" xfId="4449" xr:uid="{00000000-0005-0000-0000-00007B130000}"/>
    <cellStyle name="Normal 3 2 2 15 2" xfId="5778" xr:uid="{00000000-0005-0000-0000-00007C130000}"/>
    <cellStyle name="Normal 3 2 2 16" xfId="4450" xr:uid="{00000000-0005-0000-0000-00007D130000}"/>
    <cellStyle name="Normal 3 2 2 16 2" xfId="5779" xr:uid="{00000000-0005-0000-0000-00007E130000}"/>
    <cellStyle name="Normal 3 2 2 17" xfId="4451" xr:uid="{00000000-0005-0000-0000-00007F130000}"/>
    <cellStyle name="Normal 3 2 2 17 2" xfId="5780" xr:uid="{00000000-0005-0000-0000-000080130000}"/>
    <cellStyle name="Normal 3 2 2 18" xfId="4452" xr:uid="{00000000-0005-0000-0000-000081130000}"/>
    <cellStyle name="Normal 3 2 2 18 2" xfId="5781" xr:uid="{00000000-0005-0000-0000-000082130000}"/>
    <cellStyle name="Normal 3 2 2 19" xfId="4453" xr:uid="{00000000-0005-0000-0000-000083130000}"/>
    <cellStyle name="Normal 3 2 2 19 2" xfId="5782" xr:uid="{00000000-0005-0000-0000-000084130000}"/>
    <cellStyle name="Normal 3 2 2 2" xfId="4454" xr:uid="{00000000-0005-0000-0000-000085130000}"/>
    <cellStyle name="Normal 3 2 2 2 2" xfId="5783" xr:uid="{00000000-0005-0000-0000-000086130000}"/>
    <cellStyle name="Normal 3 2 2 20" xfId="4455" xr:uid="{00000000-0005-0000-0000-000087130000}"/>
    <cellStyle name="Normal 3 2 2 20 2" xfId="5784" xr:uid="{00000000-0005-0000-0000-000088130000}"/>
    <cellStyle name="Normal 3 2 2 21" xfId="4456" xr:uid="{00000000-0005-0000-0000-000089130000}"/>
    <cellStyle name="Normal 3 2 2 21 2" xfId="5785" xr:uid="{00000000-0005-0000-0000-00008A130000}"/>
    <cellStyle name="Normal 3 2 2 22" xfId="4457" xr:uid="{00000000-0005-0000-0000-00008B130000}"/>
    <cellStyle name="Normal 3 2 2 22 2" xfId="5786" xr:uid="{00000000-0005-0000-0000-00008C130000}"/>
    <cellStyle name="Normal 3 2 2 23" xfId="4458" xr:uid="{00000000-0005-0000-0000-00008D130000}"/>
    <cellStyle name="Normal 3 2 2 23 2" xfId="5787" xr:uid="{00000000-0005-0000-0000-00008E130000}"/>
    <cellStyle name="Normal 3 2 2 24" xfId="4459" xr:uid="{00000000-0005-0000-0000-00008F130000}"/>
    <cellStyle name="Normal 3 2 2 24 2" xfId="5788" xr:uid="{00000000-0005-0000-0000-000090130000}"/>
    <cellStyle name="Normal 3 2 2 25" xfId="4460" xr:uid="{00000000-0005-0000-0000-000091130000}"/>
    <cellStyle name="Normal 3 2 2 25 2" xfId="5789" xr:uid="{00000000-0005-0000-0000-000092130000}"/>
    <cellStyle name="Normal 3 2 2 26" xfId="4461" xr:uid="{00000000-0005-0000-0000-000093130000}"/>
    <cellStyle name="Normal 3 2 2 26 2" xfId="5790" xr:uid="{00000000-0005-0000-0000-000094130000}"/>
    <cellStyle name="Normal 3 2 2 27" xfId="4462" xr:uid="{00000000-0005-0000-0000-000095130000}"/>
    <cellStyle name="Normal 3 2 2 27 2" xfId="5791" xr:uid="{00000000-0005-0000-0000-000096130000}"/>
    <cellStyle name="Normal 3 2 2 28" xfId="4463" xr:uid="{00000000-0005-0000-0000-000097130000}"/>
    <cellStyle name="Normal 3 2 2 28 2" xfId="5792" xr:uid="{00000000-0005-0000-0000-000098130000}"/>
    <cellStyle name="Normal 3 2 2 29" xfId="4464" xr:uid="{00000000-0005-0000-0000-000099130000}"/>
    <cellStyle name="Normal 3 2 2 29 2" xfId="5793" xr:uid="{00000000-0005-0000-0000-00009A130000}"/>
    <cellStyle name="Normal 3 2 2 3" xfId="4465" xr:uid="{00000000-0005-0000-0000-00009B130000}"/>
    <cellStyle name="Normal 3 2 2 3 2" xfId="5794" xr:uid="{00000000-0005-0000-0000-00009C130000}"/>
    <cellStyle name="Normal 3 2 2 30" xfId="4466" xr:uid="{00000000-0005-0000-0000-00009D130000}"/>
    <cellStyle name="Normal 3 2 2 30 2" xfId="5795" xr:uid="{00000000-0005-0000-0000-00009E130000}"/>
    <cellStyle name="Normal 3 2 2 31" xfId="4467" xr:uid="{00000000-0005-0000-0000-00009F130000}"/>
    <cellStyle name="Normal 3 2 2 31 2" xfId="5796" xr:uid="{00000000-0005-0000-0000-0000A0130000}"/>
    <cellStyle name="Normal 3 2 2 32" xfId="4468" xr:uid="{00000000-0005-0000-0000-0000A1130000}"/>
    <cellStyle name="Normal 3 2 2 32 2" xfId="5797" xr:uid="{00000000-0005-0000-0000-0000A2130000}"/>
    <cellStyle name="Normal 3 2 2 33" xfId="5772" xr:uid="{00000000-0005-0000-0000-0000A3130000}"/>
    <cellStyle name="Normal 3 2 2 4" xfId="4469" xr:uid="{00000000-0005-0000-0000-0000A4130000}"/>
    <cellStyle name="Normal 3 2 2 4 2" xfId="5798" xr:uid="{00000000-0005-0000-0000-0000A5130000}"/>
    <cellStyle name="Normal 3 2 2 5" xfId="4470" xr:uid="{00000000-0005-0000-0000-0000A6130000}"/>
    <cellStyle name="Normal 3 2 2 5 2" xfId="5799" xr:uid="{00000000-0005-0000-0000-0000A7130000}"/>
    <cellStyle name="Normal 3 2 2 6" xfId="4471" xr:uid="{00000000-0005-0000-0000-0000A8130000}"/>
    <cellStyle name="Normal 3 2 2 6 2" xfId="5800" xr:uid="{00000000-0005-0000-0000-0000A9130000}"/>
    <cellStyle name="Normal 3 2 2 7" xfId="4472" xr:uid="{00000000-0005-0000-0000-0000AA130000}"/>
    <cellStyle name="Normal 3 2 2 7 2" xfId="5801" xr:uid="{00000000-0005-0000-0000-0000AB130000}"/>
    <cellStyle name="Normal 3 2 2 8" xfId="4473" xr:uid="{00000000-0005-0000-0000-0000AC130000}"/>
    <cellStyle name="Normal 3 2 2 8 2" xfId="5802" xr:uid="{00000000-0005-0000-0000-0000AD130000}"/>
    <cellStyle name="Normal 3 2 2 9" xfId="4474" xr:uid="{00000000-0005-0000-0000-0000AE130000}"/>
    <cellStyle name="Normal 3 2 2 9 2" xfId="5803" xr:uid="{00000000-0005-0000-0000-0000AF130000}"/>
    <cellStyle name="Normal 3 2 20" xfId="4475" xr:uid="{00000000-0005-0000-0000-0000B0130000}"/>
    <cellStyle name="Normal 3 2 20 2" xfId="5804" xr:uid="{00000000-0005-0000-0000-0000B1130000}"/>
    <cellStyle name="Normal 3 2 21" xfId="4476" xr:uid="{00000000-0005-0000-0000-0000B2130000}"/>
    <cellStyle name="Normal 3 2 21 2" xfId="5805" xr:uid="{00000000-0005-0000-0000-0000B3130000}"/>
    <cellStyle name="Normal 3 2 22" xfId="4477" xr:uid="{00000000-0005-0000-0000-0000B4130000}"/>
    <cellStyle name="Normal 3 2 22 2" xfId="5806" xr:uid="{00000000-0005-0000-0000-0000B5130000}"/>
    <cellStyle name="Normal 3 2 23" xfId="4478" xr:uid="{00000000-0005-0000-0000-0000B6130000}"/>
    <cellStyle name="Normal 3 2 23 2" xfId="5807" xr:uid="{00000000-0005-0000-0000-0000B7130000}"/>
    <cellStyle name="Normal 3 2 24" xfId="4479" xr:uid="{00000000-0005-0000-0000-0000B8130000}"/>
    <cellStyle name="Normal 3 2 24 2" xfId="5808" xr:uid="{00000000-0005-0000-0000-0000B9130000}"/>
    <cellStyle name="Normal 3 2 25" xfId="4480" xr:uid="{00000000-0005-0000-0000-0000BA130000}"/>
    <cellStyle name="Normal 3 2 25 2" xfId="5809" xr:uid="{00000000-0005-0000-0000-0000BB130000}"/>
    <cellStyle name="Normal 3 2 26" xfId="4481" xr:uid="{00000000-0005-0000-0000-0000BC130000}"/>
    <cellStyle name="Normal 3 2 26 2" xfId="5810" xr:uid="{00000000-0005-0000-0000-0000BD130000}"/>
    <cellStyle name="Normal 3 2 27" xfId="4482" xr:uid="{00000000-0005-0000-0000-0000BE130000}"/>
    <cellStyle name="Normal 3 2 27 2" xfId="5811" xr:uid="{00000000-0005-0000-0000-0000BF130000}"/>
    <cellStyle name="Normal 3 2 28" xfId="4483" xr:uid="{00000000-0005-0000-0000-0000C0130000}"/>
    <cellStyle name="Normal 3 2 28 2" xfId="5812" xr:uid="{00000000-0005-0000-0000-0000C1130000}"/>
    <cellStyle name="Normal 3 2 29" xfId="4484" xr:uid="{00000000-0005-0000-0000-0000C2130000}"/>
    <cellStyle name="Normal 3 2 29 2" xfId="5813" xr:uid="{00000000-0005-0000-0000-0000C3130000}"/>
    <cellStyle name="Normal 3 2 3" xfId="4485" xr:uid="{00000000-0005-0000-0000-0000C4130000}"/>
    <cellStyle name="Normal 3 2 3 2" xfId="5814" xr:uid="{00000000-0005-0000-0000-0000C5130000}"/>
    <cellStyle name="Normal 3 2 30" xfId="4486" xr:uid="{00000000-0005-0000-0000-0000C6130000}"/>
    <cellStyle name="Normal 3 2 30 2" xfId="5815" xr:uid="{00000000-0005-0000-0000-0000C7130000}"/>
    <cellStyle name="Normal 3 2 31" xfId="4487" xr:uid="{00000000-0005-0000-0000-0000C8130000}"/>
    <cellStyle name="Normal 3 2 31 2" xfId="5816" xr:uid="{00000000-0005-0000-0000-0000C9130000}"/>
    <cellStyle name="Normal 3 2 32" xfId="4488" xr:uid="{00000000-0005-0000-0000-0000CA130000}"/>
    <cellStyle name="Normal 3 2 32 2" xfId="5817" xr:uid="{00000000-0005-0000-0000-0000CB130000}"/>
    <cellStyle name="Normal 3 2 33" xfId="4489" xr:uid="{00000000-0005-0000-0000-0000CC130000}"/>
    <cellStyle name="Normal 3 2 33 2" xfId="5818" xr:uid="{00000000-0005-0000-0000-0000CD130000}"/>
    <cellStyle name="Normal 3 2 34" xfId="4490" xr:uid="{00000000-0005-0000-0000-0000CE130000}"/>
    <cellStyle name="Normal 3 2 34 2" xfId="5819" xr:uid="{00000000-0005-0000-0000-0000CF130000}"/>
    <cellStyle name="Normal 3 2 35" xfId="4491" xr:uid="{00000000-0005-0000-0000-0000D0130000}"/>
    <cellStyle name="Normal 3 2 35 2" xfId="5820" xr:uid="{00000000-0005-0000-0000-0000D1130000}"/>
    <cellStyle name="Normal 3 2 36" xfId="5761" xr:uid="{00000000-0005-0000-0000-0000D2130000}"/>
    <cellStyle name="Normal 3 2 4" xfId="4492" xr:uid="{00000000-0005-0000-0000-0000D3130000}"/>
    <cellStyle name="Normal 3 2 4 2" xfId="5821" xr:uid="{00000000-0005-0000-0000-0000D4130000}"/>
    <cellStyle name="Normal 3 2 5" xfId="4493" xr:uid="{00000000-0005-0000-0000-0000D5130000}"/>
    <cellStyle name="Normal 3 2 5 2" xfId="5822" xr:uid="{00000000-0005-0000-0000-0000D6130000}"/>
    <cellStyle name="Normal 3 2 6" xfId="4494" xr:uid="{00000000-0005-0000-0000-0000D7130000}"/>
    <cellStyle name="Normal 3 2 6 2" xfId="5823" xr:uid="{00000000-0005-0000-0000-0000D8130000}"/>
    <cellStyle name="Normal 3 2 7" xfId="4495" xr:uid="{00000000-0005-0000-0000-0000D9130000}"/>
    <cellStyle name="Normal 3 2 7 2" xfId="5824" xr:uid="{00000000-0005-0000-0000-0000DA130000}"/>
    <cellStyle name="Normal 3 2 8" xfId="4496" xr:uid="{00000000-0005-0000-0000-0000DB130000}"/>
    <cellStyle name="Normal 3 2 8 2" xfId="5825" xr:uid="{00000000-0005-0000-0000-0000DC130000}"/>
    <cellStyle name="Normal 3 2 9" xfId="4497" xr:uid="{00000000-0005-0000-0000-0000DD130000}"/>
    <cellStyle name="Normal 3 2 9 2" xfId="5826" xr:uid="{00000000-0005-0000-0000-0000DE130000}"/>
    <cellStyle name="Normal 3 20" xfId="4498" xr:uid="{00000000-0005-0000-0000-0000DF130000}"/>
    <cellStyle name="Normal 3 20 2" xfId="5827" xr:uid="{00000000-0005-0000-0000-0000E0130000}"/>
    <cellStyle name="Normal 3 21" xfId="4499" xr:uid="{00000000-0005-0000-0000-0000E1130000}"/>
    <cellStyle name="Normal 3 21 2" xfId="5828" xr:uid="{00000000-0005-0000-0000-0000E2130000}"/>
    <cellStyle name="Normal 3 22" xfId="4500" xr:uid="{00000000-0005-0000-0000-0000E3130000}"/>
    <cellStyle name="Normal 3 22 2" xfId="5829" xr:uid="{00000000-0005-0000-0000-0000E4130000}"/>
    <cellStyle name="Normal 3 23" xfId="4501" xr:uid="{00000000-0005-0000-0000-0000E5130000}"/>
    <cellStyle name="Normal 3 23 2" xfId="5830" xr:uid="{00000000-0005-0000-0000-0000E6130000}"/>
    <cellStyle name="Normal 3 24" xfId="4502" xr:uid="{00000000-0005-0000-0000-0000E7130000}"/>
    <cellStyle name="Normal 3 24 2" xfId="5831" xr:uid="{00000000-0005-0000-0000-0000E8130000}"/>
    <cellStyle name="Normal 3 25" xfId="4503" xr:uid="{00000000-0005-0000-0000-0000E9130000}"/>
    <cellStyle name="Normal 3 25 2" xfId="5832" xr:uid="{00000000-0005-0000-0000-0000EA130000}"/>
    <cellStyle name="Normal 3 26" xfId="4504" xr:uid="{00000000-0005-0000-0000-0000EB130000}"/>
    <cellStyle name="Normal 3 26 2" xfId="5833" xr:uid="{00000000-0005-0000-0000-0000EC130000}"/>
    <cellStyle name="Normal 3 27" xfId="4505" xr:uid="{00000000-0005-0000-0000-0000ED130000}"/>
    <cellStyle name="Normal 3 27 2" xfId="5834" xr:uid="{00000000-0005-0000-0000-0000EE130000}"/>
    <cellStyle name="Normal 3 28" xfId="4506" xr:uid="{00000000-0005-0000-0000-0000EF130000}"/>
    <cellStyle name="Normal 3 28 2" xfId="5835" xr:uid="{00000000-0005-0000-0000-0000F0130000}"/>
    <cellStyle name="Normal 3 29" xfId="4507" xr:uid="{00000000-0005-0000-0000-0000F1130000}"/>
    <cellStyle name="Normal 3 29 2" xfId="5836" xr:uid="{00000000-0005-0000-0000-0000F2130000}"/>
    <cellStyle name="Normal 3 3" xfId="4508" xr:uid="{00000000-0005-0000-0000-0000F3130000}"/>
    <cellStyle name="Normal 3 3 2" xfId="4509" xr:uid="{00000000-0005-0000-0000-0000F4130000}"/>
    <cellStyle name="Normal 3 3 2 2" xfId="5838" xr:uid="{00000000-0005-0000-0000-0000F5130000}"/>
    <cellStyle name="Normal 3 3 3" xfId="4510" xr:uid="{00000000-0005-0000-0000-0000F6130000}"/>
    <cellStyle name="Normal 3 3 3 2" xfId="5839" xr:uid="{00000000-0005-0000-0000-0000F7130000}"/>
    <cellStyle name="Normal 3 3 4" xfId="4511" xr:uid="{00000000-0005-0000-0000-0000F8130000}"/>
    <cellStyle name="Normal 3 3 4 2" xfId="5840" xr:uid="{00000000-0005-0000-0000-0000F9130000}"/>
    <cellStyle name="Normal 3 3 5" xfId="4512" xr:uid="{00000000-0005-0000-0000-0000FA130000}"/>
    <cellStyle name="Normal 3 3 5 2" xfId="5841" xr:uid="{00000000-0005-0000-0000-0000FB130000}"/>
    <cellStyle name="Normal 3 3 6" xfId="5837" xr:uid="{00000000-0005-0000-0000-0000FC130000}"/>
    <cellStyle name="Normal 3 30" xfId="4513" xr:uid="{00000000-0005-0000-0000-0000FD130000}"/>
    <cellStyle name="Normal 3 30 2" xfId="5842" xr:uid="{00000000-0005-0000-0000-0000FE130000}"/>
    <cellStyle name="Normal 3 31" xfId="4514" xr:uid="{00000000-0005-0000-0000-0000FF130000}"/>
    <cellStyle name="Normal 3 31 2" xfId="5843" xr:uid="{00000000-0005-0000-0000-000000140000}"/>
    <cellStyle name="Normal 3 32" xfId="4515" xr:uid="{00000000-0005-0000-0000-000001140000}"/>
    <cellStyle name="Normal 3 32 2" xfId="5844" xr:uid="{00000000-0005-0000-0000-000002140000}"/>
    <cellStyle name="Normal 3 33" xfId="4516" xr:uid="{00000000-0005-0000-0000-000003140000}"/>
    <cellStyle name="Normal 3 33 2" xfId="5845" xr:uid="{00000000-0005-0000-0000-000004140000}"/>
    <cellStyle name="Normal 3 34" xfId="4517" xr:uid="{00000000-0005-0000-0000-000005140000}"/>
    <cellStyle name="Normal 3 34 2" xfId="5846" xr:uid="{00000000-0005-0000-0000-000006140000}"/>
    <cellStyle name="Normal 3 35" xfId="4518" xr:uid="{00000000-0005-0000-0000-000007140000}"/>
    <cellStyle name="Normal 3 35 2" xfId="5847" xr:uid="{00000000-0005-0000-0000-000008140000}"/>
    <cellStyle name="Normal 3 36" xfId="5368" xr:uid="{00000000-0005-0000-0000-000009140000}"/>
    <cellStyle name="Normal 3 4" xfId="4519" xr:uid="{00000000-0005-0000-0000-00000A140000}"/>
    <cellStyle name="Normal 3 4 2" xfId="4520" xr:uid="{00000000-0005-0000-0000-00000B140000}"/>
    <cellStyle name="Normal 3 4 2 2" xfId="5849" xr:uid="{00000000-0005-0000-0000-00000C140000}"/>
    <cellStyle name="Normal 3 4 3" xfId="4521" xr:uid="{00000000-0005-0000-0000-00000D140000}"/>
    <cellStyle name="Normal 3 4 3 2" xfId="5850" xr:uid="{00000000-0005-0000-0000-00000E140000}"/>
    <cellStyle name="Normal 3 4 4" xfId="4522" xr:uid="{00000000-0005-0000-0000-00000F140000}"/>
    <cellStyle name="Normal 3 4 4 2" xfId="5851" xr:uid="{00000000-0005-0000-0000-000010140000}"/>
    <cellStyle name="Normal 3 4 5" xfId="4523" xr:uid="{00000000-0005-0000-0000-000011140000}"/>
    <cellStyle name="Normal 3 4 5 2" xfId="5852" xr:uid="{00000000-0005-0000-0000-000012140000}"/>
    <cellStyle name="Normal 3 4 6" xfId="5848" xr:uid="{00000000-0005-0000-0000-000013140000}"/>
    <cellStyle name="Normal 3 5" xfId="4524" xr:uid="{00000000-0005-0000-0000-000014140000}"/>
    <cellStyle name="Normal 3 5 2" xfId="4525" xr:uid="{00000000-0005-0000-0000-000015140000}"/>
    <cellStyle name="Normal 3 5 2 2" xfId="5854" xr:uid="{00000000-0005-0000-0000-000016140000}"/>
    <cellStyle name="Normal 3 5 3" xfId="4526" xr:uid="{00000000-0005-0000-0000-000017140000}"/>
    <cellStyle name="Normal 3 5 3 2" xfId="5855" xr:uid="{00000000-0005-0000-0000-000018140000}"/>
    <cellStyle name="Normal 3 5 4" xfId="4527" xr:uid="{00000000-0005-0000-0000-000019140000}"/>
    <cellStyle name="Normal 3 5 4 2" xfId="5856" xr:uid="{00000000-0005-0000-0000-00001A140000}"/>
    <cellStyle name="Normal 3 5 5" xfId="4528" xr:uid="{00000000-0005-0000-0000-00001B140000}"/>
    <cellStyle name="Normal 3 5 5 2" xfId="5857" xr:uid="{00000000-0005-0000-0000-00001C140000}"/>
    <cellStyle name="Normal 3 5 6" xfId="5853" xr:uid="{00000000-0005-0000-0000-00001D140000}"/>
    <cellStyle name="Normal 3 6" xfId="4529" xr:uid="{00000000-0005-0000-0000-00001E140000}"/>
    <cellStyle name="Normal 3 6 2" xfId="4530" xr:uid="{00000000-0005-0000-0000-00001F140000}"/>
    <cellStyle name="Normal 3 6 2 2" xfId="5859" xr:uid="{00000000-0005-0000-0000-000020140000}"/>
    <cellStyle name="Normal 3 6 3" xfId="4531" xr:uid="{00000000-0005-0000-0000-000021140000}"/>
    <cellStyle name="Normal 3 6 3 2" xfId="5860" xr:uid="{00000000-0005-0000-0000-000022140000}"/>
    <cellStyle name="Normal 3 6 4" xfId="4532" xr:uid="{00000000-0005-0000-0000-000023140000}"/>
    <cellStyle name="Normal 3 6 4 2" xfId="5861" xr:uid="{00000000-0005-0000-0000-000024140000}"/>
    <cellStyle name="Normal 3 6 5" xfId="4533" xr:uid="{00000000-0005-0000-0000-000025140000}"/>
    <cellStyle name="Normal 3 6 5 2" xfId="5862" xr:uid="{00000000-0005-0000-0000-000026140000}"/>
    <cellStyle name="Normal 3 6 6" xfId="5858" xr:uid="{00000000-0005-0000-0000-000027140000}"/>
    <cellStyle name="Normal 3 7" xfId="4534" xr:uid="{00000000-0005-0000-0000-000028140000}"/>
    <cellStyle name="Normal 3 7 10" xfId="4535" xr:uid="{00000000-0005-0000-0000-000029140000}"/>
    <cellStyle name="Normal 3 7 10 2" xfId="5864" xr:uid="{00000000-0005-0000-0000-00002A140000}"/>
    <cellStyle name="Normal 3 7 11" xfId="4536" xr:uid="{00000000-0005-0000-0000-00002B140000}"/>
    <cellStyle name="Normal 3 7 11 2" xfId="5865" xr:uid="{00000000-0005-0000-0000-00002C140000}"/>
    <cellStyle name="Normal 3 7 12" xfId="4537" xr:uid="{00000000-0005-0000-0000-00002D140000}"/>
    <cellStyle name="Normal 3 7 12 2" xfId="5866" xr:uid="{00000000-0005-0000-0000-00002E140000}"/>
    <cellStyle name="Normal 3 7 13" xfId="4538" xr:uid="{00000000-0005-0000-0000-00002F140000}"/>
    <cellStyle name="Normal 3 7 13 2" xfId="5867" xr:uid="{00000000-0005-0000-0000-000030140000}"/>
    <cellStyle name="Normal 3 7 14" xfId="4539" xr:uid="{00000000-0005-0000-0000-000031140000}"/>
    <cellStyle name="Normal 3 7 14 2" xfId="5868" xr:uid="{00000000-0005-0000-0000-000032140000}"/>
    <cellStyle name="Normal 3 7 15" xfId="4540" xr:uid="{00000000-0005-0000-0000-000033140000}"/>
    <cellStyle name="Normal 3 7 15 2" xfId="5869" xr:uid="{00000000-0005-0000-0000-000034140000}"/>
    <cellStyle name="Normal 3 7 16" xfId="4541" xr:uid="{00000000-0005-0000-0000-000035140000}"/>
    <cellStyle name="Normal 3 7 16 2" xfId="5870" xr:uid="{00000000-0005-0000-0000-000036140000}"/>
    <cellStyle name="Normal 3 7 17" xfId="4542" xr:uid="{00000000-0005-0000-0000-000037140000}"/>
    <cellStyle name="Normal 3 7 17 2" xfId="5871" xr:uid="{00000000-0005-0000-0000-000038140000}"/>
    <cellStyle name="Normal 3 7 18" xfId="4543" xr:uid="{00000000-0005-0000-0000-000039140000}"/>
    <cellStyle name="Normal 3 7 18 2" xfId="5872" xr:uid="{00000000-0005-0000-0000-00003A140000}"/>
    <cellStyle name="Normal 3 7 19" xfId="4544" xr:uid="{00000000-0005-0000-0000-00003B140000}"/>
    <cellStyle name="Normal 3 7 19 2" xfId="5873" xr:uid="{00000000-0005-0000-0000-00003C140000}"/>
    <cellStyle name="Normal 3 7 2" xfId="4545" xr:uid="{00000000-0005-0000-0000-00003D140000}"/>
    <cellStyle name="Normal 3 7 2 10" xfId="4546" xr:uid="{00000000-0005-0000-0000-00003E140000}"/>
    <cellStyle name="Normal 3 7 2 10 2" xfId="5875" xr:uid="{00000000-0005-0000-0000-00003F140000}"/>
    <cellStyle name="Normal 3 7 2 11" xfId="4547" xr:uid="{00000000-0005-0000-0000-000040140000}"/>
    <cellStyle name="Normal 3 7 2 11 2" xfId="5876" xr:uid="{00000000-0005-0000-0000-000041140000}"/>
    <cellStyle name="Normal 3 7 2 12" xfId="4548" xr:uid="{00000000-0005-0000-0000-000042140000}"/>
    <cellStyle name="Normal 3 7 2 12 2" xfId="5877" xr:uid="{00000000-0005-0000-0000-000043140000}"/>
    <cellStyle name="Normal 3 7 2 13" xfId="4549" xr:uid="{00000000-0005-0000-0000-000044140000}"/>
    <cellStyle name="Normal 3 7 2 13 2" xfId="5878" xr:uid="{00000000-0005-0000-0000-000045140000}"/>
    <cellStyle name="Normal 3 7 2 14" xfId="4550" xr:uid="{00000000-0005-0000-0000-000046140000}"/>
    <cellStyle name="Normal 3 7 2 14 2" xfId="5879" xr:uid="{00000000-0005-0000-0000-000047140000}"/>
    <cellStyle name="Normal 3 7 2 15" xfId="4551" xr:uid="{00000000-0005-0000-0000-000048140000}"/>
    <cellStyle name="Normal 3 7 2 15 2" xfId="5880" xr:uid="{00000000-0005-0000-0000-000049140000}"/>
    <cellStyle name="Normal 3 7 2 16" xfId="4552" xr:uid="{00000000-0005-0000-0000-00004A140000}"/>
    <cellStyle name="Normal 3 7 2 16 2" xfId="5881" xr:uid="{00000000-0005-0000-0000-00004B140000}"/>
    <cellStyle name="Normal 3 7 2 17" xfId="4553" xr:uid="{00000000-0005-0000-0000-00004C140000}"/>
    <cellStyle name="Normal 3 7 2 17 2" xfId="5882" xr:uid="{00000000-0005-0000-0000-00004D140000}"/>
    <cellStyle name="Normal 3 7 2 18" xfId="4554" xr:uid="{00000000-0005-0000-0000-00004E140000}"/>
    <cellStyle name="Normal 3 7 2 18 2" xfId="5883" xr:uid="{00000000-0005-0000-0000-00004F140000}"/>
    <cellStyle name="Normal 3 7 2 19" xfId="4555" xr:uid="{00000000-0005-0000-0000-000050140000}"/>
    <cellStyle name="Normal 3 7 2 19 2" xfId="5884" xr:uid="{00000000-0005-0000-0000-000051140000}"/>
    <cellStyle name="Normal 3 7 2 2" xfId="4556" xr:uid="{00000000-0005-0000-0000-000052140000}"/>
    <cellStyle name="Normal 3 7 2 2 2" xfId="5885" xr:uid="{00000000-0005-0000-0000-000053140000}"/>
    <cellStyle name="Normal 3 7 2 20" xfId="4557" xr:uid="{00000000-0005-0000-0000-000054140000}"/>
    <cellStyle name="Normal 3 7 2 20 2" xfId="5886" xr:uid="{00000000-0005-0000-0000-000055140000}"/>
    <cellStyle name="Normal 3 7 2 21" xfId="4558" xr:uid="{00000000-0005-0000-0000-000056140000}"/>
    <cellStyle name="Normal 3 7 2 21 2" xfId="5887" xr:uid="{00000000-0005-0000-0000-000057140000}"/>
    <cellStyle name="Normal 3 7 2 22" xfId="4559" xr:uid="{00000000-0005-0000-0000-000058140000}"/>
    <cellStyle name="Normal 3 7 2 22 2" xfId="5888" xr:uid="{00000000-0005-0000-0000-000059140000}"/>
    <cellStyle name="Normal 3 7 2 23" xfId="4560" xr:uid="{00000000-0005-0000-0000-00005A140000}"/>
    <cellStyle name="Normal 3 7 2 23 2" xfId="5889" xr:uid="{00000000-0005-0000-0000-00005B140000}"/>
    <cellStyle name="Normal 3 7 2 24" xfId="4561" xr:uid="{00000000-0005-0000-0000-00005C140000}"/>
    <cellStyle name="Normal 3 7 2 24 2" xfId="5890" xr:uid="{00000000-0005-0000-0000-00005D140000}"/>
    <cellStyle name="Normal 3 7 2 25" xfId="4562" xr:uid="{00000000-0005-0000-0000-00005E140000}"/>
    <cellStyle name="Normal 3 7 2 25 2" xfId="5891" xr:uid="{00000000-0005-0000-0000-00005F140000}"/>
    <cellStyle name="Normal 3 7 2 26" xfId="4563" xr:uid="{00000000-0005-0000-0000-000060140000}"/>
    <cellStyle name="Normal 3 7 2 26 2" xfId="5892" xr:uid="{00000000-0005-0000-0000-000061140000}"/>
    <cellStyle name="Normal 3 7 2 27" xfId="4564" xr:uid="{00000000-0005-0000-0000-000062140000}"/>
    <cellStyle name="Normal 3 7 2 27 2" xfId="5893" xr:uid="{00000000-0005-0000-0000-000063140000}"/>
    <cellStyle name="Normal 3 7 2 28" xfId="4565" xr:uid="{00000000-0005-0000-0000-000064140000}"/>
    <cellStyle name="Normal 3 7 2 28 2" xfId="5894" xr:uid="{00000000-0005-0000-0000-000065140000}"/>
    <cellStyle name="Normal 3 7 2 29" xfId="4566" xr:uid="{00000000-0005-0000-0000-000066140000}"/>
    <cellStyle name="Normal 3 7 2 29 2" xfId="5895" xr:uid="{00000000-0005-0000-0000-000067140000}"/>
    <cellStyle name="Normal 3 7 2 3" xfId="4567" xr:uid="{00000000-0005-0000-0000-000068140000}"/>
    <cellStyle name="Normal 3 7 2 3 2" xfId="5896" xr:uid="{00000000-0005-0000-0000-000069140000}"/>
    <cellStyle name="Normal 3 7 2 30" xfId="4568" xr:uid="{00000000-0005-0000-0000-00006A140000}"/>
    <cellStyle name="Normal 3 7 2 30 2" xfId="5897" xr:uid="{00000000-0005-0000-0000-00006B140000}"/>
    <cellStyle name="Normal 3 7 2 31" xfId="4569" xr:uid="{00000000-0005-0000-0000-00006C140000}"/>
    <cellStyle name="Normal 3 7 2 31 2" xfId="5898" xr:uid="{00000000-0005-0000-0000-00006D140000}"/>
    <cellStyle name="Normal 3 7 2 32" xfId="4570" xr:uid="{00000000-0005-0000-0000-00006E140000}"/>
    <cellStyle name="Normal 3 7 2 32 2" xfId="5899" xr:uid="{00000000-0005-0000-0000-00006F140000}"/>
    <cellStyle name="Normal 3 7 2 33" xfId="5874" xr:uid="{00000000-0005-0000-0000-000070140000}"/>
    <cellStyle name="Normal 3 7 2 4" xfId="4571" xr:uid="{00000000-0005-0000-0000-000071140000}"/>
    <cellStyle name="Normal 3 7 2 4 2" xfId="5900" xr:uid="{00000000-0005-0000-0000-000072140000}"/>
    <cellStyle name="Normal 3 7 2 5" xfId="4572" xr:uid="{00000000-0005-0000-0000-000073140000}"/>
    <cellStyle name="Normal 3 7 2 5 2" xfId="5901" xr:uid="{00000000-0005-0000-0000-000074140000}"/>
    <cellStyle name="Normal 3 7 2 6" xfId="4573" xr:uid="{00000000-0005-0000-0000-000075140000}"/>
    <cellStyle name="Normal 3 7 2 6 2" xfId="5902" xr:uid="{00000000-0005-0000-0000-000076140000}"/>
    <cellStyle name="Normal 3 7 2 7" xfId="4574" xr:uid="{00000000-0005-0000-0000-000077140000}"/>
    <cellStyle name="Normal 3 7 2 7 2" xfId="5903" xr:uid="{00000000-0005-0000-0000-000078140000}"/>
    <cellStyle name="Normal 3 7 2 8" xfId="4575" xr:uid="{00000000-0005-0000-0000-000079140000}"/>
    <cellStyle name="Normal 3 7 2 8 2" xfId="5904" xr:uid="{00000000-0005-0000-0000-00007A140000}"/>
    <cellStyle name="Normal 3 7 2 9" xfId="4576" xr:uid="{00000000-0005-0000-0000-00007B140000}"/>
    <cellStyle name="Normal 3 7 2 9 2" xfId="5905" xr:uid="{00000000-0005-0000-0000-00007C140000}"/>
    <cellStyle name="Normal 3 7 20" xfId="4577" xr:uid="{00000000-0005-0000-0000-00007D140000}"/>
    <cellStyle name="Normal 3 7 20 2" xfId="5906" xr:uid="{00000000-0005-0000-0000-00007E140000}"/>
    <cellStyle name="Normal 3 7 21" xfId="4578" xr:uid="{00000000-0005-0000-0000-00007F140000}"/>
    <cellStyle name="Normal 3 7 21 2" xfId="5907" xr:uid="{00000000-0005-0000-0000-000080140000}"/>
    <cellStyle name="Normal 3 7 22" xfId="4579" xr:uid="{00000000-0005-0000-0000-000081140000}"/>
    <cellStyle name="Normal 3 7 22 2" xfId="5908" xr:uid="{00000000-0005-0000-0000-000082140000}"/>
    <cellStyle name="Normal 3 7 23" xfId="4580" xr:uid="{00000000-0005-0000-0000-000083140000}"/>
    <cellStyle name="Normal 3 7 23 2" xfId="5909" xr:uid="{00000000-0005-0000-0000-000084140000}"/>
    <cellStyle name="Normal 3 7 24" xfId="4581" xr:uid="{00000000-0005-0000-0000-000085140000}"/>
    <cellStyle name="Normal 3 7 24 2" xfId="5910" xr:uid="{00000000-0005-0000-0000-000086140000}"/>
    <cellStyle name="Normal 3 7 25" xfId="4582" xr:uid="{00000000-0005-0000-0000-000087140000}"/>
    <cellStyle name="Normal 3 7 25 2" xfId="5911" xr:uid="{00000000-0005-0000-0000-000088140000}"/>
    <cellStyle name="Normal 3 7 26" xfId="4583" xr:uid="{00000000-0005-0000-0000-000089140000}"/>
    <cellStyle name="Normal 3 7 26 2" xfId="5912" xr:uid="{00000000-0005-0000-0000-00008A140000}"/>
    <cellStyle name="Normal 3 7 27" xfId="4584" xr:uid="{00000000-0005-0000-0000-00008B140000}"/>
    <cellStyle name="Normal 3 7 27 2" xfId="5913" xr:uid="{00000000-0005-0000-0000-00008C140000}"/>
    <cellStyle name="Normal 3 7 28" xfId="4585" xr:uid="{00000000-0005-0000-0000-00008D140000}"/>
    <cellStyle name="Normal 3 7 28 2" xfId="5914" xr:uid="{00000000-0005-0000-0000-00008E140000}"/>
    <cellStyle name="Normal 3 7 29" xfId="4586" xr:uid="{00000000-0005-0000-0000-00008F140000}"/>
    <cellStyle name="Normal 3 7 29 2" xfId="5915" xr:uid="{00000000-0005-0000-0000-000090140000}"/>
    <cellStyle name="Normal 3 7 3" xfId="4587" xr:uid="{00000000-0005-0000-0000-000091140000}"/>
    <cellStyle name="Normal 3 7 3 2" xfId="5916" xr:uid="{00000000-0005-0000-0000-000092140000}"/>
    <cellStyle name="Normal 3 7 30" xfId="4588" xr:uid="{00000000-0005-0000-0000-000093140000}"/>
    <cellStyle name="Normal 3 7 30 2" xfId="5917" xr:uid="{00000000-0005-0000-0000-000094140000}"/>
    <cellStyle name="Normal 3 7 31" xfId="4589" xr:uid="{00000000-0005-0000-0000-000095140000}"/>
    <cellStyle name="Normal 3 7 31 2" xfId="5918" xr:uid="{00000000-0005-0000-0000-000096140000}"/>
    <cellStyle name="Normal 3 7 32" xfId="4590" xr:uid="{00000000-0005-0000-0000-000097140000}"/>
    <cellStyle name="Normal 3 7 32 2" xfId="5919" xr:uid="{00000000-0005-0000-0000-000098140000}"/>
    <cellStyle name="Normal 3 7 33" xfId="4591" xr:uid="{00000000-0005-0000-0000-000099140000}"/>
    <cellStyle name="Normal 3 7 33 2" xfId="5920" xr:uid="{00000000-0005-0000-0000-00009A140000}"/>
    <cellStyle name="Normal 3 7 34" xfId="4592" xr:uid="{00000000-0005-0000-0000-00009B140000}"/>
    <cellStyle name="Normal 3 7 34 2" xfId="5921" xr:uid="{00000000-0005-0000-0000-00009C140000}"/>
    <cellStyle name="Normal 3 7 35" xfId="4593" xr:uid="{00000000-0005-0000-0000-00009D140000}"/>
    <cellStyle name="Normal 3 7 35 2" xfId="5922" xr:uid="{00000000-0005-0000-0000-00009E140000}"/>
    <cellStyle name="Normal 3 7 36" xfId="5863" xr:uid="{00000000-0005-0000-0000-00009F140000}"/>
    <cellStyle name="Normal 3 7 4" xfId="4594" xr:uid="{00000000-0005-0000-0000-0000A0140000}"/>
    <cellStyle name="Normal 3 7 4 2" xfId="5923" xr:uid="{00000000-0005-0000-0000-0000A1140000}"/>
    <cellStyle name="Normal 3 7 5" xfId="4595" xr:uid="{00000000-0005-0000-0000-0000A2140000}"/>
    <cellStyle name="Normal 3 7 5 2" xfId="5924" xr:uid="{00000000-0005-0000-0000-0000A3140000}"/>
    <cellStyle name="Normal 3 7 6" xfId="4596" xr:uid="{00000000-0005-0000-0000-0000A4140000}"/>
    <cellStyle name="Normal 3 7 6 2" xfId="5925" xr:uid="{00000000-0005-0000-0000-0000A5140000}"/>
    <cellStyle name="Normal 3 7 7" xfId="4597" xr:uid="{00000000-0005-0000-0000-0000A6140000}"/>
    <cellStyle name="Normal 3 7 7 2" xfId="5926" xr:uid="{00000000-0005-0000-0000-0000A7140000}"/>
    <cellStyle name="Normal 3 7 8" xfId="4598" xr:uid="{00000000-0005-0000-0000-0000A8140000}"/>
    <cellStyle name="Normal 3 7 8 2" xfId="5927" xr:uid="{00000000-0005-0000-0000-0000A9140000}"/>
    <cellStyle name="Normal 3 7 9" xfId="4599" xr:uid="{00000000-0005-0000-0000-0000AA140000}"/>
    <cellStyle name="Normal 3 7 9 2" xfId="5928" xr:uid="{00000000-0005-0000-0000-0000AB140000}"/>
    <cellStyle name="Normal 3 8" xfId="4600" xr:uid="{00000000-0005-0000-0000-0000AC140000}"/>
    <cellStyle name="Normal 3 8 10" xfId="4601" xr:uid="{00000000-0005-0000-0000-0000AD140000}"/>
    <cellStyle name="Normal 3 8 10 2" xfId="5930" xr:uid="{00000000-0005-0000-0000-0000AE140000}"/>
    <cellStyle name="Normal 3 8 11" xfId="4602" xr:uid="{00000000-0005-0000-0000-0000AF140000}"/>
    <cellStyle name="Normal 3 8 11 2" xfId="5931" xr:uid="{00000000-0005-0000-0000-0000B0140000}"/>
    <cellStyle name="Normal 3 8 12" xfId="4603" xr:uid="{00000000-0005-0000-0000-0000B1140000}"/>
    <cellStyle name="Normal 3 8 12 2" xfId="5932" xr:uid="{00000000-0005-0000-0000-0000B2140000}"/>
    <cellStyle name="Normal 3 8 13" xfId="4604" xr:uid="{00000000-0005-0000-0000-0000B3140000}"/>
    <cellStyle name="Normal 3 8 13 2" xfId="5933" xr:uid="{00000000-0005-0000-0000-0000B4140000}"/>
    <cellStyle name="Normal 3 8 14" xfId="4605" xr:uid="{00000000-0005-0000-0000-0000B5140000}"/>
    <cellStyle name="Normal 3 8 14 2" xfId="5934" xr:uid="{00000000-0005-0000-0000-0000B6140000}"/>
    <cellStyle name="Normal 3 8 15" xfId="4606" xr:uid="{00000000-0005-0000-0000-0000B7140000}"/>
    <cellStyle name="Normal 3 8 15 2" xfId="5935" xr:uid="{00000000-0005-0000-0000-0000B8140000}"/>
    <cellStyle name="Normal 3 8 16" xfId="4607" xr:uid="{00000000-0005-0000-0000-0000B9140000}"/>
    <cellStyle name="Normal 3 8 16 2" xfId="5936" xr:uid="{00000000-0005-0000-0000-0000BA140000}"/>
    <cellStyle name="Normal 3 8 17" xfId="4608" xr:uid="{00000000-0005-0000-0000-0000BB140000}"/>
    <cellStyle name="Normal 3 8 17 2" xfId="5937" xr:uid="{00000000-0005-0000-0000-0000BC140000}"/>
    <cellStyle name="Normal 3 8 18" xfId="4609" xr:uid="{00000000-0005-0000-0000-0000BD140000}"/>
    <cellStyle name="Normal 3 8 18 2" xfId="5938" xr:uid="{00000000-0005-0000-0000-0000BE140000}"/>
    <cellStyle name="Normal 3 8 19" xfId="4610" xr:uid="{00000000-0005-0000-0000-0000BF140000}"/>
    <cellStyle name="Normal 3 8 19 2" xfId="5939" xr:uid="{00000000-0005-0000-0000-0000C0140000}"/>
    <cellStyle name="Normal 3 8 2" xfId="4611" xr:uid="{00000000-0005-0000-0000-0000C1140000}"/>
    <cellStyle name="Normal 3 8 2 10" xfId="4612" xr:uid="{00000000-0005-0000-0000-0000C2140000}"/>
    <cellStyle name="Normal 3 8 2 10 2" xfId="5941" xr:uid="{00000000-0005-0000-0000-0000C3140000}"/>
    <cellStyle name="Normal 3 8 2 11" xfId="4613" xr:uid="{00000000-0005-0000-0000-0000C4140000}"/>
    <cellStyle name="Normal 3 8 2 11 2" xfId="5942" xr:uid="{00000000-0005-0000-0000-0000C5140000}"/>
    <cellStyle name="Normal 3 8 2 12" xfId="4614" xr:uid="{00000000-0005-0000-0000-0000C6140000}"/>
    <cellStyle name="Normal 3 8 2 12 2" xfId="5943" xr:uid="{00000000-0005-0000-0000-0000C7140000}"/>
    <cellStyle name="Normal 3 8 2 13" xfId="4615" xr:uid="{00000000-0005-0000-0000-0000C8140000}"/>
    <cellStyle name="Normal 3 8 2 13 2" xfId="5944" xr:uid="{00000000-0005-0000-0000-0000C9140000}"/>
    <cellStyle name="Normal 3 8 2 14" xfId="4616" xr:uid="{00000000-0005-0000-0000-0000CA140000}"/>
    <cellStyle name="Normal 3 8 2 14 2" xfId="5945" xr:uid="{00000000-0005-0000-0000-0000CB140000}"/>
    <cellStyle name="Normal 3 8 2 15" xfId="4617" xr:uid="{00000000-0005-0000-0000-0000CC140000}"/>
    <cellStyle name="Normal 3 8 2 15 2" xfId="5946" xr:uid="{00000000-0005-0000-0000-0000CD140000}"/>
    <cellStyle name="Normal 3 8 2 16" xfId="4618" xr:uid="{00000000-0005-0000-0000-0000CE140000}"/>
    <cellStyle name="Normal 3 8 2 16 2" xfId="5947" xr:uid="{00000000-0005-0000-0000-0000CF140000}"/>
    <cellStyle name="Normal 3 8 2 17" xfId="4619" xr:uid="{00000000-0005-0000-0000-0000D0140000}"/>
    <cellStyle name="Normal 3 8 2 17 2" xfId="5948" xr:uid="{00000000-0005-0000-0000-0000D1140000}"/>
    <cellStyle name="Normal 3 8 2 18" xfId="4620" xr:uid="{00000000-0005-0000-0000-0000D2140000}"/>
    <cellStyle name="Normal 3 8 2 18 2" xfId="5949" xr:uid="{00000000-0005-0000-0000-0000D3140000}"/>
    <cellStyle name="Normal 3 8 2 19" xfId="4621" xr:uid="{00000000-0005-0000-0000-0000D4140000}"/>
    <cellStyle name="Normal 3 8 2 19 2" xfId="5950" xr:uid="{00000000-0005-0000-0000-0000D5140000}"/>
    <cellStyle name="Normal 3 8 2 2" xfId="4622" xr:uid="{00000000-0005-0000-0000-0000D6140000}"/>
    <cellStyle name="Normal 3 8 2 2 2" xfId="5951" xr:uid="{00000000-0005-0000-0000-0000D7140000}"/>
    <cellStyle name="Normal 3 8 2 20" xfId="4623" xr:uid="{00000000-0005-0000-0000-0000D8140000}"/>
    <cellStyle name="Normal 3 8 2 20 2" xfId="5952" xr:uid="{00000000-0005-0000-0000-0000D9140000}"/>
    <cellStyle name="Normal 3 8 2 21" xfId="4624" xr:uid="{00000000-0005-0000-0000-0000DA140000}"/>
    <cellStyle name="Normal 3 8 2 21 2" xfId="5953" xr:uid="{00000000-0005-0000-0000-0000DB140000}"/>
    <cellStyle name="Normal 3 8 2 22" xfId="4625" xr:uid="{00000000-0005-0000-0000-0000DC140000}"/>
    <cellStyle name="Normal 3 8 2 22 2" xfId="5954" xr:uid="{00000000-0005-0000-0000-0000DD140000}"/>
    <cellStyle name="Normal 3 8 2 23" xfId="4626" xr:uid="{00000000-0005-0000-0000-0000DE140000}"/>
    <cellStyle name="Normal 3 8 2 23 2" xfId="5955" xr:uid="{00000000-0005-0000-0000-0000DF140000}"/>
    <cellStyle name="Normal 3 8 2 24" xfId="4627" xr:uid="{00000000-0005-0000-0000-0000E0140000}"/>
    <cellStyle name="Normal 3 8 2 24 2" xfId="5956" xr:uid="{00000000-0005-0000-0000-0000E1140000}"/>
    <cellStyle name="Normal 3 8 2 25" xfId="4628" xr:uid="{00000000-0005-0000-0000-0000E2140000}"/>
    <cellStyle name="Normal 3 8 2 25 2" xfId="5957" xr:uid="{00000000-0005-0000-0000-0000E3140000}"/>
    <cellStyle name="Normal 3 8 2 26" xfId="4629" xr:uid="{00000000-0005-0000-0000-0000E4140000}"/>
    <cellStyle name="Normal 3 8 2 26 2" xfId="5958" xr:uid="{00000000-0005-0000-0000-0000E5140000}"/>
    <cellStyle name="Normal 3 8 2 27" xfId="4630" xr:uid="{00000000-0005-0000-0000-0000E6140000}"/>
    <cellStyle name="Normal 3 8 2 27 2" xfId="5959" xr:uid="{00000000-0005-0000-0000-0000E7140000}"/>
    <cellStyle name="Normal 3 8 2 28" xfId="4631" xr:uid="{00000000-0005-0000-0000-0000E8140000}"/>
    <cellStyle name="Normal 3 8 2 28 2" xfId="5960" xr:uid="{00000000-0005-0000-0000-0000E9140000}"/>
    <cellStyle name="Normal 3 8 2 29" xfId="4632" xr:uid="{00000000-0005-0000-0000-0000EA140000}"/>
    <cellStyle name="Normal 3 8 2 29 2" xfId="5961" xr:uid="{00000000-0005-0000-0000-0000EB140000}"/>
    <cellStyle name="Normal 3 8 2 3" xfId="4633" xr:uid="{00000000-0005-0000-0000-0000EC140000}"/>
    <cellStyle name="Normal 3 8 2 3 2" xfId="5962" xr:uid="{00000000-0005-0000-0000-0000ED140000}"/>
    <cellStyle name="Normal 3 8 2 30" xfId="4634" xr:uid="{00000000-0005-0000-0000-0000EE140000}"/>
    <cellStyle name="Normal 3 8 2 30 2" xfId="5963" xr:uid="{00000000-0005-0000-0000-0000EF140000}"/>
    <cellStyle name="Normal 3 8 2 31" xfId="4635" xr:uid="{00000000-0005-0000-0000-0000F0140000}"/>
    <cellStyle name="Normal 3 8 2 31 2" xfId="5964" xr:uid="{00000000-0005-0000-0000-0000F1140000}"/>
    <cellStyle name="Normal 3 8 2 32" xfId="4636" xr:uid="{00000000-0005-0000-0000-0000F2140000}"/>
    <cellStyle name="Normal 3 8 2 32 2" xfId="5965" xr:uid="{00000000-0005-0000-0000-0000F3140000}"/>
    <cellStyle name="Normal 3 8 2 33" xfId="5940" xr:uid="{00000000-0005-0000-0000-0000F4140000}"/>
    <cellStyle name="Normal 3 8 2 4" xfId="4637" xr:uid="{00000000-0005-0000-0000-0000F5140000}"/>
    <cellStyle name="Normal 3 8 2 4 2" xfId="5966" xr:uid="{00000000-0005-0000-0000-0000F6140000}"/>
    <cellStyle name="Normal 3 8 2 5" xfId="4638" xr:uid="{00000000-0005-0000-0000-0000F7140000}"/>
    <cellStyle name="Normal 3 8 2 5 2" xfId="5967" xr:uid="{00000000-0005-0000-0000-0000F8140000}"/>
    <cellStyle name="Normal 3 8 2 6" xfId="4639" xr:uid="{00000000-0005-0000-0000-0000F9140000}"/>
    <cellStyle name="Normal 3 8 2 6 2" xfId="5968" xr:uid="{00000000-0005-0000-0000-0000FA140000}"/>
    <cellStyle name="Normal 3 8 2 7" xfId="4640" xr:uid="{00000000-0005-0000-0000-0000FB140000}"/>
    <cellStyle name="Normal 3 8 2 7 2" xfId="5969" xr:uid="{00000000-0005-0000-0000-0000FC140000}"/>
    <cellStyle name="Normal 3 8 2 8" xfId="4641" xr:uid="{00000000-0005-0000-0000-0000FD140000}"/>
    <cellStyle name="Normal 3 8 2 8 2" xfId="5970" xr:uid="{00000000-0005-0000-0000-0000FE140000}"/>
    <cellStyle name="Normal 3 8 2 9" xfId="4642" xr:uid="{00000000-0005-0000-0000-0000FF140000}"/>
    <cellStyle name="Normal 3 8 2 9 2" xfId="5971" xr:uid="{00000000-0005-0000-0000-000000150000}"/>
    <cellStyle name="Normal 3 8 20" xfId="4643" xr:uid="{00000000-0005-0000-0000-000001150000}"/>
    <cellStyle name="Normal 3 8 20 2" xfId="5972" xr:uid="{00000000-0005-0000-0000-000002150000}"/>
    <cellStyle name="Normal 3 8 21" xfId="4644" xr:uid="{00000000-0005-0000-0000-000003150000}"/>
    <cellStyle name="Normal 3 8 21 2" xfId="5973" xr:uid="{00000000-0005-0000-0000-000004150000}"/>
    <cellStyle name="Normal 3 8 22" xfId="4645" xr:uid="{00000000-0005-0000-0000-000005150000}"/>
    <cellStyle name="Normal 3 8 22 2" xfId="5974" xr:uid="{00000000-0005-0000-0000-000006150000}"/>
    <cellStyle name="Normal 3 8 23" xfId="4646" xr:uid="{00000000-0005-0000-0000-000007150000}"/>
    <cellStyle name="Normal 3 8 23 2" xfId="5975" xr:uid="{00000000-0005-0000-0000-000008150000}"/>
    <cellStyle name="Normal 3 8 24" xfId="4647" xr:uid="{00000000-0005-0000-0000-000009150000}"/>
    <cellStyle name="Normal 3 8 24 2" xfId="5976" xr:uid="{00000000-0005-0000-0000-00000A150000}"/>
    <cellStyle name="Normal 3 8 25" xfId="4648" xr:uid="{00000000-0005-0000-0000-00000B150000}"/>
    <cellStyle name="Normal 3 8 25 2" xfId="5977" xr:uid="{00000000-0005-0000-0000-00000C150000}"/>
    <cellStyle name="Normal 3 8 26" xfId="4649" xr:uid="{00000000-0005-0000-0000-00000D150000}"/>
    <cellStyle name="Normal 3 8 26 2" xfId="5978" xr:uid="{00000000-0005-0000-0000-00000E150000}"/>
    <cellStyle name="Normal 3 8 27" xfId="4650" xr:uid="{00000000-0005-0000-0000-00000F150000}"/>
    <cellStyle name="Normal 3 8 27 2" xfId="5979" xr:uid="{00000000-0005-0000-0000-000010150000}"/>
    <cellStyle name="Normal 3 8 28" xfId="4651" xr:uid="{00000000-0005-0000-0000-000011150000}"/>
    <cellStyle name="Normal 3 8 28 2" xfId="5980" xr:uid="{00000000-0005-0000-0000-000012150000}"/>
    <cellStyle name="Normal 3 8 29" xfId="4652" xr:uid="{00000000-0005-0000-0000-000013150000}"/>
    <cellStyle name="Normal 3 8 29 2" xfId="5981" xr:uid="{00000000-0005-0000-0000-000014150000}"/>
    <cellStyle name="Normal 3 8 3" xfId="4653" xr:uid="{00000000-0005-0000-0000-000015150000}"/>
    <cellStyle name="Normal 3 8 3 2" xfId="5982" xr:uid="{00000000-0005-0000-0000-000016150000}"/>
    <cellStyle name="Normal 3 8 30" xfId="4654" xr:uid="{00000000-0005-0000-0000-000017150000}"/>
    <cellStyle name="Normal 3 8 30 2" xfId="5983" xr:uid="{00000000-0005-0000-0000-000018150000}"/>
    <cellStyle name="Normal 3 8 31" xfId="4655" xr:uid="{00000000-0005-0000-0000-000019150000}"/>
    <cellStyle name="Normal 3 8 31 2" xfId="5984" xr:uid="{00000000-0005-0000-0000-00001A150000}"/>
    <cellStyle name="Normal 3 8 32" xfId="4656" xr:uid="{00000000-0005-0000-0000-00001B150000}"/>
    <cellStyle name="Normal 3 8 32 2" xfId="5985" xr:uid="{00000000-0005-0000-0000-00001C150000}"/>
    <cellStyle name="Normal 3 8 33" xfId="4657" xr:uid="{00000000-0005-0000-0000-00001D150000}"/>
    <cellStyle name="Normal 3 8 33 2" xfId="5986" xr:uid="{00000000-0005-0000-0000-00001E150000}"/>
    <cellStyle name="Normal 3 8 34" xfId="4658" xr:uid="{00000000-0005-0000-0000-00001F150000}"/>
    <cellStyle name="Normal 3 8 34 2" xfId="5987" xr:uid="{00000000-0005-0000-0000-000020150000}"/>
    <cellStyle name="Normal 3 8 35" xfId="5929" xr:uid="{00000000-0005-0000-0000-000021150000}"/>
    <cellStyle name="Normal 3 8 4" xfId="4659" xr:uid="{00000000-0005-0000-0000-000022150000}"/>
    <cellStyle name="Normal 3 8 4 2" xfId="5988" xr:uid="{00000000-0005-0000-0000-000023150000}"/>
    <cellStyle name="Normal 3 8 5" xfId="4660" xr:uid="{00000000-0005-0000-0000-000024150000}"/>
    <cellStyle name="Normal 3 8 5 2" xfId="5989" xr:uid="{00000000-0005-0000-0000-000025150000}"/>
    <cellStyle name="Normal 3 8 6" xfId="4661" xr:uid="{00000000-0005-0000-0000-000026150000}"/>
    <cellStyle name="Normal 3 8 6 2" xfId="5990" xr:uid="{00000000-0005-0000-0000-000027150000}"/>
    <cellStyle name="Normal 3 8 7" xfId="4662" xr:uid="{00000000-0005-0000-0000-000028150000}"/>
    <cellStyle name="Normal 3 8 7 2" xfId="5991" xr:uid="{00000000-0005-0000-0000-000029150000}"/>
    <cellStyle name="Normal 3 8 8" xfId="4663" xr:uid="{00000000-0005-0000-0000-00002A150000}"/>
    <cellStyle name="Normal 3 8 8 2" xfId="5992" xr:uid="{00000000-0005-0000-0000-00002B150000}"/>
    <cellStyle name="Normal 3 8 9" xfId="4664" xr:uid="{00000000-0005-0000-0000-00002C150000}"/>
    <cellStyle name="Normal 3 8 9 2" xfId="5993" xr:uid="{00000000-0005-0000-0000-00002D150000}"/>
    <cellStyle name="Normal 3 9" xfId="4665" xr:uid="{00000000-0005-0000-0000-00002E150000}"/>
    <cellStyle name="Normal 3 9 10" xfId="4666" xr:uid="{00000000-0005-0000-0000-00002F150000}"/>
    <cellStyle name="Normal 3 9 10 2" xfId="5995" xr:uid="{00000000-0005-0000-0000-000030150000}"/>
    <cellStyle name="Normal 3 9 11" xfId="4667" xr:uid="{00000000-0005-0000-0000-000031150000}"/>
    <cellStyle name="Normal 3 9 11 2" xfId="5996" xr:uid="{00000000-0005-0000-0000-000032150000}"/>
    <cellStyle name="Normal 3 9 12" xfId="4668" xr:uid="{00000000-0005-0000-0000-000033150000}"/>
    <cellStyle name="Normal 3 9 12 2" xfId="5997" xr:uid="{00000000-0005-0000-0000-000034150000}"/>
    <cellStyle name="Normal 3 9 13" xfId="4669" xr:uid="{00000000-0005-0000-0000-000035150000}"/>
    <cellStyle name="Normal 3 9 13 2" xfId="5998" xr:uid="{00000000-0005-0000-0000-000036150000}"/>
    <cellStyle name="Normal 3 9 14" xfId="4670" xr:uid="{00000000-0005-0000-0000-000037150000}"/>
    <cellStyle name="Normal 3 9 14 2" xfId="5999" xr:uid="{00000000-0005-0000-0000-000038150000}"/>
    <cellStyle name="Normal 3 9 15" xfId="4671" xr:uid="{00000000-0005-0000-0000-000039150000}"/>
    <cellStyle name="Normal 3 9 15 2" xfId="6000" xr:uid="{00000000-0005-0000-0000-00003A150000}"/>
    <cellStyle name="Normal 3 9 16" xfId="4672" xr:uid="{00000000-0005-0000-0000-00003B150000}"/>
    <cellStyle name="Normal 3 9 16 2" xfId="6001" xr:uid="{00000000-0005-0000-0000-00003C150000}"/>
    <cellStyle name="Normal 3 9 17" xfId="4673" xr:uid="{00000000-0005-0000-0000-00003D150000}"/>
    <cellStyle name="Normal 3 9 17 2" xfId="6002" xr:uid="{00000000-0005-0000-0000-00003E150000}"/>
    <cellStyle name="Normal 3 9 18" xfId="4674" xr:uid="{00000000-0005-0000-0000-00003F150000}"/>
    <cellStyle name="Normal 3 9 18 2" xfId="6003" xr:uid="{00000000-0005-0000-0000-000040150000}"/>
    <cellStyle name="Normal 3 9 19" xfId="4675" xr:uid="{00000000-0005-0000-0000-000041150000}"/>
    <cellStyle name="Normal 3 9 19 2" xfId="6004" xr:uid="{00000000-0005-0000-0000-000042150000}"/>
    <cellStyle name="Normal 3 9 2" xfId="4676" xr:uid="{00000000-0005-0000-0000-000043150000}"/>
    <cellStyle name="Normal 3 9 2 10" xfId="4677" xr:uid="{00000000-0005-0000-0000-000044150000}"/>
    <cellStyle name="Normal 3 9 2 10 2" xfId="6006" xr:uid="{00000000-0005-0000-0000-000045150000}"/>
    <cellStyle name="Normal 3 9 2 11" xfId="4678" xr:uid="{00000000-0005-0000-0000-000046150000}"/>
    <cellStyle name="Normal 3 9 2 11 2" xfId="6007" xr:uid="{00000000-0005-0000-0000-000047150000}"/>
    <cellStyle name="Normal 3 9 2 12" xfId="4679" xr:uid="{00000000-0005-0000-0000-000048150000}"/>
    <cellStyle name="Normal 3 9 2 12 2" xfId="6008" xr:uid="{00000000-0005-0000-0000-000049150000}"/>
    <cellStyle name="Normal 3 9 2 13" xfId="4680" xr:uid="{00000000-0005-0000-0000-00004A150000}"/>
    <cellStyle name="Normal 3 9 2 13 2" xfId="6009" xr:uid="{00000000-0005-0000-0000-00004B150000}"/>
    <cellStyle name="Normal 3 9 2 14" xfId="4681" xr:uid="{00000000-0005-0000-0000-00004C150000}"/>
    <cellStyle name="Normal 3 9 2 14 2" xfId="6010" xr:uid="{00000000-0005-0000-0000-00004D150000}"/>
    <cellStyle name="Normal 3 9 2 15" xfId="4682" xr:uid="{00000000-0005-0000-0000-00004E150000}"/>
    <cellStyle name="Normal 3 9 2 15 2" xfId="6011" xr:uid="{00000000-0005-0000-0000-00004F150000}"/>
    <cellStyle name="Normal 3 9 2 16" xfId="4683" xr:uid="{00000000-0005-0000-0000-000050150000}"/>
    <cellStyle name="Normal 3 9 2 16 2" xfId="6012" xr:uid="{00000000-0005-0000-0000-000051150000}"/>
    <cellStyle name="Normal 3 9 2 17" xfId="4684" xr:uid="{00000000-0005-0000-0000-000052150000}"/>
    <cellStyle name="Normal 3 9 2 17 2" xfId="6013" xr:uid="{00000000-0005-0000-0000-000053150000}"/>
    <cellStyle name="Normal 3 9 2 18" xfId="4685" xr:uid="{00000000-0005-0000-0000-000054150000}"/>
    <cellStyle name="Normal 3 9 2 18 2" xfId="6014" xr:uid="{00000000-0005-0000-0000-000055150000}"/>
    <cellStyle name="Normal 3 9 2 19" xfId="4686" xr:uid="{00000000-0005-0000-0000-000056150000}"/>
    <cellStyle name="Normal 3 9 2 19 2" xfId="6015" xr:uid="{00000000-0005-0000-0000-000057150000}"/>
    <cellStyle name="Normal 3 9 2 2" xfId="4687" xr:uid="{00000000-0005-0000-0000-000058150000}"/>
    <cellStyle name="Normal 3 9 2 2 2" xfId="6016" xr:uid="{00000000-0005-0000-0000-000059150000}"/>
    <cellStyle name="Normal 3 9 2 20" xfId="4688" xr:uid="{00000000-0005-0000-0000-00005A150000}"/>
    <cellStyle name="Normal 3 9 2 20 2" xfId="6017" xr:uid="{00000000-0005-0000-0000-00005B150000}"/>
    <cellStyle name="Normal 3 9 2 21" xfId="4689" xr:uid="{00000000-0005-0000-0000-00005C150000}"/>
    <cellStyle name="Normal 3 9 2 21 2" xfId="6018" xr:uid="{00000000-0005-0000-0000-00005D150000}"/>
    <cellStyle name="Normal 3 9 2 22" xfId="4690" xr:uid="{00000000-0005-0000-0000-00005E150000}"/>
    <cellStyle name="Normal 3 9 2 22 2" xfId="6019" xr:uid="{00000000-0005-0000-0000-00005F150000}"/>
    <cellStyle name="Normal 3 9 2 23" xfId="4691" xr:uid="{00000000-0005-0000-0000-000060150000}"/>
    <cellStyle name="Normal 3 9 2 23 2" xfId="6020" xr:uid="{00000000-0005-0000-0000-000061150000}"/>
    <cellStyle name="Normal 3 9 2 24" xfId="4692" xr:uid="{00000000-0005-0000-0000-000062150000}"/>
    <cellStyle name="Normal 3 9 2 24 2" xfId="6021" xr:uid="{00000000-0005-0000-0000-000063150000}"/>
    <cellStyle name="Normal 3 9 2 25" xfId="4693" xr:uid="{00000000-0005-0000-0000-000064150000}"/>
    <cellStyle name="Normal 3 9 2 25 2" xfId="6022" xr:uid="{00000000-0005-0000-0000-000065150000}"/>
    <cellStyle name="Normal 3 9 2 26" xfId="4694" xr:uid="{00000000-0005-0000-0000-000066150000}"/>
    <cellStyle name="Normal 3 9 2 26 2" xfId="6023" xr:uid="{00000000-0005-0000-0000-000067150000}"/>
    <cellStyle name="Normal 3 9 2 27" xfId="4695" xr:uid="{00000000-0005-0000-0000-000068150000}"/>
    <cellStyle name="Normal 3 9 2 27 2" xfId="6024" xr:uid="{00000000-0005-0000-0000-000069150000}"/>
    <cellStyle name="Normal 3 9 2 28" xfId="4696" xr:uid="{00000000-0005-0000-0000-00006A150000}"/>
    <cellStyle name="Normal 3 9 2 28 2" xfId="6025" xr:uid="{00000000-0005-0000-0000-00006B150000}"/>
    <cellStyle name="Normal 3 9 2 29" xfId="4697" xr:uid="{00000000-0005-0000-0000-00006C150000}"/>
    <cellStyle name="Normal 3 9 2 29 2" xfId="6026" xr:uid="{00000000-0005-0000-0000-00006D150000}"/>
    <cellStyle name="Normal 3 9 2 3" xfId="4698" xr:uid="{00000000-0005-0000-0000-00006E150000}"/>
    <cellStyle name="Normal 3 9 2 3 2" xfId="6027" xr:uid="{00000000-0005-0000-0000-00006F150000}"/>
    <cellStyle name="Normal 3 9 2 30" xfId="4699" xr:uid="{00000000-0005-0000-0000-000070150000}"/>
    <cellStyle name="Normal 3 9 2 30 2" xfId="6028" xr:uid="{00000000-0005-0000-0000-000071150000}"/>
    <cellStyle name="Normal 3 9 2 31" xfId="4700" xr:uid="{00000000-0005-0000-0000-000072150000}"/>
    <cellStyle name="Normal 3 9 2 31 2" xfId="6029" xr:uid="{00000000-0005-0000-0000-000073150000}"/>
    <cellStyle name="Normal 3 9 2 32" xfId="4701" xr:uid="{00000000-0005-0000-0000-000074150000}"/>
    <cellStyle name="Normal 3 9 2 32 2" xfId="6030" xr:uid="{00000000-0005-0000-0000-000075150000}"/>
    <cellStyle name="Normal 3 9 2 33" xfId="6005" xr:uid="{00000000-0005-0000-0000-000076150000}"/>
    <cellStyle name="Normal 3 9 2 4" xfId="4702" xr:uid="{00000000-0005-0000-0000-000077150000}"/>
    <cellStyle name="Normal 3 9 2 4 2" xfId="6031" xr:uid="{00000000-0005-0000-0000-000078150000}"/>
    <cellStyle name="Normal 3 9 2 5" xfId="4703" xr:uid="{00000000-0005-0000-0000-000079150000}"/>
    <cellStyle name="Normal 3 9 2 5 2" xfId="6032" xr:uid="{00000000-0005-0000-0000-00007A150000}"/>
    <cellStyle name="Normal 3 9 2 6" xfId="4704" xr:uid="{00000000-0005-0000-0000-00007B150000}"/>
    <cellStyle name="Normal 3 9 2 6 2" xfId="6033" xr:uid="{00000000-0005-0000-0000-00007C150000}"/>
    <cellStyle name="Normal 3 9 2 7" xfId="4705" xr:uid="{00000000-0005-0000-0000-00007D150000}"/>
    <cellStyle name="Normal 3 9 2 7 2" xfId="6034" xr:uid="{00000000-0005-0000-0000-00007E150000}"/>
    <cellStyle name="Normal 3 9 2 8" xfId="4706" xr:uid="{00000000-0005-0000-0000-00007F150000}"/>
    <cellStyle name="Normal 3 9 2 8 2" xfId="6035" xr:uid="{00000000-0005-0000-0000-000080150000}"/>
    <cellStyle name="Normal 3 9 2 9" xfId="4707" xr:uid="{00000000-0005-0000-0000-000081150000}"/>
    <cellStyle name="Normal 3 9 2 9 2" xfId="6036" xr:uid="{00000000-0005-0000-0000-000082150000}"/>
    <cellStyle name="Normal 3 9 20" xfId="4708" xr:uid="{00000000-0005-0000-0000-000083150000}"/>
    <cellStyle name="Normal 3 9 20 2" xfId="6037" xr:uid="{00000000-0005-0000-0000-000084150000}"/>
    <cellStyle name="Normal 3 9 21" xfId="4709" xr:uid="{00000000-0005-0000-0000-000085150000}"/>
    <cellStyle name="Normal 3 9 21 2" xfId="6038" xr:uid="{00000000-0005-0000-0000-000086150000}"/>
    <cellStyle name="Normal 3 9 22" xfId="4710" xr:uid="{00000000-0005-0000-0000-000087150000}"/>
    <cellStyle name="Normal 3 9 22 2" xfId="6039" xr:uid="{00000000-0005-0000-0000-000088150000}"/>
    <cellStyle name="Normal 3 9 23" xfId="4711" xr:uid="{00000000-0005-0000-0000-000089150000}"/>
    <cellStyle name="Normal 3 9 23 2" xfId="6040" xr:uid="{00000000-0005-0000-0000-00008A150000}"/>
    <cellStyle name="Normal 3 9 24" xfId="4712" xr:uid="{00000000-0005-0000-0000-00008B150000}"/>
    <cellStyle name="Normal 3 9 24 2" xfId="6041" xr:uid="{00000000-0005-0000-0000-00008C150000}"/>
    <cellStyle name="Normal 3 9 25" xfId="4713" xr:uid="{00000000-0005-0000-0000-00008D150000}"/>
    <cellStyle name="Normal 3 9 25 2" xfId="6042" xr:uid="{00000000-0005-0000-0000-00008E150000}"/>
    <cellStyle name="Normal 3 9 26" xfId="4714" xr:uid="{00000000-0005-0000-0000-00008F150000}"/>
    <cellStyle name="Normal 3 9 26 2" xfId="6043" xr:uid="{00000000-0005-0000-0000-000090150000}"/>
    <cellStyle name="Normal 3 9 27" xfId="4715" xr:uid="{00000000-0005-0000-0000-000091150000}"/>
    <cellStyle name="Normal 3 9 27 2" xfId="6044" xr:uid="{00000000-0005-0000-0000-000092150000}"/>
    <cellStyle name="Normal 3 9 28" xfId="4716" xr:uid="{00000000-0005-0000-0000-000093150000}"/>
    <cellStyle name="Normal 3 9 28 2" xfId="6045" xr:uid="{00000000-0005-0000-0000-000094150000}"/>
    <cellStyle name="Normal 3 9 29" xfId="4717" xr:uid="{00000000-0005-0000-0000-000095150000}"/>
    <cellStyle name="Normal 3 9 29 2" xfId="6046" xr:uid="{00000000-0005-0000-0000-000096150000}"/>
    <cellStyle name="Normal 3 9 3" xfId="4718" xr:uid="{00000000-0005-0000-0000-000097150000}"/>
    <cellStyle name="Normal 3 9 3 2" xfId="6047" xr:uid="{00000000-0005-0000-0000-000098150000}"/>
    <cellStyle name="Normal 3 9 30" xfId="4719" xr:uid="{00000000-0005-0000-0000-000099150000}"/>
    <cellStyle name="Normal 3 9 30 2" xfId="6048" xr:uid="{00000000-0005-0000-0000-00009A150000}"/>
    <cellStyle name="Normal 3 9 31" xfId="4720" xr:uid="{00000000-0005-0000-0000-00009B150000}"/>
    <cellStyle name="Normal 3 9 31 2" xfId="6049" xr:uid="{00000000-0005-0000-0000-00009C150000}"/>
    <cellStyle name="Normal 3 9 32" xfId="4721" xr:uid="{00000000-0005-0000-0000-00009D150000}"/>
    <cellStyle name="Normal 3 9 32 2" xfId="6050" xr:uid="{00000000-0005-0000-0000-00009E150000}"/>
    <cellStyle name="Normal 3 9 33" xfId="4722" xr:uid="{00000000-0005-0000-0000-00009F150000}"/>
    <cellStyle name="Normal 3 9 33 2" xfId="6051" xr:uid="{00000000-0005-0000-0000-0000A0150000}"/>
    <cellStyle name="Normal 3 9 34" xfId="4723" xr:uid="{00000000-0005-0000-0000-0000A1150000}"/>
    <cellStyle name="Normal 3 9 34 2" xfId="6052" xr:uid="{00000000-0005-0000-0000-0000A2150000}"/>
    <cellStyle name="Normal 3 9 35" xfId="5994" xr:uid="{00000000-0005-0000-0000-0000A3150000}"/>
    <cellStyle name="Normal 3 9 4" xfId="4724" xr:uid="{00000000-0005-0000-0000-0000A4150000}"/>
    <cellStyle name="Normal 3 9 4 2" xfId="6053" xr:uid="{00000000-0005-0000-0000-0000A5150000}"/>
    <cellStyle name="Normal 3 9 5" xfId="4725" xr:uid="{00000000-0005-0000-0000-0000A6150000}"/>
    <cellStyle name="Normal 3 9 5 2" xfId="6054" xr:uid="{00000000-0005-0000-0000-0000A7150000}"/>
    <cellStyle name="Normal 3 9 6" xfId="4726" xr:uid="{00000000-0005-0000-0000-0000A8150000}"/>
    <cellStyle name="Normal 3 9 6 2" xfId="6055" xr:uid="{00000000-0005-0000-0000-0000A9150000}"/>
    <cellStyle name="Normal 3 9 7" xfId="4727" xr:uid="{00000000-0005-0000-0000-0000AA150000}"/>
    <cellStyle name="Normal 3 9 7 2" xfId="6056" xr:uid="{00000000-0005-0000-0000-0000AB150000}"/>
    <cellStyle name="Normal 3 9 8" xfId="4728" xr:uid="{00000000-0005-0000-0000-0000AC150000}"/>
    <cellStyle name="Normal 3 9 8 2" xfId="6057" xr:uid="{00000000-0005-0000-0000-0000AD150000}"/>
    <cellStyle name="Normal 3 9 9" xfId="4729" xr:uid="{00000000-0005-0000-0000-0000AE150000}"/>
    <cellStyle name="Normal 3 9 9 2" xfId="6058" xr:uid="{00000000-0005-0000-0000-0000AF150000}"/>
    <cellStyle name="Normal 4" xfId="4730" xr:uid="{00000000-0005-0000-0000-0000B0150000}"/>
    <cellStyle name="Normal 4 10" xfId="4731" xr:uid="{00000000-0005-0000-0000-0000B1150000}"/>
    <cellStyle name="Normal 4 10 2" xfId="4732" xr:uid="{00000000-0005-0000-0000-0000B2150000}"/>
    <cellStyle name="Normal 4 10 2 2" xfId="6061" xr:uid="{00000000-0005-0000-0000-0000B3150000}"/>
    <cellStyle name="Normal 4 10 3" xfId="6060" xr:uid="{00000000-0005-0000-0000-0000B4150000}"/>
    <cellStyle name="Normal 4 11" xfId="4733" xr:uid="{00000000-0005-0000-0000-0000B5150000}"/>
    <cellStyle name="Normal 4 11 2" xfId="4734" xr:uid="{00000000-0005-0000-0000-0000B6150000}"/>
    <cellStyle name="Normal 4 11 2 2" xfId="6063" xr:uid="{00000000-0005-0000-0000-0000B7150000}"/>
    <cellStyle name="Normal 4 11 3" xfId="6062" xr:uid="{00000000-0005-0000-0000-0000B8150000}"/>
    <cellStyle name="Normal 4 12" xfId="4735" xr:uid="{00000000-0005-0000-0000-0000B9150000}"/>
    <cellStyle name="Normal 4 12 2" xfId="4736" xr:uid="{00000000-0005-0000-0000-0000BA150000}"/>
    <cellStyle name="Normal 4 12 2 2" xfId="6065" xr:uid="{00000000-0005-0000-0000-0000BB150000}"/>
    <cellStyle name="Normal 4 12 3" xfId="6064" xr:uid="{00000000-0005-0000-0000-0000BC150000}"/>
    <cellStyle name="Normal 4 13" xfId="4737" xr:uid="{00000000-0005-0000-0000-0000BD150000}"/>
    <cellStyle name="Normal 4 13 2" xfId="6066" xr:uid="{00000000-0005-0000-0000-0000BE150000}"/>
    <cellStyle name="Normal 4 14" xfId="4738" xr:uid="{00000000-0005-0000-0000-0000BF150000}"/>
    <cellStyle name="Normal 4 14 2" xfId="6067" xr:uid="{00000000-0005-0000-0000-0000C0150000}"/>
    <cellStyle name="Normal 4 15" xfId="4739" xr:uid="{00000000-0005-0000-0000-0000C1150000}"/>
    <cellStyle name="Normal 4 15 2" xfId="6068" xr:uid="{00000000-0005-0000-0000-0000C2150000}"/>
    <cellStyle name="Normal 4 16" xfId="4740" xr:uid="{00000000-0005-0000-0000-0000C3150000}"/>
    <cellStyle name="Normal 4 16 2" xfId="6069" xr:uid="{00000000-0005-0000-0000-0000C4150000}"/>
    <cellStyle name="Normal 4 17" xfId="4741" xr:uid="{00000000-0005-0000-0000-0000C5150000}"/>
    <cellStyle name="Normal 4 17 2" xfId="6070" xr:uid="{00000000-0005-0000-0000-0000C6150000}"/>
    <cellStyle name="Normal 4 18" xfId="4742" xr:uid="{00000000-0005-0000-0000-0000C7150000}"/>
    <cellStyle name="Normal 4 18 2" xfId="6071" xr:uid="{00000000-0005-0000-0000-0000C8150000}"/>
    <cellStyle name="Normal 4 19" xfId="4743" xr:uid="{00000000-0005-0000-0000-0000C9150000}"/>
    <cellStyle name="Normal 4 19 2" xfId="6072" xr:uid="{00000000-0005-0000-0000-0000CA150000}"/>
    <cellStyle name="Normal 4 2" xfId="4744" xr:uid="{00000000-0005-0000-0000-0000CB150000}"/>
    <cellStyle name="Normal 4 2 2" xfId="4745" xr:uid="{00000000-0005-0000-0000-0000CC150000}"/>
    <cellStyle name="Normal 4 2 2 2" xfId="6074" xr:uid="{00000000-0005-0000-0000-0000CD150000}"/>
    <cellStyle name="Normal 4 2 3" xfId="4746" xr:uid="{00000000-0005-0000-0000-0000CE150000}"/>
    <cellStyle name="Normal 4 2 3 2" xfId="6075" xr:uid="{00000000-0005-0000-0000-0000CF150000}"/>
    <cellStyle name="Normal 4 2 4" xfId="4747" xr:uid="{00000000-0005-0000-0000-0000D0150000}"/>
    <cellStyle name="Normal 4 2 4 2" xfId="6076" xr:uid="{00000000-0005-0000-0000-0000D1150000}"/>
    <cellStyle name="Normal 4 2 5" xfId="6073" xr:uid="{00000000-0005-0000-0000-0000D2150000}"/>
    <cellStyle name="Normal 4 20" xfId="4748" xr:uid="{00000000-0005-0000-0000-0000D3150000}"/>
    <cellStyle name="Normal 4 20 2" xfId="6077" xr:uid="{00000000-0005-0000-0000-0000D4150000}"/>
    <cellStyle name="Normal 4 21" xfId="4749" xr:uid="{00000000-0005-0000-0000-0000D5150000}"/>
    <cellStyle name="Normal 4 21 2" xfId="6078" xr:uid="{00000000-0005-0000-0000-0000D6150000}"/>
    <cellStyle name="Normal 4 22" xfId="4750" xr:uid="{00000000-0005-0000-0000-0000D7150000}"/>
    <cellStyle name="Normal 4 22 2" xfId="6079" xr:uid="{00000000-0005-0000-0000-0000D8150000}"/>
    <cellStyle name="Normal 4 23" xfId="4751" xr:uid="{00000000-0005-0000-0000-0000D9150000}"/>
    <cellStyle name="Normal 4 23 2" xfId="6080" xr:uid="{00000000-0005-0000-0000-0000DA150000}"/>
    <cellStyle name="Normal 4 24" xfId="4752" xr:uid="{00000000-0005-0000-0000-0000DB150000}"/>
    <cellStyle name="Normal 4 24 2" xfId="6081" xr:uid="{00000000-0005-0000-0000-0000DC150000}"/>
    <cellStyle name="Normal 4 25" xfId="4753" xr:uid="{00000000-0005-0000-0000-0000DD150000}"/>
    <cellStyle name="Normal 4 25 2" xfId="6082" xr:uid="{00000000-0005-0000-0000-0000DE150000}"/>
    <cellStyle name="Normal 4 26" xfId="4754" xr:uid="{00000000-0005-0000-0000-0000DF150000}"/>
    <cellStyle name="Normal 4 26 2" xfId="6083" xr:uid="{00000000-0005-0000-0000-0000E0150000}"/>
    <cellStyle name="Normal 4 27" xfId="4755" xr:uid="{00000000-0005-0000-0000-0000E1150000}"/>
    <cellStyle name="Normal 4 27 2" xfId="6084" xr:uid="{00000000-0005-0000-0000-0000E2150000}"/>
    <cellStyle name="Normal 4 28" xfId="4756" xr:uid="{00000000-0005-0000-0000-0000E3150000}"/>
    <cellStyle name="Normal 4 28 2" xfId="6085" xr:uid="{00000000-0005-0000-0000-0000E4150000}"/>
    <cellStyle name="Normal 4 29" xfId="4757" xr:uid="{00000000-0005-0000-0000-0000E5150000}"/>
    <cellStyle name="Normal 4 29 2" xfId="6086" xr:uid="{00000000-0005-0000-0000-0000E6150000}"/>
    <cellStyle name="Normal 4 3" xfId="4758" xr:uid="{00000000-0005-0000-0000-0000E7150000}"/>
    <cellStyle name="Normal 4 3 2" xfId="6087" xr:uid="{00000000-0005-0000-0000-0000E8150000}"/>
    <cellStyle name="Normal 4 30" xfId="4759" xr:uid="{00000000-0005-0000-0000-0000E9150000}"/>
    <cellStyle name="Normal 4 30 2" xfId="6088" xr:uid="{00000000-0005-0000-0000-0000EA150000}"/>
    <cellStyle name="Normal 4 31" xfId="4760" xr:uid="{00000000-0005-0000-0000-0000EB150000}"/>
    <cellStyle name="Normal 4 31 2" xfId="6089" xr:uid="{00000000-0005-0000-0000-0000EC150000}"/>
    <cellStyle name="Normal 4 32" xfId="4761" xr:uid="{00000000-0005-0000-0000-0000ED150000}"/>
    <cellStyle name="Normal 4 32 2" xfId="6090" xr:uid="{00000000-0005-0000-0000-0000EE150000}"/>
    <cellStyle name="Normal 4 33" xfId="4762" xr:uid="{00000000-0005-0000-0000-0000EF150000}"/>
    <cellStyle name="Normal 4 33 2" xfId="6091" xr:uid="{00000000-0005-0000-0000-0000F0150000}"/>
    <cellStyle name="Normal 4 34" xfId="6059" xr:uid="{00000000-0005-0000-0000-0000F1150000}"/>
    <cellStyle name="Normal 4 4" xfId="4763" xr:uid="{00000000-0005-0000-0000-0000F2150000}"/>
    <cellStyle name="Normal 4 4 2" xfId="6092" xr:uid="{00000000-0005-0000-0000-0000F3150000}"/>
    <cellStyle name="Normal 4 5" xfId="4764" xr:uid="{00000000-0005-0000-0000-0000F4150000}"/>
    <cellStyle name="Normal 4 5 2" xfId="6093" xr:uid="{00000000-0005-0000-0000-0000F5150000}"/>
    <cellStyle name="Normal 4 6" xfId="4765" xr:uid="{00000000-0005-0000-0000-0000F6150000}"/>
    <cellStyle name="Normal 4 6 2" xfId="6094" xr:uid="{00000000-0005-0000-0000-0000F7150000}"/>
    <cellStyle name="Normal 4 7" xfId="4766" xr:uid="{00000000-0005-0000-0000-0000F8150000}"/>
    <cellStyle name="Normal 4 7 2" xfId="6095" xr:uid="{00000000-0005-0000-0000-0000F9150000}"/>
    <cellStyle name="Normal 4 8" xfId="4767" xr:uid="{00000000-0005-0000-0000-0000FA150000}"/>
    <cellStyle name="Normal 4 8 2" xfId="6096" xr:uid="{00000000-0005-0000-0000-0000FB150000}"/>
    <cellStyle name="Normal 4 9" xfId="4768" xr:uid="{00000000-0005-0000-0000-0000FC150000}"/>
    <cellStyle name="Normal 4 9 2" xfId="6097" xr:uid="{00000000-0005-0000-0000-0000FD150000}"/>
    <cellStyle name="Normal 5" xfId="4769" xr:uid="{00000000-0005-0000-0000-0000FE150000}"/>
    <cellStyle name="Normal 5 10" xfId="4770" xr:uid="{00000000-0005-0000-0000-0000FF150000}"/>
    <cellStyle name="Normal 5 10 2" xfId="6099" xr:uid="{00000000-0005-0000-0000-000000160000}"/>
    <cellStyle name="Normal 5 11" xfId="4771" xr:uid="{00000000-0005-0000-0000-000001160000}"/>
    <cellStyle name="Normal 5 11 2" xfId="6100" xr:uid="{00000000-0005-0000-0000-000002160000}"/>
    <cellStyle name="Normal 5 12" xfId="4772" xr:uid="{00000000-0005-0000-0000-000003160000}"/>
    <cellStyle name="Normal 5 12 2" xfId="6101" xr:uid="{00000000-0005-0000-0000-000004160000}"/>
    <cellStyle name="Normal 5 13" xfId="4773" xr:uid="{00000000-0005-0000-0000-000005160000}"/>
    <cellStyle name="Normal 5 13 2" xfId="6102" xr:uid="{00000000-0005-0000-0000-000006160000}"/>
    <cellStyle name="Normal 5 14" xfId="4774" xr:uid="{00000000-0005-0000-0000-000007160000}"/>
    <cellStyle name="Normal 5 14 2" xfId="6103" xr:uid="{00000000-0005-0000-0000-000008160000}"/>
    <cellStyle name="Normal 5 15" xfId="4775" xr:uid="{00000000-0005-0000-0000-000009160000}"/>
    <cellStyle name="Normal 5 15 2" xfId="6104" xr:uid="{00000000-0005-0000-0000-00000A160000}"/>
    <cellStyle name="Normal 5 16" xfId="4776" xr:uid="{00000000-0005-0000-0000-00000B160000}"/>
    <cellStyle name="Normal 5 16 2" xfId="6105" xr:uid="{00000000-0005-0000-0000-00000C160000}"/>
    <cellStyle name="Normal 5 17" xfId="4777" xr:uid="{00000000-0005-0000-0000-00000D160000}"/>
    <cellStyle name="Normal 5 17 2" xfId="6106" xr:uid="{00000000-0005-0000-0000-00000E160000}"/>
    <cellStyle name="Normal 5 18" xfId="4778" xr:uid="{00000000-0005-0000-0000-00000F160000}"/>
    <cellStyle name="Normal 5 18 2" xfId="6107" xr:uid="{00000000-0005-0000-0000-000010160000}"/>
    <cellStyle name="Normal 5 19" xfId="4779" xr:uid="{00000000-0005-0000-0000-000011160000}"/>
    <cellStyle name="Normal 5 19 2" xfId="6108" xr:uid="{00000000-0005-0000-0000-000012160000}"/>
    <cellStyle name="Normal 5 2" xfId="4780" xr:uid="{00000000-0005-0000-0000-000013160000}"/>
    <cellStyle name="Normal 5 2 2" xfId="6109" xr:uid="{00000000-0005-0000-0000-000014160000}"/>
    <cellStyle name="Normal 5 20" xfId="4781" xr:uid="{00000000-0005-0000-0000-000015160000}"/>
    <cellStyle name="Normal 5 20 2" xfId="6110" xr:uid="{00000000-0005-0000-0000-000016160000}"/>
    <cellStyle name="Normal 5 21" xfId="4782" xr:uid="{00000000-0005-0000-0000-000017160000}"/>
    <cellStyle name="Normal 5 21 2" xfId="6111" xr:uid="{00000000-0005-0000-0000-000018160000}"/>
    <cellStyle name="Normal 5 22" xfId="4783" xr:uid="{00000000-0005-0000-0000-000019160000}"/>
    <cellStyle name="Normal 5 22 2" xfId="6112" xr:uid="{00000000-0005-0000-0000-00001A160000}"/>
    <cellStyle name="Normal 5 23" xfId="4784" xr:uid="{00000000-0005-0000-0000-00001B160000}"/>
    <cellStyle name="Normal 5 23 2" xfId="6113" xr:uid="{00000000-0005-0000-0000-00001C160000}"/>
    <cellStyle name="Normal 5 24" xfId="4785" xr:uid="{00000000-0005-0000-0000-00001D160000}"/>
    <cellStyle name="Normal 5 24 2" xfId="6114" xr:uid="{00000000-0005-0000-0000-00001E160000}"/>
    <cellStyle name="Normal 5 25" xfId="4786" xr:uid="{00000000-0005-0000-0000-00001F160000}"/>
    <cellStyle name="Normal 5 25 2" xfId="6115" xr:uid="{00000000-0005-0000-0000-000020160000}"/>
    <cellStyle name="Normal 5 26" xfId="4787" xr:uid="{00000000-0005-0000-0000-000021160000}"/>
    <cellStyle name="Normal 5 26 2" xfId="6116" xr:uid="{00000000-0005-0000-0000-000022160000}"/>
    <cellStyle name="Normal 5 27" xfId="4788" xr:uid="{00000000-0005-0000-0000-000023160000}"/>
    <cellStyle name="Normal 5 27 2" xfId="6117" xr:uid="{00000000-0005-0000-0000-000024160000}"/>
    <cellStyle name="Normal 5 28" xfId="4789" xr:uid="{00000000-0005-0000-0000-000025160000}"/>
    <cellStyle name="Normal 5 28 2" xfId="6118" xr:uid="{00000000-0005-0000-0000-000026160000}"/>
    <cellStyle name="Normal 5 29" xfId="4790" xr:uid="{00000000-0005-0000-0000-000027160000}"/>
    <cellStyle name="Normal 5 29 2" xfId="6119" xr:uid="{00000000-0005-0000-0000-000028160000}"/>
    <cellStyle name="Normal 5 3" xfId="4791" xr:uid="{00000000-0005-0000-0000-000029160000}"/>
    <cellStyle name="Normal 5 3 2" xfId="6120" xr:uid="{00000000-0005-0000-0000-00002A160000}"/>
    <cellStyle name="Normal 5 30" xfId="4792" xr:uid="{00000000-0005-0000-0000-00002B160000}"/>
    <cellStyle name="Normal 5 30 2" xfId="6121" xr:uid="{00000000-0005-0000-0000-00002C160000}"/>
    <cellStyle name="Normal 5 31" xfId="4793" xr:uid="{00000000-0005-0000-0000-00002D160000}"/>
    <cellStyle name="Normal 5 31 2" xfId="6122" xr:uid="{00000000-0005-0000-0000-00002E160000}"/>
    <cellStyle name="Normal 5 32" xfId="4794" xr:uid="{00000000-0005-0000-0000-00002F160000}"/>
    <cellStyle name="Normal 5 32 2" xfId="6123" xr:uid="{00000000-0005-0000-0000-000030160000}"/>
    <cellStyle name="Normal 5 33" xfId="6098" xr:uid="{00000000-0005-0000-0000-000031160000}"/>
    <cellStyle name="Normal 5 4" xfId="4795" xr:uid="{00000000-0005-0000-0000-000032160000}"/>
    <cellStyle name="Normal 5 4 2" xfId="6124" xr:uid="{00000000-0005-0000-0000-000033160000}"/>
    <cellStyle name="Normal 5 5" xfId="4796" xr:uid="{00000000-0005-0000-0000-000034160000}"/>
    <cellStyle name="Normal 5 5 2" xfId="6125" xr:uid="{00000000-0005-0000-0000-000035160000}"/>
    <cellStyle name="Normal 5 6" xfId="4797" xr:uid="{00000000-0005-0000-0000-000036160000}"/>
    <cellStyle name="Normal 5 6 2" xfId="6126" xr:uid="{00000000-0005-0000-0000-000037160000}"/>
    <cellStyle name="Normal 5 7" xfId="4798" xr:uid="{00000000-0005-0000-0000-000038160000}"/>
    <cellStyle name="Normal 5 7 2" xfId="6127" xr:uid="{00000000-0005-0000-0000-000039160000}"/>
    <cellStyle name="Normal 5 8" xfId="4799" xr:uid="{00000000-0005-0000-0000-00003A160000}"/>
    <cellStyle name="Normal 5 8 2" xfId="6128" xr:uid="{00000000-0005-0000-0000-00003B160000}"/>
    <cellStyle name="Normal 5 9" xfId="4800" xr:uid="{00000000-0005-0000-0000-00003C160000}"/>
    <cellStyle name="Normal 5 9 2" xfId="6129" xr:uid="{00000000-0005-0000-0000-00003D160000}"/>
    <cellStyle name="Normal 6" xfId="4801" xr:uid="{00000000-0005-0000-0000-00003E160000}"/>
    <cellStyle name="Normal 6 10" xfId="4802" xr:uid="{00000000-0005-0000-0000-00003F160000}"/>
    <cellStyle name="Normal 6 10 2" xfId="4803" xr:uid="{00000000-0005-0000-0000-000040160000}"/>
    <cellStyle name="Normal 6 10 2 2" xfId="6132" xr:uid="{00000000-0005-0000-0000-000041160000}"/>
    <cellStyle name="Normal 6 10 3" xfId="6131" xr:uid="{00000000-0005-0000-0000-000042160000}"/>
    <cellStyle name="Normal 6 11" xfId="4804" xr:uid="{00000000-0005-0000-0000-000043160000}"/>
    <cellStyle name="Normal 6 11 2" xfId="6133" xr:uid="{00000000-0005-0000-0000-000044160000}"/>
    <cellStyle name="Normal 6 12" xfId="4805" xr:uid="{00000000-0005-0000-0000-000045160000}"/>
    <cellStyle name="Normal 6 12 2" xfId="6134" xr:uid="{00000000-0005-0000-0000-000046160000}"/>
    <cellStyle name="Normal 6 13" xfId="4806" xr:uid="{00000000-0005-0000-0000-000047160000}"/>
    <cellStyle name="Normal 6 13 2" xfId="6135" xr:uid="{00000000-0005-0000-0000-000048160000}"/>
    <cellStyle name="Normal 6 14" xfId="4807" xr:uid="{00000000-0005-0000-0000-000049160000}"/>
    <cellStyle name="Normal 6 14 2" xfId="6136" xr:uid="{00000000-0005-0000-0000-00004A160000}"/>
    <cellStyle name="Normal 6 15" xfId="4808" xr:uid="{00000000-0005-0000-0000-00004B160000}"/>
    <cellStyle name="Normal 6 15 2" xfId="6137" xr:uid="{00000000-0005-0000-0000-00004C160000}"/>
    <cellStyle name="Normal 6 16" xfId="4809" xr:uid="{00000000-0005-0000-0000-00004D160000}"/>
    <cellStyle name="Normal 6 16 2" xfId="6138" xr:uid="{00000000-0005-0000-0000-00004E160000}"/>
    <cellStyle name="Normal 6 17" xfId="4810" xr:uid="{00000000-0005-0000-0000-00004F160000}"/>
    <cellStyle name="Normal 6 17 2" xfId="6139" xr:uid="{00000000-0005-0000-0000-000050160000}"/>
    <cellStyle name="Normal 6 18" xfId="4811" xr:uid="{00000000-0005-0000-0000-000051160000}"/>
    <cellStyle name="Normal 6 18 2" xfId="6140" xr:uid="{00000000-0005-0000-0000-000052160000}"/>
    <cellStyle name="Normal 6 19" xfId="4812" xr:uid="{00000000-0005-0000-0000-000053160000}"/>
    <cellStyle name="Normal 6 19 2" xfId="6141" xr:uid="{00000000-0005-0000-0000-000054160000}"/>
    <cellStyle name="Normal 6 2" xfId="4813" xr:uid="{00000000-0005-0000-0000-000055160000}"/>
    <cellStyle name="Normal 6 2 2" xfId="6142" xr:uid="{00000000-0005-0000-0000-000056160000}"/>
    <cellStyle name="Normal 6 20" xfId="4814" xr:uid="{00000000-0005-0000-0000-000057160000}"/>
    <cellStyle name="Normal 6 20 2" xfId="6143" xr:uid="{00000000-0005-0000-0000-000058160000}"/>
    <cellStyle name="Normal 6 21" xfId="4815" xr:uid="{00000000-0005-0000-0000-000059160000}"/>
    <cellStyle name="Normal 6 21 2" xfId="6144" xr:uid="{00000000-0005-0000-0000-00005A160000}"/>
    <cellStyle name="Normal 6 22" xfId="4816" xr:uid="{00000000-0005-0000-0000-00005B160000}"/>
    <cellStyle name="Normal 6 22 2" xfId="6145" xr:uid="{00000000-0005-0000-0000-00005C160000}"/>
    <cellStyle name="Normal 6 23" xfId="4817" xr:uid="{00000000-0005-0000-0000-00005D160000}"/>
    <cellStyle name="Normal 6 23 2" xfId="6146" xr:uid="{00000000-0005-0000-0000-00005E160000}"/>
    <cellStyle name="Normal 6 24" xfId="4818" xr:uid="{00000000-0005-0000-0000-00005F160000}"/>
    <cellStyle name="Normal 6 24 2" xfId="6147" xr:uid="{00000000-0005-0000-0000-000060160000}"/>
    <cellStyle name="Normal 6 25" xfId="4819" xr:uid="{00000000-0005-0000-0000-000061160000}"/>
    <cellStyle name="Normal 6 25 2" xfId="6148" xr:uid="{00000000-0005-0000-0000-000062160000}"/>
    <cellStyle name="Normal 6 26" xfId="4820" xr:uid="{00000000-0005-0000-0000-000063160000}"/>
    <cellStyle name="Normal 6 26 2" xfId="6149" xr:uid="{00000000-0005-0000-0000-000064160000}"/>
    <cellStyle name="Normal 6 27" xfId="4821" xr:uid="{00000000-0005-0000-0000-000065160000}"/>
    <cellStyle name="Normal 6 27 2" xfId="6150" xr:uid="{00000000-0005-0000-0000-000066160000}"/>
    <cellStyle name="Normal 6 28" xfId="4822" xr:uid="{00000000-0005-0000-0000-000067160000}"/>
    <cellStyle name="Normal 6 28 2" xfId="6151" xr:uid="{00000000-0005-0000-0000-000068160000}"/>
    <cellStyle name="Normal 6 29" xfId="4823" xr:uid="{00000000-0005-0000-0000-000069160000}"/>
    <cellStyle name="Normal 6 29 2" xfId="6152" xr:uid="{00000000-0005-0000-0000-00006A160000}"/>
    <cellStyle name="Normal 6 3" xfId="4824" xr:uid="{00000000-0005-0000-0000-00006B160000}"/>
    <cellStyle name="Normal 6 3 2" xfId="6153" xr:uid="{00000000-0005-0000-0000-00006C160000}"/>
    <cellStyle name="Normal 6 30" xfId="4825" xr:uid="{00000000-0005-0000-0000-00006D160000}"/>
    <cellStyle name="Normal 6 30 2" xfId="6154" xr:uid="{00000000-0005-0000-0000-00006E160000}"/>
    <cellStyle name="Normal 6 31" xfId="4826" xr:uid="{00000000-0005-0000-0000-00006F160000}"/>
    <cellStyle name="Normal 6 31 2" xfId="6155" xr:uid="{00000000-0005-0000-0000-000070160000}"/>
    <cellStyle name="Normal 6 32" xfId="4827" xr:uid="{00000000-0005-0000-0000-000071160000}"/>
    <cellStyle name="Normal 6 32 2" xfId="6156" xr:uid="{00000000-0005-0000-0000-000072160000}"/>
    <cellStyle name="Normal 6 33" xfId="4828" xr:uid="{00000000-0005-0000-0000-000073160000}"/>
    <cellStyle name="Normal 6 33 2" xfId="6157" xr:uid="{00000000-0005-0000-0000-000074160000}"/>
    <cellStyle name="Normal 6 34" xfId="4829" xr:uid="{00000000-0005-0000-0000-000075160000}"/>
    <cellStyle name="Normal 6 34 2" xfId="6158" xr:uid="{00000000-0005-0000-0000-000076160000}"/>
    <cellStyle name="Normal 6 35" xfId="4830" xr:uid="{00000000-0005-0000-0000-000077160000}"/>
    <cellStyle name="Normal 6 35 2" xfId="6159" xr:uid="{00000000-0005-0000-0000-000078160000}"/>
    <cellStyle name="Normal 6 36" xfId="4831" xr:uid="{00000000-0005-0000-0000-000079160000}"/>
    <cellStyle name="Normal 6 36 2" xfId="6160" xr:uid="{00000000-0005-0000-0000-00007A160000}"/>
    <cellStyle name="Normal 6 37" xfId="4832" xr:uid="{00000000-0005-0000-0000-00007B160000}"/>
    <cellStyle name="Normal 6 37 2" xfId="6161" xr:uid="{00000000-0005-0000-0000-00007C160000}"/>
    <cellStyle name="Normal 6 38" xfId="4833" xr:uid="{00000000-0005-0000-0000-00007D160000}"/>
    <cellStyle name="Normal 6 38 2" xfId="6162" xr:uid="{00000000-0005-0000-0000-00007E160000}"/>
    <cellStyle name="Normal 6 39" xfId="4834" xr:uid="{00000000-0005-0000-0000-00007F160000}"/>
    <cellStyle name="Normal 6 39 2" xfId="6163" xr:uid="{00000000-0005-0000-0000-000080160000}"/>
    <cellStyle name="Normal 6 4" xfId="4835" xr:uid="{00000000-0005-0000-0000-000081160000}"/>
    <cellStyle name="Normal 6 4 2" xfId="6164" xr:uid="{00000000-0005-0000-0000-000082160000}"/>
    <cellStyle name="Normal 6 40" xfId="4836" xr:uid="{00000000-0005-0000-0000-000083160000}"/>
    <cellStyle name="Normal 6 40 2" xfId="6165" xr:uid="{00000000-0005-0000-0000-000084160000}"/>
    <cellStyle name="Normal 6 41" xfId="4837" xr:uid="{00000000-0005-0000-0000-000085160000}"/>
    <cellStyle name="Normal 6 41 2" xfId="6166" xr:uid="{00000000-0005-0000-0000-000086160000}"/>
    <cellStyle name="Normal 6 42" xfId="4838" xr:uid="{00000000-0005-0000-0000-000087160000}"/>
    <cellStyle name="Normal 6 42 2" xfId="6167" xr:uid="{00000000-0005-0000-0000-000088160000}"/>
    <cellStyle name="Normal 6 43" xfId="4839" xr:uid="{00000000-0005-0000-0000-000089160000}"/>
    <cellStyle name="Normal 6 43 2" xfId="6168" xr:uid="{00000000-0005-0000-0000-00008A160000}"/>
    <cellStyle name="Normal 6 44" xfId="4840" xr:uid="{00000000-0005-0000-0000-00008B160000}"/>
    <cellStyle name="Normal 6 44 2" xfId="6169" xr:uid="{00000000-0005-0000-0000-00008C160000}"/>
    <cellStyle name="Normal 6 45" xfId="4841" xr:uid="{00000000-0005-0000-0000-00008D160000}"/>
    <cellStyle name="Normal 6 45 2" xfId="6170" xr:uid="{00000000-0005-0000-0000-00008E160000}"/>
    <cellStyle name="Normal 6 46" xfId="4842" xr:uid="{00000000-0005-0000-0000-00008F160000}"/>
    <cellStyle name="Normal 6 46 2" xfId="6171" xr:uid="{00000000-0005-0000-0000-000090160000}"/>
    <cellStyle name="Normal 6 47" xfId="4843" xr:uid="{00000000-0005-0000-0000-000091160000}"/>
    <cellStyle name="Normal 6 47 2" xfId="6172" xr:uid="{00000000-0005-0000-0000-000092160000}"/>
    <cellStyle name="Normal 6 48" xfId="4844" xr:uid="{00000000-0005-0000-0000-000093160000}"/>
    <cellStyle name="Normal 6 48 2" xfId="6173" xr:uid="{00000000-0005-0000-0000-000094160000}"/>
    <cellStyle name="Normal 6 49" xfId="4845" xr:uid="{00000000-0005-0000-0000-000095160000}"/>
    <cellStyle name="Normal 6 49 2" xfId="6174" xr:uid="{00000000-0005-0000-0000-000096160000}"/>
    <cellStyle name="Normal 6 5" xfId="4846" xr:uid="{00000000-0005-0000-0000-000097160000}"/>
    <cellStyle name="Normal 6 5 2" xfId="6175" xr:uid="{00000000-0005-0000-0000-000098160000}"/>
    <cellStyle name="Normal 6 50" xfId="4847" xr:uid="{00000000-0005-0000-0000-000099160000}"/>
    <cellStyle name="Normal 6 50 2" xfId="6176" xr:uid="{00000000-0005-0000-0000-00009A160000}"/>
    <cellStyle name="Normal 6 51" xfId="4848" xr:uid="{00000000-0005-0000-0000-00009B160000}"/>
    <cellStyle name="Normal 6 51 2" xfId="6177" xr:uid="{00000000-0005-0000-0000-00009C160000}"/>
    <cellStyle name="Normal 6 52" xfId="4849" xr:uid="{00000000-0005-0000-0000-00009D160000}"/>
    <cellStyle name="Normal 6 52 2" xfId="6178" xr:uid="{00000000-0005-0000-0000-00009E160000}"/>
    <cellStyle name="Normal 6 53" xfId="4850" xr:uid="{00000000-0005-0000-0000-00009F160000}"/>
    <cellStyle name="Normal 6 53 2" xfId="6179" xr:uid="{00000000-0005-0000-0000-0000A0160000}"/>
    <cellStyle name="Normal 6 54" xfId="4851" xr:uid="{00000000-0005-0000-0000-0000A1160000}"/>
    <cellStyle name="Normal 6 54 2" xfId="6180" xr:uid="{00000000-0005-0000-0000-0000A2160000}"/>
    <cellStyle name="Normal 6 55" xfId="4852" xr:uid="{00000000-0005-0000-0000-0000A3160000}"/>
    <cellStyle name="Normal 6 55 2" xfId="6181" xr:uid="{00000000-0005-0000-0000-0000A4160000}"/>
    <cellStyle name="Normal 6 56" xfId="4853" xr:uid="{00000000-0005-0000-0000-0000A5160000}"/>
    <cellStyle name="Normal 6 56 2" xfId="6182" xr:uid="{00000000-0005-0000-0000-0000A6160000}"/>
    <cellStyle name="Normal 6 57" xfId="4854" xr:uid="{00000000-0005-0000-0000-0000A7160000}"/>
    <cellStyle name="Normal 6 57 2" xfId="6183" xr:uid="{00000000-0005-0000-0000-0000A8160000}"/>
    <cellStyle name="Normal 6 58" xfId="4855" xr:uid="{00000000-0005-0000-0000-0000A9160000}"/>
    <cellStyle name="Normal 6 58 2" xfId="6184" xr:uid="{00000000-0005-0000-0000-0000AA160000}"/>
    <cellStyle name="Normal 6 59" xfId="4856" xr:uid="{00000000-0005-0000-0000-0000AB160000}"/>
    <cellStyle name="Normal 6 59 2" xfId="6185" xr:uid="{00000000-0005-0000-0000-0000AC160000}"/>
    <cellStyle name="Normal 6 6" xfId="4857" xr:uid="{00000000-0005-0000-0000-0000AD160000}"/>
    <cellStyle name="Normal 6 6 2" xfId="6186" xr:uid="{00000000-0005-0000-0000-0000AE160000}"/>
    <cellStyle name="Normal 6 60" xfId="4858" xr:uid="{00000000-0005-0000-0000-0000AF160000}"/>
    <cellStyle name="Normal 6 60 2" xfId="6187" xr:uid="{00000000-0005-0000-0000-0000B0160000}"/>
    <cellStyle name="Normal 6 61" xfId="4859" xr:uid="{00000000-0005-0000-0000-0000B1160000}"/>
    <cellStyle name="Normal 6 61 2" xfId="6188" xr:uid="{00000000-0005-0000-0000-0000B2160000}"/>
    <cellStyle name="Normal 6 62" xfId="4860" xr:uid="{00000000-0005-0000-0000-0000B3160000}"/>
    <cellStyle name="Normal 6 62 2" xfId="6189" xr:uid="{00000000-0005-0000-0000-0000B4160000}"/>
    <cellStyle name="Normal 6 63" xfId="6130" xr:uid="{00000000-0005-0000-0000-0000B5160000}"/>
    <cellStyle name="Normal 6 7" xfId="4861" xr:uid="{00000000-0005-0000-0000-0000B6160000}"/>
    <cellStyle name="Normal 6 7 2" xfId="6190" xr:uid="{00000000-0005-0000-0000-0000B7160000}"/>
    <cellStyle name="Normal 6 8" xfId="4862" xr:uid="{00000000-0005-0000-0000-0000B8160000}"/>
    <cellStyle name="Normal 6 8 2" xfId="6191" xr:uid="{00000000-0005-0000-0000-0000B9160000}"/>
    <cellStyle name="Normal 6 9" xfId="4863" xr:uid="{00000000-0005-0000-0000-0000BA160000}"/>
    <cellStyle name="Normal 6 9 2" xfId="6192" xr:uid="{00000000-0005-0000-0000-0000BB160000}"/>
    <cellStyle name="Normal 7" xfId="4864" xr:uid="{00000000-0005-0000-0000-0000BC160000}"/>
    <cellStyle name="Normal 7 2" xfId="4865" xr:uid="{00000000-0005-0000-0000-0000BD160000}"/>
    <cellStyle name="Normal 7 2 2" xfId="4866" xr:uid="{00000000-0005-0000-0000-0000BE160000}"/>
    <cellStyle name="Normal 7 2 2 2" xfId="6195" xr:uid="{00000000-0005-0000-0000-0000BF160000}"/>
    <cellStyle name="Normal 7 2 3" xfId="6194" xr:uid="{00000000-0005-0000-0000-0000C0160000}"/>
    <cellStyle name="Normal 7 3" xfId="4867" xr:uid="{00000000-0005-0000-0000-0000C1160000}"/>
    <cellStyle name="Normal 7 3 2" xfId="4868" xr:uid="{00000000-0005-0000-0000-0000C2160000}"/>
    <cellStyle name="Normal 7 3 2 2" xfId="6197" xr:uid="{00000000-0005-0000-0000-0000C3160000}"/>
    <cellStyle name="Normal 7 3 3" xfId="6196" xr:uid="{00000000-0005-0000-0000-0000C4160000}"/>
    <cellStyle name="Normal 7 4" xfId="4869" xr:uid="{00000000-0005-0000-0000-0000C5160000}"/>
    <cellStyle name="Normal 7 4 2" xfId="6198" xr:uid="{00000000-0005-0000-0000-0000C6160000}"/>
    <cellStyle name="Normal 7 5" xfId="6193" xr:uid="{00000000-0005-0000-0000-0000C7160000}"/>
    <cellStyle name="Normal 8" xfId="4870" xr:uid="{00000000-0005-0000-0000-0000C8160000}"/>
    <cellStyle name="Normal 8 2" xfId="4871" xr:uid="{00000000-0005-0000-0000-0000C9160000}"/>
    <cellStyle name="Normal 8 2 2" xfId="4872" xr:uid="{00000000-0005-0000-0000-0000CA160000}"/>
    <cellStyle name="Normal 8 2 2 2" xfId="6201" xr:uid="{00000000-0005-0000-0000-0000CB160000}"/>
    <cellStyle name="Normal 8 2 3" xfId="6200" xr:uid="{00000000-0005-0000-0000-0000CC160000}"/>
    <cellStyle name="Normal 8 3" xfId="4873" xr:uid="{00000000-0005-0000-0000-0000CD160000}"/>
    <cellStyle name="Normal 8 3 2" xfId="4874" xr:uid="{00000000-0005-0000-0000-0000CE160000}"/>
    <cellStyle name="Normal 8 3 2 2" xfId="6203" xr:uid="{00000000-0005-0000-0000-0000CF160000}"/>
    <cellStyle name="Normal 8 3 3" xfId="6202" xr:uid="{00000000-0005-0000-0000-0000D0160000}"/>
    <cellStyle name="Normal 8 4" xfId="4875" xr:uid="{00000000-0005-0000-0000-0000D1160000}"/>
    <cellStyle name="Normal 8 4 2" xfId="6204" xr:uid="{00000000-0005-0000-0000-0000D2160000}"/>
    <cellStyle name="Normal 8 5" xfId="4876" xr:uid="{00000000-0005-0000-0000-0000D3160000}"/>
    <cellStyle name="Normal 8 5 2" xfId="6205" xr:uid="{00000000-0005-0000-0000-0000D4160000}"/>
    <cellStyle name="Normal 8 6" xfId="6199" xr:uid="{00000000-0005-0000-0000-0000D5160000}"/>
    <cellStyle name="Normal 9" xfId="4877" xr:uid="{00000000-0005-0000-0000-0000D6160000}"/>
    <cellStyle name="Normal 9 10" xfId="4878" xr:uid="{00000000-0005-0000-0000-0000D7160000}"/>
    <cellStyle name="Normal 9 10 2" xfId="6207" xr:uid="{00000000-0005-0000-0000-0000D8160000}"/>
    <cellStyle name="Normal 9 11" xfId="4879" xr:uid="{00000000-0005-0000-0000-0000D9160000}"/>
    <cellStyle name="Normal 9 11 2" xfId="6208" xr:uid="{00000000-0005-0000-0000-0000DA160000}"/>
    <cellStyle name="Normal 9 12" xfId="4880" xr:uid="{00000000-0005-0000-0000-0000DB160000}"/>
    <cellStyle name="Normal 9 12 2" xfId="6209" xr:uid="{00000000-0005-0000-0000-0000DC160000}"/>
    <cellStyle name="Normal 9 13" xfId="4881" xr:uid="{00000000-0005-0000-0000-0000DD160000}"/>
    <cellStyle name="Normal 9 13 2" xfId="6210" xr:uid="{00000000-0005-0000-0000-0000DE160000}"/>
    <cellStyle name="Normal 9 14" xfId="4882" xr:uid="{00000000-0005-0000-0000-0000DF160000}"/>
    <cellStyle name="Normal 9 14 2" xfId="6211" xr:uid="{00000000-0005-0000-0000-0000E0160000}"/>
    <cellStyle name="Normal 9 15" xfId="4883" xr:uid="{00000000-0005-0000-0000-0000E1160000}"/>
    <cellStyle name="Normal 9 15 2" xfId="6212" xr:uid="{00000000-0005-0000-0000-0000E2160000}"/>
    <cellStyle name="Normal 9 16" xfId="4884" xr:uid="{00000000-0005-0000-0000-0000E3160000}"/>
    <cellStyle name="Normal 9 16 2" xfId="6213" xr:uid="{00000000-0005-0000-0000-0000E4160000}"/>
    <cellStyle name="Normal 9 17" xfId="4885" xr:uid="{00000000-0005-0000-0000-0000E5160000}"/>
    <cellStyle name="Normal 9 17 2" xfId="6214" xr:uid="{00000000-0005-0000-0000-0000E6160000}"/>
    <cellStyle name="Normal 9 18" xfId="4886" xr:uid="{00000000-0005-0000-0000-0000E7160000}"/>
    <cellStyle name="Normal 9 18 2" xfId="6215" xr:uid="{00000000-0005-0000-0000-0000E8160000}"/>
    <cellStyle name="Normal 9 19" xfId="4887" xr:uid="{00000000-0005-0000-0000-0000E9160000}"/>
    <cellStyle name="Normal 9 19 2" xfId="6216" xr:uid="{00000000-0005-0000-0000-0000EA160000}"/>
    <cellStyle name="Normal 9 2" xfId="4888" xr:uid="{00000000-0005-0000-0000-0000EB160000}"/>
    <cellStyle name="Normal 9 2 2" xfId="4889" xr:uid="{00000000-0005-0000-0000-0000EC160000}"/>
    <cellStyle name="Normal 9 2 2 2" xfId="6218" xr:uid="{00000000-0005-0000-0000-0000ED160000}"/>
    <cellStyle name="Normal 9 2 3" xfId="6217" xr:uid="{00000000-0005-0000-0000-0000EE160000}"/>
    <cellStyle name="Normal 9 20" xfId="4890" xr:uid="{00000000-0005-0000-0000-0000EF160000}"/>
    <cellStyle name="Normal 9 20 2" xfId="6219" xr:uid="{00000000-0005-0000-0000-0000F0160000}"/>
    <cellStyle name="Normal 9 21" xfId="4891" xr:uid="{00000000-0005-0000-0000-0000F1160000}"/>
    <cellStyle name="Normal 9 21 2" xfId="6220" xr:uid="{00000000-0005-0000-0000-0000F2160000}"/>
    <cellStyle name="Normal 9 22" xfId="4892" xr:uid="{00000000-0005-0000-0000-0000F3160000}"/>
    <cellStyle name="Normal 9 22 2" xfId="6221" xr:uid="{00000000-0005-0000-0000-0000F4160000}"/>
    <cellStyle name="Normal 9 23" xfId="4893" xr:uid="{00000000-0005-0000-0000-0000F5160000}"/>
    <cellStyle name="Normal 9 23 2" xfId="6222" xr:uid="{00000000-0005-0000-0000-0000F6160000}"/>
    <cellStyle name="Normal 9 24" xfId="4894" xr:uid="{00000000-0005-0000-0000-0000F7160000}"/>
    <cellStyle name="Normal 9 24 2" xfId="6223" xr:uid="{00000000-0005-0000-0000-0000F8160000}"/>
    <cellStyle name="Normal 9 25" xfId="4895" xr:uid="{00000000-0005-0000-0000-0000F9160000}"/>
    <cellStyle name="Normal 9 25 2" xfId="6224" xr:uid="{00000000-0005-0000-0000-0000FA160000}"/>
    <cellStyle name="Normal 9 26" xfId="4896" xr:uid="{00000000-0005-0000-0000-0000FB160000}"/>
    <cellStyle name="Normal 9 26 2" xfId="6225" xr:uid="{00000000-0005-0000-0000-0000FC160000}"/>
    <cellStyle name="Normal 9 27" xfId="4897" xr:uid="{00000000-0005-0000-0000-0000FD160000}"/>
    <cellStyle name="Normal 9 27 2" xfId="6226" xr:uid="{00000000-0005-0000-0000-0000FE160000}"/>
    <cellStyle name="Normal 9 28" xfId="4898" xr:uid="{00000000-0005-0000-0000-0000FF160000}"/>
    <cellStyle name="Normal 9 28 2" xfId="6227" xr:uid="{00000000-0005-0000-0000-000000170000}"/>
    <cellStyle name="Normal 9 29" xfId="4899" xr:uid="{00000000-0005-0000-0000-000001170000}"/>
    <cellStyle name="Normal 9 29 2" xfId="6228" xr:uid="{00000000-0005-0000-0000-000002170000}"/>
    <cellStyle name="Normal 9 3" xfId="4900" xr:uid="{00000000-0005-0000-0000-000003170000}"/>
    <cellStyle name="Normal 9 3 2" xfId="4901" xr:uid="{00000000-0005-0000-0000-000004170000}"/>
    <cellStyle name="Normal 9 3 2 2" xfId="6230" xr:uid="{00000000-0005-0000-0000-000005170000}"/>
    <cellStyle name="Normal 9 3 3" xfId="6229" xr:uid="{00000000-0005-0000-0000-000006170000}"/>
    <cellStyle name="Normal 9 30" xfId="4902" xr:uid="{00000000-0005-0000-0000-000007170000}"/>
    <cellStyle name="Normal 9 30 2" xfId="6231" xr:uid="{00000000-0005-0000-0000-000008170000}"/>
    <cellStyle name="Normal 9 31" xfId="4903" xr:uid="{00000000-0005-0000-0000-000009170000}"/>
    <cellStyle name="Normal 9 31 2" xfId="6232" xr:uid="{00000000-0005-0000-0000-00000A170000}"/>
    <cellStyle name="Normal 9 32" xfId="4904" xr:uid="{00000000-0005-0000-0000-00000B170000}"/>
    <cellStyle name="Normal 9 32 2" xfId="6233" xr:uid="{00000000-0005-0000-0000-00000C170000}"/>
    <cellStyle name="Normal 9 33" xfId="4905" xr:uid="{00000000-0005-0000-0000-00000D170000}"/>
    <cellStyle name="Normal 9 33 2" xfId="6234" xr:uid="{00000000-0005-0000-0000-00000E170000}"/>
    <cellStyle name="Normal 9 34" xfId="4906" xr:uid="{00000000-0005-0000-0000-00000F170000}"/>
    <cellStyle name="Normal 9 34 2" xfId="6235" xr:uid="{00000000-0005-0000-0000-000010170000}"/>
    <cellStyle name="Normal 9 35" xfId="4907" xr:uid="{00000000-0005-0000-0000-000011170000}"/>
    <cellStyle name="Normal 9 35 2" xfId="6236" xr:uid="{00000000-0005-0000-0000-000012170000}"/>
    <cellStyle name="Normal 9 36" xfId="4908" xr:uid="{00000000-0005-0000-0000-000013170000}"/>
    <cellStyle name="Normal 9 36 2" xfId="6237" xr:uid="{00000000-0005-0000-0000-000014170000}"/>
    <cellStyle name="Normal 9 37" xfId="4909" xr:uid="{00000000-0005-0000-0000-000015170000}"/>
    <cellStyle name="Normal 9 37 2" xfId="6238" xr:uid="{00000000-0005-0000-0000-000016170000}"/>
    <cellStyle name="Normal 9 38" xfId="4910" xr:uid="{00000000-0005-0000-0000-000017170000}"/>
    <cellStyle name="Normal 9 38 2" xfId="6239" xr:uid="{00000000-0005-0000-0000-000018170000}"/>
    <cellStyle name="Normal 9 39" xfId="4911" xr:uid="{00000000-0005-0000-0000-000019170000}"/>
    <cellStyle name="Normal 9 39 2" xfId="6240" xr:uid="{00000000-0005-0000-0000-00001A170000}"/>
    <cellStyle name="Normal 9 4" xfId="4912" xr:uid="{00000000-0005-0000-0000-00001B170000}"/>
    <cellStyle name="Normal 9 4 2" xfId="4913" xr:uid="{00000000-0005-0000-0000-00001C170000}"/>
    <cellStyle name="Normal 9 4 2 2" xfId="6242" xr:uid="{00000000-0005-0000-0000-00001D170000}"/>
    <cellStyle name="Normal 9 4 3" xfId="6241" xr:uid="{00000000-0005-0000-0000-00001E170000}"/>
    <cellStyle name="Normal 9 40" xfId="4914" xr:uid="{00000000-0005-0000-0000-00001F170000}"/>
    <cellStyle name="Normal 9 40 2" xfId="6243" xr:uid="{00000000-0005-0000-0000-000020170000}"/>
    <cellStyle name="Normal 9 41" xfId="4915" xr:uid="{00000000-0005-0000-0000-000021170000}"/>
    <cellStyle name="Normal 9 41 2" xfId="6244" xr:uid="{00000000-0005-0000-0000-000022170000}"/>
    <cellStyle name="Normal 9 42" xfId="4916" xr:uid="{00000000-0005-0000-0000-000023170000}"/>
    <cellStyle name="Normal 9 42 2" xfId="6245" xr:uid="{00000000-0005-0000-0000-000024170000}"/>
    <cellStyle name="Normal 9 43" xfId="4917" xr:uid="{00000000-0005-0000-0000-000025170000}"/>
    <cellStyle name="Normal 9 43 2" xfId="6246" xr:uid="{00000000-0005-0000-0000-000026170000}"/>
    <cellStyle name="Normal 9 44" xfId="4918" xr:uid="{00000000-0005-0000-0000-000027170000}"/>
    <cellStyle name="Normal 9 44 2" xfId="6247" xr:uid="{00000000-0005-0000-0000-000028170000}"/>
    <cellStyle name="Normal 9 45" xfId="4919" xr:uid="{00000000-0005-0000-0000-000029170000}"/>
    <cellStyle name="Normal 9 45 2" xfId="6248" xr:uid="{00000000-0005-0000-0000-00002A170000}"/>
    <cellStyle name="Normal 9 46" xfId="4920" xr:uid="{00000000-0005-0000-0000-00002B170000}"/>
    <cellStyle name="Normal 9 46 2" xfId="6249" xr:uid="{00000000-0005-0000-0000-00002C170000}"/>
    <cellStyle name="Normal 9 47" xfId="4921" xr:uid="{00000000-0005-0000-0000-00002D170000}"/>
    <cellStyle name="Normal 9 47 2" xfId="6250" xr:uid="{00000000-0005-0000-0000-00002E170000}"/>
    <cellStyle name="Normal 9 48" xfId="4922" xr:uid="{00000000-0005-0000-0000-00002F170000}"/>
    <cellStyle name="Normal 9 48 2" xfId="6251" xr:uid="{00000000-0005-0000-0000-000030170000}"/>
    <cellStyle name="Normal 9 49" xfId="4923" xr:uid="{00000000-0005-0000-0000-000031170000}"/>
    <cellStyle name="Normal 9 49 2" xfId="6252" xr:uid="{00000000-0005-0000-0000-000032170000}"/>
    <cellStyle name="Normal 9 5" xfId="4924" xr:uid="{00000000-0005-0000-0000-000033170000}"/>
    <cellStyle name="Normal 9 5 2" xfId="6253" xr:uid="{00000000-0005-0000-0000-000034170000}"/>
    <cellStyle name="Normal 9 50" xfId="4925" xr:uid="{00000000-0005-0000-0000-000035170000}"/>
    <cellStyle name="Normal 9 50 2" xfId="6254" xr:uid="{00000000-0005-0000-0000-000036170000}"/>
    <cellStyle name="Normal 9 51" xfId="4926" xr:uid="{00000000-0005-0000-0000-000037170000}"/>
    <cellStyle name="Normal 9 51 2" xfId="6255" xr:uid="{00000000-0005-0000-0000-000038170000}"/>
    <cellStyle name="Normal 9 52" xfId="4927" xr:uid="{00000000-0005-0000-0000-000039170000}"/>
    <cellStyle name="Normal 9 52 2" xfId="6256" xr:uid="{00000000-0005-0000-0000-00003A170000}"/>
    <cellStyle name="Normal 9 53" xfId="4928" xr:uid="{00000000-0005-0000-0000-00003B170000}"/>
    <cellStyle name="Normal 9 53 2" xfId="6257" xr:uid="{00000000-0005-0000-0000-00003C170000}"/>
    <cellStyle name="Normal 9 54" xfId="4929" xr:uid="{00000000-0005-0000-0000-00003D170000}"/>
    <cellStyle name="Normal 9 54 2" xfId="6258" xr:uid="{00000000-0005-0000-0000-00003E170000}"/>
    <cellStyle name="Normal 9 55" xfId="6206" xr:uid="{00000000-0005-0000-0000-00003F170000}"/>
    <cellStyle name="Normal 9 6" xfId="4930" xr:uid="{00000000-0005-0000-0000-000040170000}"/>
    <cellStyle name="Normal 9 6 2" xfId="6259" xr:uid="{00000000-0005-0000-0000-000041170000}"/>
    <cellStyle name="Normal 9 7" xfId="4931" xr:uid="{00000000-0005-0000-0000-000042170000}"/>
    <cellStyle name="Normal 9 7 2" xfId="6260" xr:uid="{00000000-0005-0000-0000-000043170000}"/>
    <cellStyle name="Normal 9 8" xfId="4932" xr:uid="{00000000-0005-0000-0000-000044170000}"/>
    <cellStyle name="Normal 9 8 2" xfId="6261" xr:uid="{00000000-0005-0000-0000-000045170000}"/>
    <cellStyle name="Normal 9 9" xfId="4933" xr:uid="{00000000-0005-0000-0000-000046170000}"/>
    <cellStyle name="Normal 9 9 2" xfId="6262" xr:uid="{00000000-0005-0000-0000-000047170000}"/>
    <cellStyle name="Normal_potatoes" xfId="6653" xr:uid="{913CFAAD-3741-45C4-9CEC-74FC842BC823}"/>
    <cellStyle name="normal_vegcan_1" xfId="6652" xr:uid="{3EB505BA-0980-4E95-B238-88A61B99C150}"/>
    <cellStyle name="Note 10" xfId="4934" xr:uid="{00000000-0005-0000-0000-000048170000}"/>
    <cellStyle name="Note 10 2" xfId="6263" xr:uid="{00000000-0005-0000-0000-000049170000}"/>
    <cellStyle name="Note 11" xfId="4935" xr:uid="{00000000-0005-0000-0000-00004A170000}"/>
    <cellStyle name="Note 11 2" xfId="6264" xr:uid="{00000000-0005-0000-0000-00004B170000}"/>
    <cellStyle name="Note 12" xfId="4936" xr:uid="{00000000-0005-0000-0000-00004C170000}"/>
    <cellStyle name="Note 12 2" xfId="6265" xr:uid="{00000000-0005-0000-0000-00004D170000}"/>
    <cellStyle name="Note 13" xfId="4937" xr:uid="{00000000-0005-0000-0000-00004E170000}"/>
    <cellStyle name="Note 13 2" xfId="6266" xr:uid="{00000000-0005-0000-0000-00004F170000}"/>
    <cellStyle name="Note 14" xfId="4938" xr:uid="{00000000-0005-0000-0000-000050170000}"/>
    <cellStyle name="Note 14 2" xfId="6267" xr:uid="{00000000-0005-0000-0000-000051170000}"/>
    <cellStyle name="Note 15" xfId="4939" xr:uid="{00000000-0005-0000-0000-000052170000}"/>
    <cellStyle name="Note 15 2" xfId="6268" xr:uid="{00000000-0005-0000-0000-000053170000}"/>
    <cellStyle name="Note 16" xfId="4940" xr:uid="{00000000-0005-0000-0000-000054170000}"/>
    <cellStyle name="Note 16 2" xfId="6269" xr:uid="{00000000-0005-0000-0000-000055170000}"/>
    <cellStyle name="Note 2" xfId="4941" xr:uid="{00000000-0005-0000-0000-000056170000}"/>
    <cellStyle name="Note 2 10" xfId="4942" xr:uid="{00000000-0005-0000-0000-000057170000}"/>
    <cellStyle name="Note 2 10 2" xfId="6271" xr:uid="{00000000-0005-0000-0000-000058170000}"/>
    <cellStyle name="Note 2 11" xfId="4943" xr:uid="{00000000-0005-0000-0000-000059170000}"/>
    <cellStyle name="Note 2 11 2" xfId="6272" xr:uid="{00000000-0005-0000-0000-00005A170000}"/>
    <cellStyle name="Note 2 12" xfId="4944" xr:uid="{00000000-0005-0000-0000-00005B170000}"/>
    <cellStyle name="Note 2 12 2" xfId="6273" xr:uid="{00000000-0005-0000-0000-00005C170000}"/>
    <cellStyle name="Note 2 13" xfId="4945" xr:uid="{00000000-0005-0000-0000-00005D170000}"/>
    <cellStyle name="Note 2 13 2" xfId="6274" xr:uid="{00000000-0005-0000-0000-00005E170000}"/>
    <cellStyle name="Note 2 14" xfId="4946" xr:uid="{00000000-0005-0000-0000-00005F170000}"/>
    <cellStyle name="Note 2 14 2" xfId="6275" xr:uid="{00000000-0005-0000-0000-000060170000}"/>
    <cellStyle name="Note 2 15" xfId="4947" xr:uid="{00000000-0005-0000-0000-000061170000}"/>
    <cellStyle name="Note 2 15 2" xfId="6276" xr:uid="{00000000-0005-0000-0000-000062170000}"/>
    <cellStyle name="Note 2 16" xfId="4948" xr:uid="{00000000-0005-0000-0000-000063170000}"/>
    <cellStyle name="Note 2 16 2" xfId="6277" xr:uid="{00000000-0005-0000-0000-000064170000}"/>
    <cellStyle name="Note 2 17" xfId="6270" xr:uid="{00000000-0005-0000-0000-000065170000}"/>
    <cellStyle name="Note 2 2" xfId="4949" xr:uid="{00000000-0005-0000-0000-000066170000}"/>
    <cellStyle name="Note 2 2 10" xfId="4950" xr:uid="{00000000-0005-0000-0000-000067170000}"/>
    <cellStyle name="Note 2 2 10 2" xfId="6279" xr:uid="{00000000-0005-0000-0000-000068170000}"/>
    <cellStyle name="Note 2 2 11" xfId="6278" xr:uid="{00000000-0005-0000-0000-000069170000}"/>
    <cellStyle name="Note 2 2 2" xfId="4951" xr:uid="{00000000-0005-0000-0000-00006A170000}"/>
    <cellStyle name="Note 2 2 2 2" xfId="4952" xr:uid="{00000000-0005-0000-0000-00006B170000}"/>
    <cellStyle name="Note 2 2 2 2 2" xfId="6281" xr:uid="{00000000-0005-0000-0000-00006C170000}"/>
    <cellStyle name="Note 2 2 2 3" xfId="6280" xr:uid="{00000000-0005-0000-0000-00006D170000}"/>
    <cellStyle name="Note 2 2 3" xfId="4953" xr:uid="{00000000-0005-0000-0000-00006E170000}"/>
    <cellStyle name="Note 2 2 3 2" xfId="6282" xr:uid="{00000000-0005-0000-0000-00006F170000}"/>
    <cellStyle name="Note 2 2 4" xfId="4954" xr:uid="{00000000-0005-0000-0000-000070170000}"/>
    <cellStyle name="Note 2 2 4 2" xfId="6283" xr:uid="{00000000-0005-0000-0000-000071170000}"/>
    <cellStyle name="Note 2 2 5" xfId="4955" xr:uid="{00000000-0005-0000-0000-000072170000}"/>
    <cellStyle name="Note 2 2 5 2" xfId="6284" xr:uid="{00000000-0005-0000-0000-000073170000}"/>
    <cellStyle name="Note 2 2 6" xfId="4956" xr:uid="{00000000-0005-0000-0000-000074170000}"/>
    <cellStyle name="Note 2 2 6 2" xfId="6285" xr:uid="{00000000-0005-0000-0000-000075170000}"/>
    <cellStyle name="Note 2 2 7" xfId="4957" xr:uid="{00000000-0005-0000-0000-000076170000}"/>
    <cellStyle name="Note 2 2 7 2" xfId="6286" xr:uid="{00000000-0005-0000-0000-000077170000}"/>
    <cellStyle name="Note 2 2 8" xfId="4958" xr:uid="{00000000-0005-0000-0000-000078170000}"/>
    <cellStyle name="Note 2 2 8 2" xfId="6287" xr:uid="{00000000-0005-0000-0000-000079170000}"/>
    <cellStyle name="Note 2 2 9" xfId="4959" xr:uid="{00000000-0005-0000-0000-00007A170000}"/>
    <cellStyle name="Note 2 2 9 2" xfId="6288" xr:uid="{00000000-0005-0000-0000-00007B170000}"/>
    <cellStyle name="Note 2 3" xfId="4960" xr:uid="{00000000-0005-0000-0000-00007C170000}"/>
    <cellStyle name="Note 2 3 2" xfId="4961" xr:uid="{00000000-0005-0000-0000-00007D170000}"/>
    <cellStyle name="Note 2 3 2 2" xfId="6290" xr:uid="{00000000-0005-0000-0000-00007E170000}"/>
    <cellStyle name="Note 2 3 3" xfId="6289" xr:uid="{00000000-0005-0000-0000-00007F170000}"/>
    <cellStyle name="Note 2 4" xfId="4962" xr:uid="{00000000-0005-0000-0000-000080170000}"/>
    <cellStyle name="Note 2 4 2" xfId="4963" xr:uid="{00000000-0005-0000-0000-000081170000}"/>
    <cellStyle name="Note 2 4 2 2" xfId="6292" xr:uid="{00000000-0005-0000-0000-000082170000}"/>
    <cellStyle name="Note 2 4 3" xfId="6291" xr:uid="{00000000-0005-0000-0000-000083170000}"/>
    <cellStyle name="Note 2 5" xfId="4964" xr:uid="{00000000-0005-0000-0000-000084170000}"/>
    <cellStyle name="Note 2 5 2" xfId="6293" xr:uid="{00000000-0005-0000-0000-000085170000}"/>
    <cellStyle name="Note 2 6" xfId="4965" xr:uid="{00000000-0005-0000-0000-000086170000}"/>
    <cellStyle name="Note 2 6 2" xfId="6294" xr:uid="{00000000-0005-0000-0000-000087170000}"/>
    <cellStyle name="Note 2 7" xfId="4966" xr:uid="{00000000-0005-0000-0000-000088170000}"/>
    <cellStyle name="Note 2 7 2" xfId="6295" xr:uid="{00000000-0005-0000-0000-000089170000}"/>
    <cellStyle name="Note 2 8" xfId="4967" xr:uid="{00000000-0005-0000-0000-00008A170000}"/>
    <cellStyle name="Note 2 8 2" xfId="6296" xr:uid="{00000000-0005-0000-0000-00008B170000}"/>
    <cellStyle name="Note 2 9" xfId="4968" xr:uid="{00000000-0005-0000-0000-00008C170000}"/>
    <cellStyle name="Note 2 9 2" xfId="6297" xr:uid="{00000000-0005-0000-0000-00008D170000}"/>
    <cellStyle name="Note 3" xfId="4969" xr:uid="{00000000-0005-0000-0000-00008E170000}"/>
    <cellStyle name="Note 3 10" xfId="4970" xr:uid="{00000000-0005-0000-0000-00008F170000}"/>
    <cellStyle name="Note 3 10 2" xfId="6299" xr:uid="{00000000-0005-0000-0000-000090170000}"/>
    <cellStyle name="Note 3 11" xfId="6298" xr:uid="{00000000-0005-0000-0000-000091170000}"/>
    <cellStyle name="Note 3 2" xfId="4971" xr:uid="{00000000-0005-0000-0000-000092170000}"/>
    <cellStyle name="Note 3 2 2" xfId="6300" xr:uid="{00000000-0005-0000-0000-000093170000}"/>
    <cellStyle name="Note 3 3" xfId="4972" xr:uid="{00000000-0005-0000-0000-000094170000}"/>
    <cellStyle name="Note 3 3 2" xfId="6301" xr:uid="{00000000-0005-0000-0000-000095170000}"/>
    <cellStyle name="Note 3 4" xfId="4973" xr:uid="{00000000-0005-0000-0000-000096170000}"/>
    <cellStyle name="Note 3 4 2" xfId="6302" xr:uid="{00000000-0005-0000-0000-000097170000}"/>
    <cellStyle name="Note 3 5" xfId="4974" xr:uid="{00000000-0005-0000-0000-000098170000}"/>
    <cellStyle name="Note 3 5 2" xfId="6303" xr:uid="{00000000-0005-0000-0000-000099170000}"/>
    <cellStyle name="Note 3 6" xfId="4975" xr:uid="{00000000-0005-0000-0000-00009A170000}"/>
    <cellStyle name="Note 3 6 2" xfId="6304" xr:uid="{00000000-0005-0000-0000-00009B170000}"/>
    <cellStyle name="Note 3 7" xfId="4976" xr:uid="{00000000-0005-0000-0000-00009C170000}"/>
    <cellStyle name="Note 3 7 2" xfId="6305" xr:uid="{00000000-0005-0000-0000-00009D170000}"/>
    <cellStyle name="Note 3 8" xfId="4977" xr:uid="{00000000-0005-0000-0000-00009E170000}"/>
    <cellStyle name="Note 3 8 2" xfId="6306" xr:uid="{00000000-0005-0000-0000-00009F170000}"/>
    <cellStyle name="Note 3 9" xfId="4978" xr:uid="{00000000-0005-0000-0000-0000A0170000}"/>
    <cellStyle name="Note 3 9 2" xfId="6307" xr:uid="{00000000-0005-0000-0000-0000A1170000}"/>
    <cellStyle name="Note 4 10" xfId="4979" xr:uid="{00000000-0005-0000-0000-0000A2170000}"/>
    <cellStyle name="Note 4 10 2" xfId="6308" xr:uid="{00000000-0005-0000-0000-0000A3170000}"/>
    <cellStyle name="Note 4 11" xfId="4980" xr:uid="{00000000-0005-0000-0000-0000A4170000}"/>
    <cellStyle name="Note 4 11 2" xfId="6309" xr:uid="{00000000-0005-0000-0000-0000A5170000}"/>
    <cellStyle name="Note 4 12" xfId="4981" xr:uid="{00000000-0005-0000-0000-0000A6170000}"/>
    <cellStyle name="Note 4 12 2" xfId="6310" xr:uid="{00000000-0005-0000-0000-0000A7170000}"/>
    <cellStyle name="Note 4 2" xfId="4982" xr:uid="{00000000-0005-0000-0000-0000A8170000}"/>
    <cellStyle name="Note 4 2 2" xfId="6311" xr:uid="{00000000-0005-0000-0000-0000A9170000}"/>
    <cellStyle name="Note 4 3" xfId="4983" xr:uid="{00000000-0005-0000-0000-0000AA170000}"/>
    <cellStyle name="Note 4 3 2" xfId="6312" xr:uid="{00000000-0005-0000-0000-0000AB170000}"/>
    <cellStyle name="Note 4 4" xfId="4984" xr:uid="{00000000-0005-0000-0000-0000AC170000}"/>
    <cellStyle name="Note 4 4 2" xfId="6313" xr:uid="{00000000-0005-0000-0000-0000AD170000}"/>
    <cellStyle name="Note 4 5" xfId="4985" xr:uid="{00000000-0005-0000-0000-0000AE170000}"/>
    <cellStyle name="Note 4 5 2" xfId="6314" xr:uid="{00000000-0005-0000-0000-0000AF170000}"/>
    <cellStyle name="Note 4 6" xfId="4986" xr:uid="{00000000-0005-0000-0000-0000B0170000}"/>
    <cellStyle name="Note 4 6 2" xfId="6315" xr:uid="{00000000-0005-0000-0000-0000B1170000}"/>
    <cellStyle name="Note 4 7" xfId="4987" xr:uid="{00000000-0005-0000-0000-0000B2170000}"/>
    <cellStyle name="Note 4 7 2" xfId="6316" xr:uid="{00000000-0005-0000-0000-0000B3170000}"/>
    <cellStyle name="Note 4 8" xfId="4988" xr:uid="{00000000-0005-0000-0000-0000B4170000}"/>
    <cellStyle name="Note 4 8 2" xfId="6317" xr:uid="{00000000-0005-0000-0000-0000B5170000}"/>
    <cellStyle name="Note 4 9" xfId="4989" xr:uid="{00000000-0005-0000-0000-0000B6170000}"/>
    <cellStyle name="Note 4 9 2" xfId="6318" xr:uid="{00000000-0005-0000-0000-0000B7170000}"/>
    <cellStyle name="Note 5" xfId="4990" xr:uid="{00000000-0005-0000-0000-0000B8170000}"/>
    <cellStyle name="Note 5 10" xfId="4991" xr:uid="{00000000-0005-0000-0000-0000B9170000}"/>
    <cellStyle name="Note 5 10 2" xfId="6320" xr:uid="{00000000-0005-0000-0000-0000BA170000}"/>
    <cellStyle name="Note 5 11" xfId="6319" xr:uid="{00000000-0005-0000-0000-0000BB170000}"/>
    <cellStyle name="Note 5 2" xfId="4992" xr:uid="{00000000-0005-0000-0000-0000BC170000}"/>
    <cellStyle name="Note 5 2 2" xfId="6321" xr:uid="{00000000-0005-0000-0000-0000BD170000}"/>
    <cellStyle name="Note 5 3" xfId="4993" xr:uid="{00000000-0005-0000-0000-0000BE170000}"/>
    <cellStyle name="Note 5 3 2" xfId="6322" xr:uid="{00000000-0005-0000-0000-0000BF170000}"/>
    <cellStyle name="Note 5 4" xfId="4994" xr:uid="{00000000-0005-0000-0000-0000C0170000}"/>
    <cellStyle name="Note 5 4 2" xfId="6323" xr:uid="{00000000-0005-0000-0000-0000C1170000}"/>
    <cellStyle name="Note 5 5" xfId="4995" xr:uid="{00000000-0005-0000-0000-0000C2170000}"/>
    <cellStyle name="Note 5 5 2" xfId="6324" xr:uid="{00000000-0005-0000-0000-0000C3170000}"/>
    <cellStyle name="Note 5 6" xfId="4996" xr:uid="{00000000-0005-0000-0000-0000C4170000}"/>
    <cellStyle name="Note 5 6 2" xfId="6325" xr:uid="{00000000-0005-0000-0000-0000C5170000}"/>
    <cellStyle name="Note 5 7" xfId="4997" xr:uid="{00000000-0005-0000-0000-0000C6170000}"/>
    <cellStyle name="Note 5 7 2" xfId="6326" xr:uid="{00000000-0005-0000-0000-0000C7170000}"/>
    <cellStyle name="Note 5 8" xfId="4998" xr:uid="{00000000-0005-0000-0000-0000C8170000}"/>
    <cellStyle name="Note 5 8 2" xfId="6327" xr:uid="{00000000-0005-0000-0000-0000C9170000}"/>
    <cellStyle name="Note 5 9" xfId="4999" xr:uid="{00000000-0005-0000-0000-0000CA170000}"/>
    <cellStyle name="Note 5 9 2" xfId="6328" xr:uid="{00000000-0005-0000-0000-0000CB170000}"/>
    <cellStyle name="Note 6" xfId="5000" xr:uid="{00000000-0005-0000-0000-0000CC170000}"/>
    <cellStyle name="Note 6 10" xfId="5001" xr:uid="{00000000-0005-0000-0000-0000CD170000}"/>
    <cellStyle name="Note 6 10 2" xfId="6330" xr:uid="{00000000-0005-0000-0000-0000CE170000}"/>
    <cellStyle name="Note 6 11" xfId="6329" xr:uid="{00000000-0005-0000-0000-0000CF170000}"/>
    <cellStyle name="Note 6 2" xfId="5002" xr:uid="{00000000-0005-0000-0000-0000D0170000}"/>
    <cellStyle name="Note 6 2 2" xfId="6331" xr:uid="{00000000-0005-0000-0000-0000D1170000}"/>
    <cellStyle name="Note 6 3" xfId="5003" xr:uid="{00000000-0005-0000-0000-0000D2170000}"/>
    <cellStyle name="Note 6 3 2" xfId="6332" xr:uid="{00000000-0005-0000-0000-0000D3170000}"/>
    <cellStyle name="Note 6 4" xfId="5004" xr:uid="{00000000-0005-0000-0000-0000D4170000}"/>
    <cellStyle name="Note 6 4 2" xfId="6333" xr:uid="{00000000-0005-0000-0000-0000D5170000}"/>
    <cellStyle name="Note 6 5" xfId="5005" xr:uid="{00000000-0005-0000-0000-0000D6170000}"/>
    <cellStyle name="Note 6 5 2" xfId="6334" xr:uid="{00000000-0005-0000-0000-0000D7170000}"/>
    <cellStyle name="Note 6 6" xfId="5006" xr:uid="{00000000-0005-0000-0000-0000D8170000}"/>
    <cellStyle name="Note 6 6 2" xfId="6335" xr:uid="{00000000-0005-0000-0000-0000D9170000}"/>
    <cellStyle name="Note 6 7" xfId="5007" xr:uid="{00000000-0005-0000-0000-0000DA170000}"/>
    <cellStyle name="Note 6 7 2" xfId="6336" xr:uid="{00000000-0005-0000-0000-0000DB170000}"/>
    <cellStyle name="Note 6 8" xfId="5008" xr:uid="{00000000-0005-0000-0000-0000DC170000}"/>
    <cellStyle name="Note 6 8 2" xfId="6337" xr:uid="{00000000-0005-0000-0000-0000DD170000}"/>
    <cellStyle name="Note 6 9" xfId="5009" xr:uid="{00000000-0005-0000-0000-0000DE170000}"/>
    <cellStyle name="Note 6 9 2" xfId="6338" xr:uid="{00000000-0005-0000-0000-0000DF170000}"/>
    <cellStyle name="Note 7" xfId="5010" xr:uid="{00000000-0005-0000-0000-0000E0170000}"/>
    <cellStyle name="Note 7 10" xfId="5011" xr:uid="{00000000-0005-0000-0000-0000E1170000}"/>
    <cellStyle name="Note 7 10 2" xfId="6340" xr:uid="{00000000-0005-0000-0000-0000E2170000}"/>
    <cellStyle name="Note 7 11" xfId="6339" xr:uid="{00000000-0005-0000-0000-0000E3170000}"/>
    <cellStyle name="Note 7 2" xfId="5012" xr:uid="{00000000-0005-0000-0000-0000E4170000}"/>
    <cellStyle name="Note 7 2 2" xfId="6341" xr:uid="{00000000-0005-0000-0000-0000E5170000}"/>
    <cellStyle name="Note 7 3" xfId="5013" xr:uid="{00000000-0005-0000-0000-0000E6170000}"/>
    <cellStyle name="Note 7 3 2" xfId="6342" xr:uid="{00000000-0005-0000-0000-0000E7170000}"/>
    <cellStyle name="Note 7 4" xfId="5014" xr:uid="{00000000-0005-0000-0000-0000E8170000}"/>
    <cellStyle name="Note 7 4 2" xfId="6343" xr:uid="{00000000-0005-0000-0000-0000E9170000}"/>
    <cellStyle name="Note 7 5" xfId="5015" xr:uid="{00000000-0005-0000-0000-0000EA170000}"/>
    <cellStyle name="Note 7 5 2" xfId="6344" xr:uid="{00000000-0005-0000-0000-0000EB170000}"/>
    <cellStyle name="Note 7 6" xfId="5016" xr:uid="{00000000-0005-0000-0000-0000EC170000}"/>
    <cellStyle name="Note 7 6 2" xfId="6345" xr:uid="{00000000-0005-0000-0000-0000ED170000}"/>
    <cellStyle name="Note 7 7" xfId="5017" xr:uid="{00000000-0005-0000-0000-0000EE170000}"/>
    <cellStyle name="Note 7 7 2" xfId="6346" xr:uid="{00000000-0005-0000-0000-0000EF170000}"/>
    <cellStyle name="Note 7 8" xfId="5018" xr:uid="{00000000-0005-0000-0000-0000F0170000}"/>
    <cellStyle name="Note 7 8 2" xfId="6347" xr:uid="{00000000-0005-0000-0000-0000F1170000}"/>
    <cellStyle name="Note 7 9" xfId="5019" xr:uid="{00000000-0005-0000-0000-0000F2170000}"/>
    <cellStyle name="Note 7 9 2" xfId="6348" xr:uid="{00000000-0005-0000-0000-0000F3170000}"/>
    <cellStyle name="Note 8 2" xfId="5020" xr:uid="{00000000-0005-0000-0000-0000F4170000}"/>
    <cellStyle name="Note 8 2 2" xfId="6349" xr:uid="{00000000-0005-0000-0000-0000F5170000}"/>
    <cellStyle name="Note 9 2" xfId="5021" xr:uid="{00000000-0005-0000-0000-0000F6170000}"/>
    <cellStyle name="Note 9 2 2" xfId="6350" xr:uid="{00000000-0005-0000-0000-0000F7170000}"/>
    <cellStyle name="Output 10" xfId="5022" xr:uid="{00000000-0005-0000-0000-0000F8170000}"/>
    <cellStyle name="Output 10 2" xfId="6351" xr:uid="{00000000-0005-0000-0000-0000F9170000}"/>
    <cellStyle name="Output 11" xfId="5023" xr:uid="{00000000-0005-0000-0000-0000FA170000}"/>
    <cellStyle name="Output 11 2" xfId="6352" xr:uid="{00000000-0005-0000-0000-0000FB170000}"/>
    <cellStyle name="Output 12" xfId="5024" xr:uid="{00000000-0005-0000-0000-0000FC170000}"/>
    <cellStyle name="Output 12 2" xfId="6353" xr:uid="{00000000-0005-0000-0000-0000FD170000}"/>
    <cellStyle name="Output 13" xfId="5025" xr:uid="{00000000-0005-0000-0000-0000FE170000}"/>
    <cellStyle name="Output 13 2" xfId="6354" xr:uid="{00000000-0005-0000-0000-0000FF170000}"/>
    <cellStyle name="Output 14" xfId="5026" xr:uid="{00000000-0005-0000-0000-000000180000}"/>
    <cellStyle name="Output 14 2" xfId="6355" xr:uid="{00000000-0005-0000-0000-000001180000}"/>
    <cellStyle name="Output 2" xfId="5027" xr:uid="{00000000-0005-0000-0000-000002180000}"/>
    <cellStyle name="Output 2 10" xfId="5028" xr:uid="{00000000-0005-0000-0000-000003180000}"/>
    <cellStyle name="Output 2 10 2" xfId="6357" xr:uid="{00000000-0005-0000-0000-000004180000}"/>
    <cellStyle name="Output 2 11" xfId="5029" xr:uid="{00000000-0005-0000-0000-000005180000}"/>
    <cellStyle name="Output 2 11 2" xfId="6358" xr:uid="{00000000-0005-0000-0000-000006180000}"/>
    <cellStyle name="Output 2 12" xfId="5030" xr:uid="{00000000-0005-0000-0000-000007180000}"/>
    <cellStyle name="Output 2 12 2" xfId="6359" xr:uid="{00000000-0005-0000-0000-000008180000}"/>
    <cellStyle name="Output 2 13" xfId="5031" xr:uid="{00000000-0005-0000-0000-000009180000}"/>
    <cellStyle name="Output 2 13 2" xfId="6360" xr:uid="{00000000-0005-0000-0000-00000A180000}"/>
    <cellStyle name="Output 2 14" xfId="6356" xr:uid="{00000000-0005-0000-0000-00000B180000}"/>
    <cellStyle name="Output 2 2" xfId="5032" xr:uid="{00000000-0005-0000-0000-00000C180000}"/>
    <cellStyle name="Output 2 2 10" xfId="5033" xr:uid="{00000000-0005-0000-0000-00000D180000}"/>
    <cellStyle name="Output 2 2 10 2" xfId="6362" xr:uid="{00000000-0005-0000-0000-00000E180000}"/>
    <cellStyle name="Output 2 2 11" xfId="6361" xr:uid="{00000000-0005-0000-0000-00000F180000}"/>
    <cellStyle name="Output 2 2 2" xfId="5034" xr:uid="{00000000-0005-0000-0000-000010180000}"/>
    <cellStyle name="Output 2 2 2 2" xfId="5035" xr:uid="{00000000-0005-0000-0000-000011180000}"/>
    <cellStyle name="Output 2 2 2 2 2" xfId="6364" xr:uid="{00000000-0005-0000-0000-000012180000}"/>
    <cellStyle name="Output 2 2 2 3" xfId="6363" xr:uid="{00000000-0005-0000-0000-000013180000}"/>
    <cellStyle name="Output 2 2 3" xfId="5036" xr:uid="{00000000-0005-0000-0000-000014180000}"/>
    <cellStyle name="Output 2 2 3 2" xfId="6365" xr:uid="{00000000-0005-0000-0000-000015180000}"/>
    <cellStyle name="Output 2 2 4" xfId="5037" xr:uid="{00000000-0005-0000-0000-000016180000}"/>
    <cellStyle name="Output 2 2 4 2" xfId="6366" xr:uid="{00000000-0005-0000-0000-000017180000}"/>
    <cellStyle name="Output 2 2 5" xfId="5038" xr:uid="{00000000-0005-0000-0000-000018180000}"/>
    <cellStyle name="Output 2 2 5 2" xfId="6367" xr:uid="{00000000-0005-0000-0000-000019180000}"/>
    <cellStyle name="Output 2 2 6" xfId="5039" xr:uid="{00000000-0005-0000-0000-00001A180000}"/>
    <cellStyle name="Output 2 2 6 2" xfId="6368" xr:uid="{00000000-0005-0000-0000-00001B180000}"/>
    <cellStyle name="Output 2 2 7" xfId="5040" xr:uid="{00000000-0005-0000-0000-00001C180000}"/>
    <cellStyle name="Output 2 2 7 2" xfId="6369" xr:uid="{00000000-0005-0000-0000-00001D180000}"/>
    <cellStyle name="Output 2 2 8" xfId="5041" xr:uid="{00000000-0005-0000-0000-00001E180000}"/>
    <cellStyle name="Output 2 2 8 2" xfId="6370" xr:uid="{00000000-0005-0000-0000-00001F180000}"/>
    <cellStyle name="Output 2 2 9" xfId="5042" xr:uid="{00000000-0005-0000-0000-000020180000}"/>
    <cellStyle name="Output 2 2 9 2" xfId="6371" xr:uid="{00000000-0005-0000-0000-000021180000}"/>
    <cellStyle name="Output 2 3" xfId="5043" xr:uid="{00000000-0005-0000-0000-000022180000}"/>
    <cellStyle name="Output 2 3 2" xfId="5044" xr:uid="{00000000-0005-0000-0000-000023180000}"/>
    <cellStyle name="Output 2 3 2 2" xfId="6373" xr:uid="{00000000-0005-0000-0000-000024180000}"/>
    <cellStyle name="Output 2 3 3" xfId="6372" xr:uid="{00000000-0005-0000-0000-000025180000}"/>
    <cellStyle name="Output 2 4" xfId="5045" xr:uid="{00000000-0005-0000-0000-000026180000}"/>
    <cellStyle name="Output 2 4 2" xfId="5046" xr:uid="{00000000-0005-0000-0000-000027180000}"/>
    <cellStyle name="Output 2 4 2 2" xfId="6375" xr:uid="{00000000-0005-0000-0000-000028180000}"/>
    <cellStyle name="Output 2 4 3" xfId="6374" xr:uid="{00000000-0005-0000-0000-000029180000}"/>
    <cellStyle name="Output 2 5" xfId="5047" xr:uid="{00000000-0005-0000-0000-00002A180000}"/>
    <cellStyle name="Output 2 5 2" xfId="6376" xr:uid="{00000000-0005-0000-0000-00002B180000}"/>
    <cellStyle name="Output 2 6" xfId="5048" xr:uid="{00000000-0005-0000-0000-00002C180000}"/>
    <cellStyle name="Output 2 6 2" xfId="6377" xr:uid="{00000000-0005-0000-0000-00002D180000}"/>
    <cellStyle name="Output 2 7" xfId="5049" xr:uid="{00000000-0005-0000-0000-00002E180000}"/>
    <cellStyle name="Output 2 7 2" xfId="6378" xr:uid="{00000000-0005-0000-0000-00002F180000}"/>
    <cellStyle name="Output 2 8" xfId="5050" xr:uid="{00000000-0005-0000-0000-000030180000}"/>
    <cellStyle name="Output 2 8 2" xfId="6379" xr:uid="{00000000-0005-0000-0000-000031180000}"/>
    <cellStyle name="Output 2 9" xfId="5051" xr:uid="{00000000-0005-0000-0000-000032180000}"/>
    <cellStyle name="Output 2 9 2" xfId="6380" xr:uid="{00000000-0005-0000-0000-000033180000}"/>
    <cellStyle name="Output 3" xfId="5052" xr:uid="{00000000-0005-0000-0000-000034180000}"/>
    <cellStyle name="Output 3 10" xfId="5053" xr:uid="{00000000-0005-0000-0000-000035180000}"/>
    <cellStyle name="Output 3 10 2" xfId="6382" xr:uid="{00000000-0005-0000-0000-000036180000}"/>
    <cellStyle name="Output 3 11" xfId="6381" xr:uid="{00000000-0005-0000-0000-000037180000}"/>
    <cellStyle name="Output 3 2" xfId="5054" xr:uid="{00000000-0005-0000-0000-000038180000}"/>
    <cellStyle name="Output 3 2 2" xfId="6383" xr:uid="{00000000-0005-0000-0000-000039180000}"/>
    <cellStyle name="Output 3 3" xfId="5055" xr:uid="{00000000-0005-0000-0000-00003A180000}"/>
    <cellStyle name="Output 3 3 2" xfId="6384" xr:uid="{00000000-0005-0000-0000-00003B180000}"/>
    <cellStyle name="Output 3 4" xfId="5056" xr:uid="{00000000-0005-0000-0000-00003C180000}"/>
    <cellStyle name="Output 3 4 2" xfId="6385" xr:uid="{00000000-0005-0000-0000-00003D180000}"/>
    <cellStyle name="Output 3 5" xfId="5057" xr:uid="{00000000-0005-0000-0000-00003E180000}"/>
    <cellStyle name="Output 3 5 2" xfId="6386" xr:uid="{00000000-0005-0000-0000-00003F180000}"/>
    <cellStyle name="Output 3 6" xfId="5058" xr:uid="{00000000-0005-0000-0000-000040180000}"/>
    <cellStyle name="Output 3 6 2" xfId="6387" xr:uid="{00000000-0005-0000-0000-000041180000}"/>
    <cellStyle name="Output 3 7" xfId="5059" xr:uid="{00000000-0005-0000-0000-000042180000}"/>
    <cellStyle name="Output 3 7 2" xfId="6388" xr:uid="{00000000-0005-0000-0000-000043180000}"/>
    <cellStyle name="Output 3 8" xfId="5060" xr:uid="{00000000-0005-0000-0000-000044180000}"/>
    <cellStyle name="Output 3 8 2" xfId="6389" xr:uid="{00000000-0005-0000-0000-000045180000}"/>
    <cellStyle name="Output 3 9" xfId="5061" xr:uid="{00000000-0005-0000-0000-000046180000}"/>
    <cellStyle name="Output 3 9 2" xfId="6390" xr:uid="{00000000-0005-0000-0000-000047180000}"/>
    <cellStyle name="Output 4" xfId="5062" xr:uid="{00000000-0005-0000-0000-000048180000}"/>
    <cellStyle name="Output 4 10" xfId="5063" xr:uid="{00000000-0005-0000-0000-000049180000}"/>
    <cellStyle name="Output 4 10 2" xfId="6392" xr:uid="{00000000-0005-0000-0000-00004A180000}"/>
    <cellStyle name="Output 4 11" xfId="6391" xr:uid="{00000000-0005-0000-0000-00004B180000}"/>
    <cellStyle name="Output 4 2" xfId="5064" xr:uid="{00000000-0005-0000-0000-00004C180000}"/>
    <cellStyle name="Output 4 2 2" xfId="6393" xr:uid="{00000000-0005-0000-0000-00004D180000}"/>
    <cellStyle name="Output 4 3" xfId="5065" xr:uid="{00000000-0005-0000-0000-00004E180000}"/>
    <cellStyle name="Output 4 3 2" xfId="6394" xr:uid="{00000000-0005-0000-0000-00004F180000}"/>
    <cellStyle name="Output 4 4" xfId="5066" xr:uid="{00000000-0005-0000-0000-000050180000}"/>
    <cellStyle name="Output 4 4 2" xfId="6395" xr:uid="{00000000-0005-0000-0000-000051180000}"/>
    <cellStyle name="Output 4 5" xfId="5067" xr:uid="{00000000-0005-0000-0000-000052180000}"/>
    <cellStyle name="Output 4 5 2" xfId="6396" xr:uid="{00000000-0005-0000-0000-000053180000}"/>
    <cellStyle name="Output 4 6" xfId="5068" xr:uid="{00000000-0005-0000-0000-000054180000}"/>
    <cellStyle name="Output 4 6 2" xfId="6397" xr:uid="{00000000-0005-0000-0000-000055180000}"/>
    <cellStyle name="Output 4 7" xfId="5069" xr:uid="{00000000-0005-0000-0000-000056180000}"/>
    <cellStyle name="Output 4 7 2" xfId="6398" xr:uid="{00000000-0005-0000-0000-000057180000}"/>
    <cellStyle name="Output 4 8" xfId="5070" xr:uid="{00000000-0005-0000-0000-000058180000}"/>
    <cellStyle name="Output 4 8 2" xfId="6399" xr:uid="{00000000-0005-0000-0000-000059180000}"/>
    <cellStyle name="Output 4 9" xfId="5071" xr:uid="{00000000-0005-0000-0000-00005A180000}"/>
    <cellStyle name="Output 4 9 2" xfId="6400" xr:uid="{00000000-0005-0000-0000-00005B180000}"/>
    <cellStyle name="Output 5" xfId="5072" xr:uid="{00000000-0005-0000-0000-00005C180000}"/>
    <cellStyle name="Output 5 10" xfId="5073" xr:uid="{00000000-0005-0000-0000-00005D180000}"/>
    <cellStyle name="Output 5 10 2" xfId="6402" xr:uid="{00000000-0005-0000-0000-00005E180000}"/>
    <cellStyle name="Output 5 11" xfId="6401" xr:uid="{00000000-0005-0000-0000-00005F180000}"/>
    <cellStyle name="Output 5 2" xfId="5074" xr:uid="{00000000-0005-0000-0000-000060180000}"/>
    <cellStyle name="Output 5 2 2" xfId="6403" xr:uid="{00000000-0005-0000-0000-000061180000}"/>
    <cellStyle name="Output 5 3" xfId="5075" xr:uid="{00000000-0005-0000-0000-000062180000}"/>
    <cellStyle name="Output 5 3 2" xfId="6404" xr:uid="{00000000-0005-0000-0000-000063180000}"/>
    <cellStyle name="Output 5 4" xfId="5076" xr:uid="{00000000-0005-0000-0000-000064180000}"/>
    <cellStyle name="Output 5 4 2" xfId="6405" xr:uid="{00000000-0005-0000-0000-000065180000}"/>
    <cellStyle name="Output 5 5" xfId="5077" xr:uid="{00000000-0005-0000-0000-000066180000}"/>
    <cellStyle name="Output 5 5 2" xfId="6406" xr:uid="{00000000-0005-0000-0000-000067180000}"/>
    <cellStyle name="Output 5 6" xfId="5078" xr:uid="{00000000-0005-0000-0000-000068180000}"/>
    <cellStyle name="Output 5 6 2" xfId="6407" xr:uid="{00000000-0005-0000-0000-000069180000}"/>
    <cellStyle name="Output 5 7" xfId="5079" xr:uid="{00000000-0005-0000-0000-00006A180000}"/>
    <cellStyle name="Output 5 7 2" xfId="6408" xr:uid="{00000000-0005-0000-0000-00006B180000}"/>
    <cellStyle name="Output 5 8" xfId="5080" xr:uid="{00000000-0005-0000-0000-00006C180000}"/>
    <cellStyle name="Output 5 8 2" xfId="6409" xr:uid="{00000000-0005-0000-0000-00006D180000}"/>
    <cellStyle name="Output 5 9" xfId="5081" xr:uid="{00000000-0005-0000-0000-00006E180000}"/>
    <cellStyle name="Output 5 9 2" xfId="6410" xr:uid="{00000000-0005-0000-0000-00006F180000}"/>
    <cellStyle name="Output 6 2" xfId="5082" xr:uid="{00000000-0005-0000-0000-000070180000}"/>
    <cellStyle name="Output 6 2 2" xfId="6411" xr:uid="{00000000-0005-0000-0000-000071180000}"/>
    <cellStyle name="Output 7 2" xfId="5083" xr:uid="{00000000-0005-0000-0000-000072180000}"/>
    <cellStyle name="Output 7 2 2" xfId="6412" xr:uid="{00000000-0005-0000-0000-000073180000}"/>
    <cellStyle name="Output 8" xfId="5084" xr:uid="{00000000-0005-0000-0000-000074180000}"/>
    <cellStyle name="Output 8 2" xfId="6413" xr:uid="{00000000-0005-0000-0000-000075180000}"/>
    <cellStyle name="Output 9" xfId="5085" xr:uid="{00000000-0005-0000-0000-000076180000}"/>
    <cellStyle name="Output 9 2" xfId="6414" xr:uid="{00000000-0005-0000-0000-000077180000}"/>
    <cellStyle name="Percent 2 2" xfId="5086" xr:uid="{00000000-0005-0000-0000-000078180000}"/>
    <cellStyle name="Percent 2 2 2" xfId="6415" xr:uid="{00000000-0005-0000-0000-000079180000}"/>
    <cellStyle name="Title" xfId="5087" builtinId="15" customBuiltin="1"/>
    <cellStyle name="Title 10" xfId="5088" xr:uid="{00000000-0005-0000-0000-00007B180000}"/>
    <cellStyle name="Title 10 2" xfId="6417" xr:uid="{00000000-0005-0000-0000-00007C180000}"/>
    <cellStyle name="Title 11" xfId="5089" xr:uid="{00000000-0005-0000-0000-00007D180000}"/>
    <cellStyle name="Title 11 2" xfId="6418" xr:uid="{00000000-0005-0000-0000-00007E180000}"/>
    <cellStyle name="Title 12" xfId="5090" xr:uid="{00000000-0005-0000-0000-00007F180000}"/>
    <cellStyle name="Title 12 2" xfId="6419" xr:uid="{00000000-0005-0000-0000-000080180000}"/>
    <cellStyle name="Title 13" xfId="5091" xr:uid="{00000000-0005-0000-0000-000081180000}"/>
    <cellStyle name="Title 13 2" xfId="6420" xr:uid="{00000000-0005-0000-0000-000082180000}"/>
    <cellStyle name="Title 14" xfId="5092" xr:uid="{00000000-0005-0000-0000-000083180000}"/>
    <cellStyle name="Title 14 2" xfId="6421" xr:uid="{00000000-0005-0000-0000-000084180000}"/>
    <cellStyle name="Title 2" xfId="6416" xr:uid="{00000000-0005-0000-0000-000085180000}"/>
    <cellStyle name="Title 2 10" xfId="5093" xr:uid="{00000000-0005-0000-0000-000086180000}"/>
    <cellStyle name="Title 2 10 2" xfId="6422" xr:uid="{00000000-0005-0000-0000-000087180000}"/>
    <cellStyle name="Title 2 11" xfId="5094" xr:uid="{00000000-0005-0000-0000-000088180000}"/>
    <cellStyle name="Title 2 11 2" xfId="6423" xr:uid="{00000000-0005-0000-0000-000089180000}"/>
    <cellStyle name="Title 2 12" xfId="5095" xr:uid="{00000000-0005-0000-0000-00008A180000}"/>
    <cellStyle name="Title 2 12 2" xfId="6424" xr:uid="{00000000-0005-0000-0000-00008B180000}"/>
    <cellStyle name="Title 2 2" xfId="5096" xr:uid="{00000000-0005-0000-0000-00008C180000}"/>
    <cellStyle name="Title 2 2 10" xfId="5097" xr:uid="{00000000-0005-0000-0000-00008D180000}"/>
    <cellStyle name="Title 2 2 10 2" xfId="6426" xr:uid="{00000000-0005-0000-0000-00008E180000}"/>
    <cellStyle name="Title 2 2 11" xfId="6425" xr:uid="{00000000-0005-0000-0000-00008F180000}"/>
    <cellStyle name="Title 2 2 2" xfId="5098" xr:uid="{00000000-0005-0000-0000-000090180000}"/>
    <cellStyle name="Title 2 2 2 2" xfId="5099" xr:uid="{00000000-0005-0000-0000-000091180000}"/>
    <cellStyle name="Title 2 2 2 2 2" xfId="6428" xr:uid="{00000000-0005-0000-0000-000092180000}"/>
    <cellStyle name="Title 2 2 2 3" xfId="6427" xr:uid="{00000000-0005-0000-0000-000093180000}"/>
    <cellStyle name="Title 2 2 3" xfId="5100" xr:uid="{00000000-0005-0000-0000-000094180000}"/>
    <cellStyle name="Title 2 2 3 2" xfId="6429" xr:uid="{00000000-0005-0000-0000-000095180000}"/>
    <cellStyle name="Title 2 2 4" xfId="5101" xr:uid="{00000000-0005-0000-0000-000096180000}"/>
    <cellStyle name="Title 2 2 4 2" xfId="6430" xr:uid="{00000000-0005-0000-0000-000097180000}"/>
    <cellStyle name="Title 2 2 5" xfId="5102" xr:uid="{00000000-0005-0000-0000-000098180000}"/>
    <cellStyle name="Title 2 2 5 2" xfId="6431" xr:uid="{00000000-0005-0000-0000-000099180000}"/>
    <cellStyle name="Title 2 2 6" xfId="5103" xr:uid="{00000000-0005-0000-0000-00009A180000}"/>
    <cellStyle name="Title 2 2 6 2" xfId="6432" xr:uid="{00000000-0005-0000-0000-00009B180000}"/>
    <cellStyle name="Title 2 2 7" xfId="5104" xr:uid="{00000000-0005-0000-0000-00009C180000}"/>
    <cellStyle name="Title 2 2 7 2" xfId="6433" xr:uid="{00000000-0005-0000-0000-00009D180000}"/>
    <cellStyle name="Title 2 2 8" xfId="5105" xr:uid="{00000000-0005-0000-0000-00009E180000}"/>
    <cellStyle name="Title 2 2 8 2" xfId="6434" xr:uid="{00000000-0005-0000-0000-00009F180000}"/>
    <cellStyle name="Title 2 2 9" xfId="5106" xr:uid="{00000000-0005-0000-0000-0000A0180000}"/>
    <cellStyle name="Title 2 2 9 2" xfId="6435" xr:uid="{00000000-0005-0000-0000-0000A1180000}"/>
    <cellStyle name="Title 2 3" xfId="5107" xr:uid="{00000000-0005-0000-0000-0000A2180000}"/>
    <cellStyle name="Title 2 3 2" xfId="5108" xr:uid="{00000000-0005-0000-0000-0000A3180000}"/>
    <cellStyle name="Title 2 3 2 2" xfId="6437" xr:uid="{00000000-0005-0000-0000-0000A4180000}"/>
    <cellStyle name="Title 2 3 3" xfId="6436" xr:uid="{00000000-0005-0000-0000-0000A5180000}"/>
    <cellStyle name="Title 2 4" xfId="5109" xr:uid="{00000000-0005-0000-0000-0000A6180000}"/>
    <cellStyle name="Title 2 4 2" xfId="5110" xr:uid="{00000000-0005-0000-0000-0000A7180000}"/>
    <cellStyle name="Title 2 4 2 2" xfId="6439" xr:uid="{00000000-0005-0000-0000-0000A8180000}"/>
    <cellStyle name="Title 2 4 3" xfId="6438" xr:uid="{00000000-0005-0000-0000-0000A9180000}"/>
    <cellStyle name="Title 2 5" xfId="5111" xr:uid="{00000000-0005-0000-0000-0000AA180000}"/>
    <cellStyle name="Title 2 5 2" xfId="6440" xr:uid="{00000000-0005-0000-0000-0000AB180000}"/>
    <cellStyle name="Title 2 6" xfId="5112" xr:uid="{00000000-0005-0000-0000-0000AC180000}"/>
    <cellStyle name="Title 2 6 2" xfId="6441" xr:uid="{00000000-0005-0000-0000-0000AD180000}"/>
    <cellStyle name="Title 2 7" xfId="5113" xr:uid="{00000000-0005-0000-0000-0000AE180000}"/>
    <cellStyle name="Title 2 7 2" xfId="6442" xr:uid="{00000000-0005-0000-0000-0000AF180000}"/>
    <cellStyle name="Title 2 8" xfId="5114" xr:uid="{00000000-0005-0000-0000-0000B0180000}"/>
    <cellStyle name="Title 2 8 2" xfId="6443" xr:uid="{00000000-0005-0000-0000-0000B1180000}"/>
    <cellStyle name="Title 2 9" xfId="5115" xr:uid="{00000000-0005-0000-0000-0000B2180000}"/>
    <cellStyle name="Title 2 9 2" xfId="6444" xr:uid="{00000000-0005-0000-0000-0000B3180000}"/>
    <cellStyle name="Title 3" xfId="5116" xr:uid="{00000000-0005-0000-0000-0000B4180000}"/>
    <cellStyle name="Title 3 10" xfId="5117" xr:uid="{00000000-0005-0000-0000-0000B5180000}"/>
    <cellStyle name="Title 3 10 2" xfId="6446" xr:uid="{00000000-0005-0000-0000-0000B6180000}"/>
    <cellStyle name="Title 3 11" xfId="6445" xr:uid="{00000000-0005-0000-0000-0000B7180000}"/>
    <cellStyle name="Title 3 2" xfId="5118" xr:uid="{00000000-0005-0000-0000-0000B8180000}"/>
    <cellStyle name="Title 3 2 2" xfId="6447" xr:uid="{00000000-0005-0000-0000-0000B9180000}"/>
    <cellStyle name="Title 3 3" xfId="5119" xr:uid="{00000000-0005-0000-0000-0000BA180000}"/>
    <cellStyle name="Title 3 3 2" xfId="6448" xr:uid="{00000000-0005-0000-0000-0000BB180000}"/>
    <cellStyle name="Title 3 4" xfId="5120" xr:uid="{00000000-0005-0000-0000-0000BC180000}"/>
    <cellStyle name="Title 3 4 2" xfId="6449" xr:uid="{00000000-0005-0000-0000-0000BD180000}"/>
    <cellStyle name="Title 3 5" xfId="5121" xr:uid="{00000000-0005-0000-0000-0000BE180000}"/>
    <cellStyle name="Title 3 5 2" xfId="6450" xr:uid="{00000000-0005-0000-0000-0000BF180000}"/>
    <cellStyle name="Title 3 6" xfId="5122" xr:uid="{00000000-0005-0000-0000-0000C0180000}"/>
    <cellStyle name="Title 3 6 2" xfId="6451" xr:uid="{00000000-0005-0000-0000-0000C1180000}"/>
    <cellStyle name="Title 3 7" xfId="5123" xr:uid="{00000000-0005-0000-0000-0000C2180000}"/>
    <cellStyle name="Title 3 7 2" xfId="6452" xr:uid="{00000000-0005-0000-0000-0000C3180000}"/>
    <cellStyle name="Title 3 8" xfId="5124" xr:uid="{00000000-0005-0000-0000-0000C4180000}"/>
    <cellStyle name="Title 3 8 2" xfId="6453" xr:uid="{00000000-0005-0000-0000-0000C5180000}"/>
    <cellStyle name="Title 3 9" xfId="5125" xr:uid="{00000000-0005-0000-0000-0000C6180000}"/>
    <cellStyle name="Title 3 9 2" xfId="6454" xr:uid="{00000000-0005-0000-0000-0000C7180000}"/>
    <cellStyle name="Title 4" xfId="5126" xr:uid="{00000000-0005-0000-0000-0000C8180000}"/>
    <cellStyle name="Title 4 10" xfId="5127" xr:uid="{00000000-0005-0000-0000-0000C9180000}"/>
    <cellStyle name="Title 4 10 2" xfId="6456" xr:uid="{00000000-0005-0000-0000-0000CA180000}"/>
    <cellStyle name="Title 4 11" xfId="6455" xr:uid="{00000000-0005-0000-0000-0000CB180000}"/>
    <cellStyle name="Title 4 2" xfId="5128" xr:uid="{00000000-0005-0000-0000-0000CC180000}"/>
    <cellStyle name="Title 4 2 2" xfId="6457" xr:uid="{00000000-0005-0000-0000-0000CD180000}"/>
    <cellStyle name="Title 4 3" xfId="5129" xr:uid="{00000000-0005-0000-0000-0000CE180000}"/>
    <cellStyle name="Title 4 3 2" xfId="6458" xr:uid="{00000000-0005-0000-0000-0000CF180000}"/>
    <cellStyle name="Title 4 4" xfId="5130" xr:uid="{00000000-0005-0000-0000-0000D0180000}"/>
    <cellStyle name="Title 4 4 2" xfId="6459" xr:uid="{00000000-0005-0000-0000-0000D1180000}"/>
    <cellStyle name="Title 4 5" xfId="5131" xr:uid="{00000000-0005-0000-0000-0000D2180000}"/>
    <cellStyle name="Title 4 5 2" xfId="6460" xr:uid="{00000000-0005-0000-0000-0000D3180000}"/>
    <cellStyle name="Title 4 6" xfId="5132" xr:uid="{00000000-0005-0000-0000-0000D4180000}"/>
    <cellStyle name="Title 4 6 2" xfId="6461" xr:uid="{00000000-0005-0000-0000-0000D5180000}"/>
    <cellStyle name="Title 4 7" xfId="5133" xr:uid="{00000000-0005-0000-0000-0000D6180000}"/>
    <cellStyle name="Title 4 7 2" xfId="6462" xr:uid="{00000000-0005-0000-0000-0000D7180000}"/>
    <cellStyle name="Title 4 8" xfId="5134" xr:uid="{00000000-0005-0000-0000-0000D8180000}"/>
    <cellStyle name="Title 4 8 2" xfId="6463" xr:uid="{00000000-0005-0000-0000-0000D9180000}"/>
    <cellStyle name="Title 4 9" xfId="5135" xr:uid="{00000000-0005-0000-0000-0000DA180000}"/>
    <cellStyle name="Title 4 9 2" xfId="6464" xr:uid="{00000000-0005-0000-0000-0000DB180000}"/>
    <cellStyle name="Title 5" xfId="5136" xr:uid="{00000000-0005-0000-0000-0000DC180000}"/>
    <cellStyle name="Title 5 10" xfId="5137" xr:uid="{00000000-0005-0000-0000-0000DD180000}"/>
    <cellStyle name="Title 5 10 2" xfId="6466" xr:uid="{00000000-0005-0000-0000-0000DE180000}"/>
    <cellStyle name="Title 5 11" xfId="6465" xr:uid="{00000000-0005-0000-0000-0000DF180000}"/>
    <cellStyle name="Title 5 2" xfId="5138" xr:uid="{00000000-0005-0000-0000-0000E0180000}"/>
    <cellStyle name="Title 5 2 2" xfId="6467" xr:uid="{00000000-0005-0000-0000-0000E1180000}"/>
    <cellStyle name="Title 5 3" xfId="5139" xr:uid="{00000000-0005-0000-0000-0000E2180000}"/>
    <cellStyle name="Title 5 3 2" xfId="6468" xr:uid="{00000000-0005-0000-0000-0000E3180000}"/>
    <cellStyle name="Title 5 4" xfId="5140" xr:uid="{00000000-0005-0000-0000-0000E4180000}"/>
    <cellStyle name="Title 5 4 2" xfId="6469" xr:uid="{00000000-0005-0000-0000-0000E5180000}"/>
    <cellStyle name="Title 5 5" xfId="5141" xr:uid="{00000000-0005-0000-0000-0000E6180000}"/>
    <cellStyle name="Title 5 5 2" xfId="6470" xr:uid="{00000000-0005-0000-0000-0000E7180000}"/>
    <cellStyle name="Title 5 6" xfId="5142" xr:uid="{00000000-0005-0000-0000-0000E8180000}"/>
    <cellStyle name="Title 5 6 2" xfId="6471" xr:uid="{00000000-0005-0000-0000-0000E9180000}"/>
    <cellStyle name="Title 5 7" xfId="5143" xr:uid="{00000000-0005-0000-0000-0000EA180000}"/>
    <cellStyle name="Title 5 7 2" xfId="6472" xr:uid="{00000000-0005-0000-0000-0000EB180000}"/>
    <cellStyle name="Title 5 8" xfId="5144" xr:uid="{00000000-0005-0000-0000-0000EC180000}"/>
    <cellStyle name="Title 5 8 2" xfId="6473" xr:uid="{00000000-0005-0000-0000-0000ED180000}"/>
    <cellStyle name="Title 5 9" xfId="5145" xr:uid="{00000000-0005-0000-0000-0000EE180000}"/>
    <cellStyle name="Title 5 9 2" xfId="6474" xr:uid="{00000000-0005-0000-0000-0000EF180000}"/>
    <cellStyle name="Title 6 2" xfId="5146" xr:uid="{00000000-0005-0000-0000-0000F0180000}"/>
    <cellStyle name="Title 6 2 2" xfId="6475" xr:uid="{00000000-0005-0000-0000-0000F1180000}"/>
    <cellStyle name="Title 7 2" xfId="5147" xr:uid="{00000000-0005-0000-0000-0000F2180000}"/>
    <cellStyle name="Title 7 2 2" xfId="6476" xr:uid="{00000000-0005-0000-0000-0000F3180000}"/>
    <cellStyle name="Title 8" xfId="5148" xr:uid="{00000000-0005-0000-0000-0000F4180000}"/>
    <cellStyle name="Title 8 2" xfId="6477" xr:uid="{00000000-0005-0000-0000-0000F5180000}"/>
    <cellStyle name="Title 9" xfId="5149" xr:uid="{00000000-0005-0000-0000-0000F6180000}"/>
    <cellStyle name="Title 9 2" xfId="6478" xr:uid="{00000000-0005-0000-0000-0000F7180000}"/>
    <cellStyle name="Total" xfId="5150" builtinId="25" customBuiltin="1"/>
    <cellStyle name="Total 10" xfId="5151" xr:uid="{00000000-0005-0000-0000-0000F9180000}"/>
    <cellStyle name="Total 10 2" xfId="6480" xr:uid="{00000000-0005-0000-0000-0000FA180000}"/>
    <cellStyle name="Total 11" xfId="5152" xr:uid="{00000000-0005-0000-0000-0000FB180000}"/>
    <cellStyle name="Total 11 2" xfId="6481" xr:uid="{00000000-0005-0000-0000-0000FC180000}"/>
    <cellStyle name="Total 12" xfId="5153" xr:uid="{00000000-0005-0000-0000-0000FD180000}"/>
    <cellStyle name="Total 12 2" xfId="6482" xr:uid="{00000000-0005-0000-0000-0000FE180000}"/>
    <cellStyle name="Total 13" xfId="5154" xr:uid="{00000000-0005-0000-0000-0000FF180000}"/>
    <cellStyle name="Total 13 2" xfId="6483" xr:uid="{00000000-0005-0000-0000-000000190000}"/>
    <cellStyle name="Total 14" xfId="5155" xr:uid="{00000000-0005-0000-0000-000001190000}"/>
    <cellStyle name="Total 14 2" xfId="6484" xr:uid="{00000000-0005-0000-0000-000002190000}"/>
    <cellStyle name="Total 2" xfId="5156" xr:uid="{00000000-0005-0000-0000-000003190000}"/>
    <cellStyle name="Total 2 10" xfId="5157" xr:uid="{00000000-0005-0000-0000-000004190000}"/>
    <cellStyle name="Total 2 10 2" xfId="6486" xr:uid="{00000000-0005-0000-0000-000005190000}"/>
    <cellStyle name="Total 2 11" xfId="5158" xr:uid="{00000000-0005-0000-0000-000006190000}"/>
    <cellStyle name="Total 2 11 2" xfId="6487" xr:uid="{00000000-0005-0000-0000-000007190000}"/>
    <cellStyle name="Total 2 12" xfId="5159" xr:uid="{00000000-0005-0000-0000-000008190000}"/>
    <cellStyle name="Total 2 12 2" xfId="6488" xr:uid="{00000000-0005-0000-0000-000009190000}"/>
    <cellStyle name="Total 2 13" xfId="5160" xr:uid="{00000000-0005-0000-0000-00000A190000}"/>
    <cellStyle name="Total 2 13 2" xfId="6489" xr:uid="{00000000-0005-0000-0000-00000B190000}"/>
    <cellStyle name="Total 2 14" xfId="6485" xr:uid="{00000000-0005-0000-0000-00000C190000}"/>
    <cellStyle name="Total 2 2" xfId="5161" xr:uid="{00000000-0005-0000-0000-00000D190000}"/>
    <cellStyle name="Total 2 2 10" xfId="5162" xr:uid="{00000000-0005-0000-0000-00000E190000}"/>
    <cellStyle name="Total 2 2 10 2" xfId="6491" xr:uid="{00000000-0005-0000-0000-00000F190000}"/>
    <cellStyle name="Total 2 2 11" xfId="6490" xr:uid="{00000000-0005-0000-0000-000010190000}"/>
    <cellStyle name="Total 2 2 2" xfId="5163" xr:uid="{00000000-0005-0000-0000-000011190000}"/>
    <cellStyle name="Total 2 2 2 2" xfId="5164" xr:uid="{00000000-0005-0000-0000-000012190000}"/>
    <cellStyle name="Total 2 2 2 2 2" xfId="6493" xr:uid="{00000000-0005-0000-0000-000013190000}"/>
    <cellStyle name="Total 2 2 2 3" xfId="6492" xr:uid="{00000000-0005-0000-0000-000014190000}"/>
    <cellStyle name="Total 2 2 3" xfId="5165" xr:uid="{00000000-0005-0000-0000-000015190000}"/>
    <cellStyle name="Total 2 2 3 2" xfId="6494" xr:uid="{00000000-0005-0000-0000-000016190000}"/>
    <cellStyle name="Total 2 2 4" xfId="5166" xr:uid="{00000000-0005-0000-0000-000017190000}"/>
    <cellStyle name="Total 2 2 4 2" xfId="6495" xr:uid="{00000000-0005-0000-0000-000018190000}"/>
    <cellStyle name="Total 2 2 5" xfId="5167" xr:uid="{00000000-0005-0000-0000-000019190000}"/>
    <cellStyle name="Total 2 2 5 2" xfId="6496" xr:uid="{00000000-0005-0000-0000-00001A190000}"/>
    <cellStyle name="Total 2 2 6" xfId="5168" xr:uid="{00000000-0005-0000-0000-00001B190000}"/>
    <cellStyle name="Total 2 2 6 2" xfId="6497" xr:uid="{00000000-0005-0000-0000-00001C190000}"/>
    <cellStyle name="Total 2 2 7" xfId="5169" xr:uid="{00000000-0005-0000-0000-00001D190000}"/>
    <cellStyle name="Total 2 2 7 2" xfId="6498" xr:uid="{00000000-0005-0000-0000-00001E190000}"/>
    <cellStyle name="Total 2 2 8" xfId="5170" xr:uid="{00000000-0005-0000-0000-00001F190000}"/>
    <cellStyle name="Total 2 2 8 2" xfId="6499" xr:uid="{00000000-0005-0000-0000-000020190000}"/>
    <cellStyle name="Total 2 2 9" xfId="5171" xr:uid="{00000000-0005-0000-0000-000021190000}"/>
    <cellStyle name="Total 2 2 9 2" xfId="6500" xr:uid="{00000000-0005-0000-0000-000022190000}"/>
    <cellStyle name="Total 2 3" xfId="5172" xr:uid="{00000000-0005-0000-0000-000023190000}"/>
    <cellStyle name="Total 2 3 2" xfId="5173" xr:uid="{00000000-0005-0000-0000-000024190000}"/>
    <cellStyle name="Total 2 3 2 2" xfId="6502" xr:uid="{00000000-0005-0000-0000-000025190000}"/>
    <cellStyle name="Total 2 3 3" xfId="6501" xr:uid="{00000000-0005-0000-0000-000026190000}"/>
    <cellStyle name="Total 2 4" xfId="5174" xr:uid="{00000000-0005-0000-0000-000027190000}"/>
    <cellStyle name="Total 2 4 2" xfId="5175" xr:uid="{00000000-0005-0000-0000-000028190000}"/>
    <cellStyle name="Total 2 4 2 2" xfId="6504" xr:uid="{00000000-0005-0000-0000-000029190000}"/>
    <cellStyle name="Total 2 4 3" xfId="6503" xr:uid="{00000000-0005-0000-0000-00002A190000}"/>
    <cellStyle name="Total 2 5" xfId="5176" xr:uid="{00000000-0005-0000-0000-00002B190000}"/>
    <cellStyle name="Total 2 5 2" xfId="6505" xr:uid="{00000000-0005-0000-0000-00002C190000}"/>
    <cellStyle name="Total 2 6" xfId="5177" xr:uid="{00000000-0005-0000-0000-00002D190000}"/>
    <cellStyle name="Total 2 6 2" xfId="6506" xr:uid="{00000000-0005-0000-0000-00002E190000}"/>
    <cellStyle name="Total 2 7" xfId="5178" xr:uid="{00000000-0005-0000-0000-00002F190000}"/>
    <cellStyle name="Total 2 7 2" xfId="6507" xr:uid="{00000000-0005-0000-0000-000030190000}"/>
    <cellStyle name="Total 2 8" xfId="5179" xr:uid="{00000000-0005-0000-0000-000031190000}"/>
    <cellStyle name="Total 2 8 2" xfId="6508" xr:uid="{00000000-0005-0000-0000-000032190000}"/>
    <cellStyle name="Total 2 9" xfId="5180" xr:uid="{00000000-0005-0000-0000-000033190000}"/>
    <cellStyle name="Total 2 9 2" xfId="6509" xr:uid="{00000000-0005-0000-0000-000034190000}"/>
    <cellStyle name="Total 3" xfId="5181" xr:uid="{00000000-0005-0000-0000-000035190000}"/>
    <cellStyle name="Total 3 10" xfId="5182" xr:uid="{00000000-0005-0000-0000-000036190000}"/>
    <cellStyle name="Total 3 10 2" xfId="6511" xr:uid="{00000000-0005-0000-0000-000037190000}"/>
    <cellStyle name="Total 3 11" xfId="6510" xr:uid="{00000000-0005-0000-0000-000038190000}"/>
    <cellStyle name="Total 3 2" xfId="5183" xr:uid="{00000000-0005-0000-0000-000039190000}"/>
    <cellStyle name="Total 3 2 2" xfId="6512" xr:uid="{00000000-0005-0000-0000-00003A190000}"/>
    <cellStyle name="Total 3 3" xfId="5184" xr:uid="{00000000-0005-0000-0000-00003B190000}"/>
    <cellStyle name="Total 3 3 2" xfId="6513" xr:uid="{00000000-0005-0000-0000-00003C190000}"/>
    <cellStyle name="Total 3 4" xfId="5185" xr:uid="{00000000-0005-0000-0000-00003D190000}"/>
    <cellStyle name="Total 3 4 2" xfId="6514" xr:uid="{00000000-0005-0000-0000-00003E190000}"/>
    <cellStyle name="Total 3 5" xfId="5186" xr:uid="{00000000-0005-0000-0000-00003F190000}"/>
    <cellStyle name="Total 3 5 2" xfId="6515" xr:uid="{00000000-0005-0000-0000-000040190000}"/>
    <cellStyle name="Total 3 6" xfId="5187" xr:uid="{00000000-0005-0000-0000-000041190000}"/>
    <cellStyle name="Total 3 6 2" xfId="6516" xr:uid="{00000000-0005-0000-0000-000042190000}"/>
    <cellStyle name="Total 3 7" xfId="5188" xr:uid="{00000000-0005-0000-0000-000043190000}"/>
    <cellStyle name="Total 3 7 2" xfId="6517" xr:uid="{00000000-0005-0000-0000-000044190000}"/>
    <cellStyle name="Total 3 8" xfId="5189" xr:uid="{00000000-0005-0000-0000-000045190000}"/>
    <cellStyle name="Total 3 8 2" xfId="6518" xr:uid="{00000000-0005-0000-0000-000046190000}"/>
    <cellStyle name="Total 3 9" xfId="5190" xr:uid="{00000000-0005-0000-0000-000047190000}"/>
    <cellStyle name="Total 3 9 2" xfId="6519" xr:uid="{00000000-0005-0000-0000-000048190000}"/>
    <cellStyle name="Total 4" xfId="5191" xr:uid="{00000000-0005-0000-0000-000049190000}"/>
    <cellStyle name="Total 4 10" xfId="5192" xr:uid="{00000000-0005-0000-0000-00004A190000}"/>
    <cellStyle name="Total 4 10 2" xfId="6521" xr:uid="{00000000-0005-0000-0000-00004B190000}"/>
    <cellStyle name="Total 4 11" xfId="6520" xr:uid="{00000000-0005-0000-0000-00004C190000}"/>
    <cellStyle name="Total 4 2" xfId="5193" xr:uid="{00000000-0005-0000-0000-00004D190000}"/>
    <cellStyle name="Total 4 2 2" xfId="6522" xr:uid="{00000000-0005-0000-0000-00004E190000}"/>
    <cellStyle name="Total 4 3" xfId="5194" xr:uid="{00000000-0005-0000-0000-00004F190000}"/>
    <cellStyle name="Total 4 3 2" xfId="6523" xr:uid="{00000000-0005-0000-0000-000050190000}"/>
    <cellStyle name="Total 4 4" xfId="5195" xr:uid="{00000000-0005-0000-0000-000051190000}"/>
    <cellStyle name="Total 4 4 2" xfId="6524" xr:uid="{00000000-0005-0000-0000-000052190000}"/>
    <cellStyle name="Total 4 5" xfId="5196" xr:uid="{00000000-0005-0000-0000-000053190000}"/>
    <cellStyle name="Total 4 5 2" xfId="6525" xr:uid="{00000000-0005-0000-0000-000054190000}"/>
    <cellStyle name="Total 4 6" xfId="5197" xr:uid="{00000000-0005-0000-0000-000055190000}"/>
    <cellStyle name="Total 4 6 2" xfId="6526" xr:uid="{00000000-0005-0000-0000-000056190000}"/>
    <cellStyle name="Total 4 7" xfId="5198" xr:uid="{00000000-0005-0000-0000-000057190000}"/>
    <cellStyle name="Total 4 7 2" xfId="6527" xr:uid="{00000000-0005-0000-0000-000058190000}"/>
    <cellStyle name="Total 4 8" xfId="5199" xr:uid="{00000000-0005-0000-0000-000059190000}"/>
    <cellStyle name="Total 4 8 2" xfId="6528" xr:uid="{00000000-0005-0000-0000-00005A190000}"/>
    <cellStyle name="Total 4 9" xfId="5200" xr:uid="{00000000-0005-0000-0000-00005B190000}"/>
    <cellStyle name="Total 4 9 2" xfId="6529" xr:uid="{00000000-0005-0000-0000-00005C190000}"/>
    <cellStyle name="Total 5" xfId="5201" xr:uid="{00000000-0005-0000-0000-00005D190000}"/>
    <cellStyle name="Total 5 10" xfId="5202" xr:uid="{00000000-0005-0000-0000-00005E190000}"/>
    <cellStyle name="Total 5 10 2" xfId="6531" xr:uid="{00000000-0005-0000-0000-00005F190000}"/>
    <cellStyle name="Total 5 11" xfId="6530" xr:uid="{00000000-0005-0000-0000-000060190000}"/>
    <cellStyle name="Total 5 2" xfId="5203" xr:uid="{00000000-0005-0000-0000-000061190000}"/>
    <cellStyle name="Total 5 2 2" xfId="6532" xr:uid="{00000000-0005-0000-0000-000062190000}"/>
    <cellStyle name="Total 5 3" xfId="5204" xr:uid="{00000000-0005-0000-0000-000063190000}"/>
    <cellStyle name="Total 5 3 2" xfId="6533" xr:uid="{00000000-0005-0000-0000-000064190000}"/>
    <cellStyle name="Total 5 4" xfId="5205" xr:uid="{00000000-0005-0000-0000-000065190000}"/>
    <cellStyle name="Total 5 4 2" xfId="6534" xr:uid="{00000000-0005-0000-0000-000066190000}"/>
    <cellStyle name="Total 5 5" xfId="5206" xr:uid="{00000000-0005-0000-0000-000067190000}"/>
    <cellStyle name="Total 5 5 2" xfId="6535" xr:uid="{00000000-0005-0000-0000-000068190000}"/>
    <cellStyle name="Total 5 6" xfId="5207" xr:uid="{00000000-0005-0000-0000-000069190000}"/>
    <cellStyle name="Total 5 6 2" xfId="6536" xr:uid="{00000000-0005-0000-0000-00006A190000}"/>
    <cellStyle name="Total 5 7" xfId="5208" xr:uid="{00000000-0005-0000-0000-00006B190000}"/>
    <cellStyle name="Total 5 7 2" xfId="6537" xr:uid="{00000000-0005-0000-0000-00006C190000}"/>
    <cellStyle name="Total 5 8" xfId="5209" xr:uid="{00000000-0005-0000-0000-00006D190000}"/>
    <cellStyle name="Total 5 8 2" xfId="6538" xr:uid="{00000000-0005-0000-0000-00006E190000}"/>
    <cellStyle name="Total 5 9" xfId="5210" xr:uid="{00000000-0005-0000-0000-00006F190000}"/>
    <cellStyle name="Total 5 9 2" xfId="6539" xr:uid="{00000000-0005-0000-0000-000070190000}"/>
    <cellStyle name="Total 6" xfId="5211" xr:uid="{00000000-0005-0000-0000-000071190000}"/>
    <cellStyle name="Total 6 2" xfId="5212" xr:uid="{00000000-0005-0000-0000-000072190000}"/>
    <cellStyle name="Total 6 2 2" xfId="6541" xr:uid="{00000000-0005-0000-0000-000073190000}"/>
    <cellStyle name="Total 6 3" xfId="6540" xr:uid="{00000000-0005-0000-0000-000074190000}"/>
    <cellStyle name="Total 7" xfId="6479" xr:uid="{00000000-0005-0000-0000-000075190000}"/>
    <cellStyle name="Total 7 2" xfId="5213" xr:uid="{00000000-0005-0000-0000-000076190000}"/>
    <cellStyle name="Total 7 2 2" xfId="6542" xr:uid="{00000000-0005-0000-0000-000077190000}"/>
    <cellStyle name="Total 8" xfId="5214" xr:uid="{00000000-0005-0000-0000-000078190000}"/>
    <cellStyle name="Total 8 2" xfId="6543" xr:uid="{00000000-0005-0000-0000-000079190000}"/>
    <cellStyle name="Total 9" xfId="5215" xr:uid="{00000000-0005-0000-0000-00007A190000}"/>
    <cellStyle name="Total 9 2" xfId="6544" xr:uid="{00000000-0005-0000-0000-00007B190000}"/>
    <cellStyle name="Warning Text 10" xfId="5216" xr:uid="{00000000-0005-0000-0000-00007C190000}"/>
    <cellStyle name="Warning Text 10 2" xfId="6545" xr:uid="{00000000-0005-0000-0000-00007D190000}"/>
    <cellStyle name="Warning Text 11" xfId="5217" xr:uid="{00000000-0005-0000-0000-00007E190000}"/>
    <cellStyle name="Warning Text 11 2" xfId="6546" xr:uid="{00000000-0005-0000-0000-00007F190000}"/>
    <cellStyle name="Warning Text 12" xfId="5218" xr:uid="{00000000-0005-0000-0000-000080190000}"/>
    <cellStyle name="Warning Text 12 2" xfId="6547" xr:uid="{00000000-0005-0000-0000-000081190000}"/>
    <cellStyle name="Warning Text 13" xfId="5219" xr:uid="{00000000-0005-0000-0000-000082190000}"/>
    <cellStyle name="Warning Text 13 2" xfId="6548" xr:uid="{00000000-0005-0000-0000-000083190000}"/>
    <cellStyle name="Warning Text 14" xfId="5220" xr:uid="{00000000-0005-0000-0000-000084190000}"/>
    <cellStyle name="Warning Text 14 2" xfId="6549" xr:uid="{00000000-0005-0000-0000-000085190000}"/>
    <cellStyle name="Warning Text 2" xfId="5221" xr:uid="{00000000-0005-0000-0000-000086190000}"/>
    <cellStyle name="Warning Text 2 10" xfId="5222" xr:uid="{00000000-0005-0000-0000-000087190000}"/>
    <cellStyle name="Warning Text 2 10 2" xfId="6551" xr:uid="{00000000-0005-0000-0000-000088190000}"/>
    <cellStyle name="Warning Text 2 11" xfId="5223" xr:uid="{00000000-0005-0000-0000-000089190000}"/>
    <cellStyle name="Warning Text 2 11 2" xfId="6552" xr:uid="{00000000-0005-0000-0000-00008A190000}"/>
    <cellStyle name="Warning Text 2 12" xfId="5224" xr:uid="{00000000-0005-0000-0000-00008B190000}"/>
    <cellStyle name="Warning Text 2 12 2" xfId="6553" xr:uid="{00000000-0005-0000-0000-00008C190000}"/>
    <cellStyle name="Warning Text 2 13" xfId="5225" xr:uid="{00000000-0005-0000-0000-00008D190000}"/>
    <cellStyle name="Warning Text 2 13 2" xfId="6554" xr:uid="{00000000-0005-0000-0000-00008E190000}"/>
    <cellStyle name="Warning Text 2 14" xfId="6550" xr:uid="{00000000-0005-0000-0000-00008F190000}"/>
    <cellStyle name="Warning Text 2 2" xfId="5226" xr:uid="{00000000-0005-0000-0000-000090190000}"/>
    <cellStyle name="Warning Text 2 2 10" xfId="5227" xr:uid="{00000000-0005-0000-0000-000091190000}"/>
    <cellStyle name="Warning Text 2 2 10 2" xfId="6556" xr:uid="{00000000-0005-0000-0000-000092190000}"/>
    <cellStyle name="Warning Text 2 2 11" xfId="6555" xr:uid="{00000000-0005-0000-0000-000093190000}"/>
    <cellStyle name="Warning Text 2 2 2" xfId="5228" xr:uid="{00000000-0005-0000-0000-000094190000}"/>
    <cellStyle name="Warning Text 2 2 2 2" xfId="5229" xr:uid="{00000000-0005-0000-0000-000095190000}"/>
    <cellStyle name="Warning Text 2 2 2 2 2" xfId="6558" xr:uid="{00000000-0005-0000-0000-000096190000}"/>
    <cellStyle name="Warning Text 2 2 2 3" xfId="6557" xr:uid="{00000000-0005-0000-0000-000097190000}"/>
    <cellStyle name="Warning Text 2 2 3" xfId="5230" xr:uid="{00000000-0005-0000-0000-000098190000}"/>
    <cellStyle name="Warning Text 2 2 3 2" xfId="6559" xr:uid="{00000000-0005-0000-0000-000099190000}"/>
    <cellStyle name="Warning Text 2 2 4" xfId="5231" xr:uid="{00000000-0005-0000-0000-00009A190000}"/>
    <cellStyle name="Warning Text 2 2 4 2" xfId="6560" xr:uid="{00000000-0005-0000-0000-00009B190000}"/>
    <cellStyle name="Warning Text 2 2 5" xfId="5232" xr:uid="{00000000-0005-0000-0000-00009C190000}"/>
    <cellStyle name="Warning Text 2 2 5 2" xfId="6561" xr:uid="{00000000-0005-0000-0000-00009D190000}"/>
    <cellStyle name="Warning Text 2 2 6" xfId="5233" xr:uid="{00000000-0005-0000-0000-00009E190000}"/>
    <cellStyle name="Warning Text 2 2 6 2" xfId="6562" xr:uid="{00000000-0005-0000-0000-00009F190000}"/>
    <cellStyle name="Warning Text 2 2 7" xfId="5234" xr:uid="{00000000-0005-0000-0000-0000A0190000}"/>
    <cellStyle name="Warning Text 2 2 7 2" xfId="6563" xr:uid="{00000000-0005-0000-0000-0000A1190000}"/>
    <cellStyle name="Warning Text 2 2 8" xfId="5235" xr:uid="{00000000-0005-0000-0000-0000A2190000}"/>
    <cellStyle name="Warning Text 2 2 8 2" xfId="6564" xr:uid="{00000000-0005-0000-0000-0000A3190000}"/>
    <cellStyle name="Warning Text 2 2 9" xfId="5236" xr:uid="{00000000-0005-0000-0000-0000A4190000}"/>
    <cellStyle name="Warning Text 2 2 9 2" xfId="6565" xr:uid="{00000000-0005-0000-0000-0000A5190000}"/>
    <cellStyle name="Warning Text 2 3" xfId="5237" xr:uid="{00000000-0005-0000-0000-0000A6190000}"/>
    <cellStyle name="Warning Text 2 3 2" xfId="5238" xr:uid="{00000000-0005-0000-0000-0000A7190000}"/>
    <cellStyle name="Warning Text 2 3 2 2" xfId="6567" xr:uid="{00000000-0005-0000-0000-0000A8190000}"/>
    <cellStyle name="Warning Text 2 3 3" xfId="6566" xr:uid="{00000000-0005-0000-0000-0000A9190000}"/>
    <cellStyle name="Warning Text 2 4" xfId="5239" xr:uid="{00000000-0005-0000-0000-0000AA190000}"/>
    <cellStyle name="Warning Text 2 4 2" xfId="5240" xr:uid="{00000000-0005-0000-0000-0000AB190000}"/>
    <cellStyle name="Warning Text 2 4 2 2" xfId="6569" xr:uid="{00000000-0005-0000-0000-0000AC190000}"/>
    <cellStyle name="Warning Text 2 4 3" xfId="6568" xr:uid="{00000000-0005-0000-0000-0000AD190000}"/>
    <cellStyle name="Warning Text 2 5" xfId="5241" xr:uid="{00000000-0005-0000-0000-0000AE190000}"/>
    <cellStyle name="Warning Text 2 5 2" xfId="6570" xr:uid="{00000000-0005-0000-0000-0000AF190000}"/>
    <cellStyle name="Warning Text 2 6" xfId="5242" xr:uid="{00000000-0005-0000-0000-0000B0190000}"/>
    <cellStyle name="Warning Text 2 6 2" xfId="6571" xr:uid="{00000000-0005-0000-0000-0000B1190000}"/>
    <cellStyle name="Warning Text 2 7" xfId="5243" xr:uid="{00000000-0005-0000-0000-0000B2190000}"/>
    <cellStyle name="Warning Text 2 7 2" xfId="6572" xr:uid="{00000000-0005-0000-0000-0000B3190000}"/>
    <cellStyle name="Warning Text 2 8" xfId="5244" xr:uid="{00000000-0005-0000-0000-0000B4190000}"/>
    <cellStyle name="Warning Text 2 8 2" xfId="6573" xr:uid="{00000000-0005-0000-0000-0000B5190000}"/>
    <cellStyle name="Warning Text 2 9" xfId="5245" xr:uid="{00000000-0005-0000-0000-0000B6190000}"/>
    <cellStyle name="Warning Text 2 9 2" xfId="6574" xr:uid="{00000000-0005-0000-0000-0000B7190000}"/>
    <cellStyle name="Warning Text 3" xfId="5246" xr:uid="{00000000-0005-0000-0000-0000B8190000}"/>
    <cellStyle name="Warning Text 3 10" xfId="5247" xr:uid="{00000000-0005-0000-0000-0000B9190000}"/>
    <cellStyle name="Warning Text 3 10 2" xfId="6576" xr:uid="{00000000-0005-0000-0000-0000BA190000}"/>
    <cellStyle name="Warning Text 3 11" xfId="6575" xr:uid="{00000000-0005-0000-0000-0000BB190000}"/>
    <cellStyle name="Warning Text 3 2" xfId="5248" xr:uid="{00000000-0005-0000-0000-0000BC190000}"/>
    <cellStyle name="Warning Text 3 2 2" xfId="6577" xr:uid="{00000000-0005-0000-0000-0000BD190000}"/>
    <cellStyle name="Warning Text 3 3" xfId="5249" xr:uid="{00000000-0005-0000-0000-0000BE190000}"/>
    <cellStyle name="Warning Text 3 3 2" xfId="6578" xr:uid="{00000000-0005-0000-0000-0000BF190000}"/>
    <cellStyle name="Warning Text 3 4" xfId="5250" xr:uid="{00000000-0005-0000-0000-0000C0190000}"/>
    <cellStyle name="Warning Text 3 4 2" xfId="6579" xr:uid="{00000000-0005-0000-0000-0000C1190000}"/>
    <cellStyle name="Warning Text 3 5" xfId="5251" xr:uid="{00000000-0005-0000-0000-0000C2190000}"/>
    <cellStyle name="Warning Text 3 5 2" xfId="6580" xr:uid="{00000000-0005-0000-0000-0000C3190000}"/>
    <cellStyle name="Warning Text 3 6" xfId="5252" xr:uid="{00000000-0005-0000-0000-0000C4190000}"/>
    <cellStyle name="Warning Text 3 6 2" xfId="6581" xr:uid="{00000000-0005-0000-0000-0000C5190000}"/>
    <cellStyle name="Warning Text 3 7" xfId="5253" xr:uid="{00000000-0005-0000-0000-0000C6190000}"/>
    <cellStyle name="Warning Text 3 7 2" xfId="6582" xr:uid="{00000000-0005-0000-0000-0000C7190000}"/>
    <cellStyle name="Warning Text 3 8" xfId="5254" xr:uid="{00000000-0005-0000-0000-0000C8190000}"/>
    <cellStyle name="Warning Text 3 8 2" xfId="6583" xr:uid="{00000000-0005-0000-0000-0000C9190000}"/>
    <cellStyle name="Warning Text 3 9" xfId="5255" xr:uid="{00000000-0005-0000-0000-0000CA190000}"/>
    <cellStyle name="Warning Text 3 9 2" xfId="6584" xr:uid="{00000000-0005-0000-0000-0000CB190000}"/>
    <cellStyle name="Warning Text 4" xfId="5256" xr:uid="{00000000-0005-0000-0000-0000CC190000}"/>
    <cellStyle name="Warning Text 4 10" xfId="5257" xr:uid="{00000000-0005-0000-0000-0000CD190000}"/>
    <cellStyle name="Warning Text 4 10 2" xfId="6586" xr:uid="{00000000-0005-0000-0000-0000CE190000}"/>
    <cellStyle name="Warning Text 4 11" xfId="6585" xr:uid="{00000000-0005-0000-0000-0000CF190000}"/>
    <cellStyle name="Warning Text 4 2" xfId="5258" xr:uid="{00000000-0005-0000-0000-0000D0190000}"/>
    <cellStyle name="Warning Text 4 2 2" xfId="6587" xr:uid="{00000000-0005-0000-0000-0000D1190000}"/>
    <cellStyle name="Warning Text 4 3" xfId="5259" xr:uid="{00000000-0005-0000-0000-0000D2190000}"/>
    <cellStyle name="Warning Text 4 3 2" xfId="6588" xr:uid="{00000000-0005-0000-0000-0000D3190000}"/>
    <cellStyle name="Warning Text 4 4" xfId="5260" xr:uid="{00000000-0005-0000-0000-0000D4190000}"/>
    <cellStyle name="Warning Text 4 4 2" xfId="6589" xr:uid="{00000000-0005-0000-0000-0000D5190000}"/>
    <cellStyle name="Warning Text 4 5" xfId="5261" xr:uid="{00000000-0005-0000-0000-0000D6190000}"/>
    <cellStyle name="Warning Text 4 5 2" xfId="6590" xr:uid="{00000000-0005-0000-0000-0000D7190000}"/>
    <cellStyle name="Warning Text 4 6" xfId="5262" xr:uid="{00000000-0005-0000-0000-0000D8190000}"/>
    <cellStyle name="Warning Text 4 6 2" xfId="6591" xr:uid="{00000000-0005-0000-0000-0000D9190000}"/>
    <cellStyle name="Warning Text 4 7" xfId="5263" xr:uid="{00000000-0005-0000-0000-0000DA190000}"/>
    <cellStyle name="Warning Text 4 7 2" xfId="6592" xr:uid="{00000000-0005-0000-0000-0000DB190000}"/>
    <cellStyle name="Warning Text 4 8" xfId="5264" xr:uid="{00000000-0005-0000-0000-0000DC190000}"/>
    <cellStyle name="Warning Text 4 8 2" xfId="6593" xr:uid="{00000000-0005-0000-0000-0000DD190000}"/>
    <cellStyle name="Warning Text 4 9" xfId="5265" xr:uid="{00000000-0005-0000-0000-0000DE190000}"/>
    <cellStyle name="Warning Text 4 9 2" xfId="6594" xr:uid="{00000000-0005-0000-0000-0000DF190000}"/>
    <cellStyle name="Warning Text 5" xfId="5266" xr:uid="{00000000-0005-0000-0000-0000E0190000}"/>
    <cellStyle name="Warning Text 5 10" xfId="5267" xr:uid="{00000000-0005-0000-0000-0000E1190000}"/>
    <cellStyle name="Warning Text 5 10 2" xfId="6596" xr:uid="{00000000-0005-0000-0000-0000E2190000}"/>
    <cellStyle name="Warning Text 5 11" xfId="6595" xr:uid="{00000000-0005-0000-0000-0000E3190000}"/>
    <cellStyle name="Warning Text 5 2" xfId="5268" xr:uid="{00000000-0005-0000-0000-0000E4190000}"/>
    <cellStyle name="Warning Text 5 2 2" xfId="6597" xr:uid="{00000000-0005-0000-0000-0000E5190000}"/>
    <cellStyle name="Warning Text 5 3" xfId="5269" xr:uid="{00000000-0005-0000-0000-0000E6190000}"/>
    <cellStyle name="Warning Text 5 3 2" xfId="6598" xr:uid="{00000000-0005-0000-0000-0000E7190000}"/>
    <cellStyle name="Warning Text 5 4" xfId="5270" xr:uid="{00000000-0005-0000-0000-0000E8190000}"/>
    <cellStyle name="Warning Text 5 4 2" xfId="6599" xr:uid="{00000000-0005-0000-0000-0000E9190000}"/>
    <cellStyle name="Warning Text 5 5" xfId="5271" xr:uid="{00000000-0005-0000-0000-0000EA190000}"/>
    <cellStyle name="Warning Text 5 5 2" xfId="6600" xr:uid="{00000000-0005-0000-0000-0000EB190000}"/>
    <cellStyle name="Warning Text 5 6" xfId="5272" xr:uid="{00000000-0005-0000-0000-0000EC190000}"/>
    <cellStyle name="Warning Text 5 6 2" xfId="6601" xr:uid="{00000000-0005-0000-0000-0000ED190000}"/>
    <cellStyle name="Warning Text 5 7" xfId="5273" xr:uid="{00000000-0005-0000-0000-0000EE190000}"/>
    <cellStyle name="Warning Text 5 7 2" xfId="6602" xr:uid="{00000000-0005-0000-0000-0000EF190000}"/>
    <cellStyle name="Warning Text 5 8" xfId="5274" xr:uid="{00000000-0005-0000-0000-0000F0190000}"/>
    <cellStyle name="Warning Text 5 8 2" xfId="6603" xr:uid="{00000000-0005-0000-0000-0000F1190000}"/>
    <cellStyle name="Warning Text 5 9" xfId="5275" xr:uid="{00000000-0005-0000-0000-0000F2190000}"/>
    <cellStyle name="Warning Text 5 9 2" xfId="6604" xr:uid="{00000000-0005-0000-0000-0000F3190000}"/>
    <cellStyle name="Warning Text 6 2" xfId="5276" xr:uid="{00000000-0005-0000-0000-0000F4190000}"/>
    <cellStyle name="Warning Text 6 2 2" xfId="6605" xr:uid="{00000000-0005-0000-0000-0000F5190000}"/>
    <cellStyle name="Warning Text 7 2" xfId="5277" xr:uid="{00000000-0005-0000-0000-0000F6190000}"/>
    <cellStyle name="Warning Text 7 2 2" xfId="6606" xr:uid="{00000000-0005-0000-0000-0000F7190000}"/>
    <cellStyle name="Warning Text 8" xfId="5278" xr:uid="{00000000-0005-0000-0000-0000F8190000}"/>
    <cellStyle name="Warning Text 8 2" xfId="6607" xr:uid="{00000000-0005-0000-0000-0000F9190000}"/>
    <cellStyle name="Warning Text 9" xfId="5279" xr:uid="{00000000-0005-0000-0000-0000FA190000}"/>
    <cellStyle name="Warning Text 9 2" xfId="6608" xr:uid="{00000000-0005-0000-0000-0000FB19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38"/>
  <sheetViews>
    <sheetView tabSelected="1" workbookViewId="0"/>
  </sheetViews>
  <sheetFormatPr defaultRowHeight="12.75" x14ac:dyDescent="0.2"/>
  <cols>
    <col min="1" max="1" width="11.28515625" customWidth="1"/>
  </cols>
  <sheetData>
    <row r="2" spans="1:7" x14ac:dyDescent="0.2">
      <c r="A2" s="11" t="s">
        <v>26</v>
      </c>
      <c r="B2" s="11" t="s">
        <v>246</v>
      </c>
    </row>
    <row r="4" spans="1:7" x14ac:dyDescent="0.2">
      <c r="A4" t="s">
        <v>27</v>
      </c>
      <c r="B4" s="120" t="s">
        <v>207</v>
      </c>
      <c r="C4" s="12"/>
      <c r="D4" s="12"/>
      <c r="E4" s="12"/>
      <c r="F4" s="12"/>
      <c r="G4" s="12"/>
    </row>
    <row r="5" spans="1:7" x14ac:dyDescent="0.2">
      <c r="B5" s="120" t="s">
        <v>209</v>
      </c>
      <c r="C5" s="12"/>
      <c r="D5" s="12"/>
      <c r="E5" s="12"/>
      <c r="F5" s="12"/>
      <c r="G5" s="12"/>
    </row>
    <row r="6" spans="1:7" x14ac:dyDescent="0.2">
      <c r="B6" s="120" t="s">
        <v>179</v>
      </c>
      <c r="C6" s="12"/>
      <c r="D6" s="12"/>
      <c r="E6" s="12"/>
      <c r="F6" s="12"/>
      <c r="G6" s="12"/>
    </row>
    <row r="7" spans="1:7" x14ac:dyDescent="0.2">
      <c r="B7" s="120" t="s">
        <v>145</v>
      </c>
      <c r="C7" s="12"/>
      <c r="D7" s="12"/>
      <c r="E7" s="12"/>
      <c r="F7" s="12"/>
      <c r="G7" s="12"/>
    </row>
    <row r="8" spans="1:7" x14ac:dyDescent="0.2">
      <c r="B8" s="120" t="s">
        <v>148</v>
      </c>
      <c r="C8" s="12"/>
      <c r="D8" s="12"/>
      <c r="E8" s="12"/>
      <c r="F8" s="12"/>
      <c r="G8" s="12"/>
    </row>
    <row r="9" spans="1:7" x14ac:dyDescent="0.2">
      <c r="B9" s="120" t="s">
        <v>149</v>
      </c>
      <c r="C9" s="12"/>
      <c r="D9" s="12"/>
      <c r="E9" s="12"/>
      <c r="F9" s="12"/>
      <c r="G9" s="12"/>
    </row>
    <row r="10" spans="1:7" x14ac:dyDescent="0.2">
      <c r="B10" s="120" t="s">
        <v>150</v>
      </c>
      <c r="C10" s="12"/>
      <c r="D10" s="12"/>
      <c r="E10" s="12"/>
      <c r="F10" s="12"/>
      <c r="G10" s="12"/>
    </row>
    <row r="11" spans="1:7" x14ac:dyDescent="0.2">
      <c r="B11" s="120" t="s">
        <v>151</v>
      </c>
      <c r="C11" s="12"/>
      <c r="D11" s="12"/>
      <c r="E11" s="12"/>
      <c r="F11" s="12"/>
      <c r="G11" s="12"/>
    </row>
    <row r="12" spans="1:7" x14ac:dyDescent="0.2">
      <c r="B12" s="120" t="s">
        <v>152</v>
      </c>
      <c r="C12" s="12"/>
      <c r="D12" s="12"/>
      <c r="E12" s="12"/>
      <c r="F12" s="12"/>
      <c r="G12" s="12"/>
    </row>
    <row r="13" spans="1:7" x14ac:dyDescent="0.2">
      <c r="B13" s="120" t="s">
        <v>210</v>
      </c>
      <c r="C13" s="12"/>
      <c r="D13" s="12"/>
      <c r="E13" s="12"/>
      <c r="F13" s="12"/>
      <c r="G13" s="12"/>
    </row>
    <row r="14" spans="1:7" x14ac:dyDescent="0.2">
      <c r="B14" s="120" t="s">
        <v>154</v>
      </c>
      <c r="C14" s="12"/>
      <c r="D14" s="12"/>
      <c r="E14" s="12"/>
      <c r="F14" s="12"/>
      <c r="G14" s="12"/>
    </row>
    <row r="15" spans="1:7" x14ac:dyDescent="0.2">
      <c r="B15" s="120" t="s">
        <v>155</v>
      </c>
      <c r="C15" s="12"/>
      <c r="D15" s="12"/>
      <c r="E15" s="12"/>
      <c r="F15" s="12"/>
      <c r="G15" s="12"/>
    </row>
    <row r="16" spans="1:7" x14ac:dyDescent="0.2">
      <c r="B16" s="120" t="s">
        <v>156</v>
      </c>
      <c r="C16" s="12"/>
      <c r="D16" s="12"/>
      <c r="E16" s="12"/>
      <c r="F16" s="12"/>
      <c r="G16" s="12"/>
    </row>
    <row r="17" spans="2:7" x14ac:dyDescent="0.2">
      <c r="B17" s="120" t="s">
        <v>157</v>
      </c>
      <c r="C17" s="12"/>
      <c r="D17" s="12"/>
      <c r="E17" s="12"/>
      <c r="F17" s="12"/>
      <c r="G17" s="12"/>
    </row>
    <row r="18" spans="2:7" x14ac:dyDescent="0.2">
      <c r="B18" s="120" t="s">
        <v>158</v>
      </c>
      <c r="C18" s="12"/>
      <c r="D18" s="12"/>
      <c r="E18" s="12"/>
      <c r="F18" s="12"/>
      <c r="G18" s="12"/>
    </row>
    <row r="19" spans="2:7" x14ac:dyDescent="0.2">
      <c r="B19" s="120" t="s">
        <v>159</v>
      </c>
      <c r="C19" s="12"/>
      <c r="D19" s="12"/>
      <c r="E19" s="12"/>
      <c r="F19" s="12"/>
      <c r="G19" s="12"/>
    </row>
    <row r="20" spans="2:7" x14ac:dyDescent="0.2">
      <c r="B20" s="120" t="s">
        <v>160</v>
      </c>
      <c r="C20" s="12"/>
      <c r="D20" s="12"/>
      <c r="E20" s="12"/>
      <c r="F20" s="12"/>
      <c r="G20" s="12"/>
    </row>
    <row r="21" spans="2:7" x14ac:dyDescent="0.2">
      <c r="B21" s="120" t="s">
        <v>161</v>
      </c>
      <c r="C21" s="12"/>
      <c r="D21" s="12"/>
      <c r="E21" s="12"/>
      <c r="F21" s="12"/>
      <c r="G21" s="12"/>
    </row>
    <row r="22" spans="2:7" x14ac:dyDescent="0.2">
      <c r="B22" s="120" t="s">
        <v>162</v>
      </c>
      <c r="C22" s="12"/>
      <c r="D22" s="12"/>
      <c r="E22" s="12"/>
      <c r="F22" s="12"/>
      <c r="G22" s="12"/>
    </row>
    <row r="23" spans="2:7" x14ac:dyDescent="0.2">
      <c r="B23" s="120" t="s">
        <v>163</v>
      </c>
      <c r="C23" s="12"/>
      <c r="D23" s="12"/>
      <c r="E23" s="12"/>
      <c r="F23" s="12"/>
      <c r="G23" s="12"/>
    </row>
    <row r="24" spans="2:7" x14ac:dyDescent="0.2">
      <c r="B24" s="120" t="s">
        <v>164</v>
      </c>
      <c r="C24" s="12"/>
      <c r="D24" s="12"/>
      <c r="E24" s="12"/>
      <c r="F24" s="12"/>
      <c r="G24" s="12"/>
    </row>
    <row r="25" spans="2:7" x14ac:dyDescent="0.2">
      <c r="B25" s="120" t="s">
        <v>165</v>
      </c>
      <c r="C25" s="12"/>
      <c r="D25" s="12"/>
      <c r="E25" s="12"/>
      <c r="F25" s="12"/>
      <c r="G25" s="12"/>
    </row>
    <row r="26" spans="2:7" x14ac:dyDescent="0.2">
      <c r="B26" s="120" t="s">
        <v>166</v>
      </c>
      <c r="C26" s="12"/>
      <c r="D26" s="12"/>
      <c r="E26" s="12"/>
      <c r="F26" s="12"/>
      <c r="G26" s="12"/>
    </row>
    <row r="27" spans="2:7" x14ac:dyDescent="0.2">
      <c r="B27" s="120" t="s">
        <v>211</v>
      </c>
      <c r="C27" s="12"/>
      <c r="D27" s="12"/>
      <c r="E27" s="12"/>
      <c r="F27" s="12"/>
      <c r="G27" s="12"/>
    </row>
    <row r="28" spans="2:7" x14ac:dyDescent="0.2">
      <c r="B28" s="120" t="s">
        <v>168</v>
      </c>
      <c r="C28" s="12"/>
      <c r="D28" s="12"/>
      <c r="E28" s="12"/>
      <c r="F28" s="12"/>
      <c r="G28" s="12"/>
    </row>
    <row r="29" spans="2:7" x14ac:dyDescent="0.2">
      <c r="B29" s="120" t="s">
        <v>212</v>
      </c>
      <c r="C29" s="12"/>
      <c r="D29" s="12"/>
      <c r="E29" s="12"/>
      <c r="F29" s="12"/>
      <c r="G29" s="12"/>
    </row>
    <row r="30" spans="2:7" x14ac:dyDescent="0.2">
      <c r="B30" s="120" t="s">
        <v>169</v>
      </c>
      <c r="C30" s="12"/>
      <c r="D30" s="12"/>
      <c r="E30" s="12"/>
      <c r="F30" s="12"/>
      <c r="G30" s="12"/>
    </row>
    <row r="31" spans="2:7" x14ac:dyDescent="0.2">
      <c r="B31" s="120" t="s">
        <v>171</v>
      </c>
      <c r="C31" s="12"/>
      <c r="D31" s="12"/>
      <c r="E31" s="12"/>
      <c r="F31" s="12"/>
      <c r="G31" s="12"/>
    </row>
    <row r="32" spans="2:7" x14ac:dyDescent="0.2">
      <c r="B32" s="120" t="s">
        <v>172</v>
      </c>
      <c r="C32" s="12"/>
      <c r="D32" s="12"/>
      <c r="E32" s="12"/>
      <c r="F32" s="12"/>
      <c r="G32" s="12"/>
    </row>
    <row r="33" spans="2:7" x14ac:dyDescent="0.2">
      <c r="B33" s="120" t="s">
        <v>173</v>
      </c>
      <c r="C33" s="12"/>
      <c r="D33" s="12"/>
      <c r="E33" s="12"/>
      <c r="F33" s="12"/>
      <c r="G33" s="12"/>
    </row>
    <row r="34" spans="2:7" x14ac:dyDescent="0.2">
      <c r="B34" s="120" t="s">
        <v>174</v>
      </c>
      <c r="C34" s="12"/>
      <c r="D34" s="12"/>
      <c r="E34" s="12"/>
      <c r="F34" s="12"/>
      <c r="G34" s="12"/>
    </row>
    <row r="35" spans="2:7" x14ac:dyDescent="0.2">
      <c r="B35" s="120" t="s">
        <v>175</v>
      </c>
      <c r="C35" s="12"/>
      <c r="D35" s="12"/>
      <c r="E35" s="12"/>
      <c r="F35" s="12"/>
      <c r="G35" s="12"/>
    </row>
    <row r="36" spans="2:7" x14ac:dyDescent="0.2">
      <c r="B36" s="120" t="s">
        <v>213</v>
      </c>
      <c r="C36" s="12"/>
      <c r="D36" s="12"/>
      <c r="E36" s="12"/>
      <c r="F36" s="12"/>
      <c r="G36" s="12"/>
    </row>
    <row r="37" spans="2:7" x14ac:dyDescent="0.2">
      <c r="B37" s="120" t="s">
        <v>177</v>
      </c>
      <c r="C37" s="12"/>
      <c r="D37" s="12"/>
      <c r="E37" s="12"/>
      <c r="F37" s="12"/>
      <c r="G37" s="12"/>
    </row>
    <row r="38" spans="2:7" x14ac:dyDescent="0.2">
      <c r="B38" s="120" t="s">
        <v>178</v>
      </c>
      <c r="C38" s="12"/>
      <c r="D38" s="12"/>
      <c r="E38" s="12"/>
      <c r="F38" s="12"/>
      <c r="G38" s="12"/>
    </row>
  </sheetData>
  <phoneticPr fontId="7" type="noConversion"/>
  <hyperlinks>
    <hyperlink ref="B4" location="FarmPcc!A1" display="Fresh vegetables - Per capita availability, farm weight" xr:uid="{00000000-0004-0000-0000-000000000000}"/>
    <hyperlink ref="B7" location="Artichokes!A1" display="Fresh artichokes - Supply and disappearance" xr:uid="{00000000-0004-0000-0000-000001000000}"/>
    <hyperlink ref="B8" location="Asparagus!A1" display="Fresh asparagus - Supply and disappearance" xr:uid="{00000000-0004-0000-0000-000002000000}"/>
    <hyperlink ref="B9" location="LimaBeans!A1" display="Fresh lima beans - Supply and disappearance" xr:uid="{00000000-0004-0000-0000-000003000000}"/>
    <hyperlink ref="B10" location="SnapBeans!A1" display="Fresh snap beans - Supply and disappearance" xr:uid="{00000000-0004-0000-0000-000004000000}"/>
    <hyperlink ref="B11" location="Broccoli!A1" display="Fresh broccoli - Supply and disappearance" xr:uid="{00000000-0004-0000-0000-000005000000}"/>
    <hyperlink ref="B12" location="BrusselsSprouts!A1" display="Fresh brussels sprouts - Supply and disappearance" xr:uid="{00000000-0004-0000-0000-000006000000}"/>
    <hyperlink ref="B13" location="Cabbage!A1" display="Fresh cabbage - Supply and disappearance" xr:uid="{00000000-0004-0000-0000-000007000000}"/>
    <hyperlink ref="B14" location="Carrots!A1" display="Fresh carrots - Supply and disappearance" xr:uid="{00000000-0004-0000-0000-000008000000}"/>
    <hyperlink ref="B15" location="Cauliflower!A1" display="Fresh cauliflower - Supply and disappearance" xr:uid="{00000000-0004-0000-0000-000009000000}"/>
    <hyperlink ref="B16" location="Celery!A1" display="Fresh celery - Supply and disappearance" xr:uid="{00000000-0004-0000-0000-00000A000000}"/>
    <hyperlink ref="B18" location="SweetCorn!A1" display="Fresh sweet corn - Supply and disappearance" xr:uid="{00000000-0004-0000-0000-00000B000000}"/>
    <hyperlink ref="B19" location="Cucumbers!A1" display="Fresh cucumbers - Supply and disappearance" xr:uid="{00000000-0004-0000-0000-00000C000000}"/>
    <hyperlink ref="B20" location="Eggplant!A1" display="Fresh eggplant - Supply and disappearance" xr:uid="{00000000-0004-0000-0000-00000D000000}"/>
    <hyperlink ref="B21" location="Escarole!A1" display="Fresh escarole and endive - Supply and disappearance" xr:uid="{00000000-0004-0000-0000-00000E000000}"/>
    <hyperlink ref="B22" location="Garlic!A1" display="Fresh garlic - Supply and disappearance" xr:uid="{00000000-0004-0000-0000-00000F000000}"/>
    <hyperlink ref="B23" location="HeadLettuce!A1" display="Fresh head lettuce - Supply and disappearance" xr:uid="{00000000-0004-0000-0000-000010000000}"/>
    <hyperlink ref="B33" location="Romaine!A1" display="Fresh romaine and leaf lettuce - Supply and disappearance" xr:uid="{00000000-0004-0000-0000-000011000000}"/>
    <hyperlink ref="B27" location="Onions!A1" display="Fresh onions - Supply and disappearance" xr:uid="{00000000-0004-0000-0000-000012000000}"/>
    <hyperlink ref="B30" location="Peppers!A1" display="Fresh bell peppers - Supply and disappearance" xr:uid="{00000000-0004-0000-0000-000013000000}"/>
    <hyperlink ref="B32" location="Radishes!A1" display="Fresh radishes - Supply and disappearance" xr:uid="{00000000-0004-0000-0000-000014000000}"/>
    <hyperlink ref="B34" location="Spinach!A1" display="Fresh spinach - Supply and disappearance" xr:uid="{00000000-0004-0000-0000-000015000000}"/>
    <hyperlink ref="B37" location="Tomatoes!A1" display="Fresh tomatoes - Supply and disappearance" xr:uid="{00000000-0004-0000-0000-000016000000}"/>
    <hyperlink ref="B5" location="RetailPcc!A1" display="Fresh vegetables - Per capita availability, retail weight" xr:uid="{00000000-0004-0000-0000-000017000000}"/>
    <hyperlink ref="B31" location="Pumpkin!A1" display="Fresh pumpkins - Supply and disappearance" xr:uid="{00000000-0004-0000-0000-000018000000}"/>
    <hyperlink ref="B38" location="TurnipGreens!A1" display="Fresh turnip greens - Supply and disappearance" xr:uid="{00000000-0004-0000-0000-000019000000}"/>
    <hyperlink ref="B35" location="Squash!A1" display="Fresh squash - Supply and disappearance" xr:uid="{00000000-0004-0000-0000-00001A000000}"/>
    <hyperlink ref="B17" location="Collards!A1" display="Fresh collard greens - Supply and disappearance" xr:uid="{00000000-0004-0000-0000-00001B000000}"/>
    <hyperlink ref="B24" location="Kale!A1" display="Fresh kale - Supply and disappearance" xr:uid="{00000000-0004-0000-0000-00001C000000}"/>
    <hyperlink ref="B26" location="MustardGreens!A1" display="Fresh mustard greens - Supply and disappearance" xr:uid="{00000000-0004-0000-0000-00001D000000}"/>
    <hyperlink ref="B28" location="Okra!A1" display="Fresh okra - Supply and disappearance" xr:uid="{00000000-0004-0000-0000-00001E000000}"/>
    <hyperlink ref="B6" location="Total!A1" display="Fresh vegetables - Supply and disappearance" xr:uid="{00000000-0004-0000-0000-00001F000000}"/>
    <hyperlink ref="B25" location="Mushrooms!A1" display="Fresh mushrooms - Supply and disappearance" xr:uid="{00000000-0004-0000-0000-000020000000}"/>
    <hyperlink ref="B29" location="Potatoes!A1" display="Fresh potatoes - Supply and disappearance" xr:uid="{00000000-0004-0000-0000-000021000000}"/>
    <hyperlink ref="B36" location="SweetPotatoes!A1" display="Fresh sweet potatoes: Supply and use" xr:uid="{00000000-0004-0000-0000-000022000000}"/>
  </hyperlink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pageSetUpPr autoPageBreaks="0" fitToPage="1"/>
  </sheetPr>
  <dimension ref="A1:L74"/>
  <sheetViews>
    <sheetView showOutlineSymbols="0" zoomScaleNormal="100" workbookViewId="0">
      <pane ySplit="6" topLeftCell="A7" activePane="bottomLeft" state="frozen"/>
      <selection sqref="A1:G1"/>
      <selection pane="bottomLeft" sqref="A1:I1"/>
    </sheetView>
  </sheetViews>
  <sheetFormatPr defaultColWidth="12.7109375" defaultRowHeight="12" customHeight="1" x14ac:dyDescent="0.2"/>
  <cols>
    <col min="1" max="1" width="12.7109375" style="13" customWidth="1"/>
    <col min="2" max="16384" width="12.7109375" style="13"/>
  </cols>
  <sheetData>
    <row r="1" spans="1:12" s="1" customFormat="1" ht="12" customHeight="1" thickBot="1" x14ac:dyDescent="0.25">
      <c r="A1" s="201" t="s">
        <v>152</v>
      </c>
      <c r="B1" s="201"/>
      <c r="C1" s="201"/>
      <c r="D1" s="201"/>
      <c r="E1" s="201"/>
      <c r="F1" s="201"/>
      <c r="G1" s="201"/>
      <c r="H1" s="201"/>
      <c r="I1" s="201"/>
      <c r="J1" s="200" t="s">
        <v>19</v>
      </c>
      <c r="K1" s="200"/>
    </row>
    <row r="2" spans="1:12" ht="12" customHeight="1" thickTop="1" x14ac:dyDescent="0.2">
      <c r="A2" s="196" t="s">
        <v>1</v>
      </c>
      <c r="B2" s="199" t="s">
        <v>85</v>
      </c>
      <c r="C2" s="269" t="s">
        <v>2</v>
      </c>
      <c r="D2" s="269"/>
      <c r="E2" s="269"/>
      <c r="F2" s="269"/>
      <c r="G2" s="244" t="s">
        <v>146</v>
      </c>
      <c r="H2" s="246"/>
      <c r="I2" s="244" t="s">
        <v>147</v>
      </c>
      <c r="J2" s="245"/>
      <c r="K2" s="245"/>
    </row>
    <row r="3" spans="1:12" ht="12" customHeight="1" x14ac:dyDescent="0.2">
      <c r="A3" s="217"/>
      <c r="B3" s="259"/>
      <c r="C3" s="217" t="s">
        <v>86</v>
      </c>
      <c r="D3" s="217" t="s">
        <v>87</v>
      </c>
      <c r="E3" s="217" t="s">
        <v>89</v>
      </c>
      <c r="F3" s="217" t="s">
        <v>90</v>
      </c>
      <c r="G3" s="217" t="s">
        <v>95</v>
      </c>
      <c r="H3" s="217" t="s">
        <v>91</v>
      </c>
      <c r="I3" s="217" t="s">
        <v>98</v>
      </c>
      <c r="J3" s="226" t="s">
        <v>28</v>
      </c>
      <c r="K3" s="227"/>
    </row>
    <row r="4" spans="1:12" ht="12" customHeight="1" x14ac:dyDescent="0.2">
      <c r="A4" s="217"/>
      <c r="B4" s="259"/>
      <c r="C4" s="217"/>
      <c r="D4" s="217"/>
      <c r="E4" s="217"/>
      <c r="F4" s="217"/>
      <c r="G4" s="217"/>
      <c r="H4" s="217"/>
      <c r="I4" s="217"/>
      <c r="J4" s="217" t="s">
        <v>4</v>
      </c>
      <c r="K4" s="14" t="s">
        <v>96</v>
      </c>
      <c r="L4" s="4"/>
    </row>
    <row r="5" spans="1:12" ht="12" customHeight="1" x14ac:dyDescent="0.2">
      <c r="A5" s="217"/>
      <c r="B5" s="259"/>
      <c r="C5" s="217"/>
      <c r="D5" s="217"/>
      <c r="E5" s="217"/>
      <c r="F5" s="217"/>
      <c r="G5" s="217"/>
      <c r="H5" s="217"/>
      <c r="I5" s="217"/>
      <c r="J5" s="217"/>
      <c r="K5" s="14" t="s">
        <v>191</v>
      </c>
    </row>
    <row r="6" spans="1:12" ht="12" customHeight="1" x14ac:dyDescent="0.2">
      <c r="A6" s="51"/>
      <c r="B6" s="52" t="s">
        <v>117</v>
      </c>
      <c r="C6" s="273" t="s">
        <v>119</v>
      </c>
      <c r="D6" s="274"/>
      <c r="E6" s="274"/>
      <c r="F6" s="274"/>
      <c r="G6" s="274"/>
      <c r="H6" s="274"/>
      <c r="I6" s="274"/>
      <c r="J6" s="273" t="s">
        <v>118</v>
      </c>
      <c r="K6" s="274"/>
      <c r="L6" s="51"/>
    </row>
    <row r="7" spans="1:12" ht="12" customHeight="1" x14ac:dyDescent="0.2">
      <c r="A7" s="2">
        <v>1960</v>
      </c>
      <c r="B7" s="20">
        <v>180.67099999999999</v>
      </c>
      <c r="C7" s="8">
        <v>72.2</v>
      </c>
      <c r="D7" s="8" t="s">
        <v>3</v>
      </c>
      <c r="E7" s="8" t="s">
        <v>3</v>
      </c>
      <c r="F7" s="8" t="s">
        <v>3</v>
      </c>
      <c r="G7" s="8" t="s">
        <v>3</v>
      </c>
      <c r="H7" s="8" t="s">
        <v>3</v>
      </c>
      <c r="I7" s="8" t="s">
        <v>3</v>
      </c>
      <c r="J7" s="8" t="s">
        <v>3</v>
      </c>
      <c r="K7" s="8" t="s">
        <v>3</v>
      </c>
    </row>
    <row r="8" spans="1:12" ht="12" customHeight="1" x14ac:dyDescent="0.2">
      <c r="A8" s="3">
        <v>1961</v>
      </c>
      <c r="B8" s="21">
        <v>183.691</v>
      </c>
      <c r="C8" s="9">
        <v>71.7</v>
      </c>
      <c r="D8" s="9" t="s">
        <v>3</v>
      </c>
      <c r="E8" s="9" t="s">
        <v>3</v>
      </c>
      <c r="F8" s="9" t="s">
        <v>3</v>
      </c>
      <c r="G8" s="9" t="s">
        <v>3</v>
      </c>
      <c r="H8" s="9" t="s">
        <v>3</v>
      </c>
      <c r="I8" s="9" t="s">
        <v>3</v>
      </c>
      <c r="J8" s="9" t="s">
        <v>3</v>
      </c>
      <c r="K8" s="9" t="s">
        <v>3</v>
      </c>
    </row>
    <row r="9" spans="1:12" ht="12" customHeight="1" x14ac:dyDescent="0.2">
      <c r="A9" s="3">
        <v>1962</v>
      </c>
      <c r="B9" s="21">
        <v>186.53800000000001</v>
      </c>
      <c r="C9" s="9">
        <v>66.8</v>
      </c>
      <c r="D9" s="9" t="s">
        <v>3</v>
      </c>
      <c r="E9" s="9" t="s">
        <v>3</v>
      </c>
      <c r="F9" s="9" t="s">
        <v>3</v>
      </c>
      <c r="G9" s="9" t="s">
        <v>3</v>
      </c>
      <c r="H9" s="9" t="s">
        <v>3</v>
      </c>
      <c r="I9" s="9" t="s">
        <v>3</v>
      </c>
      <c r="J9" s="9" t="s">
        <v>3</v>
      </c>
      <c r="K9" s="9" t="s">
        <v>3</v>
      </c>
    </row>
    <row r="10" spans="1:12" ht="12" customHeight="1" x14ac:dyDescent="0.2">
      <c r="A10" s="3">
        <v>1963</v>
      </c>
      <c r="B10" s="21">
        <v>189.24199999999999</v>
      </c>
      <c r="C10" s="9">
        <v>69.3</v>
      </c>
      <c r="D10" s="9" t="s">
        <v>3</v>
      </c>
      <c r="E10" s="9" t="s">
        <v>3</v>
      </c>
      <c r="F10" s="9" t="s">
        <v>3</v>
      </c>
      <c r="G10" s="9" t="s">
        <v>3</v>
      </c>
      <c r="H10" s="9" t="s">
        <v>3</v>
      </c>
      <c r="I10" s="9" t="s">
        <v>3</v>
      </c>
      <c r="J10" s="9" t="s">
        <v>3</v>
      </c>
      <c r="K10" s="9" t="s">
        <v>3</v>
      </c>
    </row>
    <row r="11" spans="1:12" ht="12" customHeight="1" x14ac:dyDescent="0.2">
      <c r="A11" s="3">
        <v>1964</v>
      </c>
      <c r="B11" s="21">
        <v>191.88900000000001</v>
      </c>
      <c r="C11" s="9">
        <v>74.099999999999994</v>
      </c>
      <c r="D11" s="9" t="s">
        <v>3</v>
      </c>
      <c r="E11" s="9" t="s">
        <v>3</v>
      </c>
      <c r="F11" s="9" t="s">
        <v>3</v>
      </c>
      <c r="G11" s="9" t="s">
        <v>3</v>
      </c>
      <c r="H11" s="9" t="s">
        <v>3</v>
      </c>
      <c r="I11" s="9" t="s">
        <v>3</v>
      </c>
      <c r="J11" s="9" t="s">
        <v>3</v>
      </c>
      <c r="K11" s="9" t="s">
        <v>3</v>
      </c>
    </row>
    <row r="12" spans="1:12" ht="12" customHeight="1" x14ac:dyDescent="0.2">
      <c r="A12" s="3">
        <v>1965</v>
      </c>
      <c r="B12" s="21">
        <v>194.303</v>
      </c>
      <c r="C12" s="9">
        <v>69.400000000000006</v>
      </c>
      <c r="D12" s="9" t="s">
        <v>3</v>
      </c>
      <c r="E12" s="9" t="s">
        <v>3</v>
      </c>
      <c r="F12" s="9" t="s">
        <v>3</v>
      </c>
      <c r="G12" s="9" t="s">
        <v>3</v>
      </c>
      <c r="H12" s="9" t="s">
        <v>3</v>
      </c>
      <c r="I12" s="9" t="s">
        <v>3</v>
      </c>
      <c r="J12" s="9" t="s">
        <v>3</v>
      </c>
      <c r="K12" s="9" t="s">
        <v>3</v>
      </c>
    </row>
    <row r="13" spans="1:12" ht="12" customHeight="1" x14ac:dyDescent="0.2">
      <c r="A13" s="2">
        <v>1966</v>
      </c>
      <c r="B13" s="20">
        <v>196.56</v>
      </c>
      <c r="C13" s="8">
        <v>74.599999999999994</v>
      </c>
      <c r="D13" s="8" t="s">
        <v>3</v>
      </c>
      <c r="E13" s="8" t="s">
        <v>3</v>
      </c>
      <c r="F13" s="8" t="s">
        <v>3</v>
      </c>
      <c r="G13" s="8" t="s">
        <v>3</v>
      </c>
      <c r="H13" s="8" t="s">
        <v>3</v>
      </c>
      <c r="I13" s="8" t="s">
        <v>3</v>
      </c>
      <c r="J13" s="8" t="s">
        <v>3</v>
      </c>
      <c r="K13" s="8" t="s">
        <v>3</v>
      </c>
    </row>
    <row r="14" spans="1:12" ht="12" customHeight="1" x14ac:dyDescent="0.2">
      <c r="A14" s="2">
        <v>1967</v>
      </c>
      <c r="B14" s="20">
        <v>198.71199999999999</v>
      </c>
      <c r="C14" s="8">
        <v>69.099999999999994</v>
      </c>
      <c r="D14" s="8" t="s">
        <v>3</v>
      </c>
      <c r="E14" s="8" t="s">
        <v>3</v>
      </c>
      <c r="F14" s="8" t="s">
        <v>3</v>
      </c>
      <c r="G14" s="8" t="s">
        <v>3</v>
      </c>
      <c r="H14" s="8" t="s">
        <v>3</v>
      </c>
      <c r="I14" s="8" t="s">
        <v>3</v>
      </c>
      <c r="J14" s="8" t="s">
        <v>3</v>
      </c>
      <c r="K14" s="8" t="s">
        <v>3</v>
      </c>
    </row>
    <row r="15" spans="1:12" ht="12" customHeight="1" x14ac:dyDescent="0.2">
      <c r="A15" s="2">
        <v>1968</v>
      </c>
      <c r="B15" s="20">
        <v>200.70599999999999</v>
      </c>
      <c r="C15" s="8">
        <v>64.400000000000006</v>
      </c>
      <c r="D15" s="8" t="s">
        <v>3</v>
      </c>
      <c r="E15" s="8" t="s">
        <v>3</v>
      </c>
      <c r="F15" s="8" t="s">
        <v>3</v>
      </c>
      <c r="G15" s="8" t="s">
        <v>3</v>
      </c>
      <c r="H15" s="8" t="s">
        <v>3</v>
      </c>
      <c r="I15" s="8" t="s">
        <v>3</v>
      </c>
      <c r="J15" s="8" t="s">
        <v>3</v>
      </c>
      <c r="K15" s="8" t="s">
        <v>3</v>
      </c>
    </row>
    <row r="16" spans="1:12" ht="12" customHeight="1" x14ac:dyDescent="0.2">
      <c r="A16" s="2">
        <v>1969</v>
      </c>
      <c r="B16" s="20">
        <v>202.67699999999999</v>
      </c>
      <c r="C16" s="8">
        <v>57.9</v>
      </c>
      <c r="D16" s="8" t="s">
        <v>3</v>
      </c>
      <c r="E16" s="8" t="s">
        <v>3</v>
      </c>
      <c r="F16" s="8" t="s">
        <v>3</v>
      </c>
      <c r="G16" s="8" t="s">
        <v>3</v>
      </c>
      <c r="H16" s="8" t="s">
        <v>3</v>
      </c>
      <c r="I16" s="8" t="s">
        <v>3</v>
      </c>
      <c r="J16" s="8" t="s">
        <v>3</v>
      </c>
      <c r="K16" s="8" t="s">
        <v>3</v>
      </c>
    </row>
    <row r="17" spans="1:11" ht="12" customHeight="1" x14ac:dyDescent="0.2">
      <c r="A17" s="2">
        <v>1970</v>
      </c>
      <c r="B17" s="20">
        <v>205.05199999999999</v>
      </c>
      <c r="C17" s="8">
        <v>58.7</v>
      </c>
      <c r="D17" s="8" t="s">
        <v>3</v>
      </c>
      <c r="E17" s="8">
        <v>49.815150000000003</v>
      </c>
      <c r="F17" s="8">
        <f t="shared" ref="F17:F67" si="0">SUM(C17,D17,E17)</f>
        <v>108.51515000000001</v>
      </c>
      <c r="G17" s="8" t="s">
        <v>3</v>
      </c>
      <c r="H17" s="8">
        <v>43.460410000000003</v>
      </c>
      <c r="I17" s="8">
        <f t="shared" ref="I17:I58" si="1">F17-SUM(G17,H17)</f>
        <v>65.05474000000001</v>
      </c>
      <c r="J17" s="142">
        <f t="shared" ref="J17:J58" si="2">IF(I17=0,0,IF(B17=0,0,I17/B17))</f>
        <v>0.31725971948578902</v>
      </c>
      <c r="K17" s="142">
        <f t="shared" ref="K17:K47" si="3">J17*0.92</f>
        <v>0.29187894192692593</v>
      </c>
    </row>
    <row r="18" spans="1:11" ht="12" customHeight="1" x14ac:dyDescent="0.2">
      <c r="A18" s="3">
        <v>1971</v>
      </c>
      <c r="B18" s="21">
        <v>207.661</v>
      </c>
      <c r="C18" s="9">
        <v>65.5</v>
      </c>
      <c r="D18" s="9" t="s">
        <v>3</v>
      </c>
      <c r="E18" s="9">
        <v>43.460410000000003</v>
      </c>
      <c r="F18" s="9">
        <f t="shared" si="0"/>
        <v>108.96041</v>
      </c>
      <c r="G18" s="9" t="s">
        <v>3</v>
      </c>
      <c r="H18" s="9">
        <v>46.671030000000002</v>
      </c>
      <c r="I18" s="9">
        <f t="shared" si="1"/>
        <v>62.289379999999994</v>
      </c>
      <c r="J18" s="143">
        <f t="shared" si="2"/>
        <v>0.29995704537684009</v>
      </c>
      <c r="K18" s="143">
        <f t="shared" si="3"/>
        <v>0.27596048174669291</v>
      </c>
    </row>
    <row r="19" spans="1:11" ht="12" customHeight="1" x14ac:dyDescent="0.2">
      <c r="A19" s="3">
        <v>1972</v>
      </c>
      <c r="B19" s="21">
        <v>209.89599999999999</v>
      </c>
      <c r="C19" s="9">
        <v>72.5</v>
      </c>
      <c r="D19" s="9" t="s">
        <v>3</v>
      </c>
      <c r="E19" s="9">
        <v>46.671030000000002</v>
      </c>
      <c r="F19" s="9">
        <f t="shared" si="0"/>
        <v>119.17103</v>
      </c>
      <c r="G19" s="9" t="s">
        <v>3</v>
      </c>
      <c r="H19" s="9">
        <v>60.6</v>
      </c>
      <c r="I19" s="9">
        <f t="shared" si="1"/>
        <v>58.57103</v>
      </c>
      <c r="J19" s="143">
        <f t="shared" si="2"/>
        <v>0.27904786179822388</v>
      </c>
      <c r="K19" s="143">
        <f t="shared" si="3"/>
        <v>0.25672403285436596</v>
      </c>
    </row>
    <row r="20" spans="1:11" ht="12" customHeight="1" x14ac:dyDescent="0.2">
      <c r="A20" s="3">
        <v>1973</v>
      </c>
      <c r="B20" s="21">
        <v>211.90899999999999</v>
      </c>
      <c r="C20" s="9">
        <v>64.099999999999994</v>
      </c>
      <c r="D20" s="9" t="s">
        <v>3</v>
      </c>
      <c r="E20" s="9">
        <v>60.6</v>
      </c>
      <c r="F20" s="9">
        <f t="shared" si="0"/>
        <v>124.69999999999999</v>
      </c>
      <c r="G20" s="9" t="s">
        <v>3</v>
      </c>
      <c r="H20" s="9">
        <v>68</v>
      </c>
      <c r="I20" s="9">
        <f t="shared" si="1"/>
        <v>56.699999999999989</v>
      </c>
      <c r="J20" s="143">
        <f t="shared" si="2"/>
        <v>0.26756768235421802</v>
      </c>
      <c r="K20" s="143">
        <f t="shared" si="3"/>
        <v>0.2461622677658806</v>
      </c>
    </row>
    <row r="21" spans="1:11" ht="12" customHeight="1" x14ac:dyDescent="0.2">
      <c r="A21" s="3">
        <v>1974</v>
      </c>
      <c r="B21" s="21">
        <v>213.85400000000001</v>
      </c>
      <c r="C21" s="9">
        <v>65.599999999999994</v>
      </c>
      <c r="D21" s="9" t="s">
        <v>3</v>
      </c>
      <c r="E21" s="9">
        <v>68</v>
      </c>
      <c r="F21" s="9">
        <f t="shared" si="0"/>
        <v>133.6</v>
      </c>
      <c r="G21" s="9" t="s">
        <v>3</v>
      </c>
      <c r="H21" s="9">
        <v>62.3</v>
      </c>
      <c r="I21" s="9">
        <f t="shared" si="1"/>
        <v>71.3</v>
      </c>
      <c r="J21" s="143">
        <f t="shared" si="2"/>
        <v>0.33340503334050331</v>
      </c>
      <c r="K21" s="143">
        <f t="shared" si="3"/>
        <v>0.30673263067326306</v>
      </c>
    </row>
    <row r="22" spans="1:11" ht="12" customHeight="1" x14ac:dyDescent="0.2">
      <c r="A22" s="3">
        <v>1975</v>
      </c>
      <c r="B22" s="21">
        <v>215.97300000000001</v>
      </c>
      <c r="C22" s="9">
        <v>69.599999999999994</v>
      </c>
      <c r="D22" s="9" t="s">
        <v>3</v>
      </c>
      <c r="E22" s="9">
        <v>62.3</v>
      </c>
      <c r="F22" s="9">
        <f t="shared" si="0"/>
        <v>131.89999999999998</v>
      </c>
      <c r="G22" s="9" t="s">
        <v>3</v>
      </c>
      <c r="H22" s="9">
        <v>65.2</v>
      </c>
      <c r="I22" s="9">
        <f t="shared" si="1"/>
        <v>66.699999999999974</v>
      </c>
      <c r="J22" s="143">
        <f t="shared" si="2"/>
        <v>0.30883490065887853</v>
      </c>
      <c r="K22" s="143">
        <f t="shared" si="3"/>
        <v>0.28412810860616827</v>
      </c>
    </row>
    <row r="23" spans="1:11" ht="12" customHeight="1" x14ac:dyDescent="0.2">
      <c r="A23" s="2">
        <v>1976</v>
      </c>
      <c r="B23" s="20">
        <v>218.035</v>
      </c>
      <c r="C23" s="8">
        <v>58.8</v>
      </c>
      <c r="D23" s="8" t="s">
        <v>3</v>
      </c>
      <c r="E23" s="8">
        <v>65.2</v>
      </c>
      <c r="F23" s="8">
        <f t="shared" si="0"/>
        <v>124</v>
      </c>
      <c r="G23" s="8" t="s">
        <v>3</v>
      </c>
      <c r="H23" s="8">
        <v>48.5</v>
      </c>
      <c r="I23" s="8">
        <f t="shared" si="1"/>
        <v>75.5</v>
      </c>
      <c r="J23" s="142">
        <f t="shared" si="2"/>
        <v>0.34627468067053457</v>
      </c>
      <c r="K23" s="142">
        <f t="shared" si="3"/>
        <v>0.31857270621689182</v>
      </c>
    </row>
    <row r="24" spans="1:11" ht="12" customHeight="1" x14ac:dyDescent="0.2">
      <c r="A24" s="2">
        <v>1977</v>
      </c>
      <c r="B24" s="20">
        <v>220.23899999999998</v>
      </c>
      <c r="C24" s="8">
        <v>78.3</v>
      </c>
      <c r="D24" s="8" t="s">
        <v>3</v>
      </c>
      <c r="E24" s="8">
        <v>48.5</v>
      </c>
      <c r="F24" s="8">
        <f t="shared" si="0"/>
        <v>126.8</v>
      </c>
      <c r="G24" s="8" t="s">
        <v>3</v>
      </c>
      <c r="H24" s="8">
        <v>50</v>
      </c>
      <c r="I24" s="8">
        <f t="shared" si="1"/>
        <v>76.8</v>
      </c>
      <c r="J24" s="142">
        <f t="shared" si="2"/>
        <v>0.34871208096658635</v>
      </c>
      <c r="K24" s="142">
        <f t="shared" si="3"/>
        <v>0.32081511448925948</v>
      </c>
    </row>
    <row r="25" spans="1:11" ht="12" customHeight="1" x14ac:dyDescent="0.2">
      <c r="A25" s="2">
        <v>1978</v>
      </c>
      <c r="B25" s="20">
        <v>222.58500000000001</v>
      </c>
      <c r="C25" s="8">
        <v>88.5</v>
      </c>
      <c r="D25" s="8">
        <v>9.4</v>
      </c>
      <c r="E25" s="8">
        <v>50</v>
      </c>
      <c r="F25" s="8">
        <f t="shared" si="0"/>
        <v>147.9</v>
      </c>
      <c r="G25" s="8">
        <v>3.4</v>
      </c>
      <c r="H25" s="8">
        <v>66</v>
      </c>
      <c r="I25" s="8">
        <f t="shared" si="1"/>
        <v>78.5</v>
      </c>
      <c r="J25" s="142">
        <f t="shared" si="2"/>
        <v>0.3526742592717389</v>
      </c>
      <c r="K25" s="142">
        <f t="shared" si="3"/>
        <v>0.32446031852999979</v>
      </c>
    </row>
    <row r="26" spans="1:11" ht="12" customHeight="1" x14ac:dyDescent="0.2">
      <c r="A26" s="2">
        <v>1979</v>
      </c>
      <c r="B26" s="20">
        <v>225.05500000000001</v>
      </c>
      <c r="C26" s="8">
        <v>77</v>
      </c>
      <c r="D26" s="8">
        <v>8.4</v>
      </c>
      <c r="E26" s="8">
        <v>66</v>
      </c>
      <c r="F26" s="8">
        <f t="shared" si="0"/>
        <v>151.4</v>
      </c>
      <c r="G26" s="8">
        <v>5.7</v>
      </c>
      <c r="H26" s="8">
        <v>62.8</v>
      </c>
      <c r="I26" s="8">
        <f t="shared" si="1"/>
        <v>82.9</v>
      </c>
      <c r="J26" s="142">
        <f t="shared" si="2"/>
        <v>0.36835440225722604</v>
      </c>
      <c r="K26" s="142">
        <f t="shared" si="3"/>
        <v>0.33888605007664796</v>
      </c>
    </row>
    <row r="27" spans="1:11" ht="12" customHeight="1" x14ac:dyDescent="0.2">
      <c r="A27" s="2">
        <v>1980</v>
      </c>
      <c r="B27" s="20">
        <v>227.726</v>
      </c>
      <c r="C27" s="8">
        <v>72.900000000000006</v>
      </c>
      <c r="D27" s="8">
        <v>9.1</v>
      </c>
      <c r="E27" s="8">
        <v>62.8</v>
      </c>
      <c r="F27" s="8">
        <f t="shared" si="0"/>
        <v>144.80000000000001</v>
      </c>
      <c r="G27" s="8">
        <v>6.8</v>
      </c>
      <c r="H27" s="8">
        <v>73</v>
      </c>
      <c r="I27" s="8">
        <f t="shared" si="1"/>
        <v>65.000000000000014</v>
      </c>
      <c r="J27" s="142">
        <f t="shared" si="2"/>
        <v>0.28543073693825044</v>
      </c>
      <c r="K27" s="142">
        <f t="shared" si="3"/>
        <v>0.26259627798319041</v>
      </c>
    </row>
    <row r="28" spans="1:11" ht="12" customHeight="1" x14ac:dyDescent="0.2">
      <c r="A28" s="3">
        <v>1981</v>
      </c>
      <c r="B28" s="21">
        <v>229.96600000000001</v>
      </c>
      <c r="C28" s="9">
        <v>74.3</v>
      </c>
      <c r="D28" s="9">
        <v>13.6</v>
      </c>
      <c r="E28" s="9">
        <v>73</v>
      </c>
      <c r="F28" s="9">
        <f t="shared" si="0"/>
        <v>160.89999999999998</v>
      </c>
      <c r="G28" s="9">
        <v>9.1999999999999993</v>
      </c>
      <c r="H28" s="9">
        <v>68.099999999999994</v>
      </c>
      <c r="I28" s="9">
        <f t="shared" si="1"/>
        <v>83.59999999999998</v>
      </c>
      <c r="J28" s="143">
        <f t="shared" si="2"/>
        <v>0.36353200038266514</v>
      </c>
      <c r="K28" s="143">
        <f t="shared" si="3"/>
        <v>0.33444944035205193</v>
      </c>
    </row>
    <row r="29" spans="1:11" ht="12" customHeight="1" x14ac:dyDescent="0.2">
      <c r="A29" s="3">
        <v>1982</v>
      </c>
      <c r="B29" s="21">
        <v>232.18799999999999</v>
      </c>
      <c r="C29" s="9">
        <v>61.8</v>
      </c>
      <c r="D29" s="9">
        <v>13</v>
      </c>
      <c r="E29" s="9">
        <v>68.099999999999994</v>
      </c>
      <c r="F29" s="9">
        <f t="shared" si="0"/>
        <v>142.89999999999998</v>
      </c>
      <c r="G29" s="9">
        <v>8.1999999999999993</v>
      </c>
      <c r="H29" s="9">
        <v>60.5</v>
      </c>
      <c r="I29" s="9">
        <f t="shared" si="1"/>
        <v>74.199999999999974</v>
      </c>
      <c r="J29" s="143">
        <f t="shared" si="2"/>
        <v>0.31956862542422509</v>
      </c>
      <c r="K29" s="143">
        <f t="shared" si="3"/>
        <v>0.29400313539028711</v>
      </c>
    </row>
    <row r="30" spans="1:11" ht="12" customHeight="1" x14ac:dyDescent="0.2">
      <c r="A30" s="3">
        <v>1983</v>
      </c>
      <c r="B30" s="21">
        <v>234.30699999999999</v>
      </c>
      <c r="C30" s="9">
        <v>50.5</v>
      </c>
      <c r="D30" s="9">
        <v>14.5</v>
      </c>
      <c r="E30" s="9">
        <v>60.5</v>
      </c>
      <c r="F30" s="9">
        <f t="shared" si="0"/>
        <v>125.5</v>
      </c>
      <c r="G30" s="9">
        <v>4.5</v>
      </c>
      <c r="H30" s="9">
        <v>52.2</v>
      </c>
      <c r="I30" s="9">
        <f t="shared" si="1"/>
        <v>68.8</v>
      </c>
      <c r="J30" s="143">
        <f t="shared" si="2"/>
        <v>0.29363185905670763</v>
      </c>
      <c r="K30" s="143">
        <f t="shared" si="3"/>
        <v>0.27014131033217104</v>
      </c>
    </row>
    <row r="31" spans="1:11" ht="12" customHeight="1" x14ac:dyDescent="0.2">
      <c r="A31" s="3">
        <v>1984</v>
      </c>
      <c r="B31" s="21">
        <v>236.34800000000001</v>
      </c>
      <c r="C31" s="9">
        <v>63.1</v>
      </c>
      <c r="D31" s="9">
        <v>21.5</v>
      </c>
      <c r="E31" s="9">
        <v>52.2</v>
      </c>
      <c r="F31" s="9">
        <f t="shared" si="0"/>
        <v>136.80000000000001</v>
      </c>
      <c r="G31" s="9">
        <v>8</v>
      </c>
      <c r="H31" s="9">
        <v>56.3</v>
      </c>
      <c r="I31" s="9">
        <f t="shared" si="1"/>
        <v>72.500000000000014</v>
      </c>
      <c r="J31" s="143">
        <f t="shared" si="2"/>
        <v>0.30675106199333191</v>
      </c>
      <c r="K31" s="143">
        <f t="shared" si="3"/>
        <v>0.28221097703386538</v>
      </c>
    </row>
    <row r="32" spans="1:11" ht="12" customHeight="1" x14ac:dyDescent="0.2">
      <c r="A32" s="3">
        <v>1985</v>
      </c>
      <c r="B32" s="21">
        <v>238.46600000000001</v>
      </c>
      <c r="C32" s="9">
        <v>68.3</v>
      </c>
      <c r="D32" s="9">
        <v>22.6</v>
      </c>
      <c r="E32" s="9">
        <v>56.3</v>
      </c>
      <c r="F32" s="9">
        <f t="shared" si="0"/>
        <v>147.19999999999999</v>
      </c>
      <c r="G32" s="9">
        <v>9.6999999999999993</v>
      </c>
      <c r="H32" s="9">
        <v>59.1</v>
      </c>
      <c r="I32" s="9">
        <f t="shared" si="1"/>
        <v>78.399999999999991</v>
      </c>
      <c r="J32" s="143">
        <f t="shared" si="2"/>
        <v>0.32876804240436786</v>
      </c>
      <c r="K32" s="143">
        <f t="shared" si="3"/>
        <v>0.30246659901201844</v>
      </c>
    </row>
    <row r="33" spans="1:11" ht="12" customHeight="1" x14ac:dyDescent="0.2">
      <c r="A33" s="2">
        <v>1986</v>
      </c>
      <c r="B33" s="20">
        <v>240.65100000000001</v>
      </c>
      <c r="C33" s="8">
        <v>53.7</v>
      </c>
      <c r="D33" s="8">
        <v>16.899999999999999</v>
      </c>
      <c r="E33" s="8">
        <v>59.1</v>
      </c>
      <c r="F33" s="8">
        <f t="shared" si="0"/>
        <v>129.69999999999999</v>
      </c>
      <c r="G33" s="8">
        <v>10.5</v>
      </c>
      <c r="H33" s="8">
        <v>40.6</v>
      </c>
      <c r="I33" s="8">
        <f t="shared" si="1"/>
        <v>78.599999999999994</v>
      </c>
      <c r="J33" s="142">
        <f t="shared" si="2"/>
        <v>0.3266140593639752</v>
      </c>
      <c r="K33" s="142">
        <f t="shared" si="3"/>
        <v>0.3004849346148572</v>
      </c>
    </row>
    <row r="34" spans="1:11" ht="12" customHeight="1" x14ac:dyDescent="0.2">
      <c r="A34" s="2">
        <v>1987</v>
      </c>
      <c r="B34" s="20">
        <v>242.804</v>
      </c>
      <c r="C34" s="8">
        <v>53.2</v>
      </c>
      <c r="D34" s="8">
        <v>27.5</v>
      </c>
      <c r="E34" s="8">
        <v>40.6</v>
      </c>
      <c r="F34" s="8">
        <f t="shared" si="0"/>
        <v>121.30000000000001</v>
      </c>
      <c r="G34" s="8">
        <v>9.6999999999999993</v>
      </c>
      <c r="H34" s="8">
        <v>48.8</v>
      </c>
      <c r="I34" s="8">
        <f t="shared" si="1"/>
        <v>62.800000000000011</v>
      </c>
      <c r="J34" s="142">
        <f t="shared" si="2"/>
        <v>0.25864483286931028</v>
      </c>
      <c r="K34" s="142">
        <f t="shared" si="3"/>
        <v>0.23795324623976546</v>
      </c>
    </row>
    <row r="35" spans="1:11" ht="12" customHeight="1" x14ac:dyDescent="0.2">
      <c r="A35" s="2">
        <v>1988</v>
      </c>
      <c r="B35" s="20">
        <v>245.02099999999999</v>
      </c>
      <c r="C35" s="8">
        <v>53.7</v>
      </c>
      <c r="D35" s="8">
        <v>19</v>
      </c>
      <c r="E35" s="8">
        <v>48.8</v>
      </c>
      <c r="F35" s="8">
        <f t="shared" si="0"/>
        <v>121.5</v>
      </c>
      <c r="G35" s="8">
        <v>9.4</v>
      </c>
      <c r="H35" s="8">
        <v>49.4</v>
      </c>
      <c r="I35" s="8">
        <f t="shared" si="1"/>
        <v>62.7</v>
      </c>
      <c r="J35" s="142">
        <f t="shared" si="2"/>
        <v>0.2558964333669359</v>
      </c>
      <c r="K35" s="142">
        <f t="shared" si="3"/>
        <v>0.23542471869758105</v>
      </c>
    </row>
    <row r="36" spans="1:11" ht="12" customHeight="1" x14ac:dyDescent="0.2">
      <c r="A36" s="2">
        <v>1989</v>
      </c>
      <c r="B36" s="20">
        <v>247.34200000000001</v>
      </c>
      <c r="C36" s="8">
        <v>61.8</v>
      </c>
      <c r="D36" s="8">
        <v>27.2</v>
      </c>
      <c r="E36" s="8">
        <v>49.4</v>
      </c>
      <c r="F36" s="8">
        <f t="shared" si="0"/>
        <v>138.4</v>
      </c>
      <c r="G36" s="8">
        <v>10</v>
      </c>
      <c r="H36" s="8">
        <v>45.1</v>
      </c>
      <c r="I36" s="8">
        <f t="shared" si="1"/>
        <v>83.300000000000011</v>
      </c>
      <c r="J36" s="142">
        <f t="shared" si="2"/>
        <v>0.33678065189090411</v>
      </c>
      <c r="K36" s="142">
        <f t="shared" si="3"/>
        <v>0.30983819973963178</v>
      </c>
    </row>
    <row r="37" spans="1:11" ht="12" customHeight="1" x14ac:dyDescent="0.2">
      <c r="A37" s="2">
        <v>1990</v>
      </c>
      <c r="B37" s="20">
        <v>250.13200000000001</v>
      </c>
      <c r="C37" s="8">
        <v>58.7</v>
      </c>
      <c r="D37" s="8">
        <v>24.3</v>
      </c>
      <c r="E37" s="8">
        <v>45.1</v>
      </c>
      <c r="F37" s="8">
        <f t="shared" si="0"/>
        <v>128.1</v>
      </c>
      <c r="G37" s="8">
        <v>6.7</v>
      </c>
      <c r="H37" s="8">
        <v>42.1</v>
      </c>
      <c r="I37" s="8">
        <f t="shared" si="1"/>
        <v>79.299999999999983</v>
      </c>
      <c r="J37" s="142">
        <f t="shared" si="2"/>
        <v>0.31703260678361816</v>
      </c>
      <c r="K37" s="142">
        <f t="shared" si="3"/>
        <v>0.29166999824092871</v>
      </c>
    </row>
    <row r="38" spans="1:11" ht="12" customHeight="1" x14ac:dyDescent="0.2">
      <c r="A38" s="3">
        <v>1991</v>
      </c>
      <c r="B38" s="21">
        <v>253.49299999999999</v>
      </c>
      <c r="C38" s="9">
        <v>52.8</v>
      </c>
      <c r="D38" s="9">
        <v>16.399999999999999</v>
      </c>
      <c r="E38" s="9">
        <v>42.1</v>
      </c>
      <c r="F38" s="9">
        <f t="shared" si="0"/>
        <v>111.29999999999998</v>
      </c>
      <c r="G38" s="9">
        <v>6</v>
      </c>
      <c r="H38" s="9">
        <v>29.5</v>
      </c>
      <c r="I38" s="9">
        <f t="shared" si="1"/>
        <v>75.799999999999983</v>
      </c>
      <c r="J38" s="143">
        <f t="shared" si="2"/>
        <v>0.29902206372562551</v>
      </c>
      <c r="K38" s="143">
        <f t="shared" si="3"/>
        <v>0.27510029862757546</v>
      </c>
    </row>
    <row r="39" spans="1:11" ht="12" customHeight="1" x14ac:dyDescent="0.2">
      <c r="A39" s="3">
        <v>1992</v>
      </c>
      <c r="B39" s="21">
        <v>256.89400000000001</v>
      </c>
      <c r="C39" s="9">
        <v>56</v>
      </c>
      <c r="D39" s="9">
        <v>28.2</v>
      </c>
      <c r="E39" s="9">
        <v>29.5</v>
      </c>
      <c r="F39" s="9">
        <f t="shared" si="0"/>
        <v>113.7</v>
      </c>
      <c r="G39" s="9">
        <v>6</v>
      </c>
      <c r="H39" s="9">
        <v>35.200000000000003</v>
      </c>
      <c r="I39" s="9">
        <f t="shared" si="1"/>
        <v>72.5</v>
      </c>
      <c r="J39" s="143">
        <f t="shared" si="2"/>
        <v>0.2822175683355781</v>
      </c>
      <c r="K39" s="143">
        <f t="shared" si="3"/>
        <v>0.25964016286873187</v>
      </c>
    </row>
    <row r="40" spans="1:11" ht="12" customHeight="1" x14ac:dyDescent="0.2">
      <c r="A40" s="3">
        <v>1993</v>
      </c>
      <c r="B40" s="21">
        <v>260.255</v>
      </c>
      <c r="C40" s="9">
        <v>80</v>
      </c>
      <c r="D40" s="9">
        <v>27.1</v>
      </c>
      <c r="E40" s="9">
        <v>35.200000000000003</v>
      </c>
      <c r="F40" s="9">
        <f t="shared" si="0"/>
        <v>142.30000000000001</v>
      </c>
      <c r="G40" s="9">
        <v>6.1</v>
      </c>
      <c r="H40" s="9">
        <v>45.7</v>
      </c>
      <c r="I40" s="9">
        <f t="shared" si="1"/>
        <v>90.5</v>
      </c>
      <c r="J40" s="143">
        <f t="shared" si="2"/>
        <v>0.34773587443084669</v>
      </c>
      <c r="K40" s="143">
        <f t="shared" si="3"/>
        <v>0.319917004476379</v>
      </c>
    </row>
    <row r="41" spans="1:11" ht="12" customHeight="1" x14ac:dyDescent="0.2">
      <c r="A41" s="3">
        <v>1994</v>
      </c>
      <c r="B41" s="21">
        <v>263.43599999999998</v>
      </c>
      <c r="C41" s="9">
        <v>63</v>
      </c>
      <c r="D41" s="9">
        <v>23.5</v>
      </c>
      <c r="E41" s="9">
        <v>45.7</v>
      </c>
      <c r="F41" s="9">
        <f t="shared" si="0"/>
        <v>132.19999999999999</v>
      </c>
      <c r="G41" s="9">
        <v>6.7</v>
      </c>
      <c r="H41" s="9">
        <v>40.200000000000003</v>
      </c>
      <c r="I41" s="9">
        <f t="shared" si="1"/>
        <v>85.299999999999983</v>
      </c>
      <c r="J41" s="143">
        <f t="shared" si="2"/>
        <v>0.32379781047389117</v>
      </c>
      <c r="K41" s="143">
        <f t="shared" si="3"/>
        <v>0.29789398563597991</v>
      </c>
    </row>
    <row r="42" spans="1:11" ht="12" customHeight="1" x14ac:dyDescent="0.2">
      <c r="A42" s="3">
        <v>1995</v>
      </c>
      <c r="B42" s="21">
        <v>266.55700000000002</v>
      </c>
      <c r="C42" s="9">
        <v>56.1</v>
      </c>
      <c r="D42" s="9">
        <v>24.1</v>
      </c>
      <c r="E42" s="9">
        <v>40.200000000000003</v>
      </c>
      <c r="F42" s="9">
        <f t="shared" si="0"/>
        <v>120.4</v>
      </c>
      <c r="G42" s="9">
        <v>6</v>
      </c>
      <c r="H42" s="9">
        <v>25.1</v>
      </c>
      <c r="I42" s="9">
        <f t="shared" si="1"/>
        <v>89.300000000000011</v>
      </c>
      <c r="J42" s="143">
        <f t="shared" si="2"/>
        <v>0.33501277400330887</v>
      </c>
      <c r="K42" s="143">
        <f t="shared" si="3"/>
        <v>0.30821175208304419</v>
      </c>
    </row>
    <row r="43" spans="1:11" ht="12" customHeight="1" x14ac:dyDescent="0.2">
      <c r="A43" s="2">
        <v>1996</v>
      </c>
      <c r="B43" s="20">
        <v>269.66699999999997</v>
      </c>
      <c r="C43" s="8">
        <v>68.400000000000006</v>
      </c>
      <c r="D43" s="8">
        <v>25.8</v>
      </c>
      <c r="E43" s="8">
        <v>25.1</v>
      </c>
      <c r="F43" s="8">
        <f t="shared" si="0"/>
        <v>119.30000000000001</v>
      </c>
      <c r="G43" s="8">
        <v>8.5</v>
      </c>
      <c r="H43" s="8">
        <v>21.7</v>
      </c>
      <c r="I43" s="8">
        <f t="shared" si="1"/>
        <v>89.100000000000009</v>
      </c>
      <c r="J43" s="142">
        <f t="shared" si="2"/>
        <v>0.33040750258652346</v>
      </c>
      <c r="K43" s="142">
        <f t="shared" si="3"/>
        <v>0.30397490237960162</v>
      </c>
    </row>
    <row r="44" spans="1:11" ht="12" customHeight="1" x14ac:dyDescent="0.2">
      <c r="A44" s="2">
        <v>1997</v>
      </c>
      <c r="B44" s="20">
        <v>272.91199999999998</v>
      </c>
      <c r="C44" s="8">
        <v>51.2</v>
      </c>
      <c r="D44" s="8">
        <v>29.1</v>
      </c>
      <c r="E44" s="8">
        <v>21.7</v>
      </c>
      <c r="F44" s="8">
        <f t="shared" si="0"/>
        <v>102.00000000000001</v>
      </c>
      <c r="G44" s="8">
        <v>7.9</v>
      </c>
      <c r="H44" s="8">
        <v>26.5</v>
      </c>
      <c r="I44" s="8">
        <f t="shared" si="1"/>
        <v>67.600000000000023</v>
      </c>
      <c r="J44" s="142">
        <f t="shared" si="2"/>
        <v>0.24769889195051895</v>
      </c>
      <c r="K44" s="142">
        <f t="shared" si="3"/>
        <v>0.22788298059447745</v>
      </c>
    </row>
    <row r="45" spans="1:11" ht="12" customHeight="1" x14ac:dyDescent="0.2">
      <c r="A45" s="2">
        <v>1998</v>
      </c>
      <c r="B45" s="20">
        <v>276.11500000000001</v>
      </c>
      <c r="C45" s="8">
        <v>51.2</v>
      </c>
      <c r="D45" s="8">
        <v>32.299999999999997</v>
      </c>
      <c r="E45" s="8">
        <v>26.5</v>
      </c>
      <c r="F45" s="8">
        <f t="shared" si="0"/>
        <v>110</v>
      </c>
      <c r="G45" s="8">
        <v>7.4</v>
      </c>
      <c r="H45" s="8">
        <v>24.9</v>
      </c>
      <c r="I45" s="8">
        <f t="shared" si="1"/>
        <v>77.7</v>
      </c>
      <c r="J45" s="142">
        <f t="shared" si="2"/>
        <v>0.2814044872607428</v>
      </c>
      <c r="K45" s="142">
        <f t="shared" si="3"/>
        <v>0.25889212827988339</v>
      </c>
    </row>
    <row r="46" spans="1:11" ht="12" customHeight="1" x14ac:dyDescent="0.2">
      <c r="A46" s="2">
        <v>1999</v>
      </c>
      <c r="B46" s="20">
        <v>279.29500000000002</v>
      </c>
      <c r="C46" s="8">
        <v>57.6</v>
      </c>
      <c r="D46" s="8">
        <v>31.1</v>
      </c>
      <c r="E46" s="8">
        <v>24.9</v>
      </c>
      <c r="F46" s="8">
        <f t="shared" si="0"/>
        <v>113.6</v>
      </c>
      <c r="G46" s="8">
        <v>7.5</v>
      </c>
      <c r="H46" s="8">
        <v>34.1</v>
      </c>
      <c r="I46" s="8">
        <f t="shared" si="1"/>
        <v>72</v>
      </c>
      <c r="J46" s="142">
        <f t="shared" si="2"/>
        <v>0.25779194042141818</v>
      </c>
      <c r="K46" s="142">
        <f t="shared" si="3"/>
        <v>0.23716858518770473</v>
      </c>
    </row>
    <row r="47" spans="1:11" ht="12" customHeight="1" x14ac:dyDescent="0.2">
      <c r="A47" s="2">
        <v>2000</v>
      </c>
      <c r="B47" s="20">
        <v>282.38499999999999</v>
      </c>
      <c r="C47" s="8">
        <v>46.8</v>
      </c>
      <c r="D47" s="8">
        <v>32.091064733800003</v>
      </c>
      <c r="E47" s="8">
        <v>34.1</v>
      </c>
      <c r="F47" s="8">
        <f t="shared" si="0"/>
        <v>112.99106473379999</v>
      </c>
      <c r="G47" s="8">
        <v>6.9355359999999999</v>
      </c>
      <c r="H47" s="8">
        <v>26.110560000000003</v>
      </c>
      <c r="I47" s="8">
        <f t="shared" si="1"/>
        <v>79.944968733799982</v>
      </c>
      <c r="J47" s="142">
        <f t="shared" si="2"/>
        <v>0.28310628657258702</v>
      </c>
      <c r="K47" s="142">
        <f t="shared" si="3"/>
        <v>0.26045778364678007</v>
      </c>
    </row>
    <row r="48" spans="1:11" ht="12" customHeight="1" x14ac:dyDescent="0.2">
      <c r="A48" s="3">
        <v>2001</v>
      </c>
      <c r="B48" s="21">
        <v>285.30901899999998</v>
      </c>
      <c r="C48" s="9">
        <v>39.6</v>
      </c>
      <c r="D48" s="9">
        <v>31.933430869000006</v>
      </c>
      <c r="E48" s="9">
        <v>26.110560000000003</v>
      </c>
      <c r="F48" s="9">
        <f t="shared" si="0"/>
        <v>97.643990869000007</v>
      </c>
      <c r="G48" s="9">
        <v>8.6636970000000009</v>
      </c>
      <c r="H48" s="9">
        <v>23.401350000000001</v>
      </c>
      <c r="I48" s="9">
        <f t="shared" si="1"/>
        <v>65.578943869</v>
      </c>
      <c r="J48" s="143">
        <f t="shared" si="2"/>
        <v>0.2298523337918035</v>
      </c>
      <c r="K48" s="143">
        <f t="shared" ref="K48:K53" si="4">J48*0.92</f>
        <v>0.21146414708845923</v>
      </c>
    </row>
    <row r="49" spans="1:12" ht="12" customHeight="1" x14ac:dyDescent="0.2">
      <c r="A49" s="3">
        <v>2002</v>
      </c>
      <c r="B49" s="21">
        <v>288.10481800000002</v>
      </c>
      <c r="C49" s="9">
        <v>32.799999999999997</v>
      </c>
      <c r="D49" s="9">
        <v>36.231679213500001</v>
      </c>
      <c r="E49" s="9">
        <v>23.401350000000001</v>
      </c>
      <c r="F49" s="9">
        <f t="shared" si="0"/>
        <v>92.433029213499992</v>
      </c>
      <c r="G49" s="9">
        <v>7.6865639999999997</v>
      </c>
      <c r="H49" s="9">
        <v>26.892600000000002</v>
      </c>
      <c r="I49" s="9">
        <f t="shared" si="1"/>
        <v>57.853865213499994</v>
      </c>
      <c r="J49" s="143">
        <f t="shared" si="2"/>
        <v>0.20080839194261579</v>
      </c>
      <c r="K49" s="143">
        <f t="shared" si="4"/>
        <v>0.18474372058720653</v>
      </c>
    </row>
    <row r="50" spans="1:12" ht="12" customHeight="1" x14ac:dyDescent="0.2">
      <c r="A50" s="3">
        <v>2003</v>
      </c>
      <c r="B50" s="21">
        <v>290.81963400000001</v>
      </c>
      <c r="C50" s="9">
        <v>31.963999999999999</v>
      </c>
      <c r="D50" s="9">
        <v>41.092688334799995</v>
      </c>
      <c r="E50" s="9">
        <v>26.892600000000002</v>
      </c>
      <c r="F50" s="9">
        <f t="shared" si="0"/>
        <v>99.949288334799988</v>
      </c>
      <c r="G50" s="9">
        <v>5.7270978000000001</v>
      </c>
      <c r="H50" s="9">
        <v>25.170250000000003</v>
      </c>
      <c r="I50" s="9">
        <f t="shared" si="1"/>
        <v>69.051940534799982</v>
      </c>
      <c r="J50" s="143">
        <f t="shared" si="2"/>
        <v>0.23743906002852608</v>
      </c>
      <c r="K50" s="143">
        <f t="shared" si="4"/>
        <v>0.218443935226244</v>
      </c>
    </row>
    <row r="51" spans="1:12" ht="12" customHeight="1" x14ac:dyDescent="0.2">
      <c r="A51" s="3">
        <v>2004</v>
      </c>
      <c r="B51" s="21">
        <v>293.46318500000001</v>
      </c>
      <c r="C51" s="9">
        <v>39.277999999999999</v>
      </c>
      <c r="D51" s="9">
        <v>44.444761293500008</v>
      </c>
      <c r="E51" s="9">
        <v>25.170250000000003</v>
      </c>
      <c r="F51" s="9">
        <f t="shared" si="0"/>
        <v>108.89301129350002</v>
      </c>
      <c r="G51" s="9">
        <v>6.1379839499999997</v>
      </c>
      <c r="H51" s="9">
        <v>30.80546</v>
      </c>
      <c r="I51" s="9">
        <f t="shared" si="1"/>
        <v>71.949567343500021</v>
      </c>
      <c r="J51" s="143">
        <f t="shared" si="2"/>
        <v>0.24517408322785025</v>
      </c>
      <c r="K51" s="143">
        <f t="shared" si="4"/>
        <v>0.22556015656962225</v>
      </c>
    </row>
    <row r="52" spans="1:12" ht="12" customHeight="1" x14ac:dyDescent="0.2">
      <c r="A52" s="3">
        <v>2005</v>
      </c>
      <c r="B52" s="21">
        <v>296.186216</v>
      </c>
      <c r="C52" s="9">
        <v>45.765999999999998</v>
      </c>
      <c r="D52" s="9">
        <v>43.368196752500005</v>
      </c>
      <c r="E52" s="9">
        <v>30.80546</v>
      </c>
      <c r="F52" s="9">
        <f t="shared" si="0"/>
        <v>119.9396567525</v>
      </c>
      <c r="G52" s="9">
        <v>5.9348348399999997</v>
      </c>
      <c r="H52" s="9">
        <v>28.8078</v>
      </c>
      <c r="I52" s="9">
        <f t="shared" si="1"/>
        <v>85.197021912499991</v>
      </c>
      <c r="J52" s="143">
        <f t="shared" si="2"/>
        <v>0.28764681578733559</v>
      </c>
      <c r="K52" s="143">
        <f t="shared" si="4"/>
        <v>0.26463507052434876</v>
      </c>
    </row>
    <row r="53" spans="1:12" ht="12" customHeight="1" x14ac:dyDescent="0.2">
      <c r="A53" s="2">
        <v>2006</v>
      </c>
      <c r="B53" s="20">
        <v>298.99582500000002</v>
      </c>
      <c r="C53" s="8">
        <v>41.9</v>
      </c>
      <c r="D53" s="8">
        <v>49.274735058200001</v>
      </c>
      <c r="E53" s="8">
        <v>28.8078</v>
      </c>
      <c r="F53" s="8">
        <f t="shared" si="0"/>
        <v>119.9825350582</v>
      </c>
      <c r="G53" s="8">
        <v>6.7898966999999999</v>
      </c>
      <c r="H53" s="8">
        <v>28.794499999999999</v>
      </c>
      <c r="I53" s="8">
        <f t="shared" si="1"/>
        <v>84.398138358200001</v>
      </c>
      <c r="J53" s="142">
        <f t="shared" si="2"/>
        <v>0.28227196268777327</v>
      </c>
      <c r="K53" s="142">
        <f t="shared" si="4"/>
        <v>0.25969020567275142</v>
      </c>
    </row>
    <row r="54" spans="1:12" ht="12" customHeight="1" x14ac:dyDescent="0.2">
      <c r="A54" s="2">
        <v>2007</v>
      </c>
      <c r="B54" s="20">
        <v>302.003917</v>
      </c>
      <c r="C54" s="8">
        <v>45.805999999999997</v>
      </c>
      <c r="D54" s="8">
        <v>52.050840792300008</v>
      </c>
      <c r="E54" s="8">
        <v>28.794499999999999</v>
      </c>
      <c r="F54" s="8">
        <f t="shared" si="0"/>
        <v>126.6513407923</v>
      </c>
      <c r="G54" s="8">
        <v>7.1766289399999996</v>
      </c>
      <c r="H54" s="8">
        <v>28.583030000000001</v>
      </c>
      <c r="I54" s="8">
        <f t="shared" si="1"/>
        <v>90.891681852299996</v>
      </c>
      <c r="J54" s="142">
        <f t="shared" si="2"/>
        <v>0.30096193041198205</v>
      </c>
      <c r="K54" s="142">
        <f t="shared" ref="K54:K59" si="5">J54*0.92</f>
        <v>0.27688497597902351</v>
      </c>
    </row>
    <row r="55" spans="1:12" ht="12" customHeight="1" x14ac:dyDescent="0.2">
      <c r="A55" s="2">
        <v>2008</v>
      </c>
      <c r="B55" s="20">
        <v>304.79776099999998</v>
      </c>
      <c r="C55" s="8">
        <v>38.652000000000001</v>
      </c>
      <c r="D55" s="8">
        <v>66.230669821700005</v>
      </c>
      <c r="E55" s="8">
        <v>28.583030000000001</v>
      </c>
      <c r="F55" s="8">
        <f t="shared" si="0"/>
        <v>133.46569982170001</v>
      </c>
      <c r="G55" s="8">
        <v>6.9156019300000002</v>
      </c>
      <c r="H55" s="8">
        <v>27.995170000000002</v>
      </c>
      <c r="I55" s="8">
        <f t="shared" si="1"/>
        <v>98.554927891700004</v>
      </c>
      <c r="J55" s="142">
        <f t="shared" si="2"/>
        <v>0.32334531450741205</v>
      </c>
      <c r="K55" s="142">
        <f t="shared" si="5"/>
        <v>0.29747768934681912</v>
      </c>
    </row>
    <row r="56" spans="1:12" ht="12" customHeight="1" x14ac:dyDescent="0.2">
      <c r="A56" s="2">
        <v>2009</v>
      </c>
      <c r="B56" s="20">
        <v>307.43940600000002</v>
      </c>
      <c r="C56" s="8">
        <v>38.526000000000003</v>
      </c>
      <c r="D56" s="8">
        <v>54.734412643000006</v>
      </c>
      <c r="E56" s="8">
        <v>27.995170000000002</v>
      </c>
      <c r="F56" s="8">
        <f t="shared" si="0"/>
        <v>121.25558264300001</v>
      </c>
      <c r="G56" s="8">
        <v>7.2475849999999999</v>
      </c>
      <c r="H56" s="8">
        <v>27.649370000000005</v>
      </c>
      <c r="I56" s="8">
        <f t="shared" si="1"/>
        <v>86.358627643000005</v>
      </c>
      <c r="J56" s="142">
        <f t="shared" si="2"/>
        <v>0.28089641717236469</v>
      </c>
      <c r="K56" s="142">
        <f t="shared" si="5"/>
        <v>0.25842470379857552</v>
      </c>
    </row>
    <row r="57" spans="1:12" ht="12" customHeight="1" x14ac:dyDescent="0.2">
      <c r="A57" s="2">
        <v>2010</v>
      </c>
      <c r="B57" s="20">
        <v>309.74127900000002</v>
      </c>
      <c r="C57" s="8">
        <v>34.31</v>
      </c>
      <c r="D57" s="8">
        <v>55.079296000000006</v>
      </c>
      <c r="E57" s="8">
        <v>27.649370000000005</v>
      </c>
      <c r="F57" s="8">
        <f t="shared" si="0"/>
        <v>117.03866600000001</v>
      </c>
      <c r="G57" s="8">
        <v>7.2018699999999995</v>
      </c>
      <c r="H57" s="8">
        <v>23.73385</v>
      </c>
      <c r="I57" s="8">
        <f t="shared" si="1"/>
        <v>86.102946000000003</v>
      </c>
      <c r="J57" s="142">
        <f t="shared" si="2"/>
        <v>0.27798343920443358</v>
      </c>
      <c r="K57" s="142">
        <f t="shared" si="5"/>
        <v>0.25574476406807889</v>
      </c>
    </row>
    <row r="58" spans="1:12" ht="12" customHeight="1" x14ac:dyDescent="0.2">
      <c r="A58" s="33">
        <v>2011</v>
      </c>
      <c r="B58" s="31">
        <v>311.97391399999998</v>
      </c>
      <c r="C58" s="39">
        <v>36.69</v>
      </c>
      <c r="D58" s="39">
        <v>75.60655890000001</v>
      </c>
      <c r="E58" s="39">
        <v>23.73385</v>
      </c>
      <c r="F58" s="39">
        <f t="shared" si="0"/>
        <v>136.0304089</v>
      </c>
      <c r="G58" s="39">
        <v>10.980739999999999</v>
      </c>
      <c r="H58" s="39">
        <v>14.80955</v>
      </c>
      <c r="I58" s="39">
        <f t="shared" si="1"/>
        <v>110.2401189</v>
      </c>
      <c r="J58" s="144">
        <f t="shared" si="2"/>
        <v>0.35336325876271824</v>
      </c>
      <c r="K58" s="144">
        <f t="shared" si="5"/>
        <v>0.32509419806170081</v>
      </c>
    </row>
    <row r="59" spans="1:12" s="43" customFormat="1" ht="12" customHeight="1" x14ac:dyDescent="0.2">
      <c r="A59" s="33">
        <v>2012</v>
      </c>
      <c r="B59" s="31">
        <v>314.16755799999999</v>
      </c>
      <c r="C59" s="39">
        <v>45.484000000000002</v>
      </c>
      <c r="D59" s="39">
        <v>95.439706440434406</v>
      </c>
      <c r="E59" s="39">
        <v>14.80955</v>
      </c>
      <c r="F59" s="39">
        <f t="shared" si="0"/>
        <v>155.73325644043442</v>
      </c>
      <c r="G59" s="39">
        <v>9.2909322706200008</v>
      </c>
      <c r="H59" s="39">
        <v>18.171790000000001</v>
      </c>
      <c r="I59" s="39">
        <f t="shared" ref="I59" si="6">F59-SUM(G59,H59)</f>
        <v>128.27053416981443</v>
      </c>
      <c r="J59" s="144">
        <f t="shared" ref="J59" si="7">IF(I59=0,0,IF(B59=0,0,I59/B59))</f>
        <v>0.40828701405832118</v>
      </c>
      <c r="K59" s="144">
        <f t="shared" si="5"/>
        <v>0.37562405293365553</v>
      </c>
      <c r="L59"/>
    </row>
    <row r="60" spans="1:12" s="93" customFormat="1" ht="12" customHeight="1" x14ac:dyDescent="0.2">
      <c r="A60" s="33">
        <v>2013</v>
      </c>
      <c r="B60" s="31">
        <v>316.29476599999998</v>
      </c>
      <c r="C60" s="39">
        <v>40.774000000000001</v>
      </c>
      <c r="D60" s="39">
        <v>109.7154616722714</v>
      </c>
      <c r="E60" s="39">
        <v>18.171790000000001</v>
      </c>
      <c r="F60" s="39">
        <f t="shared" si="0"/>
        <v>168.66125167227142</v>
      </c>
      <c r="G60" s="39">
        <v>13.776498419640001</v>
      </c>
      <c r="H60" s="39">
        <v>18.103960000000001</v>
      </c>
      <c r="I60" s="39">
        <f t="shared" ref="I60" si="8">F60-SUM(G60,H60)</f>
        <v>136.78079325263141</v>
      </c>
      <c r="J60" s="144">
        <f t="shared" ref="J60" si="9">IF(I60=0,0,IF(B60=0,0,I60/B60))</f>
        <v>0.43244722314700401</v>
      </c>
      <c r="K60" s="144">
        <f t="shared" ref="K60" si="10">J60*0.92</f>
        <v>0.39785144529524369</v>
      </c>
      <c r="L60" s="83"/>
    </row>
    <row r="61" spans="1:12" s="93" customFormat="1" ht="12" customHeight="1" x14ac:dyDescent="0.2">
      <c r="A61" s="33">
        <v>2014</v>
      </c>
      <c r="B61" s="31">
        <v>318.576955</v>
      </c>
      <c r="C61" s="39">
        <v>39.032000000000004</v>
      </c>
      <c r="D61" s="39">
        <v>127.99133364371421</v>
      </c>
      <c r="E61" s="39">
        <v>18.103960000000001</v>
      </c>
      <c r="F61" s="39">
        <f t="shared" si="0"/>
        <v>185.12729364371421</v>
      </c>
      <c r="G61" s="39">
        <v>16.726943570260001</v>
      </c>
      <c r="H61" s="39">
        <v>21.226800000000001</v>
      </c>
      <c r="I61" s="39">
        <f t="shared" ref="I61" si="11">F61-SUM(G61,H61)</f>
        <v>147.17355007345421</v>
      </c>
      <c r="J61" s="144">
        <f t="shared" ref="J61" si="12">IF(I61=0,0,IF(B61=0,0,I61/B61))</f>
        <v>0.46197173952351389</v>
      </c>
      <c r="K61" s="144">
        <f t="shared" ref="K61" si="13">J61*0.92</f>
        <v>0.42501400036163278</v>
      </c>
      <c r="L61" s="83"/>
    </row>
    <row r="62" spans="1:12" s="93" customFormat="1" ht="12" customHeight="1" x14ac:dyDescent="0.2">
      <c r="A62" s="33">
        <v>2015</v>
      </c>
      <c r="B62" s="31">
        <v>320.87070299999999</v>
      </c>
      <c r="C62" s="39">
        <v>78.989999999999995</v>
      </c>
      <c r="D62" s="39">
        <v>165.6159350759408</v>
      </c>
      <c r="E62" s="39">
        <v>21.226800000000001</v>
      </c>
      <c r="F62" s="39">
        <f t="shared" si="0"/>
        <v>265.83273507594083</v>
      </c>
      <c r="G62" s="39">
        <v>16.270126464680004</v>
      </c>
      <c r="H62" s="39">
        <v>26.391190000000002</v>
      </c>
      <c r="I62" s="39">
        <f t="shared" ref="I62" si="14">F62-SUM(G62,H62)</f>
        <v>223.17141861126083</v>
      </c>
      <c r="J62" s="144">
        <f t="shared" ref="J62" si="15">IF(I62=0,0,IF(B62=0,0,I62/B62))</f>
        <v>0.69551821504645395</v>
      </c>
      <c r="K62" s="144">
        <f t="shared" ref="K62" si="16">J62*0.92</f>
        <v>0.63987675784273768</v>
      </c>
      <c r="L62" s="83"/>
    </row>
    <row r="63" spans="1:12" s="93" customFormat="1" ht="12" customHeight="1" x14ac:dyDescent="0.2">
      <c r="A63" s="128">
        <v>2016</v>
      </c>
      <c r="B63" s="129">
        <v>323.16101099999997</v>
      </c>
      <c r="C63" s="130">
        <v>113.328</v>
      </c>
      <c r="D63" s="130">
        <v>171.78103918543698</v>
      </c>
      <c r="E63" s="130">
        <v>26.391190000000002</v>
      </c>
      <c r="F63" s="127">
        <f t="shared" si="0"/>
        <v>311.50022918543698</v>
      </c>
      <c r="G63" s="130">
        <v>13.3221989901</v>
      </c>
      <c r="H63" s="130">
        <v>29.287930000000003</v>
      </c>
      <c r="I63" s="127">
        <f t="shared" ref="I63:I64" si="17">F63-SUM(G63,H63)</f>
        <v>268.89010019533697</v>
      </c>
      <c r="J63" s="146">
        <f t="shared" ref="J63:J64" si="18">IF(I63=0,0,IF(B63=0,0,I63/B63))</f>
        <v>0.83206231891426097</v>
      </c>
      <c r="K63" s="146">
        <f t="shared" ref="K63:K64" si="19">J63*0.92</f>
        <v>0.76549733340112014</v>
      </c>
      <c r="L63" s="83"/>
    </row>
    <row r="64" spans="1:12" s="93" customFormat="1" ht="12" customHeight="1" x14ac:dyDescent="0.2">
      <c r="A64" s="125">
        <v>2017</v>
      </c>
      <c r="B64" s="126">
        <v>325.20603</v>
      </c>
      <c r="C64" s="127">
        <v>110.062</v>
      </c>
      <c r="D64" s="127">
        <v>187.40362270160526</v>
      </c>
      <c r="E64" s="127">
        <v>29.287930000000003</v>
      </c>
      <c r="F64" s="127">
        <f t="shared" si="0"/>
        <v>326.75355270160526</v>
      </c>
      <c r="G64" s="127">
        <v>21.596029823719999</v>
      </c>
      <c r="H64" s="127">
        <v>29.097740000000002</v>
      </c>
      <c r="I64" s="127">
        <f t="shared" si="17"/>
        <v>276.05978287788525</v>
      </c>
      <c r="J64" s="146">
        <f t="shared" si="18"/>
        <v>0.84887658103352281</v>
      </c>
      <c r="K64" s="146">
        <f t="shared" si="19"/>
        <v>0.78096645455084102</v>
      </c>
      <c r="L64" s="83"/>
    </row>
    <row r="65" spans="1:12" s="93" customFormat="1" ht="12" customHeight="1" x14ac:dyDescent="0.2">
      <c r="A65" s="128">
        <v>2018</v>
      </c>
      <c r="B65" s="129">
        <v>326.92397599999998</v>
      </c>
      <c r="C65" s="130">
        <v>100.22714666666667</v>
      </c>
      <c r="D65" s="130">
        <v>187.34579124204242</v>
      </c>
      <c r="E65" s="130">
        <v>29.097740000000002</v>
      </c>
      <c r="F65" s="130">
        <f t="shared" si="0"/>
        <v>316.67067790870908</v>
      </c>
      <c r="G65" s="130">
        <v>21.818361341480003</v>
      </c>
      <c r="H65" s="130">
        <v>20.854400000000002</v>
      </c>
      <c r="I65" s="130">
        <f t="shared" ref="I65:I67" si="20">F65-SUM(G65,H65)</f>
        <v>273.99791656722908</v>
      </c>
      <c r="J65" s="146">
        <f t="shared" ref="J65:J67" si="21">IF(I65=0,0,IF(B65=0,0,I65/B65))</f>
        <v>0.83810896930737533</v>
      </c>
      <c r="K65" s="146">
        <f t="shared" ref="K65:K67" si="22">J65*0.92</f>
        <v>0.77106025176278536</v>
      </c>
      <c r="L65" s="83"/>
    </row>
    <row r="66" spans="1:12" s="93" customFormat="1" ht="12" customHeight="1" x14ac:dyDescent="0.2">
      <c r="A66" s="128">
        <v>2019</v>
      </c>
      <c r="B66" s="129">
        <v>328.475998</v>
      </c>
      <c r="C66" s="162">
        <v>107.59061629629629</v>
      </c>
      <c r="D66" s="130">
        <v>193.7366242769034</v>
      </c>
      <c r="E66" s="162">
        <v>20.854400000000002</v>
      </c>
      <c r="F66" s="130">
        <f t="shared" si="0"/>
        <v>322.18164057319967</v>
      </c>
      <c r="G66" s="130">
        <v>23.191341357359999</v>
      </c>
      <c r="H66" s="162">
        <v>17.62782</v>
      </c>
      <c r="I66" s="130">
        <f t="shared" si="20"/>
        <v>281.3624792158397</v>
      </c>
      <c r="J66" s="145">
        <f t="shared" si="21"/>
        <v>0.85656937167092406</v>
      </c>
      <c r="K66" s="145">
        <f t="shared" si="22"/>
        <v>0.7880438219372502</v>
      </c>
      <c r="L66" s="83"/>
    </row>
    <row r="67" spans="1:12" s="93" customFormat="1" ht="12" customHeight="1" thickBot="1" x14ac:dyDescent="0.25">
      <c r="A67" s="148">
        <v>2020</v>
      </c>
      <c r="B67" s="149">
        <v>330.11398000000003</v>
      </c>
      <c r="C67" s="147">
        <v>109.03047969460665</v>
      </c>
      <c r="D67" s="124">
        <v>236.33917138030318</v>
      </c>
      <c r="E67" s="147">
        <v>17.62782</v>
      </c>
      <c r="F67" s="150">
        <f t="shared" si="0"/>
        <v>362.99747107490981</v>
      </c>
      <c r="G67" s="124">
        <v>29.178103812219998</v>
      </c>
      <c r="H67" s="147">
        <v>22.526653333333332</v>
      </c>
      <c r="I67" s="150">
        <f t="shared" si="20"/>
        <v>311.29271392935647</v>
      </c>
      <c r="J67" s="175">
        <f t="shared" si="21"/>
        <v>0.94298555283649743</v>
      </c>
      <c r="K67" s="175">
        <f t="shared" si="22"/>
        <v>0.86754670860957772</v>
      </c>
      <c r="L67" s="83"/>
    </row>
    <row r="68" spans="1:12" ht="12" customHeight="1" thickTop="1" x14ac:dyDescent="0.2">
      <c r="A68" s="254" t="s">
        <v>8</v>
      </c>
      <c r="B68" s="255"/>
      <c r="C68" s="255"/>
      <c r="D68" s="255"/>
      <c r="E68" s="255"/>
      <c r="F68" s="255"/>
      <c r="G68" s="255"/>
      <c r="H68" s="255"/>
      <c r="I68" s="255"/>
      <c r="J68" s="255"/>
      <c r="K68" s="256"/>
      <c r="L68" s="43"/>
    </row>
    <row r="69" spans="1:12" ht="12" customHeight="1" x14ac:dyDescent="0.2">
      <c r="A69" s="248"/>
      <c r="B69" s="249"/>
      <c r="C69" s="249"/>
      <c r="D69" s="249"/>
      <c r="E69" s="249"/>
      <c r="F69" s="249"/>
      <c r="G69" s="249"/>
      <c r="H69" s="249"/>
      <c r="I69" s="249"/>
      <c r="J69" s="249"/>
      <c r="K69" s="250"/>
      <c r="L69" s="43"/>
    </row>
    <row r="70" spans="1:12" ht="12" customHeight="1" x14ac:dyDescent="0.2">
      <c r="A70" s="223" t="s">
        <v>225</v>
      </c>
      <c r="B70" s="224"/>
      <c r="C70" s="224"/>
      <c r="D70" s="224"/>
      <c r="E70" s="224"/>
      <c r="F70" s="224"/>
      <c r="G70" s="224"/>
      <c r="H70" s="224"/>
      <c r="I70" s="224"/>
      <c r="J70" s="224"/>
      <c r="K70" s="225"/>
      <c r="L70" s="43"/>
    </row>
    <row r="71" spans="1:12" ht="12" customHeight="1" x14ac:dyDescent="0.2">
      <c r="A71" s="223"/>
      <c r="B71" s="224"/>
      <c r="C71" s="224"/>
      <c r="D71" s="224"/>
      <c r="E71" s="224"/>
      <c r="F71" s="224"/>
      <c r="G71" s="224"/>
      <c r="H71" s="224"/>
      <c r="I71" s="224"/>
      <c r="J71" s="224"/>
      <c r="K71" s="225"/>
      <c r="L71" s="43"/>
    </row>
    <row r="72" spans="1:12" ht="24.75" customHeight="1" x14ac:dyDescent="0.2">
      <c r="A72" s="223"/>
      <c r="B72" s="224"/>
      <c r="C72" s="224"/>
      <c r="D72" s="224"/>
      <c r="E72" s="224"/>
      <c r="F72" s="224"/>
      <c r="G72" s="224"/>
      <c r="H72" s="224"/>
      <c r="I72" s="224"/>
      <c r="J72" s="224"/>
      <c r="K72" s="225"/>
      <c r="L72" s="43"/>
    </row>
    <row r="73" spans="1:12" ht="12" customHeight="1" x14ac:dyDescent="0.2">
      <c r="A73" s="275"/>
      <c r="B73" s="276"/>
      <c r="C73" s="276"/>
      <c r="D73" s="276"/>
      <c r="E73" s="276"/>
      <c r="F73" s="276"/>
      <c r="G73" s="276"/>
      <c r="H73" s="276"/>
      <c r="I73" s="276"/>
      <c r="J73" s="276"/>
      <c r="K73" s="277"/>
      <c r="L73" s="43"/>
    </row>
    <row r="74" spans="1:12" ht="12" customHeight="1" x14ac:dyDescent="0.2">
      <c r="A74" s="223" t="s">
        <v>198</v>
      </c>
      <c r="B74" s="224"/>
      <c r="C74" s="224"/>
      <c r="D74" s="224"/>
      <c r="E74" s="224"/>
      <c r="F74" s="224"/>
      <c r="G74" s="224"/>
      <c r="H74" s="224"/>
      <c r="I74" s="224"/>
      <c r="J74" s="224"/>
      <c r="K74" s="225"/>
      <c r="L74" s="43"/>
    </row>
  </sheetData>
  <mergeCells count="23">
    <mergeCell ref="I2:K2"/>
    <mergeCell ref="A1:I1"/>
    <mergeCell ref="C6:I6"/>
    <mergeCell ref="J6:K6"/>
    <mergeCell ref="A74:K74"/>
    <mergeCell ref="A70:K72"/>
    <mergeCell ref="A73:K73"/>
    <mergeCell ref="A68:K68"/>
    <mergeCell ref="A69:K69"/>
    <mergeCell ref="J1:K1"/>
    <mergeCell ref="I3:I5"/>
    <mergeCell ref="C2:F2"/>
    <mergeCell ref="J4:J5"/>
    <mergeCell ref="J3:K3"/>
    <mergeCell ref="G3:G5"/>
    <mergeCell ref="E3:E5"/>
    <mergeCell ref="D3:D5"/>
    <mergeCell ref="H3:H5"/>
    <mergeCell ref="F3:F5"/>
    <mergeCell ref="C3:C5"/>
    <mergeCell ref="A2:A5"/>
    <mergeCell ref="B2:B5"/>
    <mergeCell ref="G2:H2"/>
  </mergeCells>
  <phoneticPr fontId="7" type="noConversion"/>
  <printOptions horizontalCentered="1"/>
  <pageMargins left="0.45" right="0.45" top="0.75" bottom="0.75" header="0" footer="0"/>
  <pageSetup scale="65" fitToWidth="2"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autoPageBreaks="0" fitToPage="1"/>
  </sheetPr>
  <dimension ref="A1:K72"/>
  <sheetViews>
    <sheetView showOutlineSymbols="0" zoomScaleNormal="100" workbookViewId="0">
      <pane ySplit="6" topLeftCell="A7" activePane="bottomLeft" state="frozen"/>
      <selection sqref="A1:G1"/>
      <selection pane="bottomLeft" sqref="A1:H1"/>
    </sheetView>
  </sheetViews>
  <sheetFormatPr defaultColWidth="12.7109375" defaultRowHeight="12" customHeight="1" x14ac:dyDescent="0.2"/>
  <cols>
    <col min="1" max="1" width="12.7109375" style="13" customWidth="1"/>
    <col min="2" max="9" width="12.7109375" style="13"/>
    <col min="10" max="10" width="13.140625" style="13" customWidth="1"/>
    <col min="11" max="16384" width="12.7109375" style="13"/>
  </cols>
  <sheetData>
    <row r="1" spans="1:11" s="1" customFormat="1" ht="12" customHeight="1" thickBot="1" x14ac:dyDescent="0.25">
      <c r="A1" s="201" t="s">
        <v>153</v>
      </c>
      <c r="B1" s="201"/>
      <c r="C1" s="201"/>
      <c r="D1" s="201"/>
      <c r="E1" s="201"/>
      <c r="F1" s="201"/>
      <c r="G1" s="201"/>
      <c r="H1" s="201"/>
      <c r="I1" s="200" t="s">
        <v>19</v>
      </c>
      <c r="J1" s="200"/>
    </row>
    <row r="2" spans="1:11" ht="12" customHeight="1" thickTop="1" x14ac:dyDescent="0.2">
      <c r="A2" s="196" t="s">
        <v>1</v>
      </c>
      <c r="B2" s="199" t="s">
        <v>92</v>
      </c>
      <c r="C2" s="269" t="s">
        <v>2</v>
      </c>
      <c r="D2" s="269"/>
      <c r="E2" s="269"/>
      <c r="F2" s="244" t="s">
        <v>146</v>
      </c>
      <c r="G2" s="246"/>
      <c r="H2" s="244" t="s">
        <v>147</v>
      </c>
      <c r="I2" s="245"/>
      <c r="J2" s="245"/>
    </row>
    <row r="3" spans="1:11" ht="12" customHeight="1" x14ac:dyDescent="0.2">
      <c r="A3" s="217"/>
      <c r="B3" s="259"/>
      <c r="C3" s="217" t="s">
        <v>93</v>
      </c>
      <c r="D3" s="217" t="s">
        <v>94</v>
      </c>
      <c r="E3" s="217" t="s">
        <v>114</v>
      </c>
      <c r="F3" s="217" t="s">
        <v>100</v>
      </c>
      <c r="G3" s="217" t="s">
        <v>199</v>
      </c>
      <c r="H3" s="217" t="s">
        <v>140</v>
      </c>
      <c r="I3" s="226" t="s">
        <v>28</v>
      </c>
      <c r="J3" s="227"/>
    </row>
    <row r="4" spans="1:11" ht="12" customHeight="1" x14ac:dyDescent="0.2">
      <c r="A4" s="217"/>
      <c r="B4" s="259"/>
      <c r="C4" s="217"/>
      <c r="D4" s="217"/>
      <c r="E4" s="217"/>
      <c r="F4" s="217"/>
      <c r="G4" s="217"/>
      <c r="H4" s="217"/>
      <c r="I4" s="217" t="s">
        <v>4</v>
      </c>
      <c r="J4" s="14" t="s">
        <v>110</v>
      </c>
      <c r="K4" s="4"/>
    </row>
    <row r="5" spans="1:11" ht="12" customHeight="1" x14ac:dyDescent="0.2">
      <c r="A5" s="217"/>
      <c r="B5" s="259"/>
      <c r="C5" s="217"/>
      <c r="D5" s="217"/>
      <c r="E5" s="217"/>
      <c r="F5" s="217"/>
      <c r="G5" s="217"/>
      <c r="H5" s="217"/>
      <c r="I5" s="217"/>
      <c r="J5" s="14" t="s">
        <v>188</v>
      </c>
    </row>
    <row r="6" spans="1:11" ht="12" customHeight="1" x14ac:dyDescent="0.2">
      <c r="A6" s="54"/>
      <c r="B6" s="55" t="s">
        <v>117</v>
      </c>
      <c r="C6" s="273" t="s">
        <v>120</v>
      </c>
      <c r="D6" s="274"/>
      <c r="E6" s="274"/>
      <c r="F6" s="274"/>
      <c r="G6" s="274"/>
      <c r="H6" s="274"/>
      <c r="I6" s="273" t="s">
        <v>118</v>
      </c>
      <c r="J6" s="274"/>
      <c r="K6" s="54"/>
    </row>
    <row r="7" spans="1:11" ht="12" customHeight="1" x14ac:dyDescent="0.2">
      <c r="A7" s="2">
        <v>1960</v>
      </c>
      <c r="B7" s="20">
        <v>180.67099999999999</v>
      </c>
      <c r="C7" s="168">
        <v>2047.5</v>
      </c>
      <c r="D7" s="169">
        <v>5.0999999999999996</v>
      </c>
      <c r="E7" s="170">
        <f t="shared" ref="E7:E38" si="0">SUM(C7,D7)</f>
        <v>2052.6</v>
      </c>
      <c r="F7" s="169">
        <v>65.599999999999994</v>
      </c>
      <c r="G7" s="170">
        <v>84.2</v>
      </c>
      <c r="H7" s="170">
        <f t="shared" ref="H7:H38" si="1">E7-SUM(F7:G7)</f>
        <v>1902.8</v>
      </c>
      <c r="I7" s="177">
        <f t="shared" ref="I7:I38" si="2">IF(H7=0,0,IF(B7=0,0,H7/B7))</f>
        <v>10.531850712067792</v>
      </c>
      <c r="J7" s="181">
        <f t="shared" ref="J7:J47" si="3">I7*0.93</f>
        <v>9.7946211622230468</v>
      </c>
    </row>
    <row r="8" spans="1:11" ht="12" customHeight="1" x14ac:dyDescent="0.2">
      <c r="A8" s="3">
        <v>1961</v>
      </c>
      <c r="B8" s="21">
        <v>183.691</v>
      </c>
      <c r="C8" s="171">
        <v>1935</v>
      </c>
      <c r="D8" s="172">
        <v>1.8</v>
      </c>
      <c r="E8" s="172">
        <f t="shared" si="0"/>
        <v>1936.8</v>
      </c>
      <c r="F8" s="171">
        <v>67.3</v>
      </c>
      <c r="G8" s="172">
        <v>65.599999999999994</v>
      </c>
      <c r="H8" s="171">
        <f t="shared" si="1"/>
        <v>1803.9</v>
      </c>
      <c r="I8" s="178">
        <f t="shared" si="2"/>
        <v>9.8202960406334547</v>
      </c>
      <c r="J8" s="178">
        <f t="shared" si="3"/>
        <v>9.1328753177891127</v>
      </c>
    </row>
    <row r="9" spans="1:11" ht="12" customHeight="1" x14ac:dyDescent="0.2">
      <c r="A9" s="3">
        <v>1962</v>
      </c>
      <c r="B9" s="21">
        <v>186.53800000000001</v>
      </c>
      <c r="C9" s="171">
        <v>1920.5</v>
      </c>
      <c r="D9" s="172">
        <v>4.2</v>
      </c>
      <c r="E9" s="172">
        <f t="shared" si="0"/>
        <v>1924.7</v>
      </c>
      <c r="F9" s="171">
        <v>61.9</v>
      </c>
      <c r="G9" s="172">
        <v>32.1</v>
      </c>
      <c r="H9" s="171">
        <f t="shared" si="1"/>
        <v>1830.7</v>
      </c>
      <c r="I9" s="178">
        <f t="shared" si="2"/>
        <v>9.8140861379450826</v>
      </c>
      <c r="J9" s="178">
        <f t="shared" si="3"/>
        <v>9.1271001082889267</v>
      </c>
    </row>
    <row r="10" spans="1:11" ht="12" customHeight="1" x14ac:dyDescent="0.2">
      <c r="A10" s="3">
        <v>1963</v>
      </c>
      <c r="B10" s="21">
        <v>189.24199999999999</v>
      </c>
      <c r="C10" s="171">
        <v>1942</v>
      </c>
      <c r="D10" s="172">
        <v>1.5</v>
      </c>
      <c r="E10" s="172">
        <f t="shared" si="0"/>
        <v>1943.5</v>
      </c>
      <c r="F10" s="171">
        <v>54.7</v>
      </c>
      <c r="G10" s="172">
        <v>37.4</v>
      </c>
      <c r="H10" s="171">
        <f t="shared" si="1"/>
        <v>1851.4</v>
      </c>
      <c r="I10" s="178">
        <f t="shared" si="2"/>
        <v>9.7832405068642281</v>
      </c>
      <c r="J10" s="178">
        <f t="shared" si="3"/>
        <v>9.0984136713837334</v>
      </c>
    </row>
    <row r="11" spans="1:11" ht="12" customHeight="1" x14ac:dyDescent="0.2">
      <c r="A11" s="3">
        <v>1964</v>
      </c>
      <c r="B11" s="21">
        <v>191.88900000000001</v>
      </c>
      <c r="C11" s="171">
        <v>1866.7</v>
      </c>
      <c r="D11" s="172">
        <v>1.2</v>
      </c>
      <c r="E11" s="172">
        <f t="shared" si="0"/>
        <v>1867.9</v>
      </c>
      <c r="F11" s="171">
        <v>57.8</v>
      </c>
      <c r="G11" s="172">
        <v>16.399999999999999</v>
      </c>
      <c r="H11" s="171">
        <f t="shared" si="1"/>
        <v>1793.7</v>
      </c>
      <c r="I11" s="178">
        <f t="shared" si="2"/>
        <v>9.3475915763800952</v>
      </c>
      <c r="J11" s="178">
        <f t="shared" si="3"/>
        <v>8.6932601660334896</v>
      </c>
    </row>
    <row r="12" spans="1:11" ht="12" customHeight="1" x14ac:dyDescent="0.2">
      <c r="A12" s="3">
        <v>1965</v>
      </c>
      <c r="B12" s="21">
        <v>194.303</v>
      </c>
      <c r="C12" s="171">
        <v>1851.5</v>
      </c>
      <c r="D12" s="172">
        <v>3.4</v>
      </c>
      <c r="E12" s="172">
        <f t="shared" si="0"/>
        <v>1854.9</v>
      </c>
      <c r="F12" s="171">
        <v>61.8</v>
      </c>
      <c r="G12" s="172">
        <v>27</v>
      </c>
      <c r="H12" s="171">
        <f t="shared" si="1"/>
        <v>1766.1000000000001</v>
      </c>
      <c r="I12" s="178">
        <f t="shared" si="2"/>
        <v>9.089411897912024</v>
      </c>
      <c r="J12" s="178">
        <f t="shared" si="3"/>
        <v>8.4531530650581832</v>
      </c>
    </row>
    <row r="13" spans="1:11" ht="12" customHeight="1" x14ac:dyDescent="0.2">
      <c r="A13" s="2">
        <v>1966</v>
      </c>
      <c r="B13" s="20">
        <v>196.56</v>
      </c>
      <c r="C13" s="168">
        <v>1811.9</v>
      </c>
      <c r="D13" s="169">
        <v>2</v>
      </c>
      <c r="E13" s="170">
        <f t="shared" si="0"/>
        <v>1813.9</v>
      </c>
      <c r="F13" s="169">
        <v>78.7</v>
      </c>
      <c r="G13" s="170">
        <v>14.8</v>
      </c>
      <c r="H13" s="170">
        <f t="shared" si="1"/>
        <v>1720.4</v>
      </c>
      <c r="I13" s="177">
        <f t="shared" si="2"/>
        <v>8.7525437525437528</v>
      </c>
      <c r="J13" s="181">
        <f t="shared" si="3"/>
        <v>8.1398656898656903</v>
      </c>
    </row>
    <row r="14" spans="1:11" ht="12" customHeight="1" x14ac:dyDescent="0.2">
      <c r="A14" s="2">
        <v>1967</v>
      </c>
      <c r="B14" s="20">
        <v>198.71199999999999</v>
      </c>
      <c r="C14" s="168">
        <v>1944.7</v>
      </c>
      <c r="D14" s="169">
        <v>5.2</v>
      </c>
      <c r="E14" s="170">
        <f t="shared" si="0"/>
        <v>1949.9</v>
      </c>
      <c r="F14" s="169">
        <v>88.1</v>
      </c>
      <c r="G14" s="170">
        <v>20</v>
      </c>
      <c r="H14" s="170">
        <f t="shared" si="1"/>
        <v>1841.8000000000002</v>
      </c>
      <c r="I14" s="177">
        <f t="shared" si="2"/>
        <v>9.268690365956763</v>
      </c>
      <c r="J14" s="181">
        <f t="shared" si="3"/>
        <v>8.6198820403397907</v>
      </c>
    </row>
    <row r="15" spans="1:11" ht="12" customHeight="1" x14ac:dyDescent="0.2">
      <c r="A15" s="2">
        <v>1968</v>
      </c>
      <c r="B15" s="20">
        <v>200.70599999999999</v>
      </c>
      <c r="C15" s="168">
        <v>1953.6</v>
      </c>
      <c r="D15" s="169">
        <v>3.4</v>
      </c>
      <c r="E15" s="170">
        <f t="shared" si="0"/>
        <v>1957</v>
      </c>
      <c r="F15" s="169">
        <v>76.3</v>
      </c>
      <c r="G15" s="170">
        <v>19.100000000000001</v>
      </c>
      <c r="H15" s="170">
        <f t="shared" si="1"/>
        <v>1861.6</v>
      </c>
      <c r="I15" s="177">
        <f t="shared" si="2"/>
        <v>9.2752583380666245</v>
      </c>
      <c r="J15" s="181">
        <f t="shared" si="3"/>
        <v>8.6259902544019607</v>
      </c>
    </row>
    <row r="16" spans="1:11" ht="12" customHeight="1" x14ac:dyDescent="0.2">
      <c r="A16" s="2">
        <v>1969</v>
      </c>
      <c r="B16" s="20">
        <v>202.67699999999999</v>
      </c>
      <c r="C16" s="168">
        <v>1870.8</v>
      </c>
      <c r="D16" s="169">
        <v>0.7</v>
      </c>
      <c r="E16" s="170">
        <f t="shared" si="0"/>
        <v>1871.5</v>
      </c>
      <c r="F16" s="169">
        <v>60.4</v>
      </c>
      <c r="G16" s="170">
        <v>20.2</v>
      </c>
      <c r="H16" s="170">
        <f t="shared" si="1"/>
        <v>1790.9</v>
      </c>
      <c r="I16" s="177">
        <f t="shared" si="2"/>
        <v>8.8362271002629811</v>
      </c>
      <c r="J16" s="181">
        <f t="shared" si="3"/>
        <v>8.2176912032445735</v>
      </c>
    </row>
    <row r="17" spans="1:10" ht="12" customHeight="1" x14ac:dyDescent="0.2">
      <c r="A17" s="2">
        <v>1970</v>
      </c>
      <c r="B17" s="20">
        <v>205.05199999999999</v>
      </c>
      <c r="C17" s="168">
        <v>1866.9</v>
      </c>
      <c r="D17" s="169">
        <v>7.7</v>
      </c>
      <c r="E17" s="170">
        <f t="shared" si="0"/>
        <v>1874.6000000000001</v>
      </c>
      <c r="F17" s="169">
        <v>61.1</v>
      </c>
      <c r="G17" s="170">
        <v>35.200000000000003</v>
      </c>
      <c r="H17" s="170">
        <f t="shared" si="1"/>
        <v>1778.3000000000002</v>
      </c>
      <c r="I17" s="177">
        <f t="shared" si="2"/>
        <v>8.672434309345924</v>
      </c>
      <c r="J17" s="181">
        <f t="shared" si="3"/>
        <v>8.0653639076917099</v>
      </c>
    </row>
    <row r="18" spans="1:10" ht="12" customHeight="1" x14ac:dyDescent="0.2">
      <c r="A18" s="3">
        <v>1971</v>
      </c>
      <c r="B18" s="21">
        <v>207.661</v>
      </c>
      <c r="C18" s="171">
        <v>1921.5</v>
      </c>
      <c r="D18" s="172">
        <v>7.5</v>
      </c>
      <c r="E18" s="172">
        <f t="shared" si="0"/>
        <v>1929</v>
      </c>
      <c r="F18" s="171">
        <v>71</v>
      </c>
      <c r="G18" s="172">
        <v>26</v>
      </c>
      <c r="H18" s="171">
        <f t="shared" si="1"/>
        <v>1832</v>
      </c>
      <c r="I18" s="178">
        <f t="shared" si="2"/>
        <v>8.8220705861957711</v>
      </c>
      <c r="J18" s="178">
        <f t="shared" si="3"/>
        <v>8.2045256451620681</v>
      </c>
    </row>
    <row r="19" spans="1:10" ht="12" customHeight="1" x14ac:dyDescent="0.2">
      <c r="A19" s="3">
        <v>1972</v>
      </c>
      <c r="B19" s="21">
        <v>209.89599999999999</v>
      </c>
      <c r="C19" s="171">
        <v>1861.1</v>
      </c>
      <c r="D19" s="172">
        <v>6.4</v>
      </c>
      <c r="E19" s="172">
        <f t="shared" si="0"/>
        <v>1867.5</v>
      </c>
      <c r="F19" s="171">
        <v>90.2</v>
      </c>
      <c r="G19" s="172">
        <v>20</v>
      </c>
      <c r="H19" s="171">
        <f t="shared" si="1"/>
        <v>1757.3</v>
      </c>
      <c r="I19" s="178">
        <f t="shared" si="2"/>
        <v>8.372241491024127</v>
      </c>
      <c r="J19" s="178">
        <f t="shared" si="3"/>
        <v>7.7861845866524382</v>
      </c>
    </row>
    <row r="20" spans="1:10" ht="12" customHeight="1" x14ac:dyDescent="0.2">
      <c r="A20" s="3">
        <v>1973</v>
      </c>
      <c r="B20" s="21">
        <v>211.90899999999999</v>
      </c>
      <c r="C20" s="171">
        <v>1990.7</v>
      </c>
      <c r="D20" s="172">
        <v>12.7</v>
      </c>
      <c r="E20" s="172">
        <f t="shared" si="0"/>
        <v>2003.4</v>
      </c>
      <c r="F20" s="171">
        <v>101.8</v>
      </c>
      <c r="G20" s="172">
        <v>24</v>
      </c>
      <c r="H20" s="171">
        <f t="shared" si="1"/>
        <v>1877.6000000000001</v>
      </c>
      <c r="I20" s="178">
        <f t="shared" si="2"/>
        <v>8.8604070615216912</v>
      </c>
      <c r="J20" s="178">
        <f t="shared" si="3"/>
        <v>8.2401785672151728</v>
      </c>
    </row>
    <row r="21" spans="1:10" ht="12" customHeight="1" x14ac:dyDescent="0.2">
      <c r="A21" s="3">
        <v>1974</v>
      </c>
      <c r="B21" s="21">
        <v>213.85400000000001</v>
      </c>
      <c r="C21" s="171">
        <v>1971.2</v>
      </c>
      <c r="D21" s="172">
        <v>0.8</v>
      </c>
      <c r="E21" s="172">
        <f t="shared" si="0"/>
        <v>1972</v>
      </c>
      <c r="F21" s="171">
        <v>55.8</v>
      </c>
      <c r="G21" s="172">
        <v>28.9</v>
      </c>
      <c r="H21" s="171">
        <f t="shared" si="1"/>
        <v>1887.3</v>
      </c>
      <c r="I21" s="178">
        <f t="shared" si="2"/>
        <v>8.825179795561457</v>
      </c>
      <c r="J21" s="178">
        <f t="shared" si="3"/>
        <v>8.2074172098721547</v>
      </c>
    </row>
    <row r="22" spans="1:10" ht="12" customHeight="1" x14ac:dyDescent="0.2">
      <c r="A22" s="3">
        <v>1975</v>
      </c>
      <c r="B22" s="21">
        <v>215.97300000000001</v>
      </c>
      <c r="C22" s="171">
        <v>2019.7</v>
      </c>
      <c r="D22" s="172">
        <v>5.3</v>
      </c>
      <c r="E22" s="172">
        <f t="shared" si="0"/>
        <v>2025</v>
      </c>
      <c r="F22" s="171">
        <v>65.099999999999994</v>
      </c>
      <c r="G22" s="172">
        <v>35.1</v>
      </c>
      <c r="H22" s="171">
        <f t="shared" si="1"/>
        <v>1924.8</v>
      </c>
      <c r="I22" s="178">
        <f t="shared" si="2"/>
        <v>8.9122251392535166</v>
      </c>
      <c r="J22" s="178">
        <f t="shared" si="3"/>
        <v>8.2883693795057702</v>
      </c>
    </row>
    <row r="23" spans="1:10" ht="12" customHeight="1" x14ac:dyDescent="0.2">
      <c r="A23" s="2">
        <v>1976</v>
      </c>
      <c r="B23" s="20">
        <v>218.035</v>
      </c>
      <c r="C23" s="168">
        <v>1912.2</v>
      </c>
      <c r="D23" s="169">
        <v>0.6</v>
      </c>
      <c r="E23" s="170">
        <f t="shared" si="0"/>
        <v>1912.8</v>
      </c>
      <c r="F23" s="169">
        <v>56.4</v>
      </c>
      <c r="G23" s="170">
        <v>32.6</v>
      </c>
      <c r="H23" s="170">
        <f t="shared" si="1"/>
        <v>1823.8</v>
      </c>
      <c r="I23" s="177">
        <f t="shared" si="2"/>
        <v>8.3647120875088863</v>
      </c>
      <c r="J23" s="181">
        <f t="shared" si="3"/>
        <v>7.779182241383265</v>
      </c>
    </row>
    <row r="24" spans="1:10" ht="12" customHeight="1" x14ac:dyDescent="0.2">
      <c r="A24" s="2">
        <v>1977</v>
      </c>
      <c r="B24" s="20">
        <v>220.23899999999998</v>
      </c>
      <c r="C24" s="168">
        <v>1917.4</v>
      </c>
      <c r="D24" s="169">
        <v>39.9</v>
      </c>
      <c r="E24" s="170">
        <f t="shared" si="0"/>
        <v>1957.3000000000002</v>
      </c>
      <c r="F24" s="169">
        <v>72.8</v>
      </c>
      <c r="G24" s="170">
        <v>60.4</v>
      </c>
      <c r="H24" s="170">
        <f t="shared" si="1"/>
        <v>1824.1000000000001</v>
      </c>
      <c r="I24" s="177">
        <f t="shared" si="2"/>
        <v>8.2823659751451846</v>
      </c>
      <c r="J24" s="181">
        <f t="shared" si="3"/>
        <v>7.7026003568850223</v>
      </c>
    </row>
    <row r="25" spans="1:10" ht="12" customHeight="1" x14ac:dyDescent="0.2">
      <c r="A25" s="2">
        <v>1978</v>
      </c>
      <c r="B25" s="20">
        <v>222.58500000000001</v>
      </c>
      <c r="C25" s="168">
        <v>2013.4</v>
      </c>
      <c r="D25" s="169">
        <v>24</v>
      </c>
      <c r="E25" s="170">
        <f t="shared" si="0"/>
        <v>2037.4</v>
      </c>
      <c r="F25" s="169">
        <v>107.28700000000001</v>
      </c>
      <c r="G25" s="170">
        <v>27.5</v>
      </c>
      <c r="H25" s="170">
        <f t="shared" si="1"/>
        <v>1902.6130000000001</v>
      </c>
      <c r="I25" s="177">
        <f t="shared" si="2"/>
        <v>8.5478042096277829</v>
      </c>
      <c r="J25" s="181">
        <f t="shared" si="3"/>
        <v>7.9494579149538387</v>
      </c>
    </row>
    <row r="26" spans="1:10" ht="12" customHeight="1" x14ac:dyDescent="0.2">
      <c r="A26" s="2">
        <v>1979</v>
      </c>
      <c r="B26" s="20">
        <v>225.05500000000001</v>
      </c>
      <c r="C26" s="168">
        <v>1936.9</v>
      </c>
      <c r="D26" s="169">
        <v>17.100000000000001</v>
      </c>
      <c r="E26" s="170">
        <f t="shared" si="0"/>
        <v>1954</v>
      </c>
      <c r="F26" s="169">
        <v>101.67100000000001</v>
      </c>
      <c r="G26" s="170">
        <v>40</v>
      </c>
      <c r="H26" s="170">
        <f t="shared" si="1"/>
        <v>1812.329</v>
      </c>
      <c r="I26" s="177">
        <f t="shared" si="2"/>
        <v>8.0528270867121368</v>
      </c>
      <c r="J26" s="181">
        <f t="shared" si="3"/>
        <v>7.4891291906422879</v>
      </c>
    </row>
    <row r="27" spans="1:10" ht="12" customHeight="1" x14ac:dyDescent="0.2">
      <c r="A27" s="2">
        <v>1980</v>
      </c>
      <c r="B27" s="20">
        <v>227.726</v>
      </c>
      <c r="C27" s="168">
        <v>1884.9</v>
      </c>
      <c r="D27" s="169">
        <v>29.8</v>
      </c>
      <c r="E27" s="170">
        <f t="shared" si="0"/>
        <v>1914.7</v>
      </c>
      <c r="F27" s="169">
        <v>73.531999999999996</v>
      </c>
      <c r="G27" s="170">
        <v>20</v>
      </c>
      <c r="H27" s="170">
        <f t="shared" si="1"/>
        <v>1821.1680000000001</v>
      </c>
      <c r="I27" s="177">
        <f t="shared" si="2"/>
        <v>7.9971896050516857</v>
      </c>
      <c r="J27" s="181">
        <f t="shared" si="3"/>
        <v>7.4373863326980683</v>
      </c>
    </row>
    <row r="28" spans="1:10" ht="12" customHeight="1" x14ac:dyDescent="0.2">
      <c r="A28" s="3">
        <v>1981</v>
      </c>
      <c r="B28" s="21">
        <v>229.96600000000001</v>
      </c>
      <c r="C28" s="171">
        <v>1981.1</v>
      </c>
      <c r="D28" s="172">
        <v>5.9</v>
      </c>
      <c r="E28" s="172">
        <f t="shared" si="0"/>
        <v>1987</v>
      </c>
      <c r="F28" s="171">
        <v>92.807000000000002</v>
      </c>
      <c r="G28" s="172">
        <v>19.5</v>
      </c>
      <c r="H28" s="171">
        <f t="shared" si="1"/>
        <v>1874.693</v>
      </c>
      <c r="I28" s="178">
        <f t="shared" si="2"/>
        <v>8.1520442152318164</v>
      </c>
      <c r="J28" s="178">
        <f t="shared" si="3"/>
        <v>7.58140112016559</v>
      </c>
    </row>
    <row r="29" spans="1:10" ht="12" customHeight="1" x14ac:dyDescent="0.2">
      <c r="A29" s="3">
        <v>1982</v>
      </c>
      <c r="B29" s="21">
        <v>232.18799999999999</v>
      </c>
      <c r="C29" s="171">
        <v>2087.6999999999998</v>
      </c>
      <c r="D29" s="172">
        <v>26.6</v>
      </c>
      <c r="E29" s="172">
        <f t="shared" si="0"/>
        <v>2114.2999999999997</v>
      </c>
      <c r="F29" s="171">
        <v>78.287000000000006</v>
      </c>
      <c r="G29" s="172">
        <v>49.2</v>
      </c>
      <c r="H29" s="171">
        <f t="shared" si="1"/>
        <v>1986.8129999999996</v>
      </c>
      <c r="I29" s="178">
        <f t="shared" si="2"/>
        <v>8.5569150860509584</v>
      </c>
      <c r="J29" s="178">
        <f t="shared" si="3"/>
        <v>7.9579310300273916</v>
      </c>
    </row>
    <row r="30" spans="1:10" ht="12" customHeight="1" x14ac:dyDescent="0.2">
      <c r="A30" s="3">
        <v>1983</v>
      </c>
      <c r="B30" s="21">
        <v>234.30699999999999</v>
      </c>
      <c r="C30" s="171">
        <v>1975</v>
      </c>
      <c r="D30" s="172">
        <v>30.8</v>
      </c>
      <c r="E30" s="172">
        <f t="shared" si="0"/>
        <v>2005.8</v>
      </c>
      <c r="F30" s="171">
        <v>61.234000000000002</v>
      </c>
      <c r="G30" s="172">
        <v>21.8</v>
      </c>
      <c r="H30" s="171">
        <f t="shared" si="1"/>
        <v>1922.7659999999998</v>
      </c>
      <c r="I30" s="178">
        <f t="shared" si="2"/>
        <v>8.2061824870789177</v>
      </c>
      <c r="J30" s="178">
        <f t="shared" si="3"/>
        <v>7.6317497129833942</v>
      </c>
    </row>
    <row r="31" spans="1:10" ht="12" customHeight="1" x14ac:dyDescent="0.2">
      <c r="A31" s="3">
        <v>1984</v>
      </c>
      <c r="B31" s="21">
        <v>236.34800000000001</v>
      </c>
      <c r="C31" s="171">
        <v>2002.3</v>
      </c>
      <c r="D31" s="172">
        <v>143.19999999999999</v>
      </c>
      <c r="E31" s="172">
        <f t="shared" si="0"/>
        <v>2145.5</v>
      </c>
      <c r="F31" s="171">
        <v>78.781000000000006</v>
      </c>
      <c r="G31" s="172">
        <v>41.8</v>
      </c>
      <c r="H31" s="171">
        <f t="shared" si="1"/>
        <v>2024.9190000000001</v>
      </c>
      <c r="I31" s="178">
        <f t="shared" si="2"/>
        <v>8.5675317751789741</v>
      </c>
      <c r="J31" s="178">
        <f t="shared" si="3"/>
        <v>7.9678045509164468</v>
      </c>
    </row>
    <row r="32" spans="1:10" ht="12" customHeight="1" x14ac:dyDescent="0.2">
      <c r="A32" s="3">
        <v>1985</v>
      </c>
      <c r="B32" s="21">
        <v>238.46600000000001</v>
      </c>
      <c r="C32" s="171">
        <v>2132.1999999999998</v>
      </c>
      <c r="D32" s="172">
        <v>39.1</v>
      </c>
      <c r="E32" s="172">
        <f t="shared" si="0"/>
        <v>2171.2999999999997</v>
      </c>
      <c r="F32" s="171">
        <v>62.965000000000003</v>
      </c>
      <c r="G32" s="172">
        <v>24.8</v>
      </c>
      <c r="H32" s="171">
        <f t="shared" si="1"/>
        <v>2083.5349999999999</v>
      </c>
      <c r="I32" s="178">
        <f t="shared" si="2"/>
        <v>8.7372413677421505</v>
      </c>
      <c r="J32" s="178">
        <f t="shared" si="3"/>
        <v>8.1256344720002005</v>
      </c>
    </row>
    <row r="33" spans="1:10" ht="12" customHeight="1" x14ac:dyDescent="0.2">
      <c r="A33" s="2">
        <v>1986</v>
      </c>
      <c r="B33" s="20">
        <v>240.65100000000001</v>
      </c>
      <c r="C33" s="168">
        <v>2143.4</v>
      </c>
      <c r="D33" s="169">
        <v>28.5</v>
      </c>
      <c r="E33" s="170">
        <f t="shared" si="0"/>
        <v>2171.9</v>
      </c>
      <c r="F33" s="169">
        <v>64.747</v>
      </c>
      <c r="G33" s="170">
        <v>27.7</v>
      </c>
      <c r="H33" s="170">
        <f t="shared" si="1"/>
        <v>2079.453</v>
      </c>
      <c r="I33" s="177">
        <f t="shared" si="2"/>
        <v>8.6409489260381207</v>
      </c>
      <c r="J33" s="181">
        <f t="shared" si="3"/>
        <v>8.0360825012154535</v>
      </c>
    </row>
    <row r="34" spans="1:10" ht="12" customHeight="1" x14ac:dyDescent="0.2">
      <c r="A34" s="2">
        <v>1987</v>
      </c>
      <c r="B34" s="20">
        <v>242.804</v>
      </c>
      <c r="C34" s="168">
        <v>2275.9</v>
      </c>
      <c r="D34" s="169">
        <v>29.1</v>
      </c>
      <c r="E34" s="170">
        <f t="shared" si="0"/>
        <v>2305</v>
      </c>
      <c r="F34" s="169">
        <v>68.44</v>
      </c>
      <c r="G34" s="170">
        <v>32.5</v>
      </c>
      <c r="H34" s="170">
        <f t="shared" si="1"/>
        <v>2204.06</v>
      </c>
      <c r="I34" s="177">
        <f t="shared" si="2"/>
        <v>9.0775275530880872</v>
      </c>
      <c r="J34" s="181">
        <f t="shared" si="3"/>
        <v>8.4421006243719212</v>
      </c>
    </row>
    <row r="35" spans="1:10" ht="12" customHeight="1" x14ac:dyDescent="0.2">
      <c r="A35" s="2">
        <v>1988</v>
      </c>
      <c r="B35" s="20">
        <v>245.02099999999999</v>
      </c>
      <c r="C35" s="168">
        <v>2251.1999999999998</v>
      </c>
      <c r="D35" s="169">
        <v>30.7</v>
      </c>
      <c r="E35" s="170">
        <f t="shared" si="0"/>
        <v>2281.8999999999996</v>
      </c>
      <c r="F35" s="169">
        <v>50.34</v>
      </c>
      <c r="G35" s="170">
        <v>24.6</v>
      </c>
      <c r="H35" s="170">
        <f t="shared" si="1"/>
        <v>2206.9599999999996</v>
      </c>
      <c r="I35" s="177">
        <f t="shared" si="2"/>
        <v>9.0072279518898366</v>
      </c>
      <c r="J35" s="181">
        <f t="shared" si="3"/>
        <v>8.3767219952575491</v>
      </c>
    </row>
    <row r="36" spans="1:10" ht="12" customHeight="1" x14ac:dyDescent="0.2">
      <c r="A36" s="2">
        <v>1989</v>
      </c>
      <c r="B36" s="20">
        <v>247.34200000000001</v>
      </c>
      <c r="C36" s="168">
        <v>2146.5</v>
      </c>
      <c r="D36" s="169">
        <v>57.325045000000003</v>
      </c>
      <c r="E36" s="170">
        <f t="shared" si="0"/>
        <v>2203.825045</v>
      </c>
      <c r="F36" s="169">
        <v>50.28</v>
      </c>
      <c r="G36" s="170">
        <v>25.7</v>
      </c>
      <c r="H36" s="170">
        <f t="shared" si="1"/>
        <v>2127.845045</v>
      </c>
      <c r="I36" s="177">
        <f t="shared" si="2"/>
        <v>8.6028456347890767</v>
      </c>
      <c r="J36" s="181">
        <f t="shared" si="3"/>
        <v>8.000646440353842</v>
      </c>
    </row>
    <row r="37" spans="1:10" ht="12" customHeight="1" x14ac:dyDescent="0.2">
      <c r="A37" s="2">
        <v>1990</v>
      </c>
      <c r="B37" s="20">
        <v>250.13200000000001</v>
      </c>
      <c r="C37" s="168">
        <v>2163.4</v>
      </c>
      <c r="D37" s="169">
        <v>88.222156999999996</v>
      </c>
      <c r="E37" s="170">
        <f t="shared" si="0"/>
        <v>2251.6221570000002</v>
      </c>
      <c r="F37" s="169">
        <v>59.220999999999997</v>
      </c>
      <c r="G37" s="170">
        <v>107.1</v>
      </c>
      <c r="H37" s="170">
        <f t="shared" si="1"/>
        <v>2085.3011570000003</v>
      </c>
      <c r="I37" s="177">
        <f t="shared" si="2"/>
        <v>8.3368027961236475</v>
      </c>
      <c r="J37" s="181">
        <f t="shared" si="3"/>
        <v>7.753226600394993</v>
      </c>
    </row>
    <row r="38" spans="1:10" ht="12" customHeight="1" x14ac:dyDescent="0.2">
      <c r="A38" s="3">
        <v>1991</v>
      </c>
      <c r="B38" s="21">
        <v>253.49299999999999</v>
      </c>
      <c r="C38" s="171">
        <v>2187.1</v>
      </c>
      <c r="D38" s="172">
        <v>45.489606999999999</v>
      </c>
      <c r="E38" s="172">
        <f t="shared" si="0"/>
        <v>2232.5896069999999</v>
      </c>
      <c r="F38" s="171">
        <v>76.960800000000006</v>
      </c>
      <c r="G38" s="172">
        <v>76</v>
      </c>
      <c r="H38" s="171">
        <f t="shared" si="1"/>
        <v>2079.6288070000001</v>
      </c>
      <c r="I38" s="178">
        <f t="shared" si="2"/>
        <v>8.2038904703482949</v>
      </c>
      <c r="J38" s="178">
        <f t="shared" si="3"/>
        <v>7.6296181374239147</v>
      </c>
    </row>
    <row r="39" spans="1:10" ht="12" customHeight="1" x14ac:dyDescent="0.2">
      <c r="A39" s="3">
        <v>1992</v>
      </c>
      <c r="B39" s="21">
        <v>256.89400000000001</v>
      </c>
      <c r="C39" s="171">
        <v>2326.6999999999998</v>
      </c>
      <c r="D39" s="172">
        <v>39.468842000000002</v>
      </c>
      <c r="E39" s="172">
        <f t="shared" ref="E39:E67" si="4">SUM(C39,D39)</f>
        <v>2366.168842</v>
      </c>
      <c r="F39" s="171">
        <v>86.903694999999999</v>
      </c>
      <c r="G39" s="172">
        <v>53.7</v>
      </c>
      <c r="H39" s="171">
        <f t="shared" ref="H39:H59" si="5">E39-SUM(F39:G39)</f>
        <v>2225.5651470000003</v>
      </c>
      <c r="I39" s="178">
        <f t="shared" ref="I39:I59" si="6">IF(H39=0,0,IF(B39=0,0,H39/B39))</f>
        <v>8.6633597787414267</v>
      </c>
      <c r="J39" s="178">
        <f t="shared" si="3"/>
        <v>8.0569245942295264</v>
      </c>
    </row>
    <row r="40" spans="1:10" ht="12" customHeight="1" x14ac:dyDescent="0.2">
      <c r="A40" s="3">
        <v>1993</v>
      </c>
      <c r="B40" s="21">
        <v>260.255</v>
      </c>
      <c r="C40" s="171">
        <v>2481.3000000000002</v>
      </c>
      <c r="D40" s="172">
        <v>58.138803000000003</v>
      </c>
      <c r="E40" s="172">
        <f t="shared" si="4"/>
        <v>2539.438803</v>
      </c>
      <c r="F40" s="171">
        <v>81.494974999999997</v>
      </c>
      <c r="G40" s="172">
        <v>31.7</v>
      </c>
      <c r="H40" s="171">
        <f t="shared" si="5"/>
        <v>2426.2438280000001</v>
      </c>
      <c r="I40" s="178">
        <f t="shared" si="6"/>
        <v>9.3225637470941969</v>
      </c>
      <c r="J40" s="178">
        <f t="shared" si="3"/>
        <v>8.6699842847976036</v>
      </c>
    </row>
    <row r="41" spans="1:10" ht="12" customHeight="1" x14ac:dyDescent="0.2">
      <c r="A41" s="3">
        <v>1994</v>
      </c>
      <c r="B41" s="21">
        <v>263.43599999999998</v>
      </c>
      <c r="C41" s="171">
        <v>2478.3000000000002</v>
      </c>
      <c r="D41" s="172">
        <v>51.743307000000001</v>
      </c>
      <c r="E41" s="172">
        <f t="shared" si="4"/>
        <v>2530.0433070000004</v>
      </c>
      <c r="F41" s="171">
        <v>82.944091999999998</v>
      </c>
      <c r="G41" s="172">
        <v>54.5</v>
      </c>
      <c r="H41" s="171">
        <f t="shared" si="5"/>
        <v>2392.5992150000002</v>
      </c>
      <c r="I41" s="178">
        <f t="shared" si="6"/>
        <v>9.082278864695791</v>
      </c>
      <c r="J41" s="178">
        <f t="shared" si="3"/>
        <v>8.4465193441670863</v>
      </c>
    </row>
    <row r="42" spans="1:10" ht="12" customHeight="1" x14ac:dyDescent="0.2">
      <c r="A42" s="3">
        <v>1995</v>
      </c>
      <c r="B42" s="21">
        <v>266.55700000000002</v>
      </c>
      <c r="C42" s="171">
        <v>2210.4</v>
      </c>
      <c r="D42" s="172">
        <v>78.628487000000007</v>
      </c>
      <c r="E42" s="172">
        <f t="shared" si="4"/>
        <v>2289.028487</v>
      </c>
      <c r="F42" s="171">
        <v>92.272762</v>
      </c>
      <c r="G42" s="172">
        <v>31.5</v>
      </c>
      <c r="H42" s="171">
        <f t="shared" si="5"/>
        <v>2165.255725</v>
      </c>
      <c r="I42" s="178">
        <f t="shared" si="6"/>
        <v>8.123049572886849</v>
      </c>
      <c r="J42" s="178">
        <f t="shared" si="3"/>
        <v>7.55443610278477</v>
      </c>
    </row>
    <row r="43" spans="1:10" ht="12" customHeight="1" x14ac:dyDescent="0.2">
      <c r="A43" s="2">
        <v>1996</v>
      </c>
      <c r="B43" s="20">
        <v>269.66699999999997</v>
      </c>
      <c r="C43" s="168">
        <v>2290</v>
      </c>
      <c r="D43" s="169">
        <v>79.207902000000004</v>
      </c>
      <c r="E43" s="170">
        <f t="shared" si="4"/>
        <v>2369.2079020000001</v>
      </c>
      <c r="F43" s="169">
        <v>96.897023000000004</v>
      </c>
      <c r="G43" s="170">
        <v>45.4</v>
      </c>
      <c r="H43" s="170">
        <f t="shared" si="5"/>
        <v>2226.910879</v>
      </c>
      <c r="I43" s="177">
        <f t="shared" si="6"/>
        <v>8.2580029406638573</v>
      </c>
      <c r="J43" s="181">
        <f t="shared" si="3"/>
        <v>7.6799427348173879</v>
      </c>
    </row>
    <row r="44" spans="1:10" ht="12" customHeight="1" x14ac:dyDescent="0.2">
      <c r="A44" s="2">
        <v>1997</v>
      </c>
      <c r="B44" s="20">
        <v>272.91199999999998</v>
      </c>
      <c r="C44" s="168">
        <v>2526.6999999999998</v>
      </c>
      <c r="D44" s="169">
        <v>87.721929000000003</v>
      </c>
      <c r="E44" s="170">
        <f t="shared" si="4"/>
        <v>2614.4219289999996</v>
      </c>
      <c r="F44" s="169">
        <v>95.452862999999994</v>
      </c>
      <c r="G44" s="170">
        <v>59.1</v>
      </c>
      <c r="H44" s="170">
        <f t="shared" si="5"/>
        <v>2459.8690659999997</v>
      </c>
      <c r="I44" s="177">
        <f t="shared" si="6"/>
        <v>9.0134148223603212</v>
      </c>
      <c r="J44" s="181">
        <f t="shared" si="3"/>
        <v>8.3824757847950995</v>
      </c>
    </row>
    <row r="45" spans="1:10" ht="12" customHeight="1" x14ac:dyDescent="0.2">
      <c r="A45" s="2">
        <v>1998</v>
      </c>
      <c r="B45" s="20">
        <v>276.11500000000001</v>
      </c>
      <c r="C45" s="168">
        <v>2377.3000000000002</v>
      </c>
      <c r="D45" s="169">
        <v>89.803802000000005</v>
      </c>
      <c r="E45" s="170">
        <f t="shared" si="4"/>
        <v>2467.1038020000001</v>
      </c>
      <c r="F45" s="169">
        <v>99.538904000000002</v>
      </c>
      <c r="G45" s="170">
        <v>40.4</v>
      </c>
      <c r="H45" s="170">
        <f t="shared" si="5"/>
        <v>2327.164898</v>
      </c>
      <c r="I45" s="177">
        <f t="shared" si="6"/>
        <v>8.4282451080165863</v>
      </c>
      <c r="J45" s="181">
        <f t="shared" si="3"/>
        <v>7.8382679504554256</v>
      </c>
    </row>
    <row r="46" spans="1:10" ht="12" customHeight="1" x14ac:dyDescent="0.2">
      <c r="A46" s="2">
        <v>1999</v>
      </c>
      <c r="B46" s="20">
        <v>279.29500000000002</v>
      </c>
      <c r="C46" s="168">
        <v>2163.5</v>
      </c>
      <c r="D46" s="169">
        <v>81.378009000000006</v>
      </c>
      <c r="E46" s="170">
        <f t="shared" si="4"/>
        <v>2244.878009</v>
      </c>
      <c r="F46" s="169">
        <v>88.900283999999999</v>
      </c>
      <c r="G46" s="170">
        <v>46.3</v>
      </c>
      <c r="H46" s="170">
        <f t="shared" si="5"/>
        <v>2109.677725</v>
      </c>
      <c r="I46" s="177">
        <f t="shared" si="6"/>
        <v>7.5535821443276818</v>
      </c>
      <c r="J46" s="181">
        <f t="shared" si="3"/>
        <v>7.0248313942247442</v>
      </c>
    </row>
    <row r="47" spans="1:10" ht="12" customHeight="1" x14ac:dyDescent="0.2">
      <c r="A47" s="2">
        <v>2000</v>
      </c>
      <c r="B47" s="20">
        <v>282.38499999999999</v>
      </c>
      <c r="C47" s="168">
        <v>2562.3000000000002</v>
      </c>
      <c r="D47" s="169">
        <v>89.931955000000002</v>
      </c>
      <c r="E47" s="170">
        <f t="shared" si="4"/>
        <v>2652.2319550000002</v>
      </c>
      <c r="F47" s="169">
        <v>85.151720999999995</v>
      </c>
      <c r="G47" s="170">
        <v>53.9</v>
      </c>
      <c r="H47" s="170">
        <f t="shared" si="5"/>
        <v>2513.1802340000004</v>
      </c>
      <c r="I47" s="177">
        <f t="shared" si="6"/>
        <v>8.8998361598526845</v>
      </c>
      <c r="J47" s="181">
        <f t="shared" si="3"/>
        <v>8.2768476286629973</v>
      </c>
    </row>
    <row r="48" spans="1:10" ht="12" customHeight="1" x14ac:dyDescent="0.2">
      <c r="A48" s="3">
        <v>2001</v>
      </c>
      <c r="B48" s="21">
        <v>285.30901899999998</v>
      </c>
      <c r="C48" s="171">
        <v>2546</v>
      </c>
      <c r="D48" s="172">
        <v>113.42112899999999</v>
      </c>
      <c r="E48" s="172">
        <f t="shared" si="4"/>
        <v>2659.4211289999998</v>
      </c>
      <c r="F48" s="171">
        <v>85.507874999999999</v>
      </c>
      <c r="G48" s="172">
        <v>55.2</v>
      </c>
      <c r="H48" s="171">
        <f t="shared" si="5"/>
        <v>2518.7132539999998</v>
      </c>
      <c r="I48" s="178">
        <f t="shared" si="6"/>
        <v>8.8280183459605244</v>
      </c>
      <c r="J48" s="178">
        <f t="shared" ref="J48:J53" si="7">I48*0.93</f>
        <v>8.2100570617432886</v>
      </c>
    </row>
    <row r="49" spans="1:11" ht="12" customHeight="1" x14ac:dyDescent="0.2">
      <c r="A49" s="3">
        <v>2002</v>
      </c>
      <c r="B49" s="21">
        <v>288.10481800000002</v>
      </c>
      <c r="C49" s="171">
        <v>2422.6999999999998</v>
      </c>
      <c r="D49" s="172">
        <v>99.608585000000005</v>
      </c>
      <c r="E49" s="172">
        <f t="shared" si="4"/>
        <v>2522.3085849999998</v>
      </c>
      <c r="F49" s="171">
        <v>90.756760999999997</v>
      </c>
      <c r="G49" s="172">
        <v>41.7</v>
      </c>
      <c r="H49" s="171">
        <f t="shared" si="5"/>
        <v>2389.8518239999999</v>
      </c>
      <c r="I49" s="178">
        <f t="shared" si="6"/>
        <v>8.2950776060954308</v>
      </c>
      <c r="J49" s="178">
        <f t="shared" si="7"/>
        <v>7.7144221736687513</v>
      </c>
    </row>
    <row r="50" spans="1:11" ht="12" customHeight="1" x14ac:dyDescent="0.2">
      <c r="A50" s="3">
        <v>2003</v>
      </c>
      <c r="B50" s="21">
        <v>290.81963400000001</v>
      </c>
      <c r="C50" s="171">
        <v>2216.4</v>
      </c>
      <c r="D50" s="172">
        <v>77.761274999999998</v>
      </c>
      <c r="E50" s="172">
        <f t="shared" si="4"/>
        <v>2294.1612749999999</v>
      </c>
      <c r="F50" s="171">
        <v>98.712565999999995</v>
      </c>
      <c r="G50" s="172">
        <v>44.328000000000003</v>
      </c>
      <c r="H50" s="171">
        <f t="shared" si="5"/>
        <v>2151.1207089999998</v>
      </c>
      <c r="I50" s="178">
        <f t="shared" si="6"/>
        <v>7.396751998525656</v>
      </c>
      <c r="J50" s="178">
        <f t="shared" si="7"/>
        <v>6.8789793586288601</v>
      </c>
    </row>
    <row r="51" spans="1:11" ht="12" customHeight="1" x14ac:dyDescent="0.2">
      <c r="A51" s="3">
        <v>2004</v>
      </c>
      <c r="B51" s="21">
        <v>293.46318500000001</v>
      </c>
      <c r="C51" s="171">
        <v>2411.8000000000002</v>
      </c>
      <c r="D51" s="172">
        <v>83.322778</v>
      </c>
      <c r="E51" s="172">
        <f t="shared" si="4"/>
        <v>2495.1227780000004</v>
      </c>
      <c r="F51" s="171">
        <v>86.569924670000006</v>
      </c>
      <c r="G51" s="172">
        <v>48.236000000000004</v>
      </c>
      <c r="H51" s="171">
        <f t="shared" si="5"/>
        <v>2360.3168533300004</v>
      </c>
      <c r="I51" s="178">
        <f t="shared" si="6"/>
        <v>8.0429742944758136</v>
      </c>
      <c r="J51" s="178">
        <f t="shared" si="7"/>
        <v>7.4799660938625072</v>
      </c>
    </row>
    <row r="52" spans="1:11" ht="12" customHeight="1" x14ac:dyDescent="0.2">
      <c r="A52" s="3">
        <v>2005</v>
      </c>
      <c r="B52" s="21">
        <v>296.186216</v>
      </c>
      <c r="C52" s="171">
        <v>2323.4</v>
      </c>
      <c r="D52" s="172">
        <v>114.56547399999999</v>
      </c>
      <c r="E52" s="172">
        <f t="shared" si="4"/>
        <v>2437.9654740000001</v>
      </c>
      <c r="F52" s="171">
        <v>93.863287999999997</v>
      </c>
      <c r="G52" s="172">
        <v>46.468000000000004</v>
      </c>
      <c r="H52" s="171">
        <f t="shared" si="5"/>
        <v>2297.6341860000002</v>
      </c>
      <c r="I52" s="178">
        <f t="shared" si="6"/>
        <v>7.7573974137945712</v>
      </c>
      <c r="J52" s="178">
        <f t="shared" si="7"/>
        <v>7.2143795948289515</v>
      </c>
    </row>
    <row r="53" spans="1:11" ht="12" customHeight="1" x14ac:dyDescent="0.2">
      <c r="A53" s="2">
        <v>2006</v>
      </c>
      <c r="B53" s="20">
        <v>298.99582500000002</v>
      </c>
      <c r="C53" s="168">
        <v>2341.1</v>
      </c>
      <c r="D53" s="169">
        <v>115.95474</v>
      </c>
      <c r="E53" s="170">
        <f t="shared" si="4"/>
        <v>2457.05474</v>
      </c>
      <c r="F53" s="169">
        <v>92.624269749999996</v>
      </c>
      <c r="G53" s="170">
        <v>46.821999999999996</v>
      </c>
      <c r="H53" s="170">
        <f t="shared" si="5"/>
        <v>2317.6084702500002</v>
      </c>
      <c r="I53" s="177">
        <f t="shared" si="6"/>
        <v>7.7513071302918695</v>
      </c>
      <c r="J53" s="181">
        <f t="shared" si="7"/>
        <v>7.2087156311714393</v>
      </c>
    </row>
    <row r="54" spans="1:11" ht="12" customHeight="1" x14ac:dyDescent="0.2">
      <c r="A54" s="2">
        <v>2007</v>
      </c>
      <c r="B54" s="20">
        <v>302.003917</v>
      </c>
      <c r="C54" s="168">
        <v>2388.6</v>
      </c>
      <c r="D54" s="169">
        <v>116.043604</v>
      </c>
      <c r="E54" s="170">
        <f t="shared" si="4"/>
        <v>2504.6436039999999</v>
      </c>
      <c r="F54" s="169">
        <v>55.68188</v>
      </c>
      <c r="G54" s="170">
        <v>47.771999999999998</v>
      </c>
      <c r="H54" s="170">
        <f t="shared" si="5"/>
        <v>2401.1897239999998</v>
      </c>
      <c r="I54" s="177">
        <f t="shared" si="6"/>
        <v>7.950856226808475</v>
      </c>
      <c r="J54" s="181">
        <f t="shared" ref="J54:J59" si="8">I54*0.93</f>
        <v>7.3942962909318819</v>
      </c>
    </row>
    <row r="55" spans="1:11" ht="12" customHeight="1" x14ac:dyDescent="0.2">
      <c r="A55" s="2">
        <v>2008</v>
      </c>
      <c r="B55" s="20">
        <v>304.79776099999998</v>
      </c>
      <c r="C55" s="168">
        <v>2451.6</v>
      </c>
      <c r="D55" s="169">
        <v>104.283905</v>
      </c>
      <c r="E55" s="170">
        <f t="shared" si="4"/>
        <v>2555.8839049999997</v>
      </c>
      <c r="F55" s="169">
        <v>52.807626999999997</v>
      </c>
      <c r="G55" s="170">
        <v>49.031999999999996</v>
      </c>
      <c r="H55" s="170">
        <f t="shared" si="5"/>
        <v>2454.0442779999998</v>
      </c>
      <c r="I55" s="177">
        <f t="shared" si="6"/>
        <v>8.0513855152630214</v>
      </c>
      <c r="J55" s="181">
        <f t="shared" si="8"/>
        <v>7.48778852919461</v>
      </c>
    </row>
    <row r="56" spans="1:11" ht="12" customHeight="1" x14ac:dyDescent="0.2">
      <c r="A56" s="2">
        <v>2009</v>
      </c>
      <c r="B56" s="20">
        <v>307.43940600000002</v>
      </c>
      <c r="C56" s="168">
        <v>2246.6999999999998</v>
      </c>
      <c r="D56" s="169">
        <v>84.357979999999998</v>
      </c>
      <c r="E56" s="170">
        <f t="shared" si="4"/>
        <v>2331.0579799999996</v>
      </c>
      <c r="F56" s="169">
        <v>56.803187999999999</v>
      </c>
      <c r="G56" s="170">
        <v>44.933999999999997</v>
      </c>
      <c r="H56" s="170">
        <f t="shared" si="5"/>
        <v>2229.3207919999995</v>
      </c>
      <c r="I56" s="177">
        <f t="shared" si="6"/>
        <v>7.2512525996748751</v>
      </c>
      <c r="J56" s="181">
        <f t="shared" si="8"/>
        <v>6.7436649176976342</v>
      </c>
    </row>
    <row r="57" spans="1:11" ht="12" customHeight="1" x14ac:dyDescent="0.2">
      <c r="A57" s="2">
        <v>2010</v>
      </c>
      <c r="B57" s="20">
        <v>309.74127900000002</v>
      </c>
      <c r="C57" s="168">
        <v>2279.6999999999998</v>
      </c>
      <c r="D57" s="169">
        <v>136.73877106493998</v>
      </c>
      <c r="E57" s="170">
        <f t="shared" si="4"/>
        <v>2416.4387710649398</v>
      </c>
      <c r="F57" s="169">
        <v>60.043833211339994</v>
      </c>
      <c r="G57" s="170">
        <v>45.593999999999994</v>
      </c>
      <c r="H57" s="170">
        <f t="shared" si="5"/>
        <v>2310.8009378535999</v>
      </c>
      <c r="I57" s="177">
        <f t="shared" si="6"/>
        <v>7.4604229223628913</v>
      </c>
      <c r="J57" s="181">
        <f t="shared" si="8"/>
        <v>6.9381933177974888</v>
      </c>
    </row>
    <row r="58" spans="1:11" ht="12" customHeight="1" x14ac:dyDescent="0.2">
      <c r="A58" s="33">
        <v>2011</v>
      </c>
      <c r="B58" s="31">
        <v>311.97391399999998</v>
      </c>
      <c r="C58" s="171">
        <v>2013.4</v>
      </c>
      <c r="D58" s="172">
        <v>142.70022007295998</v>
      </c>
      <c r="E58" s="172">
        <f t="shared" si="4"/>
        <v>2156.1002200729599</v>
      </c>
      <c r="F58" s="171">
        <v>68.418523205339994</v>
      </c>
      <c r="G58" s="172">
        <v>40.268000000000001</v>
      </c>
      <c r="H58" s="171">
        <f t="shared" si="5"/>
        <v>2047.4136968676198</v>
      </c>
      <c r="I58" s="182">
        <f t="shared" si="6"/>
        <v>6.5627720940399525</v>
      </c>
      <c r="J58" s="182">
        <f t="shared" si="8"/>
        <v>6.1033780474571566</v>
      </c>
    </row>
    <row r="59" spans="1:11" s="43" customFormat="1" ht="12" customHeight="1" x14ac:dyDescent="0.2">
      <c r="A59" s="33">
        <v>2012</v>
      </c>
      <c r="B59" s="31">
        <v>314.16755799999999</v>
      </c>
      <c r="C59" s="171">
        <v>1975.2</v>
      </c>
      <c r="D59" s="172">
        <v>121.74632771202</v>
      </c>
      <c r="E59" s="172">
        <f t="shared" si="4"/>
        <v>2096.9463277120199</v>
      </c>
      <c r="F59" s="171">
        <v>90.608369630680002</v>
      </c>
      <c r="G59" s="172">
        <v>39.504000000000005</v>
      </c>
      <c r="H59" s="171">
        <f t="shared" si="5"/>
        <v>1966.8339580813399</v>
      </c>
      <c r="I59" s="182">
        <f t="shared" si="6"/>
        <v>6.2604616803920283</v>
      </c>
      <c r="J59" s="182">
        <f t="shared" si="8"/>
        <v>5.8222293627645865</v>
      </c>
    </row>
    <row r="60" spans="1:11" s="93" customFormat="1" ht="12" customHeight="1" x14ac:dyDescent="0.2">
      <c r="A60" s="33">
        <v>2013</v>
      </c>
      <c r="B60" s="31">
        <v>316.29476599999998</v>
      </c>
      <c r="C60" s="171">
        <v>2175</v>
      </c>
      <c r="D60" s="172">
        <v>176.41377397093999</v>
      </c>
      <c r="E60" s="172">
        <f t="shared" si="4"/>
        <v>2351.4137739709399</v>
      </c>
      <c r="F60" s="171">
        <v>115.23237227194001</v>
      </c>
      <c r="G60" s="172">
        <v>43.5</v>
      </c>
      <c r="H60" s="171">
        <f t="shared" ref="H60" si="9">E60-SUM(F60:G60)</f>
        <v>2192.6814016990002</v>
      </c>
      <c r="I60" s="182">
        <f t="shared" ref="I60" si="10">IF(H60=0,0,IF(B60=0,0,H60/B60))</f>
        <v>6.9323986274847185</v>
      </c>
      <c r="J60" s="182">
        <f t="shared" ref="J60" si="11">I60*0.93</f>
        <v>6.4471307235607886</v>
      </c>
      <c r="K60" s="93" t="s">
        <v>142</v>
      </c>
    </row>
    <row r="61" spans="1:11" s="93" customFormat="1" ht="12" customHeight="1" x14ac:dyDescent="0.2">
      <c r="A61" s="33">
        <v>2014</v>
      </c>
      <c r="B61" s="31">
        <v>318.576955</v>
      </c>
      <c r="C61" s="171">
        <v>2114.1</v>
      </c>
      <c r="D61" s="172">
        <v>172.64251572501999</v>
      </c>
      <c r="E61" s="172">
        <f t="shared" si="4"/>
        <v>2286.74251572502</v>
      </c>
      <c r="F61" s="171">
        <v>111.53869019458</v>
      </c>
      <c r="G61" s="172">
        <v>42.281999999999996</v>
      </c>
      <c r="H61" s="171">
        <f t="shared" ref="H61" si="12">E61-SUM(F61:G61)</f>
        <v>2132.9218255304399</v>
      </c>
      <c r="I61" s="182">
        <f t="shared" ref="I61" si="13">IF(H61=0,0,IF(B61=0,0,H61/B61))</f>
        <v>6.6951541599436784</v>
      </c>
      <c r="J61" s="182">
        <f t="shared" ref="J61" si="14">I61*0.93</f>
        <v>6.2264933687476214</v>
      </c>
    </row>
    <row r="62" spans="1:11" s="93" customFormat="1" ht="12" customHeight="1" x14ac:dyDescent="0.2">
      <c r="A62" s="33">
        <v>2015</v>
      </c>
      <c r="B62" s="31">
        <v>320.87070299999999</v>
      </c>
      <c r="C62" s="171">
        <v>2017.8</v>
      </c>
      <c r="D62" s="172">
        <v>166.12623661546002</v>
      </c>
      <c r="E62" s="172">
        <f t="shared" si="4"/>
        <v>2183.9262366154599</v>
      </c>
      <c r="F62" s="171">
        <v>125.43852167087998</v>
      </c>
      <c r="G62" s="172">
        <v>40.356000000000002</v>
      </c>
      <c r="H62" s="171">
        <f t="shared" ref="H62" si="15">E62-SUM(F62:G62)</f>
        <v>2018.1317149445799</v>
      </c>
      <c r="I62" s="182">
        <f t="shared" ref="I62" si="16">IF(H62=0,0,IF(B62=0,0,H62/B62))</f>
        <v>6.2895480830002111</v>
      </c>
      <c r="J62" s="182">
        <f t="shared" ref="J62" si="17">I62*0.93</f>
        <v>5.8492797171901962</v>
      </c>
    </row>
    <row r="63" spans="1:11" s="93" customFormat="1" ht="12" customHeight="1" x14ac:dyDescent="0.2">
      <c r="A63" s="128">
        <v>2016</v>
      </c>
      <c r="B63" s="129">
        <v>323.16101099999997</v>
      </c>
      <c r="C63" s="168">
        <v>1891.83</v>
      </c>
      <c r="D63" s="169">
        <v>216.27010025808002</v>
      </c>
      <c r="E63" s="170">
        <f t="shared" si="4"/>
        <v>2108.1001002580801</v>
      </c>
      <c r="F63" s="169">
        <v>161.28304803314001</v>
      </c>
      <c r="G63" s="170">
        <v>37.836599999999997</v>
      </c>
      <c r="H63" s="170">
        <f t="shared" ref="H63:H64" si="18">E63-SUM(F63:G63)</f>
        <v>1908.9804522249401</v>
      </c>
      <c r="I63" s="177">
        <f t="shared" ref="I63:I64" si="19">IF(H63=0,0,IF(B63=0,0,H63/B63))</f>
        <v>5.9072115361866482</v>
      </c>
      <c r="J63" s="181">
        <f t="shared" ref="J63:J64" si="20">I63*0.93</f>
        <v>5.4937067286535832</v>
      </c>
    </row>
    <row r="64" spans="1:11" s="93" customFormat="1" ht="12" customHeight="1" x14ac:dyDescent="0.2">
      <c r="A64" s="125">
        <v>2017</v>
      </c>
      <c r="B64" s="126">
        <v>325.20603</v>
      </c>
      <c r="C64" s="168">
        <v>1976.49</v>
      </c>
      <c r="D64" s="169">
        <v>169.42747649123999</v>
      </c>
      <c r="E64" s="170">
        <f t="shared" si="4"/>
        <v>2145.91747649124</v>
      </c>
      <c r="F64" s="169">
        <v>89.92235141142001</v>
      </c>
      <c r="G64" s="170">
        <v>39.529800000000002</v>
      </c>
      <c r="H64" s="170">
        <f t="shared" si="18"/>
        <v>2016.4653250798201</v>
      </c>
      <c r="I64" s="177">
        <f t="shared" si="19"/>
        <v>6.2005779077338143</v>
      </c>
      <c r="J64" s="181">
        <f t="shared" si="20"/>
        <v>5.7665374541924477</v>
      </c>
    </row>
    <row r="65" spans="1:11" s="93" customFormat="1" ht="12" customHeight="1" x14ac:dyDescent="0.2">
      <c r="A65" s="128">
        <v>2018</v>
      </c>
      <c r="B65" s="129">
        <v>326.92397599999998</v>
      </c>
      <c r="C65" s="168">
        <v>1729.7</v>
      </c>
      <c r="D65" s="169">
        <v>253.49420726850002</v>
      </c>
      <c r="E65" s="170">
        <f t="shared" si="4"/>
        <v>1983.1942072685001</v>
      </c>
      <c r="F65" s="169">
        <v>89.90755179736</v>
      </c>
      <c r="G65" s="170">
        <v>34.594000000000001</v>
      </c>
      <c r="H65" s="170">
        <f t="shared" ref="H65:H67" si="21">E65-SUM(F65:G65)</f>
        <v>1858.6926554711401</v>
      </c>
      <c r="I65" s="177">
        <f t="shared" ref="I65:I67" si="22">IF(H65=0,0,IF(B65=0,0,H65/B65))</f>
        <v>5.6853971929888072</v>
      </c>
      <c r="J65" s="181">
        <f t="shared" ref="J65:J67" si="23">I65*0.93</f>
        <v>5.2874193894795907</v>
      </c>
    </row>
    <row r="66" spans="1:11" s="93" customFormat="1" ht="12" customHeight="1" x14ac:dyDescent="0.2">
      <c r="A66" s="128">
        <v>2019</v>
      </c>
      <c r="B66" s="129">
        <v>328.475998</v>
      </c>
      <c r="C66" s="168">
        <v>1946.31</v>
      </c>
      <c r="D66" s="169">
        <v>285.18701529296004</v>
      </c>
      <c r="E66" s="170">
        <f t="shared" si="4"/>
        <v>2231.49701529296</v>
      </c>
      <c r="F66" s="169">
        <v>105.97698508958</v>
      </c>
      <c r="G66" s="170">
        <v>38.926200000000001</v>
      </c>
      <c r="H66" s="170">
        <f t="shared" si="21"/>
        <v>2086.5938302033801</v>
      </c>
      <c r="I66" s="177">
        <f t="shared" si="22"/>
        <v>6.3523479429488789</v>
      </c>
      <c r="J66" s="181">
        <f t="shared" si="23"/>
        <v>5.9076835869424578</v>
      </c>
    </row>
    <row r="67" spans="1:11" s="93" customFormat="1" ht="12" customHeight="1" thickBot="1" x14ac:dyDescent="0.25">
      <c r="A67" s="148">
        <v>2020</v>
      </c>
      <c r="B67" s="149">
        <v>330.11398000000003</v>
      </c>
      <c r="C67" s="168">
        <v>1914.32</v>
      </c>
      <c r="D67" s="169">
        <v>278.5527118517</v>
      </c>
      <c r="E67" s="170">
        <f t="shared" si="4"/>
        <v>2192.8727118516999</v>
      </c>
      <c r="F67" s="169">
        <v>91.323019249879991</v>
      </c>
      <c r="G67" s="170">
        <v>38.2864</v>
      </c>
      <c r="H67" s="170">
        <f t="shared" si="21"/>
        <v>2063.26329260182</v>
      </c>
      <c r="I67" s="177">
        <f t="shared" si="22"/>
        <v>6.2501542424886694</v>
      </c>
      <c r="J67" s="181">
        <f t="shared" si="23"/>
        <v>5.8126434455144631</v>
      </c>
    </row>
    <row r="68" spans="1:11" ht="12" customHeight="1" thickTop="1" x14ac:dyDescent="0.2">
      <c r="A68" s="270" t="s">
        <v>226</v>
      </c>
      <c r="B68" s="271"/>
      <c r="C68" s="271"/>
      <c r="D68" s="271"/>
      <c r="E68" s="271"/>
      <c r="F68" s="271"/>
      <c r="G68" s="271"/>
      <c r="H68" s="271"/>
      <c r="I68" s="271"/>
      <c r="J68" s="272"/>
      <c r="K68" s="53"/>
    </row>
    <row r="69" spans="1:11" ht="12" customHeight="1" x14ac:dyDescent="0.2">
      <c r="A69" s="251"/>
      <c r="B69" s="252"/>
      <c r="C69" s="252"/>
      <c r="D69" s="252"/>
      <c r="E69" s="252"/>
      <c r="F69" s="252"/>
      <c r="G69" s="252"/>
      <c r="H69" s="252"/>
      <c r="I69" s="252"/>
      <c r="J69" s="253"/>
      <c r="K69" s="53"/>
    </row>
    <row r="70" spans="1:11" s="93" customFormat="1" ht="24.75" customHeight="1" x14ac:dyDescent="0.2">
      <c r="A70" s="251"/>
      <c r="B70" s="252"/>
      <c r="C70" s="252"/>
      <c r="D70" s="252"/>
      <c r="E70" s="252"/>
      <c r="F70" s="252"/>
      <c r="G70" s="252"/>
      <c r="H70" s="252"/>
      <c r="I70" s="252"/>
      <c r="J70" s="253"/>
      <c r="K70" s="108"/>
    </row>
    <row r="71" spans="1:11" ht="12" customHeight="1" x14ac:dyDescent="0.2">
      <c r="A71" s="223"/>
      <c r="B71" s="224"/>
      <c r="C71" s="224"/>
      <c r="D71" s="224"/>
      <c r="E71" s="224"/>
      <c r="F71" s="224"/>
      <c r="G71" s="224"/>
      <c r="H71" s="224"/>
      <c r="I71" s="224"/>
      <c r="J71" s="225"/>
      <c r="K71" s="53"/>
    </row>
    <row r="72" spans="1:11" ht="12" customHeight="1" x14ac:dyDescent="0.2">
      <c r="A72" s="223" t="s">
        <v>198</v>
      </c>
      <c r="B72" s="224"/>
      <c r="C72" s="224"/>
      <c r="D72" s="224"/>
      <c r="E72" s="224"/>
      <c r="F72" s="224"/>
      <c r="G72" s="224"/>
      <c r="H72" s="224"/>
      <c r="I72" s="224"/>
      <c r="J72" s="225"/>
      <c r="K72" s="109"/>
    </row>
  </sheetData>
  <mergeCells count="20">
    <mergeCell ref="A71:J71"/>
    <mergeCell ref="A72:J72"/>
    <mergeCell ref="A68:J70"/>
    <mergeCell ref="C6:H6"/>
    <mergeCell ref="I6:J6"/>
    <mergeCell ref="I1:J1"/>
    <mergeCell ref="E3:E5"/>
    <mergeCell ref="G3:G5"/>
    <mergeCell ref="H3:H5"/>
    <mergeCell ref="C3:C5"/>
    <mergeCell ref="D3:D5"/>
    <mergeCell ref="F3:F5"/>
    <mergeCell ref="A1:H1"/>
    <mergeCell ref="A2:A5"/>
    <mergeCell ref="B2:B5"/>
    <mergeCell ref="C2:E2"/>
    <mergeCell ref="I4:I5"/>
    <mergeCell ref="I3:J3"/>
    <mergeCell ref="F2:G2"/>
    <mergeCell ref="H2:J2"/>
  </mergeCells>
  <phoneticPr fontId="7" type="noConversion"/>
  <printOptions horizontalCentered="1"/>
  <pageMargins left="0.45" right="0.45" top="0.75" bottom="0.75" header="0" footer="0"/>
  <pageSetup scale="66" fitToWidth="2"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pageSetUpPr autoPageBreaks="0" fitToPage="1"/>
  </sheetPr>
  <dimension ref="A1:J73"/>
  <sheetViews>
    <sheetView showOutlineSymbols="0" zoomScaleNormal="100" workbookViewId="0">
      <pane ySplit="6" topLeftCell="A7" activePane="bottomLeft" state="frozen"/>
      <selection sqref="A1:G1"/>
      <selection pane="bottomLeft" sqref="A1:G1"/>
    </sheetView>
  </sheetViews>
  <sheetFormatPr defaultColWidth="12.7109375" defaultRowHeight="12" customHeight="1" x14ac:dyDescent="0.2"/>
  <cols>
    <col min="1" max="1" width="12.7109375" style="13" customWidth="1"/>
    <col min="2" max="16384" width="12.7109375" style="13"/>
  </cols>
  <sheetData>
    <row r="1" spans="1:10" s="1" customFormat="1" ht="12" customHeight="1" thickBot="1" x14ac:dyDescent="0.25">
      <c r="A1" s="201" t="s">
        <v>154</v>
      </c>
      <c r="B1" s="201"/>
      <c r="C1" s="201"/>
      <c r="D1" s="201"/>
      <c r="E1" s="201"/>
      <c r="F1" s="201"/>
      <c r="G1" s="201"/>
      <c r="H1" s="200" t="s">
        <v>19</v>
      </c>
      <c r="I1" s="200"/>
    </row>
    <row r="2" spans="1:10" ht="12" customHeight="1" thickTop="1" x14ac:dyDescent="0.2">
      <c r="A2" s="257" t="s">
        <v>1</v>
      </c>
      <c r="B2" s="258" t="s">
        <v>85</v>
      </c>
      <c r="C2" s="218" t="s">
        <v>2</v>
      </c>
      <c r="D2" s="218"/>
      <c r="E2" s="218"/>
      <c r="F2" s="117" t="s">
        <v>146</v>
      </c>
      <c r="G2" s="244" t="s">
        <v>147</v>
      </c>
      <c r="H2" s="245"/>
      <c r="I2" s="245"/>
    </row>
    <row r="3" spans="1:10" ht="12" customHeight="1" x14ac:dyDescent="0.2">
      <c r="A3" s="217"/>
      <c r="B3" s="259"/>
      <c r="C3" s="217" t="s">
        <v>86</v>
      </c>
      <c r="D3" s="217" t="s">
        <v>87</v>
      </c>
      <c r="E3" s="217" t="s">
        <v>88</v>
      </c>
      <c r="F3" s="217" t="s">
        <v>95</v>
      </c>
      <c r="G3" s="217" t="s">
        <v>137</v>
      </c>
      <c r="H3" s="226" t="s">
        <v>28</v>
      </c>
      <c r="I3" s="227"/>
    </row>
    <row r="4" spans="1:10" ht="12" customHeight="1" x14ac:dyDescent="0.2">
      <c r="A4" s="217"/>
      <c r="B4" s="259"/>
      <c r="C4" s="217"/>
      <c r="D4" s="217"/>
      <c r="E4" s="217"/>
      <c r="F4" s="217"/>
      <c r="G4" s="217"/>
      <c r="H4" s="217" t="s">
        <v>4</v>
      </c>
      <c r="I4" s="14" t="s">
        <v>139</v>
      </c>
      <c r="J4" s="4"/>
    </row>
    <row r="5" spans="1:10" ht="12" customHeight="1" x14ac:dyDescent="0.2">
      <c r="A5" s="217"/>
      <c r="B5" s="259"/>
      <c r="C5" s="217"/>
      <c r="D5" s="217"/>
      <c r="E5" s="217"/>
      <c r="F5" s="217"/>
      <c r="G5" s="217"/>
      <c r="H5" s="217"/>
      <c r="I5" s="14" t="s">
        <v>189</v>
      </c>
    </row>
    <row r="6" spans="1:10" ht="12" customHeight="1" x14ac:dyDescent="0.2">
      <c r="A6" s="56"/>
      <c r="B6" s="57" t="s">
        <v>121</v>
      </c>
      <c r="C6" s="273" t="s">
        <v>122</v>
      </c>
      <c r="D6" s="274"/>
      <c r="E6" s="274"/>
      <c r="F6" s="274"/>
      <c r="G6" s="274"/>
      <c r="H6" s="273" t="s">
        <v>118</v>
      </c>
      <c r="I6" s="274"/>
      <c r="J6" s="56"/>
    </row>
    <row r="7" spans="1:10" ht="12" customHeight="1" x14ac:dyDescent="0.2">
      <c r="A7" s="2">
        <v>1960</v>
      </c>
      <c r="B7" s="20">
        <v>180.67099999999999</v>
      </c>
      <c r="C7" s="168">
        <v>1368.8</v>
      </c>
      <c r="D7" s="169">
        <v>22.5</v>
      </c>
      <c r="E7" s="170">
        <f t="shared" ref="E7:E38" si="0">SUM(C7,D7)</f>
        <v>1391.3</v>
      </c>
      <c r="F7" s="169">
        <v>86.6</v>
      </c>
      <c r="G7" s="170">
        <f t="shared" ref="G7:G38" si="1">E7-SUM(F7)</f>
        <v>1304.7</v>
      </c>
      <c r="H7" s="176">
        <f t="shared" ref="H7:H38" si="2">IF(G7=0,0,IF(B7=0,0,G7/B7))</f>
        <v>7.2214135085320841</v>
      </c>
      <c r="I7" s="177">
        <f t="shared" ref="I7:I47" si="3">H7*0.97</f>
        <v>7.0047711032761217</v>
      </c>
    </row>
    <row r="8" spans="1:10" ht="12" customHeight="1" x14ac:dyDescent="0.2">
      <c r="A8" s="3">
        <v>1961</v>
      </c>
      <c r="B8" s="21">
        <v>183.691</v>
      </c>
      <c r="C8" s="171">
        <v>1299.5999999999999</v>
      </c>
      <c r="D8" s="172">
        <v>29.6</v>
      </c>
      <c r="E8" s="172">
        <f t="shared" si="0"/>
        <v>1329.1999999999998</v>
      </c>
      <c r="F8" s="171">
        <v>83.8</v>
      </c>
      <c r="G8" s="172">
        <f t="shared" si="1"/>
        <v>1245.3999999999999</v>
      </c>
      <c r="H8" s="180">
        <f t="shared" si="2"/>
        <v>6.779864010757195</v>
      </c>
      <c r="I8" s="182">
        <f t="shared" si="3"/>
        <v>6.5764680904344788</v>
      </c>
    </row>
    <row r="9" spans="1:10" ht="12" customHeight="1" x14ac:dyDescent="0.2">
      <c r="A9" s="3">
        <v>1962</v>
      </c>
      <c r="B9" s="21">
        <v>186.53800000000001</v>
      </c>
      <c r="C9" s="171">
        <v>1327.2</v>
      </c>
      <c r="D9" s="172">
        <v>32.1</v>
      </c>
      <c r="E9" s="172">
        <f t="shared" si="0"/>
        <v>1359.3</v>
      </c>
      <c r="F9" s="171">
        <v>82.1</v>
      </c>
      <c r="G9" s="172">
        <f t="shared" si="1"/>
        <v>1277.2</v>
      </c>
      <c r="H9" s="180">
        <f t="shared" si="2"/>
        <v>6.8468623015149728</v>
      </c>
      <c r="I9" s="182">
        <f t="shared" si="3"/>
        <v>6.6414564324695231</v>
      </c>
    </row>
    <row r="10" spans="1:10" ht="12" customHeight="1" x14ac:dyDescent="0.2">
      <c r="A10" s="3">
        <v>1963</v>
      </c>
      <c r="B10" s="21">
        <v>189.24199999999999</v>
      </c>
      <c r="C10" s="171">
        <v>1457.5</v>
      </c>
      <c r="D10" s="172">
        <v>38.799999999999997</v>
      </c>
      <c r="E10" s="172">
        <f t="shared" si="0"/>
        <v>1496.3</v>
      </c>
      <c r="F10" s="171">
        <v>134.69999999999999</v>
      </c>
      <c r="G10" s="172">
        <f t="shared" si="1"/>
        <v>1361.6</v>
      </c>
      <c r="H10" s="180">
        <f t="shared" si="2"/>
        <v>7.1950201329514591</v>
      </c>
      <c r="I10" s="182">
        <f t="shared" si="3"/>
        <v>6.979169528962915</v>
      </c>
    </row>
    <row r="11" spans="1:10" ht="12" customHeight="1" x14ac:dyDescent="0.2">
      <c r="A11" s="3">
        <v>1964</v>
      </c>
      <c r="B11" s="21">
        <v>191.88900000000001</v>
      </c>
      <c r="C11" s="171">
        <v>1324.7</v>
      </c>
      <c r="D11" s="172">
        <v>49</v>
      </c>
      <c r="E11" s="172">
        <f t="shared" si="0"/>
        <v>1373.7</v>
      </c>
      <c r="F11" s="171">
        <v>75.5</v>
      </c>
      <c r="G11" s="172">
        <f t="shared" si="1"/>
        <v>1298.2</v>
      </c>
      <c r="H11" s="180">
        <f t="shared" si="2"/>
        <v>6.7653695626117178</v>
      </c>
      <c r="I11" s="182">
        <f t="shared" si="3"/>
        <v>6.5624084757333661</v>
      </c>
    </row>
    <row r="12" spans="1:10" ht="12" customHeight="1" x14ac:dyDescent="0.2">
      <c r="A12" s="3">
        <v>1965</v>
      </c>
      <c r="B12" s="21">
        <v>194.303</v>
      </c>
      <c r="C12" s="171">
        <v>1378.7</v>
      </c>
      <c r="D12" s="172">
        <v>37.799999999999997</v>
      </c>
      <c r="E12" s="172">
        <f t="shared" si="0"/>
        <v>1416.5</v>
      </c>
      <c r="F12" s="171">
        <v>78.599999999999994</v>
      </c>
      <c r="G12" s="172">
        <f t="shared" si="1"/>
        <v>1337.9</v>
      </c>
      <c r="H12" s="180">
        <f t="shared" si="2"/>
        <v>6.8856373807918567</v>
      </c>
      <c r="I12" s="182">
        <f t="shared" si="3"/>
        <v>6.6790682593681012</v>
      </c>
    </row>
    <row r="13" spans="1:10" ht="12" customHeight="1" x14ac:dyDescent="0.2">
      <c r="A13" s="2">
        <v>1966</v>
      </c>
      <c r="B13" s="20">
        <v>196.56</v>
      </c>
      <c r="C13" s="168">
        <v>1289.9000000000001</v>
      </c>
      <c r="D13" s="169">
        <v>46.6</v>
      </c>
      <c r="E13" s="170">
        <f t="shared" si="0"/>
        <v>1336.5</v>
      </c>
      <c r="F13" s="169">
        <v>100.9</v>
      </c>
      <c r="G13" s="170">
        <f t="shared" si="1"/>
        <v>1235.5999999999999</v>
      </c>
      <c r="H13" s="176">
        <f t="shared" si="2"/>
        <v>6.2861212861212854</v>
      </c>
      <c r="I13" s="177">
        <f t="shared" si="3"/>
        <v>6.0975376475376466</v>
      </c>
    </row>
    <row r="14" spans="1:10" ht="12" customHeight="1" x14ac:dyDescent="0.2">
      <c r="A14" s="2">
        <v>1967</v>
      </c>
      <c r="B14" s="20">
        <v>198.71199999999999</v>
      </c>
      <c r="C14" s="168">
        <v>1283.4000000000001</v>
      </c>
      <c r="D14" s="169">
        <v>58.2</v>
      </c>
      <c r="E14" s="170">
        <f t="shared" si="0"/>
        <v>1341.6000000000001</v>
      </c>
      <c r="F14" s="169">
        <v>68.3</v>
      </c>
      <c r="G14" s="170">
        <f t="shared" si="1"/>
        <v>1273.3000000000002</v>
      </c>
      <c r="H14" s="176">
        <f t="shared" si="2"/>
        <v>6.4077660131245233</v>
      </c>
      <c r="I14" s="177">
        <f t="shared" si="3"/>
        <v>6.2155330327307876</v>
      </c>
    </row>
    <row r="15" spans="1:10" ht="12" customHeight="1" x14ac:dyDescent="0.2">
      <c r="A15" s="2">
        <v>1968</v>
      </c>
      <c r="B15" s="20">
        <v>200.70599999999999</v>
      </c>
      <c r="C15" s="168">
        <v>1493.3</v>
      </c>
      <c r="D15" s="169">
        <v>63.8</v>
      </c>
      <c r="E15" s="170">
        <f t="shared" si="0"/>
        <v>1557.1</v>
      </c>
      <c r="F15" s="169">
        <v>81.7</v>
      </c>
      <c r="G15" s="170">
        <f t="shared" si="1"/>
        <v>1475.3999999999999</v>
      </c>
      <c r="H15" s="176">
        <f t="shared" si="2"/>
        <v>7.3510507907087979</v>
      </c>
      <c r="I15" s="177">
        <f t="shared" si="3"/>
        <v>7.1305192669875339</v>
      </c>
    </row>
    <row r="16" spans="1:10" ht="12" customHeight="1" x14ac:dyDescent="0.2">
      <c r="A16" s="2">
        <v>1969</v>
      </c>
      <c r="B16" s="20">
        <v>202.67699999999999</v>
      </c>
      <c r="C16" s="168">
        <v>1194.4000000000001</v>
      </c>
      <c r="D16" s="169">
        <v>61.9</v>
      </c>
      <c r="E16" s="170">
        <f t="shared" si="0"/>
        <v>1256.3000000000002</v>
      </c>
      <c r="F16" s="169">
        <v>64.5</v>
      </c>
      <c r="G16" s="170">
        <f t="shared" si="1"/>
        <v>1191.8000000000002</v>
      </c>
      <c r="H16" s="176">
        <f t="shared" si="2"/>
        <v>5.8802922877287518</v>
      </c>
      <c r="I16" s="177">
        <f t="shared" si="3"/>
        <v>5.7038835190968893</v>
      </c>
    </row>
    <row r="17" spans="1:9" ht="12" customHeight="1" x14ac:dyDescent="0.2">
      <c r="A17" s="2">
        <v>1970</v>
      </c>
      <c r="B17" s="20">
        <v>205.05199999999999</v>
      </c>
      <c r="C17" s="168">
        <v>1218.2</v>
      </c>
      <c r="D17" s="169">
        <v>56.2</v>
      </c>
      <c r="E17" s="170">
        <f t="shared" si="0"/>
        <v>1274.4000000000001</v>
      </c>
      <c r="F17" s="169">
        <v>50.6</v>
      </c>
      <c r="G17" s="170">
        <f t="shared" si="1"/>
        <v>1223.8000000000002</v>
      </c>
      <c r="H17" s="176">
        <f t="shared" si="2"/>
        <v>5.9682422019780361</v>
      </c>
      <c r="I17" s="177">
        <f t="shared" si="3"/>
        <v>5.7891949359186947</v>
      </c>
    </row>
    <row r="18" spans="1:9" ht="12" customHeight="1" x14ac:dyDescent="0.2">
      <c r="A18" s="3">
        <v>1971</v>
      </c>
      <c r="B18" s="21">
        <v>207.661</v>
      </c>
      <c r="C18" s="171">
        <v>1287.0999999999999</v>
      </c>
      <c r="D18" s="172">
        <v>52.6</v>
      </c>
      <c r="E18" s="172">
        <f t="shared" si="0"/>
        <v>1339.6999999999998</v>
      </c>
      <c r="F18" s="171">
        <v>69.599999999999994</v>
      </c>
      <c r="G18" s="172">
        <f t="shared" si="1"/>
        <v>1270.0999999999999</v>
      </c>
      <c r="H18" s="180">
        <f t="shared" si="2"/>
        <v>6.1162182595672752</v>
      </c>
      <c r="I18" s="182">
        <f t="shared" si="3"/>
        <v>5.9327317117802565</v>
      </c>
    </row>
    <row r="19" spans="1:9" ht="12" customHeight="1" x14ac:dyDescent="0.2">
      <c r="A19" s="3">
        <v>1972</v>
      </c>
      <c r="B19" s="21">
        <v>209.89599999999999</v>
      </c>
      <c r="C19" s="171">
        <v>1402.1</v>
      </c>
      <c r="D19" s="172">
        <v>51</v>
      </c>
      <c r="E19" s="172">
        <f t="shared" si="0"/>
        <v>1453.1</v>
      </c>
      <c r="F19" s="171">
        <v>80.2</v>
      </c>
      <c r="G19" s="172">
        <f t="shared" si="1"/>
        <v>1372.8999999999999</v>
      </c>
      <c r="H19" s="180">
        <f t="shared" si="2"/>
        <v>6.5408583298395397</v>
      </c>
      <c r="I19" s="182">
        <f t="shared" si="3"/>
        <v>6.3446325799443537</v>
      </c>
    </row>
    <row r="20" spans="1:9" ht="12" customHeight="1" x14ac:dyDescent="0.2">
      <c r="A20" s="3">
        <v>1973</v>
      </c>
      <c r="B20" s="21">
        <v>211.90899999999999</v>
      </c>
      <c r="C20" s="171">
        <v>1435.7</v>
      </c>
      <c r="D20" s="172">
        <v>48</v>
      </c>
      <c r="E20" s="172">
        <f t="shared" si="0"/>
        <v>1483.7</v>
      </c>
      <c r="F20" s="171">
        <v>63.3</v>
      </c>
      <c r="G20" s="172">
        <f t="shared" si="1"/>
        <v>1420.4</v>
      </c>
      <c r="H20" s="180">
        <f t="shared" si="2"/>
        <v>6.7028771784114882</v>
      </c>
      <c r="I20" s="182">
        <f t="shared" si="3"/>
        <v>6.501790863059143</v>
      </c>
    </row>
    <row r="21" spans="1:9" ht="12" customHeight="1" x14ac:dyDescent="0.2">
      <c r="A21" s="3">
        <v>1974</v>
      </c>
      <c r="B21" s="21">
        <v>213.85400000000001</v>
      </c>
      <c r="C21" s="171">
        <v>1473.9</v>
      </c>
      <c r="D21" s="172">
        <v>70.099999999999994</v>
      </c>
      <c r="E21" s="172">
        <f t="shared" si="0"/>
        <v>1544</v>
      </c>
      <c r="F21" s="171">
        <v>65.900000000000006</v>
      </c>
      <c r="G21" s="172">
        <f t="shared" si="1"/>
        <v>1478.1</v>
      </c>
      <c r="H21" s="180">
        <f t="shared" si="2"/>
        <v>6.9117248216072635</v>
      </c>
      <c r="I21" s="182">
        <f t="shared" si="3"/>
        <v>6.7043730769590457</v>
      </c>
    </row>
    <row r="22" spans="1:9" ht="12" customHeight="1" x14ac:dyDescent="0.2">
      <c r="A22" s="3">
        <v>1975</v>
      </c>
      <c r="B22" s="21">
        <v>215.97300000000001</v>
      </c>
      <c r="C22" s="171">
        <v>1423.9</v>
      </c>
      <c r="D22" s="172">
        <v>60.8</v>
      </c>
      <c r="E22" s="172">
        <f t="shared" si="0"/>
        <v>1484.7</v>
      </c>
      <c r="F22" s="171">
        <v>93</v>
      </c>
      <c r="G22" s="172">
        <f t="shared" si="1"/>
        <v>1391.7</v>
      </c>
      <c r="H22" s="180">
        <f t="shared" si="2"/>
        <v>6.4438610381853287</v>
      </c>
      <c r="I22" s="182">
        <f t="shared" si="3"/>
        <v>6.2505452070397691</v>
      </c>
    </row>
    <row r="23" spans="1:9" ht="12" customHeight="1" x14ac:dyDescent="0.2">
      <c r="A23" s="2">
        <v>1976</v>
      </c>
      <c r="B23" s="20">
        <v>218.035</v>
      </c>
      <c r="C23" s="168">
        <v>1399.7</v>
      </c>
      <c r="D23" s="169">
        <v>67.3</v>
      </c>
      <c r="E23" s="170">
        <f t="shared" si="0"/>
        <v>1467</v>
      </c>
      <c r="F23" s="169">
        <v>69.3</v>
      </c>
      <c r="G23" s="170">
        <f t="shared" si="1"/>
        <v>1397.7</v>
      </c>
      <c r="H23" s="176">
        <f t="shared" si="2"/>
        <v>6.4104386910358429</v>
      </c>
      <c r="I23" s="177">
        <f t="shared" si="3"/>
        <v>6.2181255303047678</v>
      </c>
    </row>
    <row r="24" spans="1:9" ht="12" customHeight="1" x14ac:dyDescent="0.2">
      <c r="A24" s="2">
        <v>1977</v>
      </c>
      <c r="B24" s="20">
        <v>220.23899999999998</v>
      </c>
      <c r="C24" s="168">
        <v>1216.3</v>
      </c>
      <c r="D24" s="169">
        <v>72.599999999999994</v>
      </c>
      <c r="E24" s="170">
        <f t="shared" si="0"/>
        <v>1288.8999999999999</v>
      </c>
      <c r="F24" s="169">
        <v>119.4</v>
      </c>
      <c r="G24" s="170">
        <f t="shared" si="1"/>
        <v>1169.4999999999998</v>
      </c>
      <c r="H24" s="176">
        <f t="shared" si="2"/>
        <v>5.3101403475315445</v>
      </c>
      <c r="I24" s="177">
        <f t="shared" si="3"/>
        <v>5.150836137105598</v>
      </c>
    </row>
    <row r="25" spans="1:9" ht="12" customHeight="1" x14ac:dyDescent="0.2">
      <c r="A25" s="2">
        <v>1978</v>
      </c>
      <c r="B25" s="20">
        <v>222.58500000000001</v>
      </c>
      <c r="C25" s="168">
        <v>1213.0999999999999</v>
      </c>
      <c r="D25" s="169">
        <v>72.3</v>
      </c>
      <c r="E25" s="170">
        <f t="shared" si="0"/>
        <v>1285.3999999999999</v>
      </c>
      <c r="F25" s="169">
        <v>103.4</v>
      </c>
      <c r="G25" s="170">
        <f t="shared" si="1"/>
        <v>1181.9999999999998</v>
      </c>
      <c r="H25" s="176">
        <f t="shared" si="2"/>
        <v>5.3103308848305133</v>
      </c>
      <c r="I25" s="177">
        <f t="shared" si="3"/>
        <v>5.1510209582855975</v>
      </c>
    </row>
    <row r="26" spans="1:9" ht="12" customHeight="1" x14ac:dyDescent="0.2">
      <c r="A26" s="2">
        <v>1979</v>
      </c>
      <c r="B26" s="20">
        <v>225.05500000000001</v>
      </c>
      <c r="C26" s="168">
        <v>1330.8</v>
      </c>
      <c r="D26" s="169">
        <v>94.8</v>
      </c>
      <c r="E26" s="170">
        <f t="shared" si="0"/>
        <v>1425.6</v>
      </c>
      <c r="F26" s="169">
        <v>100.5</v>
      </c>
      <c r="G26" s="170">
        <f t="shared" si="1"/>
        <v>1325.1</v>
      </c>
      <c r="H26" s="176">
        <f t="shared" si="2"/>
        <v>5.8878940703383611</v>
      </c>
      <c r="I26" s="177">
        <f t="shared" si="3"/>
        <v>5.7112572482282102</v>
      </c>
    </row>
    <row r="27" spans="1:9" ht="12" customHeight="1" x14ac:dyDescent="0.2">
      <c r="A27" s="2">
        <v>1980</v>
      </c>
      <c r="B27" s="20">
        <v>227.726</v>
      </c>
      <c r="C27" s="168">
        <v>1393.2</v>
      </c>
      <c r="D27" s="169">
        <v>108.7</v>
      </c>
      <c r="E27" s="170">
        <f t="shared" si="0"/>
        <v>1501.9</v>
      </c>
      <c r="F27" s="169">
        <v>101.2</v>
      </c>
      <c r="G27" s="170">
        <f t="shared" si="1"/>
        <v>1400.7</v>
      </c>
      <c r="H27" s="176">
        <f t="shared" si="2"/>
        <v>6.1508128189139581</v>
      </c>
      <c r="I27" s="177">
        <f t="shared" si="3"/>
        <v>5.9662884343465397</v>
      </c>
    </row>
    <row r="28" spans="1:9" ht="12" customHeight="1" x14ac:dyDescent="0.2">
      <c r="A28" s="3">
        <v>1981</v>
      </c>
      <c r="B28" s="21">
        <v>229.96600000000001</v>
      </c>
      <c r="C28" s="171">
        <v>1463.2</v>
      </c>
      <c r="D28" s="172">
        <v>87.9</v>
      </c>
      <c r="E28" s="172">
        <f t="shared" si="0"/>
        <v>1551.1000000000001</v>
      </c>
      <c r="F28" s="171">
        <v>144</v>
      </c>
      <c r="G28" s="172">
        <f t="shared" si="1"/>
        <v>1407.1000000000001</v>
      </c>
      <c r="H28" s="180">
        <f t="shared" si="2"/>
        <v>6.1187305949575155</v>
      </c>
      <c r="I28" s="182">
        <f t="shared" si="3"/>
        <v>5.9351686771087895</v>
      </c>
    </row>
    <row r="29" spans="1:9" ht="12" customHeight="1" x14ac:dyDescent="0.2">
      <c r="A29" s="3">
        <v>1982</v>
      </c>
      <c r="B29" s="21">
        <v>232.18799999999999</v>
      </c>
      <c r="C29" s="171">
        <v>1568.5</v>
      </c>
      <c r="D29" s="172">
        <v>105.1</v>
      </c>
      <c r="E29" s="172">
        <f t="shared" si="0"/>
        <v>1673.6</v>
      </c>
      <c r="F29" s="171">
        <v>140.4</v>
      </c>
      <c r="G29" s="172">
        <f t="shared" si="1"/>
        <v>1533.1999999999998</v>
      </c>
      <c r="H29" s="180">
        <f t="shared" si="2"/>
        <v>6.6032697641566314</v>
      </c>
      <c r="I29" s="182">
        <f t="shared" si="3"/>
        <v>6.4051716712319324</v>
      </c>
    </row>
    <row r="30" spans="1:9" ht="12" customHeight="1" x14ac:dyDescent="0.2">
      <c r="A30" s="3">
        <v>1983</v>
      </c>
      <c r="B30" s="21">
        <v>234.30699999999999</v>
      </c>
      <c r="C30" s="171">
        <v>1523.4</v>
      </c>
      <c r="D30" s="172">
        <v>126.7</v>
      </c>
      <c r="E30" s="172">
        <f t="shared" si="0"/>
        <v>1650.1000000000001</v>
      </c>
      <c r="F30" s="171">
        <v>129.5</v>
      </c>
      <c r="G30" s="172">
        <f t="shared" si="1"/>
        <v>1520.6000000000001</v>
      </c>
      <c r="H30" s="180">
        <f t="shared" si="2"/>
        <v>6.4897762337446183</v>
      </c>
      <c r="I30" s="182">
        <f t="shared" si="3"/>
        <v>6.29508294673228</v>
      </c>
    </row>
    <row r="31" spans="1:9" ht="12" customHeight="1" x14ac:dyDescent="0.2">
      <c r="A31" s="3">
        <v>1984</v>
      </c>
      <c r="B31" s="21">
        <v>236.34800000000001</v>
      </c>
      <c r="C31" s="171">
        <v>1561.6</v>
      </c>
      <c r="D31" s="172">
        <v>161.5</v>
      </c>
      <c r="E31" s="172">
        <f t="shared" si="0"/>
        <v>1723.1</v>
      </c>
      <c r="F31" s="171">
        <v>143.30000000000001</v>
      </c>
      <c r="G31" s="172">
        <f t="shared" si="1"/>
        <v>1579.8</v>
      </c>
      <c r="H31" s="180">
        <f t="shared" si="2"/>
        <v>6.6842114170629747</v>
      </c>
      <c r="I31" s="182">
        <f t="shared" si="3"/>
        <v>6.4836850745510857</v>
      </c>
    </row>
    <row r="32" spans="1:9" ht="12" customHeight="1" x14ac:dyDescent="0.2">
      <c r="A32" s="3">
        <v>1985</v>
      </c>
      <c r="B32" s="21">
        <v>238.46600000000001</v>
      </c>
      <c r="C32" s="171">
        <v>1534.5</v>
      </c>
      <c r="D32" s="172">
        <v>147.80000000000001</v>
      </c>
      <c r="E32" s="172">
        <f t="shared" si="0"/>
        <v>1682.3</v>
      </c>
      <c r="F32" s="171">
        <v>134.4</v>
      </c>
      <c r="G32" s="172">
        <f t="shared" si="1"/>
        <v>1547.8999999999999</v>
      </c>
      <c r="H32" s="180">
        <f t="shared" si="2"/>
        <v>6.4910721025219518</v>
      </c>
      <c r="I32" s="182">
        <f t="shared" si="3"/>
        <v>6.2963399394462929</v>
      </c>
    </row>
    <row r="33" spans="1:9" ht="12" customHeight="1" x14ac:dyDescent="0.2">
      <c r="A33" s="2">
        <v>1986</v>
      </c>
      <c r="B33" s="20">
        <v>240.65100000000001</v>
      </c>
      <c r="C33" s="168">
        <v>1606</v>
      </c>
      <c r="D33" s="169">
        <v>115</v>
      </c>
      <c r="E33" s="170">
        <f t="shared" si="0"/>
        <v>1721</v>
      </c>
      <c r="F33" s="169">
        <v>160.6</v>
      </c>
      <c r="G33" s="170">
        <f t="shared" si="1"/>
        <v>1560.4</v>
      </c>
      <c r="H33" s="176">
        <f t="shared" si="2"/>
        <v>6.4840786034547957</v>
      </c>
      <c r="I33" s="177">
        <f t="shared" si="3"/>
        <v>6.289556245351152</v>
      </c>
    </row>
    <row r="34" spans="1:9" ht="12" customHeight="1" x14ac:dyDescent="0.2">
      <c r="A34" s="2">
        <v>1987</v>
      </c>
      <c r="B34" s="20">
        <v>242.804</v>
      </c>
      <c r="C34" s="168">
        <v>2089.6</v>
      </c>
      <c r="D34" s="169">
        <v>98.8</v>
      </c>
      <c r="E34" s="170">
        <f t="shared" si="0"/>
        <v>2188.4</v>
      </c>
      <c r="F34" s="169">
        <v>174.1</v>
      </c>
      <c r="G34" s="170">
        <f t="shared" si="1"/>
        <v>2014.3000000000002</v>
      </c>
      <c r="H34" s="176">
        <f t="shared" si="2"/>
        <v>8.2959918288001848</v>
      </c>
      <c r="I34" s="177">
        <f t="shared" si="3"/>
        <v>8.0471120739361783</v>
      </c>
    </row>
    <row r="35" spans="1:9" ht="12" customHeight="1" x14ac:dyDescent="0.2">
      <c r="A35" s="2">
        <v>1988</v>
      </c>
      <c r="B35" s="20">
        <v>245.02099999999999</v>
      </c>
      <c r="C35" s="168">
        <v>1785.7</v>
      </c>
      <c r="D35" s="169">
        <v>117.4</v>
      </c>
      <c r="E35" s="170">
        <f t="shared" si="0"/>
        <v>1903.1000000000001</v>
      </c>
      <c r="F35" s="169">
        <v>164.8</v>
      </c>
      <c r="G35" s="170">
        <f t="shared" si="1"/>
        <v>1738.3000000000002</v>
      </c>
      <c r="H35" s="176">
        <f t="shared" si="2"/>
        <v>7.0944939413356414</v>
      </c>
      <c r="I35" s="177">
        <f t="shared" si="3"/>
        <v>6.8816591230955719</v>
      </c>
    </row>
    <row r="36" spans="1:9" ht="12" customHeight="1" x14ac:dyDescent="0.2">
      <c r="A36" s="2">
        <v>1989</v>
      </c>
      <c r="B36" s="20">
        <v>247.34200000000001</v>
      </c>
      <c r="C36" s="168">
        <v>2038.6</v>
      </c>
      <c r="D36" s="169">
        <v>123.6</v>
      </c>
      <c r="E36" s="170">
        <f t="shared" si="0"/>
        <v>2162.1999999999998</v>
      </c>
      <c r="F36" s="169">
        <v>162.30000000000001</v>
      </c>
      <c r="G36" s="170">
        <f t="shared" si="1"/>
        <v>1999.8999999999999</v>
      </c>
      <c r="H36" s="176">
        <f t="shared" si="2"/>
        <v>8.085565734893386</v>
      </c>
      <c r="I36" s="177">
        <f t="shared" si="3"/>
        <v>7.8429987628465838</v>
      </c>
    </row>
    <row r="37" spans="1:9" ht="12" customHeight="1" x14ac:dyDescent="0.2">
      <c r="A37" s="2">
        <v>1990</v>
      </c>
      <c r="B37" s="20">
        <v>250.13200000000001</v>
      </c>
      <c r="C37" s="168">
        <v>2110.6</v>
      </c>
      <c r="D37" s="169">
        <v>122.1</v>
      </c>
      <c r="E37" s="170">
        <f t="shared" si="0"/>
        <v>2232.6999999999998</v>
      </c>
      <c r="F37" s="169">
        <v>158.73639600000001</v>
      </c>
      <c r="G37" s="170">
        <f t="shared" si="1"/>
        <v>2073.9636039999996</v>
      </c>
      <c r="H37" s="176">
        <f t="shared" si="2"/>
        <v>8.2914765163993387</v>
      </c>
      <c r="I37" s="177">
        <f t="shared" si="3"/>
        <v>8.0427322209073591</v>
      </c>
    </row>
    <row r="38" spans="1:9" ht="12" customHeight="1" x14ac:dyDescent="0.2">
      <c r="A38" s="3">
        <v>1991</v>
      </c>
      <c r="B38" s="21">
        <v>253.49299999999999</v>
      </c>
      <c r="C38" s="171">
        <v>1997.3</v>
      </c>
      <c r="D38" s="172">
        <v>137</v>
      </c>
      <c r="E38" s="172">
        <f t="shared" si="0"/>
        <v>2134.3000000000002</v>
      </c>
      <c r="F38" s="171">
        <v>179.072418</v>
      </c>
      <c r="G38" s="172">
        <f t="shared" si="1"/>
        <v>1955.2275820000002</v>
      </c>
      <c r="H38" s="180">
        <f t="shared" si="2"/>
        <v>7.713142303732254</v>
      </c>
      <c r="I38" s="182">
        <f t="shared" si="3"/>
        <v>7.4817480346202858</v>
      </c>
    </row>
    <row r="39" spans="1:9" ht="12" customHeight="1" x14ac:dyDescent="0.2">
      <c r="A39" s="3">
        <v>1992</v>
      </c>
      <c r="B39" s="21">
        <v>256.89400000000001</v>
      </c>
      <c r="C39" s="171">
        <v>2169.8000000000002</v>
      </c>
      <c r="D39" s="172">
        <v>134.30000000000001</v>
      </c>
      <c r="E39" s="172">
        <f t="shared" ref="E39:E67" si="4">SUM(C39,D39)</f>
        <v>2304.1000000000004</v>
      </c>
      <c r="F39" s="171">
        <v>174.46419900000001</v>
      </c>
      <c r="G39" s="172">
        <f t="shared" ref="G39:G59" si="5">E39-SUM(F39)</f>
        <v>2129.6358010000004</v>
      </c>
      <c r="H39" s="180">
        <f t="shared" ref="H39:H59" si="6">IF(G39=0,0,IF(B39=0,0,G39/B39))</f>
        <v>8.2899398234291191</v>
      </c>
      <c r="I39" s="182">
        <f t="shared" si="3"/>
        <v>8.0412416287262456</v>
      </c>
    </row>
    <row r="40" spans="1:9" ht="12" customHeight="1" x14ac:dyDescent="0.2">
      <c r="A40" s="3">
        <v>1993</v>
      </c>
      <c r="B40" s="21">
        <v>260.255</v>
      </c>
      <c r="C40" s="171">
        <v>2888</v>
      </c>
      <c r="D40" s="172">
        <v>121.4</v>
      </c>
      <c r="E40" s="172">
        <f t="shared" si="4"/>
        <v>3009.4</v>
      </c>
      <c r="F40" s="171">
        <v>186.493201</v>
      </c>
      <c r="G40" s="172">
        <f t="shared" si="5"/>
        <v>2822.9067990000003</v>
      </c>
      <c r="H40" s="180">
        <f t="shared" si="6"/>
        <v>10.846695736873453</v>
      </c>
      <c r="I40" s="182">
        <f t="shared" si="3"/>
        <v>10.521294864767249</v>
      </c>
    </row>
    <row r="41" spans="1:9" ht="12" customHeight="1" x14ac:dyDescent="0.2">
      <c r="A41" s="3">
        <v>1994</v>
      </c>
      <c r="B41" s="21">
        <v>263.43599999999998</v>
      </c>
      <c r="C41" s="171">
        <v>3350.9</v>
      </c>
      <c r="D41" s="172">
        <v>158.9</v>
      </c>
      <c r="E41" s="172">
        <f t="shared" si="4"/>
        <v>3509.8</v>
      </c>
      <c r="F41" s="171">
        <v>170.225066</v>
      </c>
      <c r="G41" s="172">
        <f t="shared" si="5"/>
        <v>3339.5749340000002</v>
      </c>
      <c r="H41" s="180">
        <f t="shared" si="6"/>
        <v>12.676987708589564</v>
      </c>
      <c r="I41" s="182">
        <f t="shared" si="3"/>
        <v>12.296678077331878</v>
      </c>
    </row>
    <row r="42" spans="1:9" ht="12" customHeight="1" x14ac:dyDescent="0.2">
      <c r="A42" s="3">
        <v>1995</v>
      </c>
      <c r="B42" s="21">
        <v>266.55700000000002</v>
      </c>
      <c r="C42" s="171">
        <v>2951.8</v>
      </c>
      <c r="D42" s="172">
        <v>222.2</v>
      </c>
      <c r="E42" s="172">
        <f t="shared" si="4"/>
        <v>3174</v>
      </c>
      <c r="F42" s="171">
        <v>190.937667</v>
      </c>
      <c r="G42" s="172">
        <f t="shared" si="5"/>
        <v>2983.0623329999999</v>
      </c>
      <c r="H42" s="180">
        <f t="shared" si="6"/>
        <v>11.191086082901592</v>
      </c>
      <c r="I42" s="182">
        <f t="shared" si="3"/>
        <v>10.855353500414544</v>
      </c>
    </row>
    <row r="43" spans="1:9" ht="12" customHeight="1" x14ac:dyDescent="0.2">
      <c r="A43" s="2">
        <v>1996</v>
      </c>
      <c r="B43" s="20">
        <v>269.66699999999997</v>
      </c>
      <c r="C43" s="168">
        <v>3323.6</v>
      </c>
      <c r="D43" s="169">
        <v>222.3</v>
      </c>
      <c r="E43" s="170">
        <f t="shared" si="4"/>
        <v>3545.9</v>
      </c>
      <c r="F43" s="169">
        <v>210.09864099999999</v>
      </c>
      <c r="G43" s="170">
        <f t="shared" si="5"/>
        <v>3335.801359</v>
      </c>
      <c r="H43" s="176">
        <f t="shared" si="6"/>
        <v>12.370076275554666</v>
      </c>
      <c r="I43" s="177">
        <f t="shared" si="3"/>
        <v>11.998973987288027</v>
      </c>
    </row>
    <row r="44" spans="1:9" ht="12" customHeight="1" x14ac:dyDescent="0.2">
      <c r="A44" s="2">
        <v>1997</v>
      </c>
      <c r="B44" s="20">
        <v>272.91199999999998</v>
      </c>
      <c r="C44" s="168">
        <v>3858.9</v>
      </c>
      <c r="D44" s="169">
        <v>223</v>
      </c>
      <c r="E44" s="170">
        <f t="shared" si="4"/>
        <v>4081.9</v>
      </c>
      <c r="F44" s="169">
        <v>230.08811600000001</v>
      </c>
      <c r="G44" s="170">
        <f t="shared" si="5"/>
        <v>3851.8118840000002</v>
      </c>
      <c r="H44" s="176">
        <f t="shared" si="6"/>
        <v>14.113750527642612</v>
      </c>
      <c r="I44" s="177">
        <f t="shared" si="3"/>
        <v>13.690338011813333</v>
      </c>
    </row>
    <row r="45" spans="1:9" ht="12" customHeight="1" x14ac:dyDescent="0.2">
      <c r="A45" s="2">
        <v>1998</v>
      </c>
      <c r="B45" s="20">
        <v>276.11500000000001</v>
      </c>
      <c r="C45" s="168">
        <v>2706.8</v>
      </c>
      <c r="D45" s="169">
        <v>179.2</v>
      </c>
      <c r="E45" s="170">
        <f t="shared" si="4"/>
        <v>2886</v>
      </c>
      <c r="F45" s="169">
        <v>255.54361900000001</v>
      </c>
      <c r="G45" s="170">
        <f t="shared" si="5"/>
        <v>2630.456381</v>
      </c>
      <c r="H45" s="176">
        <f t="shared" si="6"/>
        <v>9.5266696159209019</v>
      </c>
      <c r="I45" s="177">
        <f t="shared" si="3"/>
        <v>9.2408695274432748</v>
      </c>
    </row>
    <row r="46" spans="1:9" ht="12" customHeight="1" x14ac:dyDescent="0.2">
      <c r="A46" s="2">
        <v>1999</v>
      </c>
      <c r="B46" s="20">
        <v>279.29500000000002</v>
      </c>
      <c r="C46" s="168">
        <v>2661.7</v>
      </c>
      <c r="D46" s="169">
        <v>184.8</v>
      </c>
      <c r="E46" s="170">
        <f t="shared" si="4"/>
        <v>2846.5</v>
      </c>
      <c r="F46" s="169">
        <v>262.29405300000002</v>
      </c>
      <c r="G46" s="170">
        <f t="shared" si="5"/>
        <v>2584.2059469999999</v>
      </c>
      <c r="H46" s="176">
        <f t="shared" si="6"/>
        <v>9.252603687856924</v>
      </c>
      <c r="I46" s="177">
        <f t="shared" si="3"/>
        <v>8.9750255772212153</v>
      </c>
    </row>
    <row r="47" spans="1:9" ht="12" customHeight="1" x14ac:dyDescent="0.2">
      <c r="A47" s="2">
        <v>2000</v>
      </c>
      <c r="B47" s="20">
        <v>282.38499999999999</v>
      </c>
      <c r="C47" s="168">
        <v>2708</v>
      </c>
      <c r="D47" s="169">
        <v>167.478219</v>
      </c>
      <c r="E47" s="170">
        <f t="shared" si="4"/>
        <v>2875.4782190000001</v>
      </c>
      <c r="F47" s="169">
        <v>276.45034199999998</v>
      </c>
      <c r="G47" s="170">
        <f t="shared" si="5"/>
        <v>2599.027877</v>
      </c>
      <c r="H47" s="176">
        <f t="shared" si="6"/>
        <v>9.2038453777644005</v>
      </c>
      <c r="I47" s="177">
        <f t="shared" si="3"/>
        <v>8.9277300164314681</v>
      </c>
    </row>
    <row r="48" spans="1:9" ht="12" customHeight="1" x14ac:dyDescent="0.2">
      <c r="A48" s="3">
        <v>2001</v>
      </c>
      <c r="B48" s="21">
        <v>285.30901899999998</v>
      </c>
      <c r="C48" s="171">
        <v>2783.9</v>
      </c>
      <c r="D48" s="172">
        <v>201.41698600000001</v>
      </c>
      <c r="E48" s="172">
        <f t="shared" si="4"/>
        <v>2985.3169860000003</v>
      </c>
      <c r="F48" s="171">
        <v>309.09142100000003</v>
      </c>
      <c r="G48" s="172">
        <f t="shared" si="5"/>
        <v>2676.2255650000002</v>
      </c>
      <c r="H48" s="180">
        <f t="shared" si="6"/>
        <v>9.380094517797211</v>
      </c>
      <c r="I48" s="182">
        <f t="shared" ref="I48:I53" si="7">H48*0.97</f>
        <v>9.0986916822632953</v>
      </c>
    </row>
    <row r="49" spans="1:9" ht="12" customHeight="1" x14ac:dyDescent="0.2">
      <c r="A49" s="3">
        <v>2002</v>
      </c>
      <c r="B49" s="21">
        <v>288.10481800000002</v>
      </c>
      <c r="C49" s="171">
        <v>2586.5</v>
      </c>
      <c r="D49" s="172">
        <v>190.18264600000001</v>
      </c>
      <c r="E49" s="172">
        <f t="shared" si="4"/>
        <v>2776.6826460000002</v>
      </c>
      <c r="F49" s="171">
        <v>351.59896199999997</v>
      </c>
      <c r="G49" s="172">
        <f t="shared" si="5"/>
        <v>2425.0836840000002</v>
      </c>
      <c r="H49" s="180">
        <f t="shared" si="6"/>
        <v>8.4173659463063899</v>
      </c>
      <c r="I49" s="182">
        <f t="shared" si="7"/>
        <v>8.1648449679171975</v>
      </c>
    </row>
    <row r="50" spans="1:9" ht="12" customHeight="1" x14ac:dyDescent="0.2">
      <c r="A50" s="3">
        <v>2003</v>
      </c>
      <c r="B50" s="21">
        <v>290.81963400000001</v>
      </c>
      <c r="C50" s="171">
        <v>2696.4</v>
      </c>
      <c r="D50" s="172">
        <v>187.20401899999999</v>
      </c>
      <c r="E50" s="172">
        <f t="shared" si="4"/>
        <v>2883.6040189999999</v>
      </c>
      <c r="F50" s="171">
        <v>330.55683399999998</v>
      </c>
      <c r="G50" s="172">
        <f t="shared" si="5"/>
        <v>2553.0471849999999</v>
      </c>
      <c r="H50" s="180">
        <f t="shared" si="6"/>
        <v>8.7787992505347834</v>
      </c>
      <c r="I50" s="182">
        <f t="shared" si="7"/>
        <v>8.5154352730187401</v>
      </c>
    </row>
    <row r="51" spans="1:9" ht="12" customHeight="1" x14ac:dyDescent="0.2">
      <c r="A51" s="3">
        <v>2004</v>
      </c>
      <c r="B51" s="21">
        <v>293.46318500000001</v>
      </c>
      <c r="C51" s="171">
        <v>2628</v>
      </c>
      <c r="D51" s="172">
        <v>215.20391900000001</v>
      </c>
      <c r="E51" s="172">
        <f t="shared" si="4"/>
        <v>2843.203919</v>
      </c>
      <c r="F51" s="171">
        <v>283.88798000000003</v>
      </c>
      <c r="G51" s="172">
        <f t="shared" si="5"/>
        <v>2559.3159390000001</v>
      </c>
      <c r="H51" s="180">
        <f t="shared" si="6"/>
        <v>8.721080087098489</v>
      </c>
      <c r="I51" s="182">
        <f t="shared" si="7"/>
        <v>8.459447684485534</v>
      </c>
    </row>
    <row r="52" spans="1:9" ht="12" customHeight="1" x14ac:dyDescent="0.2">
      <c r="A52" s="3">
        <v>2005</v>
      </c>
      <c r="B52" s="21">
        <v>296.186216</v>
      </c>
      <c r="C52" s="171">
        <v>2654.5</v>
      </c>
      <c r="D52" s="172">
        <v>196.56848500000001</v>
      </c>
      <c r="E52" s="172">
        <f t="shared" si="4"/>
        <v>2851.0684849999998</v>
      </c>
      <c r="F52" s="171">
        <v>284.69984699999998</v>
      </c>
      <c r="G52" s="172">
        <f t="shared" si="5"/>
        <v>2566.3686379999999</v>
      </c>
      <c r="H52" s="180">
        <f t="shared" si="6"/>
        <v>8.6647132761910832</v>
      </c>
      <c r="I52" s="182">
        <f t="shared" si="7"/>
        <v>8.4047718779053504</v>
      </c>
    </row>
    <row r="53" spans="1:9" ht="12" customHeight="1" x14ac:dyDescent="0.2">
      <c r="A53" s="2">
        <v>2006</v>
      </c>
      <c r="B53" s="20">
        <v>298.99582500000002</v>
      </c>
      <c r="C53" s="168">
        <v>2429</v>
      </c>
      <c r="D53" s="169">
        <v>248.401409</v>
      </c>
      <c r="E53" s="170">
        <f t="shared" si="4"/>
        <v>2677.4014090000001</v>
      </c>
      <c r="F53" s="169">
        <v>253.070347</v>
      </c>
      <c r="G53" s="170">
        <f t="shared" si="5"/>
        <v>2424.3310620000002</v>
      </c>
      <c r="H53" s="176">
        <f t="shared" si="6"/>
        <v>8.1082438592579003</v>
      </c>
      <c r="I53" s="177">
        <f t="shared" si="7"/>
        <v>7.8649965434801627</v>
      </c>
    </row>
    <row r="54" spans="1:9" ht="12" customHeight="1" x14ac:dyDescent="0.2">
      <c r="A54" s="2">
        <v>2007</v>
      </c>
      <c r="B54" s="20">
        <v>302.003917</v>
      </c>
      <c r="C54" s="168">
        <v>2443</v>
      </c>
      <c r="D54" s="169">
        <v>245.49950100000001</v>
      </c>
      <c r="E54" s="170">
        <f t="shared" si="4"/>
        <v>2688.4995010000002</v>
      </c>
      <c r="F54" s="169">
        <v>257.45971200000002</v>
      </c>
      <c r="G54" s="170">
        <f t="shared" si="5"/>
        <v>2431.0397890000004</v>
      </c>
      <c r="H54" s="176">
        <f t="shared" si="6"/>
        <v>8.0496962196685686</v>
      </c>
      <c r="I54" s="177">
        <f t="shared" ref="I54:I59" si="8">H54*0.97</f>
        <v>7.8082053330785115</v>
      </c>
    </row>
    <row r="55" spans="1:9" ht="12" customHeight="1" x14ac:dyDescent="0.2">
      <c r="A55" s="2">
        <v>2008</v>
      </c>
      <c r="B55" s="20">
        <v>304.79776099999998</v>
      </c>
      <c r="C55" s="168">
        <v>2456.5</v>
      </c>
      <c r="D55" s="169">
        <v>276.642627</v>
      </c>
      <c r="E55" s="170">
        <f t="shared" si="4"/>
        <v>2733.1426270000002</v>
      </c>
      <c r="F55" s="169">
        <v>274.32691799999998</v>
      </c>
      <c r="G55" s="170">
        <f t="shared" si="5"/>
        <v>2458.8157090000004</v>
      </c>
      <c r="H55" s="176">
        <f t="shared" si="6"/>
        <v>8.0670399314383427</v>
      </c>
      <c r="I55" s="177">
        <f t="shared" si="8"/>
        <v>7.8250287334951922</v>
      </c>
    </row>
    <row r="56" spans="1:9" ht="12" customHeight="1" x14ac:dyDescent="0.2">
      <c r="A56" s="2">
        <v>2009</v>
      </c>
      <c r="B56" s="20">
        <v>307.43940600000002</v>
      </c>
      <c r="C56" s="168">
        <v>2216.3000000000002</v>
      </c>
      <c r="D56" s="169">
        <v>298.51394900000003</v>
      </c>
      <c r="E56" s="170">
        <f t="shared" si="4"/>
        <v>2514.8139490000003</v>
      </c>
      <c r="F56" s="169">
        <v>244.008647</v>
      </c>
      <c r="G56" s="170">
        <f t="shared" si="5"/>
        <v>2270.8053020000002</v>
      </c>
      <c r="H56" s="176">
        <f t="shared" si="6"/>
        <v>7.386188164831414</v>
      </c>
      <c r="I56" s="177">
        <f t="shared" si="8"/>
        <v>7.1646025198864711</v>
      </c>
    </row>
    <row r="57" spans="1:9" ht="12" customHeight="1" x14ac:dyDescent="0.2">
      <c r="A57" s="2">
        <v>2010</v>
      </c>
      <c r="B57" s="20">
        <v>309.74127900000002</v>
      </c>
      <c r="C57" s="168">
        <v>2323.6999999999998</v>
      </c>
      <c r="D57" s="169">
        <v>322.89029866499999</v>
      </c>
      <c r="E57" s="170">
        <f t="shared" si="4"/>
        <v>2646.5902986649999</v>
      </c>
      <c r="F57" s="169">
        <v>243.72800963214002</v>
      </c>
      <c r="G57" s="170">
        <f t="shared" si="5"/>
        <v>2402.8622890328597</v>
      </c>
      <c r="H57" s="176">
        <f t="shared" si="6"/>
        <v>7.7576430780892451</v>
      </c>
      <c r="I57" s="177">
        <f t="shared" si="8"/>
        <v>7.524913785746568</v>
      </c>
    </row>
    <row r="58" spans="1:9" ht="12" customHeight="1" x14ac:dyDescent="0.2">
      <c r="A58" s="33">
        <v>2011</v>
      </c>
      <c r="B58" s="31">
        <v>311.97391399999998</v>
      </c>
      <c r="C58" s="171">
        <v>2186.1999999999998</v>
      </c>
      <c r="D58" s="172">
        <v>393.61837296386</v>
      </c>
      <c r="E58" s="172">
        <f t="shared" si="4"/>
        <v>2579.8183729638599</v>
      </c>
      <c r="F58" s="171">
        <v>238.52666950772002</v>
      </c>
      <c r="G58" s="172">
        <f t="shared" si="5"/>
        <v>2341.2917034561401</v>
      </c>
      <c r="H58" s="180">
        <f t="shared" si="6"/>
        <v>7.5047675410968502</v>
      </c>
      <c r="I58" s="182">
        <f t="shared" si="8"/>
        <v>7.2796245148639445</v>
      </c>
    </row>
    <row r="59" spans="1:9" s="43" customFormat="1" ht="12" customHeight="1" x14ac:dyDescent="0.2">
      <c r="A59" s="33">
        <v>2012</v>
      </c>
      <c r="B59" s="31">
        <v>314.16755799999999</v>
      </c>
      <c r="C59" s="171">
        <v>2362.6999999999998</v>
      </c>
      <c r="D59" s="172">
        <v>371.53060705837999</v>
      </c>
      <c r="E59" s="172">
        <f t="shared" si="4"/>
        <v>2734.23060705838</v>
      </c>
      <c r="F59" s="171">
        <v>236.86296404782001</v>
      </c>
      <c r="G59" s="172">
        <f t="shared" si="5"/>
        <v>2497.3676430105597</v>
      </c>
      <c r="H59" s="180">
        <f t="shared" si="6"/>
        <v>7.9491582737214381</v>
      </c>
      <c r="I59" s="182">
        <f t="shared" si="8"/>
        <v>7.7106835255097952</v>
      </c>
    </row>
    <row r="60" spans="1:9" s="93" customFormat="1" ht="12" customHeight="1" x14ac:dyDescent="0.2">
      <c r="A60" s="33">
        <v>2013</v>
      </c>
      <c r="B60" s="31">
        <v>316.29476599999998</v>
      </c>
      <c r="C60" s="171">
        <v>2425.5</v>
      </c>
      <c r="D60" s="172">
        <v>355.63470822483998</v>
      </c>
      <c r="E60" s="172">
        <f t="shared" si="4"/>
        <v>2781.1347082248399</v>
      </c>
      <c r="F60" s="171">
        <v>245.01356103268</v>
      </c>
      <c r="G60" s="172">
        <f t="shared" ref="G60" si="9">E60-SUM(F60)</f>
        <v>2536.1211471921597</v>
      </c>
      <c r="H60" s="180">
        <f t="shared" ref="H60" si="10">IF(G60=0,0,IF(B60=0,0,G60/B60))</f>
        <v>8.0182204064425147</v>
      </c>
      <c r="I60" s="182">
        <f t="shared" ref="I60" si="11">H60*0.97</f>
        <v>7.7776737942492389</v>
      </c>
    </row>
    <row r="61" spans="1:9" s="93" customFormat="1" ht="12" customHeight="1" x14ac:dyDescent="0.2">
      <c r="A61" s="33">
        <v>2014</v>
      </c>
      <c r="B61" s="31">
        <v>318.576955</v>
      </c>
      <c r="C61" s="171">
        <v>2537.9</v>
      </c>
      <c r="D61" s="172">
        <v>396.47526286016</v>
      </c>
      <c r="E61" s="172">
        <f t="shared" si="4"/>
        <v>2934.3752628601601</v>
      </c>
      <c r="F61" s="171">
        <v>230.69922131321997</v>
      </c>
      <c r="G61" s="172">
        <f t="shared" ref="G61" si="12">E61-SUM(F61)</f>
        <v>2703.6760415469403</v>
      </c>
      <c r="H61" s="180">
        <f t="shared" ref="H61" si="13">IF(G61=0,0,IF(B61=0,0,G61/B61))</f>
        <v>8.4867282429356514</v>
      </c>
      <c r="I61" s="182">
        <f t="shared" ref="I61" si="14">H61*0.97</f>
        <v>8.2321263956475814</v>
      </c>
    </row>
    <row r="62" spans="1:9" s="93" customFormat="1" ht="12" customHeight="1" x14ac:dyDescent="0.2">
      <c r="A62" s="33">
        <v>2015</v>
      </c>
      <c r="B62" s="31">
        <v>320.87070299999999</v>
      </c>
      <c r="C62" s="171">
        <v>2574</v>
      </c>
      <c r="D62" s="172">
        <v>427.40997481907982</v>
      </c>
      <c r="E62" s="172">
        <f t="shared" si="4"/>
        <v>3001.4099748190797</v>
      </c>
      <c r="F62" s="171">
        <v>178.62928699836002</v>
      </c>
      <c r="G62" s="172">
        <f t="shared" ref="G62" si="15">E62-SUM(F62)</f>
        <v>2822.7806878207198</v>
      </c>
      <c r="H62" s="180">
        <f t="shared" ref="H62" si="16">IF(G62=0,0,IF(B62=0,0,G62/B62))</f>
        <v>8.7972527919469172</v>
      </c>
      <c r="I62" s="182">
        <f t="shared" ref="I62" si="17">H62*0.97</f>
        <v>8.5333352081885092</v>
      </c>
    </row>
    <row r="63" spans="1:9" s="93" customFormat="1" ht="12" customHeight="1" x14ac:dyDescent="0.2">
      <c r="A63" s="128">
        <v>2016</v>
      </c>
      <c r="B63" s="129">
        <v>323.16101099999997</v>
      </c>
      <c r="C63" s="168">
        <v>2224.7600000000002</v>
      </c>
      <c r="D63" s="169">
        <v>474.52691504327998</v>
      </c>
      <c r="E63" s="170">
        <f t="shared" si="4"/>
        <v>2699.2869150432803</v>
      </c>
      <c r="F63" s="169">
        <v>171.57142314421998</v>
      </c>
      <c r="G63" s="170">
        <f t="shared" ref="G63:G64" si="18">E63-SUM(F63)</f>
        <v>2527.7154918990605</v>
      </c>
      <c r="H63" s="176">
        <f t="shared" ref="H63:H64" si="19">IF(G63=0,0,IF(B63=0,0,G63/B63))</f>
        <v>7.8218454759663461</v>
      </c>
      <c r="I63" s="177">
        <f t="shared" ref="I63:I64" si="20">H63*0.97</f>
        <v>7.587190111687355</v>
      </c>
    </row>
    <row r="64" spans="1:9" s="93" customFormat="1" ht="12" customHeight="1" x14ac:dyDescent="0.2">
      <c r="A64" s="125">
        <v>2017</v>
      </c>
      <c r="B64" s="126">
        <v>325.20603</v>
      </c>
      <c r="C64" s="168">
        <v>2085.65</v>
      </c>
      <c r="D64" s="169">
        <v>458.73329073616003</v>
      </c>
      <c r="E64" s="170">
        <f t="shared" si="4"/>
        <v>2544.3832907361602</v>
      </c>
      <c r="F64" s="169">
        <v>152.84393022426002</v>
      </c>
      <c r="G64" s="170">
        <f t="shared" si="18"/>
        <v>2391.5393605119002</v>
      </c>
      <c r="H64" s="176">
        <f t="shared" si="19"/>
        <v>7.3539207145448691</v>
      </c>
      <c r="I64" s="177">
        <f t="shared" si="20"/>
        <v>7.1333030931085224</v>
      </c>
    </row>
    <row r="65" spans="1:10" s="93" customFormat="1" ht="12" customHeight="1" x14ac:dyDescent="0.2">
      <c r="A65" s="125">
        <v>2018</v>
      </c>
      <c r="B65" s="126">
        <v>326.92397599999998</v>
      </c>
      <c r="C65" s="168">
        <v>3661.56</v>
      </c>
      <c r="D65" s="169">
        <v>494.41680929057992</v>
      </c>
      <c r="E65" s="170">
        <f t="shared" si="4"/>
        <v>4155.9768092905797</v>
      </c>
      <c r="F65" s="169">
        <v>164.47790397082002</v>
      </c>
      <c r="G65" s="170">
        <f t="shared" ref="G65:G67" si="21">E65-SUM(F65)</f>
        <v>3991.4989053197596</v>
      </c>
      <c r="H65" s="176">
        <f t="shared" ref="H65:H67" si="22">IF(G65=0,0,IF(B65=0,0,G65/B65))</f>
        <v>12.20925719231972</v>
      </c>
      <c r="I65" s="177">
        <f t="shared" ref="I65:I67" si="23">H65*0.97</f>
        <v>11.842979476550129</v>
      </c>
    </row>
    <row r="66" spans="1:10" s="93" customFormat="1" ht="12" customHeight="1" x14ac:dyDescent="0.2">
      <c r="A66" s="128">
        <v>2019</v>
      </c>
      <c r="B66" s="129">
        <v>328.475998</v>
      </c>
      <c r="C66" s="168">
        <v>2432.06</v>
      </c>
      <c r="D66" s="169">
        <v>503.81153286618007</v>
      </c>
      <c r="E66" s="170">
        <f t="shared" si="4"/>
        <v>2935.8715328661801</v>
      </c>
      <c r="F66" s="169">
        <v>153.28185594106</v>
      </c>
      <c r="G66" s="170">
        <f t="shared" si="21"/>
        <v>2782.5896769251203</v>
      </c>
      <c r="H66" s="176">
        <f t="shared" si="22"/>
        <v>8.471211576698277</v>
      </c>
      <c r="I66" s="177">
        <f t="shared" si="23"/>
        <v>8.217075229397329</v>
      </c>
    </row>
    <row r="67" spans="1:10" s="93" customFormat="1" ht="12" customHeight="1" thickBot="1" x14ac:dyDescent="0.25">
      <c r="A67" s="148">
        <v>2020</v>
      </c>
      <c r="B67" s="149">
        <v>330.11398000000003</v>
      </c>
      <c r="C67" s="168">
        <v>2229.29</v>
      </c>
      <c r="D67" s="169">
        <v>467.05870526853988</v>
      </c>
      <c r="E67" s="170">
        <f t="shared" si="4"/>
        <v>2696.34870526854</v>
      </c>
      <c r="F67" s="169">
        <v>150.24888524998002</v>
      </c>
      <c r="G67" s="170">
        <f t="shared" si="21"/>
        <v>2546.09982001856</v>
      </c>
      <c r="H67" s="176">
        <f t="shared" si="22"/>
        <v>7.7127900491174586</v>
      </c>
      <c r="I67" s="177">
        <f t="shared" si="23"/>
        <v>7.4814063476439348</v>
      </c>
    </row>
    <row r="68" spans="1:10" ht="12" customHeight="1" thickTop="1" x14ac:dyDescent="0.2">
      <c r="A68" s="270" t="s">
        <v>227</v>
      </c>
      <c r="B68" s="271"/>
      <c r="C68" s="271"/>
      <c r="D68" s="271"/>
      <c r="E68" s="271"/>
      <c r="F68" s="271"/>
      <c r="G68" s="271"/>
      <c r="H68" s="271"/>
      <c r="I68" s="272"/>
      <c r="J68" s="59"/>
    </row>
    <row r="69" spans="1:10" ht="12" customHeight="1" x14ac:dyDescent="0.2">
      <c r="A69" s="251"/>
      <c r="B69" s="252"/>
      <c r="C69" s="252"/>
      <c r="D69" s="252"/>
      <c r="E69" s="252"/>
      <c r="F69" s="252"/>
      <c r="G69" s="252"/>
      <c r="H69" s="252"/>
      <c r="I69" s="253"/>
      <c r="J69" s="59"/>
    </row>
    <row r="70" spans="1:10" ht="12" customHeight="1" x14ac:dyDescent="0.2">
      <c r="A70" s="251"/>
      <c r="B70" s="252"/>
      <c r="C70" s="252"/>
      <c r="D70" s="252"/>
      <c r="E70" s="252"/>
      <c r="F70" s="252"/>
      <c r="G70" s="252"/>
      <c r="H70" s="252"/>
      <c r="I70" s="253"/>
      <c r="J70" s="59"/>
    </row>
    <row r="71" spans="1:10" ht="12" customHeight="1" x14ac:dyDescent="0.2">
      <c r="A71" s="275"/>
      <c r="B71" s="276"/>
      <c r="C71" s="276"/>
      <c r="D71" s="276"/>
      <c r="E71" s="276"/>
      <c r="F71" s="276"/>
      <c r="G71" s="276"/>
      <c r="H71" s="276"/>
      <c r="I71" s="277"/>
      <c r="J71" s="58"/>
    </row>
    <row r="72" spans="1:10" ht="12" customHeight="1" x14ac:dyDescent="0.2">
      <c r="A72" s="223" t="s">
        <v>198</v>
      </c>
      <c r="B72" s="224"/>
      <c r="C72" s="224"/>
      <c r="D72" s="224"/>
      <c r="E72" s="224"/>
      <c r="F72" s="224"/>
      <c r="G72" s="224"/>
      <c r="H72" s="224"/>
      <c r="I72" s="225"/>
      <c r="J72" s="58"/>
    </row>
    <row r="73" spans="1:10" ht="12" customHeight="1" x14ac:dyDescent="0.2">
      <c r="A73" s="223"/>
      <c r="B73" s="224"/>
      <c r="C73" s="224"/>
      <c r="D73" s="224"/>
      <c r="E73" s="224"/>
      <c r="F73" s="224"/>
      <c r="G73" s="224"/>
      <c r="H73" s="224"/>
      <c r="I73" s="225"/>
      <c r="J73" s="58"/>
    </row>
  </sheetData>
  <mergeCells count="18">
    <mergeCell ref="C6:G6"/>
    <mergeCell ref="H6:I6"/>
    <mergeCell ref="A71:I71"/>
    <mergeCell ref="A72:I73"/>
    <mergeCell ref="A68:I70"/>
    <mergeCell ref="H1:I1"/>
    <mergeCell ref="G3:G5"/>
    <mergeCell ref="C3:C5"/>
    <mergeCell ref="D3:D5"/>
    <mergeCell ref="F3:F5"/>
    <mergeCell ref="A1:G1"/>
    <mergeCell ref="A2:A5"/>
    <mergeCell ref="B2:B5"/>
    <mergeCell ref="E3:E5"/>
    <mergeCell ref="C2:E2"/>
    <mergeCell ref="H3:I3"/>
    <mergeCell ref="H4:H5"/>
    <mergeCell ref="G2:I2"/>
  </mergeCells>
  <phoneticPr fontId="7" type="noConversion"/>
  <printOptions horizontalCentered="1"/>
  <pageMargins left="0.45" right="0.45" top="0.75" bottom="0.75" header="0" footer="0"/>
  <pageSetup scale="66" fitToWidth="2"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pageSetUpPr autoPageBreaks="0" fitToPage="1"/>
  </sheetPr>
  <dimension ref="A1:J75"/>
  <sheetViews>
    <sheetView showOutlineSymbols="0" zoomScaleNormal="100" workbookViewId="0">
      <pane ySplit="6" topLeftCell="A7" activePane="bottomLeft" state="frozen"/>
      <selection sqref="A1:G1"/>
      <selection pane="bottomLeft" sqref="A1:G1"/>
    </sheetView>
  </sheetViews>
  <sheetFormatPr defaultColWidth="12.7109375" defaultRowHeight="12" customHeight="1" x14ac:dyDescent="0.2"/>
  <cols>
    <col min="1" max="1" width="12.7109375" style="13" customWidth="1"/>
    <col min="2" max="16384" width="12.7109375" style="13"/>
  </cols>
  <sheetData>
    <row r="1" spans="1:10" s="1" customFormat="1" ht="12" customHeight="1" thickBot="1" x14ac:dyDescent="0.25">
      <c r="A1" s="201" t="s">
        <v>155</v>
      </c>
      <c r="B1" s="201"/>
      <c r="C1" s="201"/>
      <c r="D1" s="201"/>
      <c r="E1" s="201"/>
      <c r="F1" s="201"/>
      <c r="G1" s="201"/>
      <c r="H1" s="200" t="s">
        <v>19</v>
      </c>
      <c r="I1" s="200"/>
    </row>
    <row r="2" spans="1:10" ht="12" customHeight="1" thickTop="1" x14ac:dyDescent="0.2">
      <c r="A2" s="196" t="s">
        <v>1</v>
      </c>
      <c r="B2" s="199" t="s">
        <v>85</v>
      </c>
      <c r="C2" s="269" t="s">
        <v>2</v>
      </c>
      <c r="D2" s="269"/>
      <c r="E2" s="269"/>
      <c r="F2" s="118" t="s">
        <v>146</v>
      </c>
      <c r="G2" s="244" t="s">
        <v>147</v>
      </c>
      <c r="H2" s="245"/>
      <c r="I2" s="245"/>
    </row>
    <row r="3" spans="1:10" ht="12" customHeight="1" x14ac:dyDescent="0.2">
      <c r="A3" s="217"/>
      <c r="B3" s="259"/>
      <c r="C3" s="217" t="s">
        <v>86</v>
      </c>
      <c r="D3" s="217" t="s">
        <v>87</v>
      </c>
      <c r="E3" s="217" t="s">
        <v>88</v>
      </c>
      <c r="F3" s="217" t="s">
        <v>95</v>
      </c>
      <c r="G3" s="217" t="s">
        <v>137</v>
      </c>
      <c r="H3" s="226" t="s">
        <v>28</v>
      </c>
      <c r="I3" s="227"/>
    </row>
    <row r="4" spans="1:10" ht="12" customHeight="1" x14ac:dyDescent="0.2">
      <c r="A4" s="217"/>
      <c r="B4" s="259"/>
      <c r="C4" s="217"/>
      <c r="D4" s="217"/>
      <c r="E4" s="217"/>
      <c r="F4" s="217"/>
      <c r="G4" s="217"/>
      <c r="H4" s="217" t="s">
        <v>4</v>
      </c>
      <c r="I4" s="14" t="s">
        <v>139</v>
      </c>
      <c r="J4" s="4"/>
    </row>
    <row r="5" spans="1:10" ht="12" customHeight="1" x14ac:dyDescent="0.2">
      <c r="A5" s="217"/>
      <c r="B5" s="259"/>
      <c r="C5" s="217"/>
      <c r="D5" s="217"/>
      <c r="E5" s="217"/>
      <c r="F5" s="217"/>
      <c r="G5" s="217"/>
      <c r="H5" s="217"/>
      <c r="I5" s="14" t="s">
        <v>191</v>
      </c>
    </row>
    <row r="6" spans="1:10" ht="12" customHeight="1" x14ac:dyDescent="0.2">
      <c r="A6" s="109"/>
      <c r="B6" s="167" t="s">
        <v>121</v>
      </c>
      <c r="C6" s="273" t="s">
        <v>122</v>
      </c>
      <c r="D6" s="274"/>
      <c r="E6" s="274"/>
      <c r="F6" s="274"/>
      <c r="G6" s="274"/>
      <c r="H6" s="273" t="s">
        <v>118</v>
      </c>
      <c r="I6" s="274"/>
      <c r="J6" s="60"/>
    </row>
    <row r="7" spans="1:10" ht="12" customHeight="1" x14ac:dyDescent="0.2">
      <c r="A7" s="2">
        <v>1960</v>
      </c>
      <c r="B7" s="20">
        <v>180.67099999999999</v>
      </c>
      <c r="C7" s="8">
        <v>231.1</v>
      </c>
      <c r="D7" s="8">
        <v>0.8</v>
      </c>
      <c r="E7" s="8">
        <f t="shared" ref="E7:E38" si="0">SUM(C7,D7)</f>
        <v>231.9</v>
      </c>
      <c r="F7" s="8" t="s">
        <v>3</v>
      </c>
      <c r="G7" s="8">
        <f t="shared" ref="G7:G38" si="1">E7-SUM(F7)</f>
        <v>231.9</v>
      </c>
      <c r="H7" s="142">
        <f t="shared" ref="H7:H38" si="2">IF(G7=0,0,IF(B7=0,0,G7/B7))</f>
        <v>1.2835485495735344</v>
      </c>
      <c r="I7" s="142">
        <f t="shared" ref="I7:I47" si="3">H7*0.92</f>
        <v>1.1808646656076516</v>
      </c>
    </row>
    <row r="8" spans="1:10" ht="12" customHeight="1" x14ac:dyDescent="0.2">
      <c r="A8" s="3">
        <v>1961</v>
      </c>
      <c r="B8" s="21">
        <v>183.691</v>
      </c>
      <c r="C8" s="171">
        <v>206.2</v>
      </c>
      <c r="D8" s="172">
        <v>0.3</v>
      </c>
      <c r="E8" s="172">
        <f t="shared" si="0"/>
        <v>206.5</v>
      </c>
      <c r="F8" s="172" t="s">
        <v>3</v>
      </c>
      <c r="G8" s="172">
        <f t="shared" si="1"/>
        <v>206.5</v>
      </c>
      <c r="H8" s="183">
        <f t="shared" si="2"/>
        <v>1.124170481950667</v>
      </c>
      <c r="I8" s="144">
        <f t="shared" si="3"/>
        <v>1.0342368433946136</v>
      </c>
    </row>
    <row r="9" spans="1:10" ht="12" customHeight="1" x14ac:dyDescent="0.2">
      <c r="A9" s="3">
        <v>1962</v>
      </c>
      <c r="B9" s="21">
        <v>186.53800000000001</v>
      </c>
      <c r="C9" s="171">
        <v>213.9</v>
      </c>
      <c r="D9" s="172">
        <v>0.3</v>
      </c>
      <c r="E9" s="172">
        <f t="shared" si="0"/>
        <v>214.20000000000002</v>
      </c>
      <c r="F9" s="172" t="s">
        <v>3</v>
      </c>
      <c r="G9" s="172">
        <f t="shared" si="1"/>
        <v>214.20000000000002</v>
      </c>
      <c r="H9" s="183">
        <f t="shared" si="2"/>
        <v>1.148291500927425</v>
      </c>
      <c r="I9" s="144">
        <f t="shared" si="3"/>
        <v>1.056428180853231</v>
      </c>
    </row>
    <row r="10" spans="1:10" ht="12" customHeight="1" x14ac:dyDescent="0.2">
      <c r="A10" s="3">
        <v>1963</v>
      </c>
      <c r="B10" s="21">
        <v>189.24199999999999</v>
      </c>
      <c r="C10" s="171">
        <v>210.3</v>
      </c>
      <c r="D10" s="172">
        <v>0.1</v>
      </c>
      <c r="E10" s="172">
        <f t="shared" si="0"/>
        <v>210.4</v>
      </c>
      <c r="F10" s="172" t="s">
        <v>3</v>
      </c>
      <c r="G10" s="172">
        <f t="shared" si="1"/>
        <v>210.4</v>
      </c>
      <c r="H10" s="183">
        <f t="shared" si="2"/>
        <v>1.1118039335876815</v>
      </c>
      <c r="I10" s="144">
        <f t="shared" si="3"/>
        <v>1.0228596189006669</v>
      </c>
    </row>
    <row r="11" spans="1:10" ht="12" customHeight="1" x14ac:dyDescent="0.2">
      <c r="A11" s="3">
        <v>1964</v>
      </c>
      <c r="B11" s="21">
        <v>191.88900000000001</v>
      </c>
      <c r="C11" s="171">
        <v>197.4</v>
      </c>
      <c r="D11" s="172">
        <v>0.1</v>
      </c>
      <c r="E11" s="172">
        <f t="shared" si="0"/>
        <v>197.5</v>
      </c>
      <c r="F11" s="172" t="s">
        <v>3</v>
      </c>
      <c r="G11" s="172">
        <f t="shared" si="1"/>
        <v>197.5</v>
      </c>
      <c r="H11" s="183">
        <f t="shared" si="2"/>
        <v>1.0292408632073751</v>
      </c>
      <c r="I11" s="144">
        <f t="shared" si="3"/>
        <v>0.94690159415078512</v>
      </c>
    </row>
    <row r="12" spans="1:10" ht="12" customHeight="1" x14ac:dyDescent="0.2">
      <c r="A12" s="3">
        <v>1965</v>
      </c>
      <c r="B12" s="21">
        <v>194.303</v>
      </c>
      <c r="C12" s="171">
        <v>195.5</v>
      </c>
      <c r="D12" s="172">
        <v>0.1</v>
      </c>
      <c r="E12" s="172">
        <f t="shared" si="0"/>
        <v>195.6</v>
      </c>
      <c r="F12" s="172" t="s">
        <v>3</v>
      </c>
      <c r="G12" s="172">
        <f t="shared" si="1"/>
        <v>195.6</v>
      </c>
      <c r="H12" s="183">
        <f t="shared" si="2"/>
        <v>1.0066751414028605</v>
      </c>
      <c r="I12" s="144">
        <f t="shared" si="3"/>
        <v>0.9261411300906317</v>
      </c>
    </row>
    <row r="13" spans="1:10" ht="12" customHeight="1" x14ac:dyDescent="0.2">
      <c r="A13" s="2">
        <v>1966</v>
      </c>
      <c r="B13" s="20">
        <v>196.56</v>
      </c>
      <c r="C13" s="168">
        <v>187.1</v>
      </c>
      <c r="D13" s="169">
        <v>0.1</v>
      </c>
      <c r="E13" s="170">
        <f t="shared" si="0"/>
        <v>187.2</v>
      </c>
      <c r="F13" s="170" t="s">
        <v>3</v>
      </c>
      <c r="G13" s="170">
        <f t="shared" si="1"/>
        <v>187.2</v>
      </c>
      <c r="H13" s="184">
        <f t="shared" si="2"/>
        <v>0.95238095238095233</v>
      </c>
      <c r="I13" s="185">
        <f t="shared" si="3"/>
        <v>0.87619047619047619</v>
      </c>
    </row>
    <row r="14" spans="1:10" ht="12" customHeight="1" x14ac:dyDescent="0.2">
      <c r="A14" s="2">
        <v>1967</v>
      </c>
      <c r="B14" s="20">
        <v>198.71199999999999</v>
      </c>
      <c r="C14" s="168">
        <v>184.5</v>
      </c>
      <c r="D14" s="169">
        <v>0</v>
      </c>
      <c r="E14" s="170">
        <f t="shared" si="0"/>
        <v>184.5</v>
      </c>
      <c r="F14" s="170" t="s">
        <v>3</v>
      </c>
      <c r="G14" s="170">
        <f t="shared" si="1"/>
        <v>184.5</v>
      </c>
      <c r="H14" s="184">
        <f t="shared" si="2"/>
        <v>0.92847940738355006</v>
      </c>
      <c r="I14" s="185">
        <f t="shared" si="3"/>
        <v>0.85420105479286612</v>
      </c>
    </row>
    <row r="15" spans="1:10" ht="12" customHeight="1" x14ac:dyDescent="0.2">
      <c r="A15" s="2">
        <v>1968</v>
      </c>
      <c r="B15" s="20">
        <v>200.70599999999999</v>
      </c>
      <c r="C15" s="168">
        <v>193.3</v>
      </c>
      <c r="D15" s="169">
        <v>0.2</v>
      </c>
      <c r="E15" s="170">
        <f t="shared" si="0"/>
        <v>193.5</v>
      </c>
      <c r="F15" s="170" t="s">
        <v>3</v>
      </c>
      <c r="G15" s="170">
        <f t="shared" si="1"/>
        <v>193.5</v>
      </c>
      <c r="H15" s="184">
        <f t="shared" si="2"/>
        <v>0.964096738513049</v>
      </c>
      <c r="I15" s="185">
        <f t="shared" si="3"/>
        <v>0.88696899943200513</v>
      </c>
    </row>
    <row r="16" spans="1:10" ht="12" customHeight="1" x14ac:dyDescent="0.2">
      <c r="A16" s="2">
        <v>1969</v>
      </c>
      <c r="B16" s="20">
        <v>202.67699999999999</v>
      </c>
      <c r="C16" s="168">
        <v>179.3</v>
      </c>
      <c r="D16" s="169">
        <v>0.2</v>
      </c>
      <c r="E16" s="170">
        <f t="shared" si="0"/>
        <v>179.5</v>
      </c>
      <c r="F16" s="170" t="s">
        <v>3</v>
      </c>
      <c r="G16" s="170">
        <f t="shared" si="1"/>
        <v>179.5</v>
      </c>
      <c r="H16" s="184">
        <f t="shared" si="2"/>
        <v>0.88564563319962308</v>
      </c>
      <c r="I16" s="185">
        <f t="shared" si="3"/>
        <v>0.81479398254365332</v>
      </c>
    </row>
    <row r="17" spans="1:9" ht="12" customHeight="1" x14ac:dyDescent="0.2">
      <c r="A17" s="2">
        <v>1970</v>
      </c>
      <c r="B17" s="20">
        <v>205.05199999999999</v>
      </c>
      <c r="C17" s="168">
        <v>151.9</v>
      </c>
      <c r="D17" s="169">
        <v>0.1</v>
      </c>
      <c r="E17" s="170">
        <f t="shared" si="0"/>
        <v>152</v>
      </c>
      <c r="F17" s="170" t="s">
        <v>3</v>
      </c>
      <c r="G17" s="170">
        <f t="shared" si="1"/>
        <v>152</v>
      </c>
      <c r="H17" s="184">
        <f t="shared" si="2"/>
        <v>0.74127538380508362</v>
      </c>
      <c r="I17" s="185">
        <f t="shared" si="3"/>
        <v>0.68197335310067697</v>
      </c>
    </row>
    <row r="18" spans="1:9" ht="12" customHeight="1" x14ac:dyDescent="0.2">
      <c r="A18" s="3">
        <v>1971</v>
      </c>
      <c r="B18" s="21">
        <v>207.661</v>
      </c>
      <c r="C18" s="171">
        <v>143.4</v>
      </c>
      <c r="D18" s="172">
        <v>0.8</v>
      </c>
      <c r="E18" s="172">
        <f t="shared" si="0"/>
        <v>144.20000000000002</v>
      </c>
      <c r="F18" s="172" t="s">
        <v>3</v>
      </c>
      <c r="G18" s="172">
        <f t="shared" si="1"/>
        <v>144.20000000000002</v>
      </c>
      <c r="H18" s="183">
        <f t="shared" si="2"/>
        <v>0.69440097081300778</v>
      </c>
      <c r="I18" s="144">
        <f t="shared" si="3"/>
        <v>0.63884889314796722</v>
      </c>
    </row>
    <row r="19" spans="1:9" ht="12" customHeight="1" x14ac:dyDescent="0.2">
      <c r="A19" s="3">
        <v>1972</v>
      </c>
      <c r="B19" s="21">
        <v>209.89599999999999</v>
      </c>
      <c r="C19" s="171">
        <v>175.1</v>
      </c>
      <c r="D19" s="172">
        <v>0.1</v>
      </c>
      <c r="E19" s="172">
        <f t="shared" si="0"/>
        <v>175.2</v>
      </c>
      <c r="F19" s="172" t="s">
        <v>3</v>
      </c>
      <c r="G19" s="172">
        <f t="shared" si="1"/>
        <v>175.2</v>
      </c>
      <c r="H19" s="183">
        <f t="shared" si="2"/>
        <v>0.83469908907268364</v>
      </c>
      <c r="I19" s="144">
        <f t="shared" si="3"/>
        <v>0.76792316194686894</v>
      </c>
    </row>
    <row r="20" spans="1:9" ht="12" customHeight="1" x14ac:dyDescent="0.2">
      <c r="A20" s="3">
        <v>1973</v>
      </c>
      <c r="B20" s="21">
        <v>211.90899999999999</v>
      </c>
      <c r="C20" s="171">
        <v>160.19999999999999</v>
      </c>
      <c r="D20" s="172">
        <v>0.3</v>
      </c>
      <c r="E20" s="172">
        <f t="shared" si="0"/>
        <v>160.5</v>
      </c>
      <c r="F20" s="172" t="s">
        <v>3</v>
      </c>
      <c r="G20" s="172">
        <f t="shared" si="1"/>
        <v>160.5</v>
      </c>
      <c r="H20" s="183">
        <f t="shared" si="2"/>
        <v>0.75740058232543217</v>
      </c>
      <c r="I20" s="144">
        <f t="shared" si="3"/>
        <v>0.69680853573939761</v>
      </c>
    </row>
    <row r="21" spans="1:9" ht="12" customHeight="1" x14ac:dyDescent="0.2">
      <c r="A21" s="3">
        <v>1974</v>
      </c>
      <c r="B21" s="21">
        <v>213.85400000000001</v>
      </c>
      <c r="C21" s="171">
        <v>168.3</v>
      </c>
      <c r="D21" s="172">
        <v>0.2</v>
      </c>
      <c r="E21" s="172">
        <f t="shared" si="0"/>
        <v>168.5</v>
      </c>
      <c r="F21" s="172" t="s">
        <v>3</v>
      </c>
      <c r="G21" s="172">
        <f t="shared" si="1"/>
        <v>168.5</v>
      </c>
      <c r="H21" s="183">
        <f t="shared" si="2"/>
        <v>0.78792073096598614</v>
      </c>
      <c r="I21" s="144">
        <f t="shared" si="3"/>
        <v>0.72488707248870732</v>
      </c>
    </row>
    <row r="22" spans="1:9" ht="12" customHeight="1" x14ac:dyDescent="0.2">
      <c r="A22" s="3">
        <v>1975</v>
      </c>
      <c r="B22" s="21">
        <v>215.97300000000001</v>
      </c>
      <c r="C22" s="171">
        <v>197.9</v>
      </c>
      <c r="D22" s="172">
        <v>0.3</v>
      </c>
      <c r="E22" s="172">
        <f t="shared" si="0"/>
        <v>198.20000000000002</v>
      </c>
      <c r="F22" s="172" t="s">
        <v>3</v>
      </c>
      <c r="G22" s="172">
        <f t="shared" si="1"/>
        <v>198.20000000000002</v>
      </c>
      <c r="H22" s="183">
        <f t="shared" si="2"/>
        <v>0.91770730600584338</v>
      </c>
      <c r="I22" s="144">
        <f t="shared" si="3"/>
        <v>0.84429072152537599</v>
      </c>
    </row>
    <row r="23" spans="1:9" ht="12" customHeight="1" x14ac:dyDescent="0.2">
      <c r="A23" s="2">
        <v>1976</v>
      </c>
      <c r="B23" s="20">
        <v>218.035</v>
      </c>
      <c r="C23" s="168">
        <v>224.3</v>
      </c>
      <c r="D23" s="169">
        <v>0.7</v>
      </c>
      <c r="E23" s="170">
        <f t="shared" si="0"/>
        <v>225</v>
      </c>
      <c r="F23" s="170" t="s">
        <v>3</v>
      </c>
      <c r="G23" s="170">
        <f t="shared" si="1"/>
        <v>225</v>
      </c>
      <c r="H23" s="184">
        <f t="shared" si="2"/>
        <v>1.0319444125943082</v>
      </c>
      <c r="I23" s="185">
        <f t="shared" si="3"/>
        <v>0.94938885958676367</v>
      </c>
    </row>
    <row r="24" spans="1:9" ht="12" customHeight="1" x14ac:dyDescent="0.2">
      <c r="A24" s="2">
        <v>1977</v>
      </c>
      <c r="B24" s="20">
        <v>220.23899999999998</v>
      </c>
      <c r="C24" s="168">
        <v>238.3</v>
      </c>
      <c r="D24" s="169">
        <v>1.3</v>
      </c>
      <c r="E24" s="170">
        <f t="shared" si="0"/>
        <v>239.60000000000002</v>
      </c>
      <c r="F24" s="170" t="s">
        <v>3</v>
      </c>
      <c r="G24" s="170">
        <f t="shared" si="1"/>
        <v>239.60000000000002</v>
      </c>
      <c r="H24" s="184">
        <f t="shared" si="2"/>
        <v>1.0879090442655481</v>
      </c>
      <c r="I24" s="185">
        <f t="shared" si="3"/>
        <v>1.0008763207243043</v>
      </c>
    </row>
    <row r="25" spans="1:9" ht="12" customHeight="1" x14ac:dyDescent="0.2">
      <c r="A25" s="2">
        <v>1978</v>
      </c>
      <c r="B25" s="20">
        <v>222.58500000000001</v>
      </c>
      <c r="C25" s="168">
        <v>193.3</v>
      </c>
      <c r="D25" s="169">
        <v>2.9</v>
      </c>
      <c r="E25" s="170">
        <f t="shared" si="0"/>
        <v>196.20000000000002</v>
      </c>
      <c r="F25" s="169">
        <v>20.9</v>
      </c>
      <c r="G25" s="170">
        <f t="shared" si="1"/>
        <v>175.3</v>
      </c>
      <c r="H25" s="184">
        <f t="shared" si="2"/>
        <v>0.78756430127816346</v>
      </c>
      <c r="I25" s="185">
        <f t="shared" si="3"/>
        <v>0.72455915717591046</v>
      </c>
    </row>
    <row r="26" spans="1:9" ht="12" customHeight="1" x14ac:dyDescent="0.2">
      <c r="A26" s="2">
        <v>1979</v>
      </c>
      <c r="B26" s="20">
        <v>225.05500000000001</v>
      </c>
      <c r="C26" s="168">
        <v>271.10000000000002</v>
      </c>
      <c r="D26" s="169">
        <v>4.8</v>
      </c>
      <c r="E26" s="170">
        <f t="shared" si="0"/>
        <v>275.90000000000003</v>
      </c>
      <c r="F26" s="169">
        <v>31.5</v>
      </c>
      <c r="G26" s="170">
        <f t="shared" si="1"/>
        <v>244.40000000000003</v>
      </c>
      <c r="H26" s="184">
        <f t="shared" si="2"/>
        <v>1.0859567661238365</v>
      </c>
      <c r="I26" s="185">
        <f t="shared" si="3"/>
        <v>0.99908022483392966</v>
      </c>
    </row>
    <row r="27" spans="1:9" ht="12" customHeight="1" x14ac:dyDescent="0.2">
      <c r="A27" s="2">
        <v>1980</v>
      </c>
      <c r="B27" s="20">
        <v>227.726</v>
      </c>
      <c r="C27" s="168">
        <v>284.60000000000002</v>
      </c>
      <c r="D27" s="169">
        <v>7.3</v>
      </c>
      <c r="E27" s="170">
        <f t="shared" si="0"/>
        <v>291.90000000000003</v>
      </c>
      <c r="F27" s="169">
        <v>33.6</v>
      </c>
      <c r="G27" s="170">
        <f t="shared" si="1"/>
        <v>258.3</v>
      </c>
      <c r="H27" s="184">
        <f t="shared" si="2"/>
        <v>1.1342578361715396</v>
      </c>
      <c r="I27" s="185">
        <f t="shared" si="3"/>
        <v>1.0435172092778164</v>
      </c>
    </row>
    <row r="28" spans="1:9" ht="12" customHeight="1" x14ac:dyDescent="0.2">
      <c r="A28" s="3">
        <v>1981</v>
      </c>
      <c r="B28" s="21">
        <v>229.96600000000001</v>
      </c>
      <c r="C28" s="171">
        <v>351.7</v>
      </c>
      <c r="D28" s="172">
        <v>11.2</v>
      </c>
      <c r="E28" s="172">
        <f t="shared" si="0"/>
        <v>362.9</v>
      </c>
      <c r="F28" s="171">
        <v>48.3</v>
      </c>
      <c r="G28" s="172">
        <f t="shared" si="1"/>
        <v>314.59999999999997</v>
      </c>
      <c r="H28" s="183">
        <f t="shared" si="2"/>
        <v>1.3680283172295034</v>
      </c>
      <c r="I28" s="144">
        <f t="shared" si="3"/>
        <v>1.2585860518511431</v>
      </c>
    </row>
    <row r="29" spans="1:9" ht="12" customHeight="1" x14ac:dyDescent="0.2">
      <c r="A29" s="3">
        <v>1982</v>
      </c>
      <c r="B29" s="21">
        <v>232.18799999999999</v>
      </c>
      <c r="C29" s="171">
        <v>342</v>
      </c>
      <c r="D29" s="172">
        <v>10.8</v>
      </c>
      <c r="E29" s="172">
        <f t="shared" si="0"/>
        <v>352.8</v>
      </c>
      <c r="F29" s="171">
        <v>44.8</v>
      </c>
      <c r="G29" s="172">
        <f t="shared" si="1"/>
        <v>308</v>
      </c>
      <c r="H29" s="183">
        <f t="shared" si="2"/>
        <v>1.3265112753458406</v>
      </c>
      <c r="I29" s="144">
        <f t="shared" si="3"/>
        <v>1.2203903733181733</v>
      </c>
    </row>
    <row r="30" spans="1:9" ht="12" customHeight="1" x14ac:dyDescent="0.2">
      <c r="A30" s="3">
        <v>1983</v>
      </c>
      <c r="B30" s="21">
        <v>234.30699999999999</v>
      </c>
      <c r="C30" s="171">
        <v>370.4</v>
      </c>
      <c r="D30" s="172">
        <v>12.5</v>
      </c>
      <c r="E30" s="172">
        <f t="shared" si="0"/>
        <v>382.9</v>
      </c>
      <c r="F30" s="171">
        <v>51.4</v>
      </c>
      <c r="G30" s="172">
        <f t="shared" si="1"/>
        <v>331.5</v>
      </c>
      <c r="H30" s="183">
        <f t="shared" si="2"/>
        <v>1.4148104836816655</v>
      </c>
      <c r="I30" s="144">
        <f t="shared" si="3"/>
        <v>1.3016256449871324</v>
      </c>
    </row>
    <row r="31" spans="1:9" ht="12" customHeight="1" x14ac:dyDescent="0.2">
      <c r="A31" s="3">
        <v>1984</v>
      </c>
      <c r="B31" s="21">
        <v>236.34800000000001</v>
      </c>
      <c r="C31" s="171">
        <v>481.7</v>
      </c>
      <c r="D31" s="172">
        <v>13.5</v>
      </c>
      <c r="E31" s="172">
        <f t="shared" si="0"/>
        <v>495.2</v>
      </c>
      <c r="F31" s="171">
        <v>64</v>
      </c>
      <c r="G31" s="172">
        <f t="shared" si="1"/>
        <v>431.2</v>
      </c>
      <c r="H31" s="183">
        <f t="shared" si="2"/>
        <v>1.8244283852624095</v>
      </c>
      <c r="I31" s="144">
        <f t="shared" si="3"/>
        <v>1.6784741144414168</v>
      </c>
    </row>
    <row r="32" spans="1:9" ht="12" customHeight="1" x14ac:dyDescent="0.2">
      <c r="A32" s="3">
        <v>1985</v>
      </c>
      <c r="B32" s="21">
        <v>238.46600000000001</v>
      </c>
      <c r="C32" s="171">
        <v>490.5</v>
      </c>
      <c r="D32" s="172">
        <v>16.3</v>
      </c>
      <c r="E32" s="172">
        <f t="shared" si="0"/>
        <v>506.8</v>
      </c>
      <c r="F32" s="171">
        <v>68.2</v>
      </c>
      <c r="G32" s="172">
        <f t="shared" si="1"/>
        <v>438.6</v>
      </c>
      <c r="H32" s="183">
        <f t="shared" si="2"/>
        <v>1.8392559106958644</v>
      </c>
      <c r="I32" s="144">
        <f t="shared" si="3"/>
        <v>1.6921154378401952</v>
      </c>
    </row>
    <row r="33" spans="1:9" ht="12" customHeight="1" x14ac:dyDescent="0.2">
      <c r="A33" s="2">
        <v>1986</v>
      </c>
      <c r="B33" s="20">
        <v>240.65100000000001</v>
      </c>
      <c r="C33" s="168">
        <v>590.6</v>
      </c>
      <c r="D33" s="169">
        <v>13.8</v>
      </c>
      <c r="E33" s="170">
        <f t="shared" si="0"/>
        <v>604.4</v>
      </c>
      <c r="F33" s="169">
        <v>78.5</v>
      </c>
      <c r="G33" s="170">
        <f t="shared" si="1"/>
        <v>525.9</v>
      </c>
      <c r="H33" s="184">
        <f t="shared" si="2"/>
        <v>2.1853223132253761</v>
      </c>
      <c r="I33" s="185">
        <f t="shared" si="3"/>
        <v>2.0104965281673461</v>
      </c>
    </row>
    <row r="34" spans="1:9" ht="12" customHeight="1" x14ac:dyDescent="0.2">
      <c r="A34" s="2">
        <v>1987</v>
      </c>
      <c r="B34" s="20">
        <v>242.804</v>
      </c>
      <c r="C34" s="168">
        <v>592.79999999999995</v>
      </c>
      <c r="D34" s="169">
        <v>13.8</v>
      </c>
      <c r="E34" s="170">
        <f t="shared" si="0"/>
        <v>606.59999999999991</v>
      </c>
      <c r="F34" s="169">
        <v>89</v>
      </c>
      <c r="G34" s="170">
        <f t="shared" si="1"/>
        <v>517.59999999999991</v>
      </c>
      <c r="H34" s="184">
        <f t="shared" si="2"/>
        <v>2.1317605970247602</v>
      </c>
      <c r="I34" s="185">
        <f t="shared" si="3"/>
        <v>1.9612197492627794</v>
      </c>
    </row>
    <row r="35" spans="1:9" ht="12" customHeight="1" x14ac:dyDescent="0.2">
      <c r="A35" s="2">
        <v>1988</v>
      </c>
      <c r="B35" s="20">
        <v>245.02099999999999</v>
      </c>
      <c r="C35" s="168">
        <v>646.5</v>
      </c>
      <c r="D35" s="169">
        <v>14.6</v>
      </c>
      <c r="E35" s="170">
        <f t="shared" si="0"/>
        <v>661.1</v>
      </c>
      <c r="F35" s="169">
        <v>123.5</v>
      </c>
      <c r="G35" s="170">
        <f t="shared" si="1"/>
        <v>537.6</v>
      </c>
      <c r="H35" s="184">
        <f t="shared" si="2"/>
        <v>2.1940976487729626</v>
      </c>
      <c r="I35" s="185">
        <f t="shared" si="3"/>
        <v>2.0185698368711256</v>
      </c>
    </row>
    <row r="36" spans="1:9" ht="12" customHeight="1" x14ac:dyDescent="0.2">
      <c r="A36" s="2">
        <v>1989</v>
      </c>
      <c r="B36" s="20">
        <v>247.34200000000001</v>
      </c>
      <c r="C36" s="168">
        <v>662.2</v>
      </c>
      <c r="D36" s="169">
        <v>19.5</v>
      </c>
      <c r="E36" s="170">
        <f t="shared" si="0"/>
        <v>681.7</v>
      </c>
      <c r="F36" s="169">
        <v>110</v>
      </c>
      <c r="G36" s="170">
        <f t="shared" si="1"/>
        <v>571.70000000000005</v>
      </c>
      <c r="H36" s="184">
        <f t="shared" si="2"/>
        <v>2.311374534045977</v>
      </c>
      <c r="I36" s="185">
        <f t="shared" si="3"/>
        <v>2.1264645713222992</v>
      </c>
    </row>
    <row r="37" spans="1:9" ht="12" customHeight="1" x14ac:dyDescent="0.2">
      <c r="A37" s="2">
        <v>1990</v>
      </c>
      <c r="B37" s="20">
        <v>250.13200000000001</v>
      </c>
      <c r="C37" s="168">
        <v>654</v>
      </c>
      <c r="D37" s="169">
        <v>22.1</v>
      </c>
      <c r="E37" s="170">
        <f t="shared" si="0"/>
        <v>676.1</v>
      </c>
      <c r="F37" s="169">
        <v>128.1</v>
      </c>
      <c r="G37" s="170">
        <f t="shared" si="1"/>
        <v>548</v>
      </c>
      <c r="H37" s="184">
        <f t="shared" si="2"/>
        <v>2.1908432347720401</v>
      </c>
      <c r="I37" s="185">
        <f t="shared" si="3"/>
        <v>2.015575775990277</v>
      </c>
    </row>
    <row r="38" spans="1:9" ht="12" customHeight="1" x14ac:dyDescent="0.2">
      <c r="A38" s="3">
        <v>1991</v>
      </c>
      <c r="B38" s="21">
        <v>253.49299999999999</v>
      </c>
      <c r="C38" s="171">
        <v>615.70000000000005</v>
      </c>
      <c r="D38" s="172">
        <v>17.899999999999999</v>
      </c>
      <c r="E38" s="172">
        <f t="shared" si="0"/>
        <v>633.6</v>
      </c>
      <c r="F38" s="171">
        <v>138.9</v>
      </c>
      <c r="G38" s="172">
        <f t="shared" si="1"/>
        <v>494.70000000000005</v>
      </c>
      <c r="H38" s="183">
        <f t="shared" si="2"/>
        <v>1.9515331784309629</v>
      </c>
      <c r="I38" s="144">
        <f t="shared" si="3"/>
        <v>1.7954105241564859</v>
      </c>
    </row>
    <row r="39" spans="1:9" ht="12" customHeight="1" x14ac:dyDescent="0.2">
      <c r="A39" s="3">
        <v>1992</v>
      </c>
      <c r="B39" s="21">
        <v>256.89400000000001</v>
      </c>
      <c r="C39" s="171">
        <v>607.20000000000005</v>
      </c>
      <c r="D39" s="172">
        <v>17.600000000000001</v>
      </c>
      <c r="E39" s="172">
        <f t="shared" ref="E39:E67" si="4">SUM(C39,D39)</f>
        <v>624.80000000000007</v>
      </c>
      <c r="F39" s="171">
        <v>160.5</v>
      </c>
      <c r="G39" s="172">
        <f t="shared" ref="G39:G59" si="5">E39-SUM(F39)</f>
        <v>464.30000000000007</v>
      </c>
      <c r="H39" s="183">
        <f t="shared" ref="H39:H59" si="6">IF(G39=0,0,IF(B39=0,0,G39/B39))</f>
        <v>1.8073602341821922</v>
      </c>
      <c r="I39" s="144">
        <f t="shared" si="3"/>
        <v>1.6627714154476168</v>
      </c>
    </row>
    <row r="40" spans="1:9" ht="12" customHeight="1" x14ac:dyDescent="0.2">
      <c r="A40" s="3">
        <v>1993</v>
      </c>
      <c r="B40" s="21">
        <v>260.255</v>
      </c>
      <c r="C40" s="171">
        <v>701.1</v>
      </c>
      <c r="D40" s="172">
        <v>11.2</v>
      </c>
      <c r="E40" s="172">
        <f t="shared" si="4"/>
        <v>712.30000000000007</v>
      </c>
      <c r="F40" s="171">
        <v>168.2</v>
      </c>
      <c r="G40" s="172">
        <f t="shared" si="5"/>
        <v>544.10000000000014</v>
      </c>
      <c r="H40" s="183">
        <f t="shared" si="6"/>
        <v>2.0906418704731902</v>
      </c>
      <c r="I40" s="144">
        <f t="shared" si="3"/>
        <v>1.923390520835335</v>
      </c>
    </row>
    <row r="41" spans="1:9" ht="12" customHeight="1" x14ac:dyDescent="0.2">
      <c r="A41" s="3">
        <v>1994</v>
      </c>
      <c r="B41" s="21">
        <v>263.43599999999998</v>
      </c>
      <c r="C41" s="171">
        <v>734.5</v>
      </c>
      <c r="D41" s="172">
        <v>10.6</v>
      </c>
      <c r="E41" s="172">
        <f t="shared" si="4"/>
        <v>745.1</v>
      </c>
      <c r="F41" s="171">
        <v>212.6</v>
      </c>
      <c r="G41" s="172">
        <f t="shared" si="5"/>
        <v>532.5</v>
      </c>
      <c r="H41" s="183">
        <f t="shared" si="6"/>
        <v>2.021363822712158</v>
      </c>
      <c r="I41" s="144">
        <f t="shared" si="3"/>
        <v>1.8596547168951854</v>
      </c>
    </row>
    <row r="42" spans="1:9" ht="12" customHeight="1" x14ac:dyDescent="0.2">
      <c r="A42" s="3">
        <v>1995</v>
      </c>
      <c r="B42" s="21">
        <v>266.55700000000002</v>
      </c>
      <c r="C42" s="171">
        <v>648.4</v>
      </c>
      <c r="D42" s="172">
        <v>13.1</v>
      </c>
      <c r="E42" s="172">
        <f t="shared" si="4"/>
        <v>661.5</v>
      </c>
      <c r="F42" s="171">
        <v>225.1</v>
      </c>
      <c r="G42" s="172">
        <f t="shared" si="5"/>
        <v>436.4</v>
      </c>
      <c r="H42" s="183">
        <f t="shared" si="6"/>
        <v>1.6371732875144902</v>
      </c>
      <c r="I42" s="144">
        <f t="shared" si="3"/>
        <v>1.506199424513331</v>
      </c>
    </row>
    <row r="43" spans="1:9" ht="12" customHeight="1" x14ac:dyDescent="0.2">
      <c r="A43" s="2">
        <v>1996</v>
      </c>
      <c r="B43" s="20">
        <v>269.66699999999997</v>
      </c>
      <c r="C43" s="168">
        <v>680.1</v>
      </c>
      <c r="D43" s="169">
        <v>16.8</v>
      </c>
      <c r="E43" s="170">
        <f t="shared" si="4"/>
        <v>696.9</v>
      </c>
      <c r="F43" s="169">
        <v>232.8</v>
      </c>
      <c r="G43" s="170">
        <f t="shared" si="5"/>
        <v>464.09999999999997</v>
      </c>
      <c r="H43" s="184">
        <f t="shared" si="6"/>
        <v>1.7210114697015209</v>
      </c>
      <c r="I43" s="185">
        <f t="shared" si="3"/>
        <v>1.5833305521253993</v>
      </c>
    </row>
    <row r="44" spans="1:9" ht="12" customHeight="1" x14ac:dyDescent="0.2">
      <c r="A44" s="2">
        <v>1997</v>
      </c>
      <c r="B44" s="20">
        <v>272.91199999999998</v>
      </c>
      <c r="C44" s="168">
        <v>632.29999999999995</v>
      </c>
      <c r="D44" s="169">
        <v>37.6</v>
      </c>
      <c r="E44" s="170">
        <f t="shared" si="4"/>
        <v>669.9</v>
      </c>
      <c r="F44" s="169">
        <v>188.1</v>
      </c>
      <c r="G44" s="170">
        <f t="shared" si="5"/>
        <v>481.79999999999995</v>
      </c>
      <c r="H44" s="184">
        <f t="shared" si="6"/>
        <v>1.7654042328662718</v>
      </c>
      <c r="I44" s="185">
        <f t="shared" si="3"/>
        <v>1.6241718942369701</v>
      </c>
    </row>
    <row r="45" spans="1:9" ht="12" customHeight="1" x14ac:dyDescent="0.2">
      <c r="A45" s="2">
        <v>1998</v>
      </c>
      <c r="B45" s="20">
        <v>276.11500000000001</v>
      </c>
      <c r="C45" s="168">
        <v>546.79999999999995</v>
      </c>
      <c r="D45" s="169">
        <v>32.1</v>
      </c>
      <c r="E45" s="170">
        <f t="shared" si="4"/>
        <v>578.9</v>
      </c>
      <c r="F45" s="169">
        <v>176.1</v>
      </c>
      <c r="G45" s="170">
        <f t="shared" si="5"/>
        <v>402.79999999999995</v>
      </c>
      <c r="H45" s="184">
        <f t="shared" si="6"/>
        <v>1.4588124513336833</v>
      </c>
      <c r="I45" s="185">
        <f t="shared" si="3"/>
        <v>1.3421074552269887</v>
      </c>
    </row>
    <row r="46" spans="1:9" ht="12" customHeight="1" x14ac:dyDescent="0.2">
      <c r="A46" s="2">
        <v>1999</v>
      </c>
      <c r="B46" s="20">
        <v>279.29500000000002</v>
      </c>
      <c r="C46" s="168">
        <v>666.6</v>
      </c>
      <c r="D46" s="169">
        <v>17.5</v>
      </c>
      <c r="E46" s="170">
        <f t="shared" si="4"/>
        <v>684.1</v>
      </c>
      <c r="F46" s="169">
        <v>191.3</v>
      </c>
      <c r="G46" s="170">
        <f t="shared" si="5"/>
        <v>492.8</v>
      </c>
      <c r="H46" s="184">
        <f t="shared" si="6"/>
        <v>1.764442614439929</v>
      </c>
      <c r="I46" s="185">
        <f t="shared" si="3"/>
        <v>1.6232872052847347</v>
      </c>
    </row>
    <row r="47" spans="1:9" ht="12" customHeight="1" x14ac:dyDescent="0.2">
      <c r="A47" s="2">
        <v>2000</v>
      </c>
      <c r="B47" s="20">
        <v>282.38499999999999</v>
      </c>
      <c r="C47" s="168">
        <v>635</v>
      </c>
      <c r="D47" s="169">
        <v>17.491893800000003</v>
      </c>
      <c r="E47" s="170">
        <f t="shared" si="4"/>
        <v>652.49189379999996</v>
      </c>
      <c r="F47" s="169">
        <v>161.98424506000001</v>
      </c>
      <c r="G47" s="170">
        <f t="shared" si="5"/>
        <v>490.50764873999992</v>
      </c>
      <c r="H47" s="184">
        <f t="shared" si="6"/>
        <v>1.7370173654407988</v>
      </c>
      <c r="I47" s="185">
        <f t="shared" si="3"/>
        <v>1.5980559762055349</v>
      </c>
    </row>
    <row r="48" spans="1:9" ht="12" customHeight="1" x14ac:dyDescent="0.2">
      <c r="A48" s="3">
        <v>2001</v>
      </c>
      <c r="B48" s="21">
        <v>285.30901899999998</v>
      </c>
      <c r="C48" s="171">
        <v>592</v>
      </c>
      <c r="D48" s="172">
        <v>15.031017589999999</v>
      </c>
      <c r="E48" s="172">
        <f t="shared" si="4"/>
        <v>607.03101759000003</v>
      </c>
      <c r="F48" s="171">
        <v>173.55209563999998</v>
      </c>
      <c r="G48" s="172">
        <f t="shared" si="5"/>
        <v>433.47892195000009</v>
      </c>
      <c r="H48" s="183">
        <f t="shared" si="6"/>
        <v>1.5193312972345965</v>
      </c>
      <c r="I48" s="144">
        <f t="shared" ref="I48:I53" si="7">H48*0.92</f>
        <v>1.3977847934558287</v>
      </c>
    </row>
    <row r="49" spans="1:9" ht="12" customHeight="1" x14ac:dyDescent="0.2">
      <c r="A49" s="3">
        <v>2002</v>
      </c>
      <c r="B49" s="21">
        <v>288.10481800000002</v>
      </c>
      <c r="C49" s="171">
        <v>584.20000000000005</v>
      </c>
      <c r="D49" s="172">
        <v>19.995292719999998</v>
      </c>
      <c r="E49" s="172">
        <f t="shared" si="4"/>
        <v>604.19529272</v>
      </c>
      <c r="F49" s="171">
        <v>193.54740820000001</v>
      </c>
      <c r="G49" s="172">
        <f t="shared" si="5"/>
        <v>410.64788451999999</v>
      </c>
      <c r="H49" s="183">
        <f t="shared" si="6"/>
        <v>1.4253419549547413</v>
      </c>
      <c r="I49" s="144">
        <f t="shared" si="7"/>
        <v>1.3113145985583621</v>
      </c>
    </row>
    <row r="50" spans="1:9" ht="12" customHeight="1" x14ac:dyDescent="0.2">
      <c r="A50" s="3">
        <v>2003</v>
      </c>
      <c r="B50" s="21">
        <v>290.81963400000001</v>
      </c>
      <c r="C50" s="171">
        <v>620.5</v>
      </c>
      <c r="D50" s="172">
        <v>19.811610399999999</v>
      </c>
      <c r="E50" s="172">
        <f t="shared" si="4"/>
        <v>640.31161039999995</v>
      </c>
      <c r="F50" s="171">
        <v>186.85774896000004</v>
      </c>
      <c r="G50" s="172">
        <f t="shared" si="5"/>
        <v>453.45386143999991</v>
      </c>
      <c r="H50" s="183">
        <f t="shared" si="6"/>
        <v>1.5592271237092605</v>
      </c>
      <c r="I50" s="144">
        <f t="shared" si="7"/>
        <v>1.4344889538125198</v>
      </c>
    </row>
    <row r="51" spans="1:9" ht="12" customHeight="1" x14ac:dyDescent="0.2">
      <c r="A51" s="3">
        <v>2004</v>
      </c>
      <c r="B51" s="21">
        <v>293.46318500000001</v>
      </c>
      <c r="C51" s="171">
        <v>608.79999999999995</v>
      </c>
      <c r="D51" s="172">
        <v>30.999221340000002</v>
      </c>
      <c r="E51" s="172">
        <f t="shared" si="4"/>
        <v>639.79922133999992</v>
      </c>
      <c r="F51" s="171">
        <v>182.22757516999999</v>
      </c>
      <c r="G51" s="172">
        <f t="shared" si="5"/>
        <v>457.57164616999989</v>
      </c>
      <c r="H51" s="183">
        <f t="shared" si="6"/>
        <v>1.559213112779376</v>
      </c>
      <c r="I51" s="144">
        <f t="shared" si="7"/>
        <v>1.434476063757026</v>
      </c>
    </row>
    <row r="52" spans="1:9" ht="12" customHeight="1" x14ac:dyDescent="0.2">
      <c r="A52" s="3">
        <v>2005</v>
      </c>
      <c r="B52" s="21">
        <v>296.186216</v>
      </c>
      <c r="C52" s="171">
        <v>686.8</v>
      </c>
      <c r="D52" s="172">
        <v>18.606375510000003</v>
      </c>
      <c r="E52" s="172">
        <f t="shared" si="4"/>
        <v>705.40637550999998</v>
      </c>
      <c r="F52" s="171">
        <v>186.88844829000001</v>
      </c>
      <c r="G52" s="172">
        <f t="shared" si="5"/>
        <v>518.51792721999993</v>
      </c>
      <c r="H52" s="183">
        <f t="shared" si="6"/>
        <v>1.7506484070143222</v>
      </c>
      <c r="I52" s="144">
        <f t="shared" si="7"/>
        <v>1.6105965344531765</v>
      </c>
    </row>
    <row r="53" spans="1:9" ht="12" customHeight="1" x14ac:dyDescent="0.2">
      <c r="A53" s="2">
        <v>2006</v>
      </c>
      <c r="B53" s="20">
        <v>298.99582500000002</v>
      </c>
      <c r="C53" s="168">
        <v>667.8</v>
      </c>
      <c r="D53" s="169">
        <v>19.66146475</v>
      </c>
      <c r="E53" s="170">
        <f t="shared" si="4"/>
        <v>687.46146475</v>
      </c>
      <c r="F53" s="169">
        <v>179.95156296000002</v>
      </c>
      <c r="G53" s="170">
        <f t="shared" si="5"/>
        <v>507.50990178999996</v>
      </c>
      <c r="H53" s="184">
        <f t="shared" si="6"/>
        <v>1.6973812319620178</v>
      </c>
      <c r="I53" s="185">
        <f t="shared" si="7"/>
        <v>1.5615907334050565</v>
      </c>
    </row>
    <row r="54" spans="1:9" ht="12" customHeight="1" x14ac:dyDescent="0.2">
      <c r="A54" s="2">
        <v>2007</v>
      </c>
      <c r="B54" s="20">
        <v>302.003917</v>
      </c>
      <c r="C54" s="168">
        <v>661.6</v>
      </c>
      <c r="D54" s="169">
        <v>27.856958819999999</v>
      </c>
      <c r="E54" s="170">
        <f t="shared" si="4"/>
        <v>689.45695882000007</v>
      </c>
      <c r="F54" s="169">
        <v>182.0272678</v>
      </c>
      <c r="G54" s="170">
        <f t="shared" si="5"/>
        <v>507.42969102000006</v>
      </c>
      <c r="H54" s="184">
        <f t="shared" si="6"/>
        <v>1.6802089723227003</v>
      </c>
      <c r="I54" s="185">
        <f t="shared" ref="I54:I59" si="8">H54*0.92</f>
        <v>1.5457922545368843</v>
      </c>
    </row>
    <row r="55" spans="1:9" ht="12" customHeight="1" x14ac:dyDescent="0.2">
      <c r="A55" s="2">
        <v>2008</v>
      </c>
      <c r="B55" s="20">
        <v>304.79776099999998</v>
      </c>
      <c r="C55" s="168">
        <v>648.4</v>
      </c>
      <c r="D55" s="169">
        <v>24.0798892</v>
      </c>
      <c r="E55" s="170">
        <f t="shared" si="4"/>
        <v>672.4798892</v>
      </c>
      <c r="F55" s="169">
        <v>193.25940766814</v>
      </c>
      <c r="G55" s="170">
        <f t="shared" si="5"/>
        <v>479.22048153186</v>
      </c>
      <c r="H55" s="184">
        <f t="shared" si="6"/>
        <v>1.5722572238050661</v>
      </c>
      <c r="I55" s="185">
        <f t="shared" si="8"/>
        <v>1.4464766459006608</v>
      </c>
    </row>
    <row r="56" spans="1:9" ht="12" customHeight="1" x14ac:dyDescent="0.2">
      <c r="A56" s="2">
        <v>2009</v>
      </c>
      <c r="B56" s="20">
        <v>307.43940600000002</v>
      </c>
      <c r="C56" s="168">
        <v>700</v>
      </c>
      <c r="D56" s="169">
        <v>29.043407999999999</v>
      </c>
      <c r="E56" s="170">
        <f t="shared" si="4"/>
        <v>729.043408</v>
      </c>
      <c r="F56" s="169">
        <v>196.26247930278001</v>
      </c>
      <c r="G56" s="170">
        <f t="shared" si="5"/>
        <v>532.78092869722002</v>
      </c>
      <c r="H56" s="184">
        <f t="shared" si="6"/>
        <v>1.7329623929120523</v>
      </c>
      <c r="I56" s="185">
        <f t="shared" si="8"/>
        <v>1.5943254014790882</v>
      </c>
    </row>
    <row r="57" spans="1:9" ht="12" customHeight="1" x14ac:dyDescent="0.2">
      <c r="A57" s="2">
        <v>2010</v>
      </c>
      <c r="B57" s="20">
        <v>309.74127900000002</v>
      </c>
      <c r="C57" s="168">
        <v>616.6</v>
      </c>
      <c r="D57" s="169">
        <v>30.750674690560004</v>
      </c>
      <c r="E57" s="170">
        <f t="shared" si="4"/>
        <v>647.35067469056003</v>
      </c>
      <c r="F57" s="169">
        <v>234.08048228114004</v>
      </c>
      <c r="G57" s="170">
        <f t="shared" si="5"/>
        <v>413.27019240942002</v>
      </c>
      <c r="H57" s="184">
        <f t="shared" si="6"/>
        <v>1.334243190780587</v>
      </c>
      <c r="I57" s="185">
        <f t="shared" si="8"/>
        <v>1.22750373551814</v>
      </c>
    </row>
    <row r="58" spans="1:9" ht="12" customHeight="1" x14ac:dyDescent="0.2">
      <c r="A58" s="33">
        <v>2011</v>
      </c>
      <c r="B58" s="31">
        <v>311.97391399999998</v>
      </c>
      <c r="C58" s="171">
        <v>639.9</v>
      </c>
      <c r="D58" s="172">
        <v>34.238883979300013</v>
      </c>
      <c r="E58" s="172">
        <f t="shared" si="4"/>
        <v>674.13888397929998</v>
      </c>
      <c r="F58" s="171">
        <v>285.03196216373993</v>
      </c>
      <c r="G58" s="172">
        <f t="shared" si="5"/>
        <v>389.10692181556004</v>
      </c>
      <c r="H58" s="183">
        <f t="shared" si="6"/>
        <v>1.2472418505335676</v>
      </c>
      <c r="I58" s="144">
        <f t="shared" si="8"/>
        <v>1.1474625024908822</v>
      </c>
    </row>
    <row r="59" spans="1:9" s="43" customFormat="1" ht="12" customHeight="1" x14ac:dyDescent="0.2">
      <c r="A59" s="33">
        <v>2012</v>
      </c>
      <c r="B59" s="31">
        <v>314.16755799999999</v>
      </c>
      <c r="C59" s="171">
        <v>654.20000000000005</v>
      </c>
      <c r="D59" s="172">
        <v>44.056413987740008</v>
      </c>
      <c r="E59" s="172">
        <f t="shared" si="4"/>
        <v>698.25641398774007</v>
      </c>
      <c r="F59" s="171">
        <v>328.81478060486</v>
      </c>
      <c r="G59" s="172">
        <f t="shared" si="5"/>
        <v>369.44163338288007</v>
      </c>
      <c r="H59" s="183">
        <f t="shared" si="6"/>
        <v>1.1759382023234879</v>
      </c>
      <c r="I59" s="144">
        <f t="shared" si="8"/>
        <v>1.0818631461376089</v>
      </c>
    </row>
    <row r="60" spans="1:9" s="93" customFormat="1" ht="12" customHeight="1" x14ac:dyDescent="0.2">
      <c r="A60" s="33">
        <v>2013</v>
      </c>
      <c r="B60" s="31">
        <v>316.29476599999998</v>
      </c>
      <c r="C60" s="171">
        <v>657.2</v>
      </c>
      <c r="D60" s="172">
        <v>43.892489467639997</v>
      </c>
      <c r="E60" s="172">
        <f t="shared" si="4"/>
        <v>701.09248946764001</v>
      </c>
      <c r="F60" s="171">
        <v>280.13474275446004</v>
      </c>
      <c r="G60" s="172">
        <f t="shared" ref="G60" si="9">E60-SUM(F60)</f>
        <v>420.95774671317997</v>
      </c>
      <c r="H60" s="183">
        <f t="shared" ref="H60" si="10">IF(G60=0,0,IF(B60=0,0,G60/B60))</f>
        <v>1.3309032964307099</v>
      </c>
      <c r="I60" s="144">
        <f t="shared" ref="I60" si="11">H60*0.92</f>
        <v>1.2244310327162531</v>
      </c>
    </row>
    <row r="61" spans="1:9" s="93" customFormat="1" ht="12" customHeight="1" x14ac:dyDescent="0.2">
      <c r="A61" s="33">
        <v>2014</v>
      </c>
      <c r="B61" s="31">
        <v>318.576955</v>
      </c>
      <c r="C61" s="171">
        <v>628.6</v>
      </c>
      <c r="D61" s="172">
        <v>52.864754940360001</v>
      </c>
      <c r="E61" s="172">
        <f t="shared" si="4"/>
        <v>681.46475494036008</v>
      </c>
      <c r="F61" s="171">
        <v>269.90277284608004</v>
      </c>
      <c r="G61" s="172">
        <f t="shared" ref="G61" si="12">E61-SUM(F61)</f>
        <v>411.56198209428004</v>
      </c>
      <c r="H61" s="183">
        <f t="shared" ref="H61" si="13">IF(G61=0,0,IF(B61=0,0,G61/B61))</f>
        <v>1.2918761876366105</v>
      </c>
      <c r="I61" s="144">
        <f t="shared" ref="I61" si="14">H61*0.92</f>
        <v>1.1885260926256818</v>
      </c>
    </row>
    <row r="62" spans="1:9" s="93" customFormat="1" ht="12" customHeight="1" x14ac:dyDescent="0.2">
      <c r="A62" s="33">
        <v>2015</v>
      </c>
      <c r="B62" s="31">
        <v>320.87070299999999</v>
      </c>
      <c r="C62" s="171">
        <v>651.1</v>
      </c>
      <c r="D62" s="172">
        <v>77.33047688872</v>
      </c>
      <c r="E62" s="172">
        <f t="shared" si="4"/>
        <v>728.43047688872002</v>
      </c>
      <c r="F62" s="171">
        <v>221.80835041090003</v>
      </c>
      <c r="G62" s="172">
        <f t="shared" ref="G62" si="15">E62-SUM(F62)</f>
        <v>506.62212647781996</v>
      </c>
      <c r="H62" s="183">
        <f t="shared" ref="H62" si="16">IF(G62=0,0,IF(B62=0,0,G62/B62))</f>
        <v>1.578898047534804</v>
      </c>
      <c r="I62" s="144">
        <f t="shared" ref="I62" si="17">H62*0.92</f>
        <v>1.4525862037320199</v>
      </c>
    </row>
    <row r="63" spans="1:9" s="93" customFormat="1" ht="12" customHeight="1" x14ac:dyDescent="0.2">
      <c r="A63" s="128">
        <v>2016</v>
      </c>
      <c r="B63" s="129">
        <v>323.16101099999997</v>
      </c>
      <c r="C63" s="168">
        <v>728.31</v>
      </c>
      <c r="D63" s="169">
        <v>81.732858315899989</v>
      </c>
      <c r="E63" s="170">
        <f t="shared" si="4"/>
        <v>810.04285831589993</v>
      </c>
      <c r="F63" s="169">
        <v>274.08455999606002</v>
      </c>
      <c r="G63" s="170">
        <f t="shared" ref="G63:G64" si="18">E63-SUM(F63)</f>
        <v>535.95829831983997</v>
      </c>
      <c r="H63" s="184">
        <f t="shared" ref="H63:H64" si="19">IF(G63=0,0,IF(B63=0,0,G63/B63))</f>
        <v>1.6584868844832275</v>
      </c>
      <c r="I63" s="185">
        <f t="shared" ref="I63:I64" si="20">H63*0.92</f>
        <v>1.5258079337245694</v>
      </c>
    </row>
    <row r="64" spans="1:9" s="93" customFormat="1" ht="12" customHeight="1" x14ac:dyDescent="0.2">
      <c r="A64" s="125">
        <v>2017</v>
      </c>
      <c r="B64" s="126">
        <v>325.20603</v>
      </c>
      <c r="C64" s="168">
        <v>868.95</v>
      </c>
      <c r="D64" s="169">
        <v>151.03303771930001</v>
      </c>
      <c r="E64" s="170">
        <f t="shared" si="4"/>
        <v>1019.9830377193</v>
      </c>
      <c r="F64" s="169">
        <v>248.94686546246001</v>
      </c>
      <c r="G64" s="170">
        <f t="shared" si="18"/>
        <v>771.03617225684002</v>
      </c>
      <c r="H64" s="184">
        <f t="shared" si="19"/>
        <v>2.370915976732781</v>
      </c>
      <c r="I64" s="185">
        <f t="shared" si="20"/>
        <v>2.1812426985941586</v>
      </c>
    </row>
    <row r="65" spans="1:10" s="93" customFormat="1" ht="12" customHeight="1" x14ac:dyDescent="0.2">
      <c r="A65" s="125">
        <v>2018</v>
      </c>
      <c r="B65" s="126">
        <v>326.92397599999998</v>
      </c>
      <c r="C65" s="168">
        <v>930.91</v>
      </c>
      <c r="D65" s="169">
        <v>172.56942154891999</v>
      </c>
      <c r="E65" s="170">
        <f t="shared" si="4"/>
        <v>1103.4794215489201</v>
      </c>
      <c r="F65" s="169">
        <v>284.34980423410002</v>
      </c>
      <c r="G65" s="170">
        <f t="shared" ref="G65:G67" si="21">E65-SUM(F65)</f>
        <v>819.12961731482005</v>
      </c>
      <c r="H65" s="184">
        <f t="shared" ref="H65:H67" si="22">IF(G65=0,0,IF(B65=0,0,G65/B65))</f>
        <v>2.5055660564791982</v>
      </c>
      <c r="I65" s="185">
        <f t="shared" ref="I65:I67" si="23">H65*0.92</f>
        <v>2.3051207719608624</v>
      </c>
    </row>
    <row r="66" spans="1:10" s="93" customFormat="1" ht="12" customHeight="1" x14ac:dyDescent="0.2">
      <c r="A66" s="128">
        <v>2019</v>
      </c>
      <c r="B66" s="129">
        <v>328.475998</v>
      </c>
      <c r="C66" s="168">
        <v>1005.82</v>
      </c>
      <c r="D66" s="169">
        <v>231.23233370314003</v>
      </c>
      <c r="E66" s="170">
        <f t="shared" si="4"/>
        <v>1237.05233370314</v>
      </c>
      <c r="F66" s="169">
        <v>242.59899947932001</v>
      </c>
      <c r="G66" s="170">
        <f t="shared" si="21"/>
        <v>994.45333422381998</v>
      </c>
      <c r="H66" s="184">
        <f t="shared" si="22"/>
        <v>3.0274764070397007</v>
      </c>
      <c r="I66" s="185">
        <f t="shared" si="23"/>
        <v>2.7852782944765249</v>
      </c>
    </row>
    <row r="67" spans="1:10" s="93" customFormat="1" ht="12" customHeight="1" thickBot="1" x14ac:dyDescent="0.25">
      <c r="A67" s="148">
        <v>2020</v>
      </c>
      <c r="B67" s="149">
        <v>330.11398000000003</v>
      </c>
      <c r="C67" s="168">
        <v>879.73</v>
      </c>
      <c r="D67" s="169">
        <v>218.19597692376004</v>
      </c>
      <c r="E67" s="170">
        <f t="shared" si="4"/>
        <v>1097.9259769237601</v>
      </c>
      <c r="F67" s="169">
        <v>237.68328330823999</v>
      </c>
      <c r="G67" s="170">
        <f t="shared" si="21"/>
        <v>860.24269361552012</v>
      </c>
      <c r="H67" s="184">
        <f t="shared" si="22"/>
        <v>2.605895980580768</v>
      </c>
      <c r="I67" s="185">
        <f t="shared" si="23"/>
        <v>2.3974243021343065</v>
      </c>
    </row>
    <row r="68" spans="1:10" ht="12" customHeight="1" thickTop="1" x14ac:dyDescent="0.2">
      <c r="A68" s="254" t="s">
        <v>8</v>
      </c>
      <c r="B68" s="255"/>
      <c r="C68" s="255"/>
      <c r="D68" s="255"/>
      <c r="E68" s="255"/>
      <c r="F68" s="255"/>
      <c r="G68" s="255"/>
      <c r="H68" s="255"/>
      <c r="I68" s="256"/>
      <c r="J68" s="44"/>
    </row>
    <row r="69" spans="1:10" ht="12" customHeight="1" x14ac:dyDescent="0.2">
      <c r="A69" s="248"/>
      <c r="B69" s="249"/>
      <c r="C69" s="249"/>
      <c r="D69" s="249"/>
      <c r="E69" s="249"/>
      <c r="F69" s="249"/>
      <c r="G69" s="249"/>
      <c r="H69" s="249"/>
      <c r="I69" s="250"/>
      <c r="J69" s="44"/>
    </row>
    <row r="70" spans="1:10" ht="12" customHeight="1" x14ac:dyDescent="0.2">
      <c r="A70" s="251" t="s">
        <v>228</v>
      </c>
      <c r="B70" s="252"/>
      <c r="C70" s="252"/>
      <c r="D70" s="252"/>
      <c r="E70" s="252"/>
      <c r="F70" s="252"/>
      <c r="G70" s="252"/>
      <c r="H70" s="252"/>
      <c r="I70" s="253"/>
      <c r="J70" s="44"/>
    </row>
    <row r="71" spans="1:10" ht="12" customHeight="1" x14ac:dyDescent="0.2">
      <c r="A71" s="251"/>
      <c r="B71" s="252"/>
      <c r="C71" s="252"/>
      <c r="D71" s="252"/>
      <c r="E71" s="252"/>
      <c r="F71" s="252"/>
      <c r="G71" s="252"/>
      <c r="H71" s="252"/>
      <c r="I71" s="253"/>
      <c r="J71" s="43"/>
    </row>
    <row r="72" spans="1:10" ht="12" customHeight="1" x14ac:dyDescent="0.2">
      <c r="A72" s="251"/>
      <c r="B72" s="252"/>
      <c r="C72" s="252"/>
      <c r="D72" s="252"/>
      <c r="E72" s="252"/>
      <c r="F72" s="252"/>
      <c r="G72" s="252"/>
      <c r="H72" s="252"/>
      <c r="I72" s="253"/>
      <c r="J72" s="43"/>
    </row>
    <row r="73" spans="1:10" ht="12" customHeight="1" x14ac:dyDescent="0.2">
      <c r="A73" s="248"/>
      <c r="B73" s="249"/>
      <c r="C73" s="249"/>
      <c r="D73" s="249"/>
      <c r="E73" s="249"/>
      <c r="F73" s="249"/>
      <c r="G73" s="249"/>
      <c r="H73" s="249"/>
      <c r="I73" s="250"/>
      <c r="J73" s="43"/>
    </row>
    <row r="74" spans="1:10" ht="12" customHeight="1" x14ac:dyDescent="0.2">
      <c r="A74" s="223" t="s">
        <v>198</v>
      </c>
      <c r="B74" s="224"/>
      <c r="C74" s="224"/>
      <c r="D74" s="224"/>
      <c r="E74" s="224"/>
      <c r="F74" s="224"/>
      <c r="G74" s="224"/>
      <c r="H74" s="224"/>
      <c r="I74" s="225"/>
      <c r="J74" s="43"/>
    </row>
    <row r="75" spans="1:10" ht="12" customHeight="1" x14ac:dyDescent="0.2">
      <c r="A75" s="223"/>
      <c r="B75" s="224"/>
      <c r="C75" s="224"/>
      <c r="D75" s="224"/>
      <c r="E75" s="224"/>
      <c r="F75" s="224"/>
      <c r="G75" s="224"/>
      <c r="H75" s="224"/>
      <c r="I75" s="225"/>
      <c r="J75" s="43"/>
    </row>
  </sheetData>
  <mergeCells count="20">
    <mergeCell ref="A74:I75"/>
    <mergeCell ref="H6:I6"/>
    <mergeCell ref="A70:I72"/>
    <mergeCell ref="A68:I68"/>
    <mergeCell ref="A69:I69"/>
    <mergeCell ref="A73:I73"/>
    <mergeCell ref="C6:G6"/>
    <mergeCell ref="H1:I1"/>
    <mergeCell ref="G3:G5"/>
    <mergeCell ref="C3:C5"/>
    <mergeCell ref="D3:D5"/>
    <mergeCell ref="F3:F5"/>
    <mergeCell ref="A1:G1"/>
    <mergeCell ref="A2:A5"/>
    <mergeCell ref="B2:B5"/>
    <mergeCell ref="E3:E5"/>
    <mergeCell ref="C2:E2"/>
    <mergeCell ref="H4:H5"/>
    <mergeCell ref="H3:I3"/>
    <mergeCell ref="G2:I2"/>
  </mergeCells>
  <phoneticPr fontId="7" type="noConversion"/>
  <printOptions horizontalCentered="1"/>
  <pageMargins left="0.45" right="0.45" top="0.75" bottom="0.75" header="0" footer="0"/>
  <pageSetup scale="66" fitToWidth="2"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pageSetUpPr autoPageBreaks="0" fitToPage="1"/>
  </sheetPr>
  <dimension ref="A1:J75"/>
  <sheetViews>
    <sheetView showOutlineSymbols="0" zoomScaleNormal="100" workbookViewId="0">
      <pane ySplit="6" topLeftCell="A7" activePane="bottomLeft" state="frozen"/>
      <selection sqref="A1:G1"/>
      <selection pane="bottomLeft" sqref="A1:G1"/>
    </sheetView>
  </sheetViews>
  <sheetFormatPr defaultColWidth="12.7109375" defaultRowHeight="12" customHeight="1" x14ac:dyDescent="0.2"/>
  <cols>
    <col min="1" max="1" width="12.7109375" style="13" customWidth="1"/>
    <col min="2" max="16384" width="12.7109375" style="13"/>
  </cols>
  <sheetData>
    <row r="1" spans="1:10" s="1" customFormat="1" ht="12" customHeight="1" thickBot="1" x14ac:dyDescent="0.25">
      <c r="A1" s="201" t="s">
        <v>156</v>
      </c>
      <c r="B1" s="201"/>
      <c r="C1" s="201"/>
      <c r="D1" s="201"/>
      <c r="E1" s="201"/>
      <c r="F1" s="201"/>
      <c r="G1" s="201"/>
      <c r="H1" s="200" t="s">
        <v>19</v>
      </c>
      <c r="I1" s="200"/>
    </row>
    <row r="2" spans="1:10" ht="12" customHeight="1" thickTop="1" x14ac:dyDescent="0.2">
      <c r="A2" s="196" t="s">
        <v>1</v>
      </c>
      <c r="B2" s="199" t="s">
        <v>85</v>
      </c>
      <c r="C2" s="269" t="s">
        <v>2</v>
      </c>
      <c r="D2" s="269"/>
      <c r="E2" s="269"/>
      <c r="F2" s="118" t="s">
        <v>146</v>
      </c>
      <c r="G2" s="244" t="s">
        <v>147</v>
      </c>
      <c r="H2" s="245"/>
      <c r="I2" s="245"/>
    </row>
    <row r="3" spans="1:10" ht="12" customHeight="1" x14ac:dyDescent="0.2">
      <c r="A3" s="217"/>
      <c r="B3" s="259"/>
      <c r="C3" s="217" t="s">
        <v>86</v>
      </c>
      <c r="D3" s="217" t="s">
        <v>87</v>
      </c>
      <c r="E3" s="217" t="s">
        <v>88</v>
      </c>
      <c r="F3" s="217" t="s">
        <v>95</v>
      </c>
      <c r="G3" s="217" t="s">
        <v>137</v>
      </c>
      <c r="H3" s="226" t="s">
        <v>28</v>
      </c>
      <c r="I3" s="227"/>
    </row>
    <row r="4" spans="1:10" ht="12" customHeight="1" x14ac:dyDescent="0.2">
      <c r="A4" s="217"/>
      <c r="B4" s="259"/>
      <c r="C4" s="217"/>
      <c r="D4" s="217"/>
      <c r="E4" s="217"/>
      <c r="F4" s="217"/>
      <c r="G4" s="217"/>
      <c r="H4" s="217" t="s">
        <v>4</v>
      </c>
      <c r="I4" s="14" t="s">
        <v>139</v>
      </c>
      <c r="J4" s="4"/>
    </row>
    <row r="5" spans="1:10" ht="12" customHeight="1" x14ac:dyDescent="0.2">
      <c r="A5" s="217"/>
      <c r="B5" s="259"/>
      <c r="C5" s="217"/>
      <c r="D5" s="217"/>
      <c r="E5" s="217"/>
      <c r="F5" s="217"/>
      <c r="G5" s="217"/>
      <c r="H5" s="217"/>
      <c r="I5" s="14" t="s">
        <v>188</v>
      </c>
    </row>
    <row r="6" spans="1:10" ht="12" customHeight="1" x14ac:dyDescent="0.2">
      <c r="B6" s="167" t="s">
        <v>121</v>
      </c>
      <c r="C6" s="273" t="s">
        <v>122</v>
      </c>
      <c r="D6" s="274"/>
      <c r="E6" s="274"/>
      <c r="F6" s="274"/>
      <c r="G6" s="274"/>
      <c r="H6" s="273" t="s">
        <v>118</v>
      </c>
      <c r="I6" s="274"/>
    </row>
    <row r="7" spans="1:10" ht="12" customHeight="1" x14ac:dyDescent="0.2">
      <c r="A7" s="2">
        <v>1960</v>
      </c>
      <c r="B7" s="20">
        <v>180.67099999999999</v>
      </c>
      <c r="C7" s="168">
        <v>1535.4</v>
      </c>
      <c r="D7" s="170" t="s">
        <v>3</v>
      </c>
      <c r="E7" s="170">
        <f t="shared" ref="E7:E38" si="0">SUM(C7,D7)</f>
        <v>1535.4</v>
      </c>
      <c r="F7" s="169">
        <v>92.3</v>
      </c>
      <c r="G7" s="170">
        <f t="shared" ref="G7:G38" si="1">E7-SUM(F7)</f>
        <v>1443.1000000000001</v>
      </c>
      <c r="H7" s="176">
        <f t="shared" ref="H7:H38" si="2">IF(G7=0,0,IF(B7=0,0,G7/B7))</f>
        <v>7.9874467955565649</v>
      </c>
      <c r="I7" s="177">
        <f t="shared" ref="I7:I47" si="3">H7*0.93</f>
        <v>7.4283255198676059</v>
      </c>
    </row>
    <row r="8" spans="1:10" ht="12" customHeight="1" x14ac:dyDescent="0.2">
      <c r="A8" s="3">
        <v>1961</v>
      </c>
      <c r="B8" s="21">
        <v>183.691</v>
      </c>
      <c r="C8" s="171">
        <v>1520.7</v>
      </c>
      <c r="D8" s="172">
        <v>0.1</v>
      </c>
      <c r="E8" s="172">
        <f t="shared" si="0"/>
        <v>1520.8</v>
      </c>
      <c r="F8" s="171">
        <v>91.6</v>
      </c>
      <c r="G8" s="172">
        <f t="shared" si="1"/>
        <v>1429.2</v>
      </c>
      <c r="H8" s="180">
        <f t="shared" si="2"/>
        <v>7.7804573985660701</v>
      </c>
      <c r="I8" s="182">
        <f t="shared" si="3"/>
        <v>7.2358253806664452</v>
      </c>
    </row>
    <row r="9" spans="1:10" ht="12" customHeight="1" x14ac:dyDescent="0.2">
      <c r="A9" s="3">
        <v>1962</v>
      </c>
      <c r="B9" s="21">
        <v>186.53800000000001</v>
      </c>
      <c r="C9" s="171">
        <v>1428.9</v>
      </c>
      <c r="D9" s="172" t="s">
        <v>3</v>
      </c>
      <c r="E9" s="172">
        <f t="shared" si="0"/>
        <v>1428.9</v>
      </c>
      <c r="F9" s="171">
        <v>82.2</v>
      </c>
      <c r="G9" s="172">
        <f t="shared" si="1"/>
        <v>1346.7</v>
      </c>
      <c r="H9" s="180">
        <f t="shared" si="2"/>
        <v>7.2194405429456729</v>
      </c>
      <c r="I9" s="182">
        <f t="shared" si="3"/>
        <v>6.7140797049394765</v>
      </c>
    </row>
    <row r="10" spans="1:10" ht="12" customHeight="1" x14ac:dyDescent="0.2">
      <c r="A10" s="3">
        <v>1963</v>
      </c>
      <c r="B10" s="21">
        <v>189.24199999999999</v>
      </c>
      <c r="C10" s="171">
        <v>1446.2</v>
      </c>
      <c r="D10" s="172" t="s">
        <v>3</v>
      </c>
      <c r="E10" s="172">
        <f t="shared" si="0"/>
        <v>1446.2</v>
      </c>
      <c r="F10" s="171">
        <v>100.2</v>
      </c>
      <c r="G10" s="172">
        <f t="shared" si="1"/>
        <v>1346</v>
      </c>
      <c r="H10" s="180">
        <f t="shared" si="2"/>
        <v>7.1125860009934376</v>
      </c>
      <c r="I10" s="182">
        <f t="shared" si="3"/>
        <v>6.6147049809238974</v>
      </c>
    </row>
    <row r="11" spans="1:10" ht="12" customHeight="1" x14ac:dyDescent="0.2">
      <c r="A11" s="3">
        <v>1964</v>
      </c>
      <c r="B11" s="21">
        <v>191.88900000000001</v>
      </c>
      <c r="C11" s="171">
        <v>1403.5</v>
      </c>
      <c r="D11" s="172">
        <v>0.1</v>
      </c>
      <c r="E11" s="172">
        <f t="shared" si="0"/>
        <v>1403.6</v>
      </c>
      <c r="F11" s="171">
        <v>86.9</v>
      </c>
      <c r="G11" s="172">
        <f t="shared" si="1"/>
        <v>1316.6999999999998</v>
      </c>
      <c r="H11" s="180">
        <f t="shared" si="2"/>
        <v>6.8617794662539264</v>
      </c>
      <c r="I11" s="182">
        <f t="shared" si="3"/>
        <v>6.3814549036161523</v>
      </c>
    </row>
    <row r="12" spans="1:10" ht="12" customHeight="1" x14ac:dyDescent="0.2">
      <c r="A12" s="3">
        <v>1965</v>
      </c>
      <c r="B12" s="21">
        <v>194.303</v>
      </c>
      <c r="C12" s="171">
        <v>1417.2</v>
      </c>
      <c r="D12" s="172">
        <v>0.3</v>
      </c>
      <c r="E12" s="172">
        <f t="shared" si="0"/>
        <v>1417.5</v>
      </c>
      <c r="F12" s="171">
        <v>102.9</v>
      </c>
      <c r="G12" s="172">
        <f t="shared" si="1"/>
        <v>1314.6</v>
      </c>
      <c r="H12" s="180">
        <f t="shared" si="2"/>
        <v>6.7657215791830279</v>
      </c>
      <c r="I12" s="182">
        <f t="shared" si="3"/>
        <v>6.292121068640216</v>
      </c>
    </row>
    <row r="13" spans="1:10" ht="12" customHeight="1" x14ac:dyDescent="0.2">
      <c r="A13" s="2">
        <v>1966</v>
      </c>
      <c r="B13" s="20">
        <v>196.56</v>
      </c>
      <c r="C13" s="168">
        <v>1490</v>
      </c>
      <c r="D13" s="170">
        <v>0.1</v>
      </c>
      <c r="E13" s="170">
        <f t="shared" si="0"/>
        <v>1490.1</v>
      </c>
      <c r="F13" s="169">
        <v>120.3</v>
      </c>
      <c r="G13" s="170">
        <f t="shared" si="1"/>
        <v>1369.8</v>
      </c>
      <c r="H13" s="181">
        <f t="shared" si="2"/>
        <v>6.968864468864469</v>
      </c>
      <c r="I13" s="181">
        <f t="shared" si="3"/>
        <v>6.4810439560439566</v>
      </c>
    </row>
    <row r="14" spans="1:10" ht="12" customHeight="1" x14ac:dyDescent="0.2">
      <c r="A14" s="2">
        <v>1967</v>
      </c>
      <c r="B14" s="20">
        <v>198.71199999999999</v>
      </c>
      <c r="C14" s="168">
        <v>1485.9</v>
      </c>
      <c r="D14" s="170" t="s">
        <v>3</v>
      </c>
      <c r="E14" s="170">
        <f t="shared" si="0"/>
        <v>1485.9</v>
      </c>
      <c r="F14" s="169">
        <v>122.6</v>
      </c>
      <c r="G14" s="170">
        <f t="shared" si="1"/>
        <v>1363.3000000000002</v>
      </c>
      <c r="H14" s="181">
        <f t="shared" si="2"/>
        <v>6.8606827972140598</v>
      </c>
      <c r="I14" s="181">
        <f t="shared" si="3"/>
        <v>6.3804350014090758</v>
      </c>
    </row>
    <row r="15" spans="1:10" ht="12" customHeight="1" x14ac:dyDescent="0.2">
      <c r="A15" s="2">
        <v>1968</v>
      </c>
      <c r="B15" s="20">
        <v>200.70599999999999</v>
      </c>
      <c r="C15" s="168">
        <v>1576.6</v>
      </c>
      <c r="D15" s="170" t="s">
        <v>3</v>
      </c>
      <c r="E15" s="170">
        <f t="shared" si="0"/>
        <v>1576.6</v>
      </c>
      <c r="F15" s="169">
        <v>131.4</v>
      </c>
      <c r="G15" s="170">
        <f t="shared" si="1"/>
        <v>1445.1999999999998</v>
      </c>
      <c r="H15" s="181">
        <f t="shared" si="2"/>
        <v>7.2005819457315674</v>
      </c>
      <c r="I15" s="181">
        <f t="shared" si="3"/>
        <v>6.6965412095303583</v>
      </c>
    </row>
    <row r="16" spans="1:10" ht="12" customHeight="1" x14ac:dyDescent="0.2">
      <c r="A16" s="2">
        <v>1969</v>
      </c>
      <c r="B16" s="20">
        <v>202.67699999999999</v>
      </c>
      <c r="C16" s="168">
        <v>1609</v>
      </c>
      <c r="D16" s="170">
        <v>0.2</v>
      </c>
      <c r="E16" s="170">
        <f t="shared" si="0"/>
        <v>1609.2</v>
      </c>
      <c r="F16" s="169">
        <v>123.1</v>
      </c>
      <c r="G16" s="170">
        <f t="shared" si="1"/>
        <v>1486.1000000000001</v>
      </c>
      <c r="H16" s="181">
        <f t="shared" si="2"/>
        <v>7.3323564094593872</v>
      </c>
      <c r="I16" s="181">
        <f t="shared" si="3"/>
        <v>6.8190914607972308</v>
      </c>
    </row>
    <row r="17" spans="1:9" ht="12" customHeight="1" x14ac:dyDescent="0.2">
      <c r="A17" s="2">
        <v>1970</v>
      </c>
      <c r="B17" s="20">
        <v>205.05199999999999</v>
      </c>
      <c r="C17" s="168">
        <v>1581.1</v>
      </c>
      <c r="D17" s="170">
        <v>1.7</v>
      </c>
      <c r="E17" s="170">
        <f t="shared" si="0"/>
        <v>1582.8</v>
      </c>
      <c r="F17" s="169">
        <v>92.762</v>
      </c>
      <c r="G17" s="170">
        <f t="shared" si="1"/>
        <v>1490.038</v>
      </c>
      <c r="H17" s="181">
        <f t="shared" si="2"/>
        <v>7.2666348048299945</v>
      </c>
      <c r="I17" s="181">
        <f t="shared" si="3"/>
        <v>6.757970368491895</v>
      </c>
    </row>
    <row r="18" spans="1:9" ht="12" customHeight="1" x14ac:dyDescent="0.2">
      <c r="A18" s="3">
        <v>1971</v>
      </c>
      <c r="B18" s="21">
        <v>207.661</v>
      </c>
      <c r="C18" s="171">
        <v>1618.4</v>
      </c>
      <c r="D18" s="172">
        <v>0.7</v>
      </c>
      <c r="E18" s="172">
        <f t="shared" si="0"/>
        <v>1619.1000000000001</v>
      </c>
      <c r="F18" s="171">
        <v>108.95780000000001</v>
      </c>
      <c r="G18" s="172">
        <f t="shared" si="1"/>
        <v>1510.1422000000002</v>
      </c>
      <c r="H18" s="180">
        <f t="shared" si="2"/>
        <v>7.2721512465027143</v>
      </c>
      <c r="I18" s="182">
        <f t="shared" si="3"/>
        <v>6.7631006592475247</v>
      </c>
    </row>
    <row r="19" spans="1:9" ht="12" customHeight="1" x14ac:dyDescent="0.2">
      <c r="A19" s="3">
        <v>1972</v>
      </c>
      <c r="B19" s="21">
        <v>209.89599999999999</v>
      </c>
      <c r="C19" s="171">
        <v>1612.5</v>
      </c>
      <c r="D19" s="172">
        <v>2</v>
      </c>
      <c r="E19" s="172">
        <f t="shared" si="0"/>
        <v>1614.5</v>
      </c>
      <c r="F19" s="171">
        <v>117.435</v>
      </c>
      <c r="G19" s="172">
        <f t="shared" si="1"/>
        <v>1497.0650000000001</v>
      </c>
      <c r="H19" s="180">
        <f t="shared" si="2"/>
        <v>7.1324131951061487</v>
      </c>
      <c r="I19" s="182">
        <f t="shared" si="3"/>
        <v>6.6331442714487183</v>
      </c>
    </row>
    <row r="20" spans="1:9" ht="12" customHeight="1" x14ac:dyDescent="0.2">
      <c r="A20" s="3">
        <v>1973</v>
      </c>
      <c r="B20" s="21">
        <v>211.90899999999999</v>
      </c>
      <c r="C20" s="171">
        <v>1713.4</v>
      </c>
      <c r="D20" s="172">
        <v>0.9</v>
      </c>
      <c r="E20" s="172">
        <f t="shared" si="0"/>
        <v>1714.3000000000002</v>
      </c>
      <c r="F20" s="171">
        <v>111.2328</v>
      </c>
      <c r="G20" s="172">
        <f t="shared" si="1"/>
        <v>1603.0672000000002</v>
      </c>
      <c r="H20" s="180">
        <f t="shared" si="2"/>
        <v>7.5648849270205618</v>
      </c>
      <c r="I20" s="182">
        <f t="shared" si="3"/>
        <v>7.0353429821291229</v>
      </c>
    </row>
    <row r="21" spans="1:9" ht="12" customHeight="1" x14ac:dyDescent="0.2">
      <c r="A21" s="3">
        <v>1974</v>
      </c>
      <c r="B21" s="21">
        <v>213.85400000000001</v>
      </c>
      <c r="C21" s="171">
        <v>1675.6</v>
      </c>
      <c r="D21" s="172">
        <v>0.7</v>
      </c>
      <c r="E21" s="172">
        <f t="shared" si="0"/>
        <v>1676.3</v>
      </c>
      <c r="F21" s="171">
        <v>104.0887</v>
      </c>
      <c r="G21" s="172">
        <f t="shared" si="1"/>
        <v>1572.2112999999999</v>
      </c>
      <c r="H21" s="180">
        <f t="shared" si="2"/>
        <v>7.3517974880058352</v>
      </c>
      <c r="I21" s="182">
        <f t="shared" si="3"/>
        <v>6.8371716638454272</v>
      </c>
    </row>
    <row r="22" spans="1:9" ht="12" customHeight="1" x14ac:dyDescent="0.2">
      <c r="A22" s="3">
        <v>1975</v>
      </c>
      <c r="B22" s="21">
        <v>215.97300000000001</v>
      </c>
      <c r="C22" s="171">
        <v>1615.4</v>
      </c>
      <c r="D22" s="172">
        <v>1.2</v>
      </c>
      <c r="E22" s="172">
        <f t="shared" si="0"/>
        <v>1616.6000000000001</v>
      </c>
      <c r="F22" s="171">
        <v>116.84820000000001</v>
      </c>
      <c r="G22" s="172">
        <f t="shared" si="1"/>
        <v>1499.7518000000002</v>
      </c>
      <c r="H22" s="180">
        <f t="shared" si="2"/>
        <v>6.9441633907942206</v>
      </c>
      <c r="I22" s="182">
        <f t="shared" si="3"/>
        <v>6.4580719534386253</v>
      </c>
    </row>
    <row r="23" spans="1:9" ht="12" customHeight="1" x14ac:dyDescent="0.2">
      <c r="A23" s="2">
        <v>1976</v>
      </c>
      <c r="B23" s="20">
        <v>218.035</v>
      </c>
      <c r="C23" s="168">
        <v>1725.4</v>
      </c>
      <c r="D23" s="170">
        <v>1.2</v>
      </c>
      <c r="E23" s="170">
        <f t="shared" si="0"/>
        <v>1726.6000000000001</v>
      </c>
      <c r="F23" s="169">
        <v>122.04640000000001</v>
      </c>
      <c r="G23" s="170">
        <f t="shared" si="1"/>
        <v>1604.5536000000002</v>
      </c>
      <c r="H23" s="181">
        <f t="shared" si="2"/>
        <v>7.3591560987914795</v>
      </c>
      <c r="I23" s="181">
        <f t="shared" si="3"/>
        <v>6.8440151718760767</v>
      </c>
    </row>
    <row r="24" spans="1:9" ht="12" customHeight="1" x14ac:dyDescent="0.2">
      <c r="A24" s="2">
        <v>1977</v>
      </c>
      <c r="B24" s="20">
        <v>220.23899999999998</v>
      </c>
      <c r="C24" s="168">
        <v>1690.4</v>
      </c>
      <c r="D24" s="170">
        <v>1.3</v>
      </c>
      <c r="E24" s="170">
        <f t="shared" si="0"/>
        <v>1691.7</v>
      </c>
      <c r="F24" s="169">
        <v>139.95189999999999</v>
      </c>
      <c r="G24" s="170">
        <f t="shared" si="1"/>
        <v>1551.7481</v>
      </c>
      <c r="H24" s="181">
        <f t="shared" si="2"/>
        <v>7.0457462120696164</v>
      </c>
      <c r="I24" s="181">
        <f t="shared" si="3"/>
        <v>6.5525439772247438</v>
      </c>
    </row>
    <row r="25" spans="1:9" ht="12" customHeight="1" x14ac:dyDescent="0.2">
      <c r="A25" s="2">
        <v>1978</v>
      </c>
      <c r="B25" s="20">
        <v>222.58500000000001</v>
      </c>
      <c r="C25" s="168">
        <v>1737.9</v>
      </c>
      <c r="D25" s="170">
        <v>5.5</v>
      </c>
      <c r="E25" s="170">
        <f t="shared" si="0"/>
        <v>1743.4</v>
      </c>
      <c r="F25" s="169">
        <v>169.649</v>
      </c>
      <c r="G25" s="170">
        <f t="shared" si="1"/>
        <v>1573.7510000000002</v>
      </c>
      <c r="H25" s="181">
        <f t="shared" si="2"/>
        <v>7.0703371745625274</v>
      </c>
      <c r="I25" s="181">
        <f t="shared" si="3"/>
        <v>6.5754135723431508</v>
      </c>
    </row>
    <row r="26" spans="1:9" ht="12" customHeight="1" x14ac:dyDescent="0.2">
      <c r="A26" s="2">
        <v>1979</v>
      </c>
      <c r="B26" s="20">
        <v>225.05500000000001</v>
      </c>
      <c r="C26" s="168">
        <v>1769.4</v>
      </c>
      <c r="D26" s="170">
        <v>4.7</v>
      </c>
      <c r="E26" s="170">
        <f t="shared" si="0"/>
        <v>1774.1000000000001</v>
      </c>
      <c r="F26" s="169">
        <v>183.3</v>
      </c>
      <c r="G26" s="170">
        <f t="shared" si="1"/>
        <v>1590.8000000000002</v>
      </c>
      <c r="H26" s="181">
        <f t="shared" si="2"/>
        <v>7.0684943680433676</v>
      </c>
      <c r="I26" s="181">
        <f t="shared" si="3"/>
        <v>6.5736997622803326</v>
      </c>
    </row>
    <row r="27" spans="1:9" ht="12" customHeight="1" x14ac:dyDescent="0.2">
      <c r="A27" s="2">
        <v>1980</v>
      </c>
      <c r="B27" s="20">
        <v>227.726</v>
      </c>
      <c r="C27" s="168">
        <v>1870.3</v>
      </c>
      <c r="D27" s="170">
        <v>4.9000000000000004</v>
      </c>
      <c r="E27" s="170">
        <f t="shared" si="0"/>
        <v>1875.2</v>
      </c>
      <c r="F27" s="169">
        <v>196.48500000000001</v>
      </c>
      <c r="G27" s="170">
        <f t="shared" si="1"/>
        <v>1678.7150000000001</v>
      </c>
      <c r="H27" s="181">
        <f t="shared" si="2"/>
        <v>7.3716439932199229</v>
      </c>
      <c r="I27" s="181">
        <f t="shared" si="3"/>
        <v>6.8556289136945283</v>
      </c>
    </row>
    <row r="28" spans="1:9" ht="12" customHeight="1" x14ac:dyDescent="0.2">
      <c r="A28" s="3">
        <v>1981</v>
      </c>
      <c r="B28" s="21">
        <v>229.96600000000001</v>
      </c>
      <c r="C28" s="171">
        <v>1865.2</v>
      </c>
      <c r="D28" s="172">
        <v>7.4</v>
      </c>
      <c r="E28" s="172">
        <f t="shared" si="0"/>
        <v>1872.6000000000001</v>
      </c>
      <c r="F28" s="171">
        <v>200.286</v>
      </c>
      <c r="G28" s="172">
        <f t="shared" si="1"/>
        <v>1672.3140000000001</v>
      </c>
      <c r="H28" s="180">
        <f t="shared" si="2"/>
        <v>7.2720054268891925</v>
      </c>
      <c r="I28" s="182">
        <f t="shared" si="3"/>
        <v>6.7629650470069498</v>
      </c>
    </row>
    <row r="29" spans="1:9" ht="12" customHeight="1" x14ac:dyDescent="0.2">
      <c r="A29" s="3">
        <v>1982</v>
      </c>
      <c r="B29" s="21">
        <v>232.18799999999999</v>
      </c>
      <c r="C29" s="171">
        <v>1913.9</v>
      </c>
      <c r="D29" s="172">
        <v>10.199999999999999</v>
      </c>
      <c r="E29" s="172">
        <f t="shared" si="0"/>
        <v>1924.1000000000001</v>
      </c>
      <c r="F29" s="171">
        <v>203.137</v>
      </c>
      <c r="G29" s="172">
        <f t="shared" si="1"/>
        <v>1720.9630000000002</v>
      </c>
      <c r="H29" s="180">
        <f t="shared" si="2"/>
        <v>7.411937740107156</v>
      </c>
      <c r="I29" s="182">
        <f t="shared" si="3"/>
        <v>6.8931020982996554</v>
      </c>
    </row>
    <row r="30" spans="1:9" ht="12" customHeight="1" x14ac:dyDescent="0.2">
      <c r="A30" s="3">
        <v>1983</v>
      </c>
      <c r="B30" s="21">
        <v>234.30699999999999</v>
      </c>
      <c r="C30" s="171">
        <v>1828.7</v>
      </c>
      <c r="D30" s="172">
        <v>10.4</v>
      </c>
      <c r="E30" s="172">
        <f t="shared" si="0"/>
        <v>1839.1000000000001</v>
      </c>
      <c r="F30" s="171">
        <v>198.643</v>
      </c>
      <c r="G30" s="172">
        <f t="shared" si="1"/>
        <v>1640.4570000000001</v>
      </c>
      <c r="H30" s="180">
        <f t="shared" si="2"/>
        <v>7.0013145147178708</v>
      </c>
      <c r="I30" s="182">
        <f t="shared" si="3"/>
        <v>6.5112224986876202</v>
      </c>
    </row>
    <row r="31" spans="1:9" ht="12" customHeight="1" x14ac:dyDescent="0.2">
      <c r="A31" s="3">
        <v>1984</v>
      </c>
      <c r="B31" s="21">
        <v>236.34800000000001</v>
      </c>
      <c r="C31" s="171">
        <v>1875.7</v>
      </c>
      <c r="D31" s="172">
        <v>7.2</v>
      </c>
      <c r="E31" s="172">
        <f t="shared" si="0"/>
        <v>1882.9</v>
      </c>
      <c r="F31" s="171">
        <v>201.273</v>
      </c>
      <c r="G31" s="172">
        <f t="shared" si="1"/>
        <v>1681.6270000000002</v>
      </c>
      <c r="H31" s="180">
        <f t="shared" si="2"/>
        <v>7.1150464569194583</v>
      </c>
      <c r="I31" s="182">
        <f t="shared" si="3"/>
        <v>6.6169932049350964</v>
      </c>
    </row>
    <row r="32" spans="1:9" ht="12" customHeight="1" x14ac:dyDescent="0.2">
      <c r="A32" s="3">
        <v>1985</v>
      </c>
      <c r="B32" s="21">
        <v>238.46600000000001</v>
      </c>
      <c r="C32" s="171">
        <v>1834.9</v>
      </c>
      <c r="D32" s="172">
        <v>12.8</v>
      </c>
      <c r="E32" s="172">
        <f t="shared" si="0"/>
        <v>1847.7</v>
      </c>
      <c r="F32" s="171">
        <v>206.97</v>
      </c>
      <c r="G32" s="172">
        <f t="shared" si="1"/>
        <v>1640.73</v>
      </c>
      <c r="H32" s="180">
        <f t="shared" si="2"/>
        <v>6.8803519159964104</v>
      </c>
      <c r="I32" s="182">
        <f t="shared" si="3"/>
        <v>6.3987272818766616</v>
      </c>
    </row>
    <row r="33" spans="1:9" ht="12" customHeight="1" x14ac:dyDescent="0.2">
      <c r="A33" s="2">
        <v>1986</v>
      </c>
      <c r="B33" s="20">
        <v>240.65100000000001</v>
      </c>
      <c r="C33" s="168">
        <v>1761.4</v>
      </c>
      <c r="D33" s="170">
        <v>15</v>
      </c>
      <c r="E33" s="170">
        <f t="shared" si="0"/>
        <v>1776.4</v>
      </c>
      <c r="F33" s="169">
        <v>213.91</v>
      </c>
      <c r="G33" s="170">
        <f t="shared" si="1"/>
        <v>1562.49</v>
      </c>
      <c r="H33" s="181">
        <f t="shared" si="2"/>
        <v>6.4927633793335575</v>
      </c>
      <c r="I33" s="181">
        <f t="shared" si="3"/>
        <v>6.0382699427802091</v>
      </c>
    </row>
    <row r="34" spans="1:9" ht="12" customHeight="1" x14ac:dyDescent="0.2">
      <c r="A34" s="2">
        <v>1987</v>
      </c>
      <c r="B34" s="20">
        <v>242.804</v>
      </c>
      <c r="C34" s="168">
        <v>1784.7</v>
      </c>
      <c r="D34" s="170">
        <v>27.4</v>
      </c>
      <c r="E34" s="170">
        <f t="shared" si="0"/>
        <v>1812.1000000000001</v>
      </c>
      <c r="F34" s="169">
        <v>211.154</v>
      </c>
      <c r="G34" s="170">
        <f t="shared" si="1"/>
        <v>1600.9460000000001</v>
      </c>
      <c r="H34" s="181">
        <f t="shared" si="2"/>
        <v>6.5935734172418909</v>
      </c>
      <c r="I34" s="181">
        <f t="shared" si="3"/>
        <v>6.1320232780349588</v>
      </c>
    </row>
    <row r="35" spans="1:9" ht="12" customHeight="1" x14ac:dyDescent="0.2">
      <c r="A35" s="2">
        <v>1988</v>
      </c>
      <c r="B35" s="20">
        <v>245.02099999999999</v>
      </c>
      <c r="C35" s="168">
        <v>1942.3</v>
      </c>
      <c r="D35" s="170">
        <v>32.5</v>
      </c>
      <c r="E35" s="170">
        <f t="shared" si="0"/>
        <v>1974.8</v>
      </c>
      <c r="F35" s="169">
        <v>222.2</v>
      </c>
      <c r="G35" s="170">
        <f t="shared" si="1"/>
        <v>1752.6</v>
      </c>
      <c r="H35" s="181">
        <f t="shared" si="2"/>
        <v>7.1528562857877489</v>
      </c>
      <c r="I35" s="181">
        <f t="shared" si="3"/>
        <v>6.6521563457826067</v>
      </c>
    </row>
    <row r="36" spans="1:9" ht="12" customHeight="1" x14ac:dyDescent="0.2">
      <c r="A36" s="2">
        <v>1989</v>
      </c>
      <c r="B36" s="20">
        <v>247.34200000000001</v>
      </c>
      <c r="C36" s="168">
        <v>2027.6</v>
      </c>
      <c r="D36" s="170">
        <v>43</v>
      </c>
      <c r="E36" s="170">
        <f t="shared" si="0"/>
        <v>2070.6</v>
      </c>
      <c r="F36" s="169">
        <v>221.9</v>
      </c>
      <c r="G36" s="170">
        <f t="shared" si="1"/>
        <v>1848.6999999999998</v>
      </c>
      <c r="H36" s="181">
        <f t="shared" si="2"/>
        <v>7.4742664003687187</v>
      </c>
      <c r="I36" s="181">
        <f t="shared" si="3"/>
        <v>6.951067752342909</v>
      </c>
    </row>
    <row r="37" spans="1:9" ht="12" customHeight="1" x14ac:dyDescent="0.2">
      <c r="A37" s="2">
        <v>1990</v>
      </c>
      <c r="B37" s="20">
        <v>250.13200000000001</v>
      </c>
      <c r="C37" s="168">
        <v>1981.6</v>
      </c>
      <c r="D37" s="170">
        <v>40.700000000000003</v>
      </c>
      <c r="E37" s="170">
        <f t="shared" si="0"/>
        <v>2022.3</v>
      </c>
      <c r="F37" s="169">
        <v>222.73599999999999</v>
      </c>
      <c r="G37" s="170">
        <f t="shared" si="1"/>
        <v>1799.5639999999999</v>
      </c>
      <c r="H37" s="181">
        <f t="shared" si="2"/>
        <v>7.194457326531591</v>
      </c>
      <c r="I37" s="181">
        <f t="shared" si="3"/>
        <v>6.6908453136743802</v>
      </c>
    </row>
    <row r="38" spans="1:9" ht="12" customHeight="1" x14ac:dyDescent="0.2">
      <c r="A38" s="3">
        <v>1991</v>
      </c>
      <c r="B38" s="21">
        <v>253.49299999999999</v>
      </c>
      <c r="C38" s="171">
        <v>1908.9</v>
      </c>
      <c r="D38" s="172">
        <v>42.9</v>
      </c>
      <c r="E38" s="172">
        <f t="shared" si="0"/>
        <v>1951.8000000000002</v>
      </c>
      <c r="F38" s="171">
        <v>245.108</v>
      </c>
      <c r="G38" s="172">
        <f t="shared" si="1"/>
        <v>1706.6920000000002</v>
      </c>
      <c r="H38" s="180">
        <f t="shared" si="2"/>
        <v>6.7326987332983563</v>
      </c>
      <c r="I38" s="182">
        <f t="shared" si="3"/>
        <v>6.2614098219674714</v>
      </c>
    </row>
    <row r="39" spans="1:9" ht="12" customHeight="1" x14ac:dyDescent="0.2">
      <c r="A39" s="3">
        <v>1992</v>
      </c>
      <c r="B39" s="21">
        <v>256.89400000000001</v>
      </c>
      <c r="C39" s="171">
        <v>2105.1999999999998</v>
      </c>
      <c r="D39" s="172">
        <v>32.700000000000003</v>
      </c>
      <c r="E39" s="172">
        <f t="shared" ref="E39:E67" si="4">SUM(C39,D39)</f>
        <v>2137.8999999999996</v>
      </c>
      <c r="F39" s="171">
        <v>256.57311600000003</v>
      </c>
      <c r="G39" s="172">
        <f t="shared" ref="G39:G59" si="5">E39-SUM(F39)</f>
        <v>1881.3268839999996</v>
      </c>
      <c r="H39" s="180">
        <f t="shared" ref="H39:H59" si="6">IF(G39=0,0,IF(B39=0,0,G39/B39))</f>
        <v>7.3233585992666219</v>
      </c>
      <c r="I39" s="182">
        <f t="shared" si="3"/>
        <v>6.8107234973179587</v>
      </c>
    </row>
    <row r="40" spans="1:9" ht="12" customHeight="1" x14ac:dyDescent="0.2">
      <c r="A40" s="3">
        <v>1993</v>
      </c>
      <c r="B40" s="21">
        <v>260.255</v>
      </c>
      <c r="C40" s="171">
        <v>2106.6999999999998</v>
      </c>
      <c r="D40" s="172">
        <v>38.299999999999997</v>
      </c>
      <c r="E40" s="172">
        <f t="shared" si="4"/>
        <v>2145</v>
      </c>
      <c r="F40" s="171">
        <v>255.18442200000001</v>
      </c>
      <c r="G40" s="172">
        <f t="shared" si="5"/>
        <v>1889.815578</v>
      </c>
      <c r="H40" s="180">
        <f t="shared" si="6"/>
        <v>7.2613996964515568</v>
      </c>
      <c r="I40" s="182">
        <f t="shared" si="3"/>
        <v>6.7531017176999484</v>
      </c>
    </row>
    <row r="41" spans="1:9" ht="12" customHeight="1" x14ac:dyDescent="0.2">
      <c r="A41" s="3">
        <v>1994</v>
      </c>
      <c r="B41" s="21">
        <v>263.43599999999998</v>
      </c>
      <c r="C41" s="171">
        <v>2134.8000000000002</v>
      </c>
      <c r="D41" s="172">
        <v>28.8</v>
      </c>
      <c r="E41" s="172">
        <f t="shared" si="4"/>
        <v>2163.6000000000004</v>
      </c>
      <c r="F41" s="171">
        <v>257.20990899999998</v>
      </c>
      <c r="G41" s="172">
        <f t="shared" si="5"/>
        <v>1906.3900910000004</v>
      </c>
      <c r="H41" s="180">
        <f t="shared" si="6"/>
        <v>7.2366346702804503</v>
      </c>
      <c r="I41" s="182">
        <f t="shared" si="3"/>
        <v>6.730070243360819</v>
      </c>
    </row>
    <row r="42" spans="1:9" ht="12" customHeight="1" x14ac:dyDescent="0.2">
      <c r="A42" s="3">
        <v>1995</v>
      </c>
      <c r="B42" s="21">
        <v>266.55700000000002</v>
      </c>
      <c r="C42" s="171">
        <v>2036.8</v>
      </c>
      <c r="D42" s="172">
        <v>56.6</v>
      </c>
      <c r="E42" s="172">
        <f t="shared" si="4"/>
        <v>2093.4</v>
      </c>
      <c r="F42" s="171">
        <v>244.96962600000001</v>
      </c>
      <c r="G42" s="172">
        <f t="shared" si="5"/>
        <v>1848.430374</v>
      </c>
      <c r="H42" s="180">
        <f t="shared" si="6"/>
        <v>6.9344657015197493</v>
      </c>
      <c r="I42" s="182">
        <f t="shared" si="3"/>
        <v>6.4490531024133668</v>
      </c>
    </row>
    <row r="43" spans="1:9" ht="12" customHeight="1" x14ac:dyDescent="0.2">
      <c r="A43" s="2">
        <v>1996</v>
      </c>
      <c r="B43" s="20">
        <v>269.66699999999997</v>
      </c>
      <c r="C43" s="168">
        <v>2096.1</v>
      </c>
      <c r="D43" s="170">
        <v>56.5</v>
      </c>
      <c r="E43" s="170">
        <f t="shared" si="4"/>
        <v>2152.6</v>
      </c>
      <c r="F43" s="169">
        <v>257.580806</v>
      </c>
      <c r="G43" s="170">
        <f t="shared" si="5"/>
        <v>1895.019194</v>
      </c>
      <c r="H43" s="181">
        <f t="shared" si="6"/>
        <v>7.0272565571612402</v>
      </c>
      <c r="I43" s="181">
        <f t="shared" si="3"/>
        <v>6.5353485981599535</v>
      </c>
    </row>
    <row r="44" spans="1:9" ht="12" customHeight="1" x14ac:dyDescent="0.2">
      <c r="A44" s="2">
        <v>1997</v>
      </c>
      <c r="B44" s="20">
        <v>272.91199999999998</v>
      </c>
      <c r="C44" s="168">
        <v>1976.5</v>
      </c>
      <c r="D44" s="170">
        <v>68.099999999999994</v>
      </c>
      <c r="E44" s="170">
        <f t="shared" si="4"/>
        <v>2044.6</v>
      </c>
      <c r="F44" s="169">
        <v>257.25117799999998</v>
      </c>
      <c r="G44" s="170">
        <f t="shared" si="5"/>
        <v>1787.3488219999999</v>
      </c>
      <c r="H44" s="181">
        <f t="shared" si="6"/>
        <v>6.5491763718707867</v>
      </c>
      <c r="I44" s="181">
        <f t="shared" si="3"/>
        <v>6.0907340258398319</v>
      </c>
    </row>
    <row r="45" spans="1:9" ht="12" customHeight="1" x14ac:dyDescent="0.2">
      <c r="A45" s="2">
        <v>1998</v>
      </c>
      <c r="B45" s="20">
        <v>276.11500000000001</v>
      </c>
      <c r="C45" s="168">
        <v>1951.48</v>
      </c>
      <c r="D45" s="170">
        <v>106</v>
      </c>
      <c r="E45" s="170">
        <f t="shared" si="4"/>
        <v>2057.48</v>
      </c>
      <c r="F45" s="169">
        <v>271.73649999999998</v>
      </c>
      <c r="G45" s="170">
        <f t="shared" si="5"/>
        <v>1785.7435</v>
      </c>
      <c r="H45" s="181">
        <f t="shared" si="6"/>
        <v>6.4673903989279831</v>
      </c>
      <c r="I45" s="181">
        <f t="shared" si="3"/>
        <v>6.014673071003025</v>
      </c>
    </row>
    <row r="46" spans="1:9" ht="12" customHeight="1" x14ac:dyDescent="0.2">
      <c r="A46" s="2">
        <v>1999</v>
      </c>
      <c r="B46" s="20">
        <v>279.29500000000002</v>
      </c>
      <c r="C46" s="168">
        <v>2011.06</v>
      </c>
      <c r="D46" s="170">
        <v>84.5</v>
      </c>
      <c r="E46" s="170">
        <f t="shared" si="4"/>
        <v>2095.56</v>
      </c>
      <c r="F46" s="169">
        <v>271.28212100000002</v>
      </c>
      <c r="G46" s="170">
        <f t="shared" si="5"/>
        <v>1824.277879</v>
      </c>
      <c r="H46" s="181">
        <f t="shared" si="6"/>
        <v>6.5317240874344327</v>
      </c>
      <c r="I46" s="181">
        <f t="shared" si="3"/>
        <v>6.0745034013140229</v>
      </c>
    </row>
    <row r="47" spans="1:9" ht="12" customHeight="1" x14ac:dyDescent="0.2">
      <c r="A47" s="2">
        <v>2000</v>
      </c>
      <c r="B47" s="20">
        <v>282.38499999999999</v>
      </c>
      <c r="C47" s="168">
        <v>1967.74</v>
      </c>
      <c r="D47" s="170">
        <v>64.365710000000007</v>
      </c>
      <c r="E47" s="170">
        <f t="shared" si="4"/>
        <v>2032.10571</v>
      </c>
      <c r="F47" s="169">
        <v>261.84198800000001</v>
      </c>
      <c r="G47" s="170">
        <f t="shared" si="5"/>
        <v>1770.2637220000001</v>
      </c>
      <c r="H47" s="181">
        <f t="shared" si="6"/>
        <v>6.2689722258618561</v>
      </c>
      <c r="I47" s="181">
        <f t="shared" si="3"/>
        <v>5.8301441700515264</v>
      </c>
    </row>
    <row r="48" spans="1:9" ht="12" customHeight="1" x14ac:dyDescent="0.2">
      <c r="A48" s="3">
        <v>2001</v>
      </c>
      <c r="B48" s="21">
        <v>285.30901899999998</v>
      </c>
      <c r="C48" s="171">
        <v>1997.72</v>
      </c>
      <c r="D48" s="172">
        <v>80.952827999999997</v>
      </c>
      <c r="E48" s="172">
        <f t="shared" si="4"/>
        <v>2078.6728280000002</v>
      </c>
      <c r="F48" s="171">
        <v>249.17761899999999</v>
      </c>
      <c r="G48" s="172">
        <f t="shared" si="5"/>
        <v>1829.4952090000002</v>
      </c>
      <c r="H48" s="180">
        <f t="shared" si="6"/>
        <v>6.4123286933316335</v>
      </c>
      <c r="I48" s="182">
        <f t="shared" ref="I48:I53" si="7">H48*0.93</f>
        <v>5.9634656847984191</v>
      </c>
    </row>
    <row r="49" spans="1:9" ht="12" customHeight="1" x14ac:dyDescent="0.2">
      <c r="A49" s="3">
        <v>2002</v>
      </c>
      <c r="B49" s="21">
        <v>288.10481800000002</v>
      </c>
      <c r="C49" s="171">
        <v>1972.7</v>
      </c>
      <c r="D49" s="172">
        <v>90.685356999999996</v>
      </c>
      <c r="E49" s="172">
        <f t="shared" si="4"/>
        <v>2063.3853570000001</v>
      </c>
      <c r="F49" s="171">
        <v>247.75994900000001</v>
      </c>
      <c r="G49" s="172">
        <f t="shared" si="5"/>
        <v>1815.6254080000001</v>
      </c>
      <c r="H49" s="180">
        <f t="shared" si="6"/>
        <v>6.3019612813278254</v>
      </c>
      <c r="I49" s="182">
        <f t="shared" si="7"/>
        <v>5.8608239916348781</v>
      </c>
    </row>
    <row r="50" spans="1:9" ht="12" customHeight="1" x14ac:dyDescent="0.2">
      <c r="A50" s="3">
        <v>2003</v>
      </c>
      <c r="B50" s="21">
        <v>290.81963400000001</v>
      </c>
      <c r="C50" s="171">
        <v>2023.6</v>
      </c>
      <c r="D50" s="172">
        <v>59.664225999999999</v>
      </c>
      <c r="E50" s="172">
        <f t="shared" si="4"/>
        <v>2083.2642259999998</v>
      </c>
      <c r="F50" s="171">
        <v>260.241085</v>
      </c>
      <c r="G50" s="172">
        <f t="shared" si="5"/>
        <v>1823.0231409999997</v>
      </c>
      <c r="H50" s="180">
        <f t="shared" si="6"/>
        <v>6.2685696832972413</v>
      </c>
      <c r="I50" s="182">
        <f t="shared" si="7"/>
        <v>5.8297698054664346</v>
      </c>
    </row>
    <row r="51" spans="1:9" ht="12" customHeight="1" x14ac:dyDescent="0.2">
      <c r="A51" s="3">
        <v>2004</v>
      </c>
      <c r="B51" s="21">
        <v>293.46318500000001</v>
      </c>
      <c r="C51" s="171">
        <v>2044.9</v>
      </c>
      <c r="D51" s="172">
        <v>49.597521</v>
      </c>
      <c r="E51" s="172">
        <f t="shared" si="4"/>
        <v>2094.4975210000002</v>
      </c>
      <c r="F51" s="171">
        <v>266.113088</v>
      </c>
      <c r="G51" s="172">
        <f t="shared" si="5"/>
        <v>1828.3844330000002</v>
      </c>
      <c r="H51" s="180">
        <f t="shared" si="6"/>
        <v>6.2303707124285461</v>
      </c>
      <c r="I51" s="182">
        <f t="shared" si="7"/>
        <v>5.7942447625585478</v>
      </c>
    </row>
    <row r="52" spans="1:9" ht="12" customHeight="1" x14ac:dyDescent="0.2">
      <c r="A52" s="3">
        <v>2005</v>
      </c>
      <c r="B52" s="21">
        <v>296.186216</v>
      </c>
      <c r="C52" s="171">
        <v>1964.6</v>
      </c>
      <c r="D52" s="172">
        <v>58.854818000000002</v>
      </c>
      <c r="E52" s="172">
        <f t="shared" si="4"/>
        <v>2023.4548179999999</v>
      </c>
      <c r="F52" s="171">
        <v>269.21507300000002</v>
      </c>
      <c r="G52" s="172">
        <f t="shared" si="5"/>
        <v>1754.2397449999999</v>
      </c>
      <c r="H52" s="180">
        <f t="shared" si="6"/>
        <v>5.9227595689328085</v>
      </c>
      <c r="I52" s="182">
        <f t="shared" si="7"/>
        <v>5.5081663991075125</v>
      </c>
    </row>
    <row r="53" spans="1:9" ht="12" customHeight="1" x14ac:dyDescent="0.2">
      <c r="A53" s="2">
        <v>2006</v>
      </c>
      <c r="B53" s="20">
        <v>298.99582500000002</v>
      </c>
      <c r="C53" s="168">
        <v>2018</v>
      </c>
      <c r="D53" s="170">
        <v>56.147657000000002</v>
      </c>
      <c r="E53" s="170">
        <f t="shared" si="4"/>
        <v>2074.147657</v>
      </c>
      <c r="F53" s="169">
        <v>255.28383400000001</v>
      </c>
      <c r="G53" s="170">
        <f t="shared" si="5"/>
        <v>1818.8638229999999</v>
      </c>
      <c r="H53" s="181">
        <f t="shared" si="6"/>
        <v>6.0832415402455862</v>
      </c>
      <c r="I53" s="181">
        <f t="shared" si="7"/>
        <v>5.6574146324283952</v>
      </c>
    </row>
    <row r="54" spans="1:9" ht="12" customHeight="1" x14ac:dyDescent="0.2">
      <c r="A54" s="2">
        <v>2007</v>
      </c>
      <c r="B54" s="20">
        <v>302.003917</v>
      </c>
      <c r="C54" s="168">
        <v>2095.1</v>
      </c>
      <c r="D54" s="170">
        <v>63.601458999999998</v>
      </c>
      <c r="E54" s="170">
        <f t="shared" si="4"/>
        <v>2158.7014589999999</v>
      </c>
      <c r="F54" s="169">
        <v>259.71780100000001</v>
      </c>
      <c r="G54" s="170">
        <f t="shared" si="5"/>
        <v>1898.9836579999999</v>
      </c>
      <c r="H54" s="181">
        <f t="shared" si="6"/>
        <v>6.2879438017355245</v>
      </c>
      <c r="I54" s="181">
        <f t="shared" ref="I54:I59" si="8">H54*0.93</f>
        <v>5.8477877356140384</v>
      </c>
    </row>
    <row r="55" spans="1:9" ht="12" customHeight="1" x14ac:dyDescent="0.2">
      <c r="A55" s="2">
        <v>2008</v>
      </c>
      <c r="B55" s="20">
        <v>304.79776099999998</v>
      </c>
      <c r="C55" s="168">
        <v>2094.98</v>
      </c>
      <c r="D55" s="170">
        <v>57.531998999999999</v>
      </c>
      <c r="E55" s="170">
        <f t="shared" si="4"/>
        <v>2152.5119989999998</v>
      </c>
      <c r="F55" s="169">
        <v>255.85035300000001</v>
      </c>
      <c r="G55" s="170">
        <f t="shared" si="5"/>
        <v>1896.6616459999998</v>
      </c>
      <c r="H55" s="181">
        <f t="shared" si="6"/>
        <v>6.2226889061694912</v>
      </c>
      <c r="I55" s="181">
        <f t="shared" si="8"/>
        <v>5.787100682737627</v>
      </c>
    </row>
    <row r="56" spans="1:9" ht="12" customHeight="1" x14ac:dyDescent="0.2">
      <c r="A56" s="2">
        <v>2009</v>
      </c>
      <c r="B56" s="20">
        <v>307.43940600000002</v>
      </c>
      <c r="C56" s="168">
        <v>2098.36</v>
      </c>
      <c r="D56" s="170">
        <v>54.366039000000001</v>
      </c>
      <c r="E56" s="170">
        <f t="shared" si="4"/>
        <v>2152.7260390000001</v>
      </c>
      <c r="F56" s="169">
        <v>254.60123300000001</v>
      </c>
      <c r="G56" s="170">
        <f t="shared" si="5"/>
        <v>1898.124806</v>
      </c>
      <c r="H56" s="181">
        <f t="shared" si="6"/>
        <v>6.1739802021345307</v>
      </c>
      <c r="I56" s="181">
        <f t="shared" si="8"/>
        <v>5.7418015879851136</v>
      </c>
    </row>
    <row r="57" spans="1:9" ht="12" customHeight="1" x14ac:dyDescent="0.2">
      <c r="A57" s="2">
        <v>2010</v>
      </c>
      <c r="B57" s="20">
        <v>309.74127900000002</v>
      </c>
      <c r="C57" s="168">
        <v>2081.7399999999998</v>
      </c>
      <c r="D57" s="170">
        <v>77.715855487819994</v>
      </c>
      <c r="E57" s="170">
        <f t="shared" si="4"/>
        <v>2159.4558554878199</v>
      </c>
      <c r="F57" s="169">
        <v>260.60556843156002</v>
      </c>
      <c r="G57" s="170">
        <f t="shared" si="5"/>
        <v>1898.85028705626</v>
      </c>
      <c r="H57" s="181">
        <f t="shared" si="6"/>
        <v>6.1304398728729339</v>
      </c>
      <c r="I57" s="181">
        <f t="shared" si="8"/>
        <v>5.7013090817718286</v>
      </c>
    </row>
    <row r="58" spans="1:9" ht="12" customHeight="1" x14ac:dyDescent="0.2">
      <c r="A58" s="33">
        <v>2011</v>
      </c>
      <c r="B58" s="31">
        <v>311.97391399999998</v>
      </c>
      <c r="C58" s="171">
        <v>2024.1200000000001</v>
      </c>
      <c r="D58" s="172">
        <v>101.86228232158003</v>
      </c>
      <c r="E58" s="172">
        <f t="shared" si="4"/>
        <v>2125.98228232158</v>
      </c>
      <c r="F58" s="171">
        <v>260.96689462646003</v>
      </c>
      <c r="G58" s="172">
        <f t="shared" si="5"/>
        <v>1865.0153876951199</v>
      </c>
      <c r="H58" s="180">
        <f t="shared" si="6"/>
        <v>5.9781132460168447</v>
      </c>
      <c r="I58" s="182">
        <f t="shared" si="8"/>
        <v>5.559645318795666</v>
      </c>
    </row>
    <row r="59" spans="1:9" s="43" customFormat="1" ht="12" customHeight="1" x14ac:dyDescent="0.2">
      <c r="A59" s="33">
        <v>2012</v>
      </c>
      <c r="B59" s="31">
        <v>314.16755799999999</v>
      </c>
      <c r="C59" s="171">
        <v>2061.6</v>
      </c>
      <c r="D59" s="172">
        <v>93.937619203560033</v>
      </c>
      <c r="E59" s="172">
        <f t="shared" si="4"/>
        <v>2155.5376192035601</v>
      </c>
      <c r="F59" s="171">
        <v>283.8845544570201</v>
      </c>
      <c r="G59" s="172">
        <f t="shared" si="5"/>
        <v>1871.6530647465399</v>
      </c>
      <c r="H59" s="180">
        <f t="shared" si="6"/>
        <v>5.9574994842291771</v>
      </c>
      <c r="I59" s="182">
        <f t="shared" si="8"/>
        <v>5.5404745203331354</v>
      </c>
    </row>
    <row r="60" spans="1:9" s="93" customFormat="1" ht="12" customHeight="1" x14ac:dyDescent="0.2">
      <c r="A60" s="33">
        <v>2013</v>
      </c>
      <c r="B60" s="31">
        <v>316.29476599999998</v>
      </c>
      <c r="C60" s="171">
        <v>1887.46</v>
      </c>
      <c r="D60" s="172">
        <v>121.15560419226001</v>
      </c>
      <c r="E60" s="172">
        <f t="shared" si="4"/>
        <v>2008.61560419226</v>
      </c>
      <c r="F60" s="171">
        <v>275.33574357542</v>
      </c>
      <c r="G60" s="172">
        <f t="shared" ref="G60" si="9">E60-SUM(F60)</f>
        <v>1733.2798606168399</v>
      </c>
      <c r="H60" s="180">
        <f t="shared" ref="H60" si="10">IF(G60=0,0,IF(B60=0,0,G60/B60))</f>
        <v>5.4799511308285132</v>
      </c>
      <c r="I60" s="182">
        <f t="shared" ref="I60" si="11">H60*0.93</f>
        <v>5.0963545516705171</v>
      </c>
    </row>
    <row r="61" spans="1:9" s="93" customFormat="1" ht="12" customHeight="1" x14ac:dyDescent="0.2">
      <c r="A61" s="33">
        <v>2014</v>
      </c>
      <c r="B61" s="31">
        <v>318.576955</v>
      </c>
      <c r="C61" s="171">
        <v>1927.22</v>
      </c>
      <c r="D61" s="172">
        <v>109.63123533361998</v>
      </c>
      <c r="E61" s="172">
        <f t="shared" si="4"/>
        <v>2036.85123533362</v>
      </c>
      <c r="F61" s="171">
        <v>271.32199256184003</v>
      </c>
      <c r="G61" s="172">
        <f t="shared" ref="G61" si="12">E61-SUM(F61)</f>
        <v>1765.52924277178</v>
      </c>
      <c r="H61" s="180">
        <f t="shared" ref="H61" si="13">IF(G61=0,0,IF(B61=0,0,G61/B61))</f>
        <v>5.5419239058637499</v>
      </c>
      <c r="I61" s="182">
        <f t="shared" ref="I61" si="14">H61*0.93</f>
        <v>5.1539892324532879</v>
      </c>
    </row>
    <row r="62" spans="1:9" s="93" customFormat="1" ht="12" customHeight="1" x14ac:dyDescent="0.2">
      <c r="A62" s="33">
        <v>2015</v>
      </c>
      <c r="B62" s="31">
        <v>320.87070299999999</v>
      </c>
      <c r="C62" s="171">
        <v>1799.68</v>
      </c>
      <c r="D62" s="172">
        <v>108.08662565074002</v>
      </c>
      <c r="E62" s="172">
        <f t="shared" si="4"/>
        <v>1907.76662565074</v>
      </c>
      <c r="F62" s="171">
        <v>256.74784058</v>
      </c>
      <c r="G62" s="172">
        <f t="shared" ref="G62" si="15">E62-SUM(F62)</f>
        <v>1651.01878507074</v>
      </c>
      <c r="H62" s="180">
        <f t="shared" ref="H62" si="16">IF(G62=0,0,IF(B62=0,0,G62/B62))</f>
        <v>5.1454332528162912</v>
      </c>
      <c r="I62" s="182">
        <f t="shared" ref="I62" si="17">H62*0.93</f>
        <v>4.7852529251191509</v>
      </c>
    </row>
    <row r="63" spans="1:9" s="93" customFormat="1" ht="12" customHeight="1" x14ac:dyDescent="0.2">
      <c r="A63" s="128">
        <v>2016</v>
      </c>
      <c r="B63" s="129">
        <v>323.16101099999997</v>
      </c>
      <c r="C63" s="168">
        <v>1769.42</v>
      </c>
      <c r="D63" s="170">
        <v>114.49145460544</v>
      </c>
      <c r="E63" s="170">
        <f t="shared" si="4"/>
        <v>1883.91145460544</v>
      </c>
      <c r="F63" s="169">
        <v>255.78454068948002</v>
      </c>
      <c r="G63" s="170">
        <f t="shared" ref="G63:G64" si="18">E63-SUM(F63)</f>
        <v>1628.1269139159599</v>
      </c>
      <c r="H63" s="186">
        <f t="shared" ref="H63:H64" si="19">IF(G63=0,0,IF(B63=0,0,G63/B63))</f>
        <v>5.0381291631618268</v>
      </c>
      <c r="I63" s="186">
        <f t="shared" ref="I63:I64" si="20">H63*0.93</f>
        <v>4.6854601217404994</v>
      </c>
    </row>
    <row r="64" spans="1:9" s="93" customFormat="1" ht="12" customHeight="1" x14ac:dyDescent="0.2">
      <c r="A64" s="125">
        <v>2017</v>
      </c>
      <c r="B64" s="126">
        <v>325.20603</v>
      </c>
      <c r="C64" s="168">
        <v>1628.38</v>
      </c>
      <c r="D64" s="170">
        <v>152.68936211143998</v>
      </c>
      <c r="E64" s="170">
        <f t="shared" si="4"/>
        <v>1781.0693621114401</v>
      </c>
      <c r="F64" s="169">
        <v>239.15248837326001</v>
      </c>
      <c r="G64" s="170">
        <f t="shared" si="18"/>
        <v>1541.9168737381801</v>
      </c>
      <c r="H64" s="187">
        <f t="shared" si="19"/>
        <v>4.7413538849146803</v>
      </c>
      <c r="I64" s="187">
        <f t="shared" si="20"/>
        <v>4.4094591129706533</v>
      </c>
    </row>
    <row r="65" spans="1:10" s="93" customFormat="1" ht="12" customHeight="1" x14ac:dyDescent="0.2">
      <c r="A65" s="128">
        <v>2018</v>
      </c>
      <c r="B65" s="129">
        <v>326.92397599999998</v>
      </c>
      <c r="C65" s="168">
        <v>1717.09</v>
      </c>
      <c r="D65" s="170">
        <v>132.22407086262001</v>
      </c>
      <c r="E65" s="170">
        <f t="shared" si="4"/>
        <v>1849.3140708626199</v>
      </c>
      <c r="F65" s="169">
        <v>248.43194780140004</v>
      </c>
      <c r="G65" s="170">
        <f t="shared" ref="G65:G67" si="21">E65-SUM(F65)</f>
        <v>1600.8821230612198</v>
      </c>
      <c r="H65" s="186">
        <f t="shared" ref="H65:H67" si="22">IF(G65=0,0,IF(B65=0,0,G65/B65))</f>
        <v>4.8968024390515179</v>
      </c>
      <c r="I65" s="186">
        <f t="shared" ref="I65:I67" si="23">H65*0.93</f>
        <v>4.5540262683179122</v>
      </c>
    </row>
    <row r="66" spans="1:10" s="93" customFormat="1" ht="12" customHeight="1" x14ac:dyDescent="0.2">
      <c r="A66" s="128">
        <v>2019</v>
      </c>
      <c r="B66" s="129">
        <v>328.475998</v>
      </c>
      <c r="C66" s="168">
        <v>1663.0400000000002</v>
      </c>
      <c r="D66" s="170">
        <v>245.06211778817999</v>
      </c>
      <c r="E66" s="170">
        <f t="shared" si="4"/>
        <v>1908.1021177881803</v>
      </c>
      <c r="F66" s="169">
        <v>207.09045279581997</v>
      </c>
      <c r="G66" s="170">
        <f t="shared" si="21"/>
        <v>1701.0116649923602</v>
      </c>
      <c r="H66" s="186">
        <f t="shared" si="22"/>
        <v>5.178496070791633</v>
      </c>
      <c r="I66" s="186">
        <f t="shared" si="23"/>
        <v>4.8160013458362192</v>
      </c>
    </row>
    <row r="67" spans="1:10" s="93" customFormat="1" ht="12" customHeight="1" thickBot="1" x14ac:dyDescent="0.25">
      <c r="A67" s="148">
        <v>2020</v>
      </c>
      <c r="B67" s="149">
        <v>330.11398000000003</v>
      </c>
      <c r="C67" s="168">
        <v>1881.1742685485735</v>
      </c>
      <c r="D67" s="170">
        <v>219.86511456734002</v>
      </c>
      <c r="E67" s="170">
        <f t="shared" si="4"/>
        <v>2101.0393831159136</v>
      </c>
      <c r="F67" s="169">
        <v>231.27668183905999</v>
      </c>
      <c r="G67" s="170">
        <f t="shared" si="21"/>
        <v>1869.7627012768535</v>
      </c>
      <c r="H67" s="188">
        <f t="shared" si="22"/>
        <v>5.6639912713689169</v>
      </c>
      <c r="I67" s="188">
        <f t="shared" si="23"/>
        <v>5.2675118823730926</v>
      </c>
    </row>
    <row r="68" spans="1:10" ht="12" customHeight="1" thickTop="1" x14ac:dyDescent="0.2">
      <c r="A68" s="254" t="s">
        <v>8</v>
      </c>
      <c r="B68" s="255"/>
      <c r="C68" s="255"/>
      <c r="D68" s="255"/>
      <c r="E68" s="255"/>
      <c r="F68" s="255"/>
      <c r="G68" s="255"/>
      <c r="H68" s="255"/>
      <c r="I68" s="256"/>
      <c r="J68" s="61"/>
    </row>
    <row r="69" spans="1:10" ht="12" customHeight="1" x14ac:dyDescent="0.2">
      <c r="A69" s="248"/>
      <c r="B69" s="249"/>
      <c r="C69" s="249"/>
      <c r="D69" s="249"/>
      <c r="E69" s="249"/>
      <c r="F69" s="249"/>
      <c r="G69" s="249"/>
      <c r="H69" s="249"/>
      <c r="I69" s="250"/>
      <c r="J69" s="61"/>
    </row>
    <row r="70" spans="1:10" ht="12" customHeight="1" x14ac:dyDescent="0.2">
      <c r="A70" s="251" t="s">
        <v>229</v>
      </c>
      <c r="B70" s="252"/>
      <c r="C70" s="252"/>
      <c r="D70" s="252"/>
      <c r="E70" s="252"/>
      <c r="F70" s="252"/>
      <c r="G70" s="252"/>
      <c r="H70" s="252"/>
      <c r="I70" s="253"/>
      <c r="J70" s="61"/>
    </row>
    <row r="71" spans="1:10" ht="12" customHeight="1" x14ac:dyDescent="0.2">
      <c r="A71" s="251"/>
      <c r="B71" s="252"/>
      <c r="C71" s="252"/>
      <c r="D71" s="252"/>
      <c r="E71" s="252"/>
      <c r="F71" s="252"/>
      <c r="G71" s="252"/>
      <c r="H71" s="252"/>
      <c r="I71" s="253"/>
      <c r="J71" s="61"/>
    </row>
    <row r="72" spans="1:10" ht="12" customHeight="1" x14ac:dyDescent="0.2">
      <c r="A72" s="251"/>
      <c r="B72" s="252"/>
      <c r="C72" s="252"/>
      <c r="D72" s="252"/>
      <c r="E72" s="252"/>
      <c r="F72" s="252"/>
      <c r="G72" s="252"/>
      <c r="H72" s="252"/>
      <c r="I72" s="253"/>
      <c r="J72" s="61"/>
    </row>
    <row r="73" spans="1:10" ht="12" customHeight="1" x14ac:dyDescent="0.2">
      <c r="A73" s="248"/>
      <c r="B73" s="249"/>
      <c r="C73" s="249"/>
      <c r="D73" s="249"/>
      <c r="E73" s="249"/>
      <c r="F73" s="249"/>
      <c r="G73" s="249"/>
      <c r="H73" s="249"/>
      <c r="I73" s="250"/>
      <c r="J73" s="61"/>
    </row>
    <row r="74" spans="1:10" ht="12" customHeight="1" x14ac:dyDescent="0.2">
      <c r="A74" s="223" t="s">
        <v>198</v>
      </c>
      <c r="B74" s="224"/>
      <c r="C74" s="224"/>
      <c r="D74" s="224"/>
      <c r="E74" s="224"/>
      <c r="F74" s="224"/>
      <c r="G74" s="224"/>
      <c r="H74" s="224"/>
      <c r="I74" s="225"/>
      <c r="J74" s="43"/>
    </row>
    <row r="75" spans="1:10" ht="12" customHeight="1" x14ac:dyDescent="0.2">
      <c r="A75" s="223"/>
      <c r="B75" s="224"/>
      <c r="C75" s="224"/>
      <c r="D75" s="224"/>
      <c r="E75" s="224"/>
      <c r="F75" s="224"/>
      <c r="G75" s="224"/>
      <c r="H75" s="224"/>
      <c r="I75" s="225"/>
      <c r="J75" s="43"/>
    </row>
  </sheetData>
  <mergeCells count="20">
    <mergeCell ref="A1:G1"/>
    <mergeCell ref="H1:I1"/>
    <mergeCell ref="G3:G5"/>
    <mergeCell ref="C3:C5"/>
    <mergeCell ref="D3:D5"/>
    <mergeCell ref="F3:F5"/>
    <mergeCell ref="A2:A5"/>
    <mergeCell ref="B2:B5"/>
    <mergeCell ref="E3:E5"/>
    <mergeCell ref="C2:E2"/>
    <mergeCell ref="H3:I3"/>
    <mergeCell ref="H4:H5"/>
    <mergeCell ref="G2:I2"/>
    <mergeCell ref="H6:I6"/>
    <mergeCell ref="A68:I68"/>
    <mergeCell ref="A69:I69"/>
    <mergeCell ref="A73:I73"/>
    <mergeCell ref="A74:I75"/>
    <mergeCell ref="A70:I72"/>
    <mergeCell ref="C6:G6"/>
  </mergeCells>
  <phoneticPr fontId="7" type="noConversion"/>
  <printOptions horizontalCentered="1"/>
  <pageMargins left="0.45" right="0.45" top="0.75" bottom="0.75" header="0" footer="0"/>
  <pageSetup scale="66" fitToWidth="2"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pageSetUpPr autoPageBreaks="0" fitToPage="1"/>
  </sheetPr>
  <dimension ref="A1:L75"/>
  <sheetViews>
    <sheetView showOutlineSymbols="0" zoomScaleNormal="100" workbookViewId="0">
      <pane ySplit="6" topLeftCell="A7" activePane="bottomLeft" state="frozen"/>
      <selection sqref="A1:G1"/>
      <selection pane="bottomLeft" sqref="A1:I1"/>
    </sheetView>
  </sheetViews>
  <sheetFormatPr defaultColWidth="12.7109375" defaultRowHeight="12" customHeight="1" x14ac:dyDescent="0.2"/>
  <cols>
    <col min="1" max="1" width="12.7109375" style="13" customWidth="1"/>
    <col min="2" max="16384" width="12.7109375" style="13"/>
  </cols>
  <sheetData>
    <row r="1" spans="1:12" s="1" customFormat="1" ht="12" customHeight="1" thickBot="1" x14ac:dyDescent="0.25">
      <c r="A1" s="201" t="s">
        <v>157</v>
      </c>
      <c r="B1" s="201"/>
      <c r="C1" s="201"/>
      <c r="D1" s="201"/>
      <c r="E1" s="201"/>
      <c r="F1" s="201"/>
      <c r="G1" s="201"/>
      <c r="H1" s="201"/>
      <c r="I1" s="201"/>
      <c r="J1" s="200" t="s">
        <v>19</v>
      </c>
      <c r="K1" s="200"/>
    </row>
    <row r="2" spans="1:12" ht="12" customHeight="1" thickTop="1" x14ac:dyDescent="0.2">
      <c r="A2" s="257" t="s">
        <v>1</v>
      </c>
      <c r="B2" s="258" t="s">
        <v>85</v>
      </c>
      <c r="C2" s="218" t="s">
        <v>2</v>
      </c>
      <c r="D2" s="218"/>
      <c r="E2" s="218"/>
      <c r="F2" s="218"/>
      <c r="G2" s="244" t="s">
        <v>146</v>
      </c>
      <c r="H2" s="246"/>
      <c r="I2" s="244" t="s">
        <v>147</v>
      </c>
      <c r="J2" s="245"/>
      <c r="K2" s="245"/>
    </row>
    <row r="3" spans="1:12" ht="12" customHeight="1" x14ac:dyDescent="0.2">
      <c r="A3" s="217"/>
      <c r="B3" s="259"/>
      <c r="C3" s="217" t="s">
        <v>86</v>
      </c>
      <c r="D3" s="217" t="s">
        <v>87</v>
      </c>
      <c r="E3" s="217" t="s">
        <v>89</v>
      </c>
      <c r="F3" s="217" t="s">
        <v>90</v>
      </c>
      <c r="G3" s="217" t="s">
        <v>95</v>
      </c>
      <c r="H3" s="217" t="s">
        <v>91</v>
      </c>
      <c r="I3" s="217" t="s">
        <v>98</v>
      </c>
      <c r="J3" s="226" t="s">
        <v>28</v>
      </c>
      <c r="K3" s="227"/>
    </row>
    <row r="4" spans="1:12" ht="12" customHeight="1" x14ac:dyDescent="0.2">
      <c r="A4" s="217"/>
      <c r="B4" s="259"/>
      <c r="C4" s="217"/>
      <c r="D4" s="217"/>
      <c r="E4" s="217"/>
      <c r="F4" s="217"/>
      <c r="G4" s="217"/>
      <c r="H4" s="217"/>
      <c r="I4" s="217"/>
      <c r="J4" s="217" t="s">
        <v>4</v>
      </c>
      <c r="K4" s="14" t="s">
        <v>96</v>
      </c>
      <c r="L4" s="4"/>
    </row>
    <row r="5" spans="1:12" ht="12" customHeight="1" x14ac:dyDescent="0.2">
      <c r="A5" s="217"/>
      <c r="B5" s="259"/>
      <c r="C5" s="217"/>
      <c r="D5" s="217"/>
      <c r="E5" s="217"/>
      <c r="F5" s="217"/>
      <c r="G5" s="217"/>
      <c r="H5" s="217"/>
      <c r="I5" s="217"/>
      <c r="J5" s="217"/>
      <c r="K5" s="14" t="s">
        <v>183</v>
      </c>
    </row>
    <row r="6" spans="1:12" ht="12" customHeight="1" x14ac:dyDescent="0.2">
      <c r="A6" s="62"/>
      <c r="B6" s="63" t="s">
        <v>117</v>
      </c>
      <c r="C6" s="214" t="s">
        <v>123</v>
      </c>
      <c r="D6" s="221"/>
      <c r="E6" s="221"/>
      <c r="F6" s="221"/>
      <c r="G6" s="221"/>
      <c r="H6" s="221"/>
      <c r="I6" s="222"/>
      <c r="J6" s="273" t="s">
        <v>118</v>
      </c>
      <c r="K6" s="274"/>
      <c r="L6" s="62"/>
    </row>
    <row r="7" spans="1:12" ht="12" customHeight="1" x14ac:dyDescent="0.2">
      <c r="A7" s="2">
        <v>1960</v>
      </c>
      <c r="B7" s="20">
        <v>180.67099999999999</v>
      </c>
      <c r="C7" s="8" t="s">
        <v>3</v>
      </c>
      <c r="D7" s="8" t="s">
        <v>3</v>
      </c>
      <c r="E7" s="8" t="s">
        <v>3</v>
      </c>
      <c r="F7" s="8" t="s">
        <v>3</v>
      </c>
      <c r="G7" s="8" t="s">
        <v>3</v>
      </c>
      <c r="H7" s="8" t="s">
        <v>3</v>
      </c>
      <c r="I7" s="8" t="s">
        <v>3</v>
      </c>
      <c r="J7" s="8" t="s">
        <v>3</v>
      </c>
      <c r="K7" s="8" t="s">
        <v>3</v>
      </c>
    </row>
    <row r="8" spans="1:12" ht="12" customHeight="1" x14ac:dyDescent="0.2">
      <c r="A8" s="3">
        <v>1961</v>
      </c>
      <c r="B8" s="21">
        <v>183.691</v>
      </c>
      <c r="C8" s="9" t="s">
        <v>3</v>
      </c>
      <c r="D8" s="9" t="s">
        <v>3</v>
      </c>
      <c r="E8" s="9" t="s">
        <v>3</v>
      </c>
      <c r="F8" s="9" t="s">
        <v>3</v>
      </c>
      <c r="G8" s="9" t="s">
        <v>3</v>
      </c>
      <c r="H8" s="9" t="s">
        <v>3</v>
      </c>
      <c r="I8" s="9" t="s">
        <v>3</v>
      </c>
      <c r="J8" s="9" t="s">
        <v>3</v>
      </c>
      <c r="K8" s="9" t="s">
        <v>3</v>
      </c>
    </row>
    <row r="9" spans="1:12" ht="12" customHeight="1" x14ac:dyDescent="0.2">
      <c r="A9" s="3">
        <v>1962</v>
      </c>
      <c r="B9" s="21">
        <v>186.53800000000001</v>
      </c>
      <c r="C9" s="9" t="s">
        <v>3</v>
      </c>
      <c r="D9" s="9" t="s">
        <v>3</v>
      </c>
      <c r="E9" s="9" t="s">
        <v>3</v>
      </c>
      <c r="F9" s="9" t="s">
        <v>3</v>
      </c>
      <c r="G9" s="9" t="s">
        <v>3</v>
      </c>
      <c r="H9" s="9" t="s">
        <v>3</v>
      </c>
      <c r="I9" s="9" t="s">
        <v>3</v>
      </c>
      <c r="J9" s="9" t="s">
        <v>3</v>
      </c>
      <c r="K9" s="9" t="s">
        <v>3</v>
      </c>
    </row>
    <row r="10" spans="1:12" ht="12" customHeight="1" x14ac:dyDescent="0.2">
      <c r="A10" s="3">
        <v>1963</v>
      </c>
      <c r="B10" s="21">
        <v>189.24199999999999</v>
      </c>
      <c r="C10" s="9" t="s">
        <v>3</v>
      </c>
      <c r="D10" s="9" t="s">
        <v>3</v>
      </c>
      <c r="E10" s="9" t="s">
        <v>3</v>
      </c>
      <c r="F10" s="9" t="s">
        <v>3</v>
      </c>
      <c r="G10" s="9" t="s">
        <v>3</v>
      </c>
      <c r="H10" s="9" t="s">
        <v>3</v>
      </c>
      <c r="I10" s="9" t="s">
        <v>3</v>
      </c>
      <c r="J10" s="9" t="s">
        <v>3</v>
      </c>
      <c r="K10" s="9" t="s">
        <v>3</v>
      </c>
    </row>
    <row r="11" spans="1:12" ht="12" customHeight="1" x14ac:dyDescent="0.2">
      <c r="A11" s="3">
        <v>1964</v>
      </c>
      <c r="B11" s="21">
        <v>191.88900000000001</v>
      </c>
      <c r="C11" s="9" t="s">
        <v>3</v>
      </c>
      <c r="D11" s="9" t="s">
        <v>3</v>
      </c>
      <c r="E11" s="9" t="s">
        <v>3</v>
      </c>
      <c r="F11" s="9" t="s">
        <v>3</v>
      </c>
      <c r="G11" s="9" t="s">
        <v>3</v>
      </c>
      <c r="H11" s="9" t="s">
        <v>3</v>
      </c>
      <c r="I11" s="9" t="s">
        <v>3</v>
      </c>
      <c r="J11" s="9" t="s">
        <v>3</v>
      </c>
      <c r="K11" s="9" t="s">
        <v>3</v>
      </c>
    </row>
    <row r="12" spans="1:12" ht="12" customHeight="1" x14ac:dyDescent="0.2">
      <c r="A12" s="3">
        <v>1965</v>
      </c>
      <c r="B12" s="21">
        <v>194.303</v>
      </c>
      <c r="C12" s="9" t="s">
        <v>3</v>
      </c>
      <c r="D12" s="9" t="s">
        <v>3</v>
      </c>
      <c r="E12" s="9" t="s">
        <v>3</v>
      </c>
      <c r="F12" s="9" t="s">
        <v>3</v>
      </c>
      <c r="G12" s="9" t="s">
        <v>3</v>
      </c>
      <c r="H12" s="9" t="s">
        <v>3</v>
      </c>
      <c r="I12" s="9" t="s">
        <v>3</v>
      </c>
      <c r="J12" s="9" t="s">
        <v>3</v>
      </c>
      <c r="K12" s="9" t="s">
        <v>3</v>
      </c>
    </row>
    <row r="13" spans="1:12" ht="12" customHeight="1" x14ac:dyDescent="0.2">
      <c r="A13" s="2">
        <v>1966</v>
      </c>
      <c r="B13" s="20">
        <v>196.56</v>
      </c>
      <c r="C13" s="8" t="s">
        <v>3</v>
      </c>
      <c r="D13" s="8" t="s">
        <v>3</v>
      </c>
      <c r="E13" s="8" t="s">
        <v>3</v>
      </c>
      <c r="F13" s="8" t="s">
        <v>3</v>
      </c>
      <c r="G13" s="8" t="s">
        <v>3</v>
      </c>
      <c r="H13" s="8" t="s">
        <v>3</v>
      </c>
      <c r="I13" s="8" t="s">
        <v>3</v>
      </c>
      <c r="J13" s="8" t="s">
        <v>3</v>
      </c>
      <c r="K13" s="8" t="s">
        <v>3</v>
      </c>
    </row>
    <row r="14" spans="1:12" ht="12" customHeight="1" x14ac:dyDescent="0.2">
      <c r="A14" s="2">
        <v>1967</v>
      </c>
      <c r="B14" s="20">
        <v>198.71199999999999</v>
      </c>
      <c r="C14" s="8" t="s">
        <v>3</v>
      </c>
      <c r="D14" s="8" t="s">
        <v>3</v>
      </c>
      <c r="E14" s="8" t="s">
        <v>3</v>
      </c>
      <c r="F14" s="8" t="s">
        <v>3</v>
      </c>
      <c r="G14" s="8" t="s">
        <v>3</v>
      </c>
      <c r="H14" s="8" t="s">
        <v>3</v>
      </c>
      <c r="I14" s="8" t="s">
        <v>3</v>
      </c>
      <c r="J14" s="8" t="s">
        <v>3</v>
      </c>
      <c r="K14" s="8" t="s">
        <v>3</v>
      </c>
    </row>
    <row r="15" spans="1:12" ht="12" customHeight="1" x14ac:dyDescent="0.2">
      <c r="A15" s="2">
        <v>1968</v>
      </c>
      <c r="B15" s="20">
        <v>200.70599999999999</v>
      </c>
      <c r="C15" s="8" t="s">
        <v>3</v>
      </c>
      <c r="D15" s="8" t="s">
        <v>3</v>
      </c>
      <c r="E15" s="8" t="s">
        <v>3</v>
      </c>
      <c r="F15" s="8" t="s">
        <v>3</v>
      </c>
      <c r="G15" s="8" t="s">
        <v>3</v>
      </c>
      <c r="H15" s="8" t="s">
        <v>3</v>
      </c>
      <c r="I15" s="8" t="s">
        <v>3</v>
      </c>
      <c r="J15" s="8" t="s">
        <v>3</v>
      </c>
      <c r="K15" s="8" t="s">
        <v>3</v>
      </c>
    </row>
    <row r="16" spans="1:12" ht="12" customHeight="1" x14ac:dyDescent="0.2">
      <c r="A16" s="2">
        <v>1969</v>
      </c>
      <c r="B16" s="20">
        <v>202.67699999999999</v>
      </c>
      <c r="C16" s="8" t="s">
        <v>3</v>
      </c>
      <c r="D16" s="8" t="s">
        <v>3</v>
      </c>
      <c r="E16" s="8" t="s">
        <v>3</v>
      </c>
      <c r="F16" s="8" t="s">
        <v>3</v>
      </c>
      <c r="G16" s="8" t="s">
        <v>3</v>
      </c>
      <c r="H16" s="8" t="s">
        <v>3</v>
      </c>
      <c r="I16" s="8" t="s">
        <v>3</v>
      </c>
      <c r="J16" s="8" t="s">
        <v>3</v>
      </c>
      <c r="K16" s="8" t="s">
        <v>3</v>
      </c>
    </row>
    <row r="17" spans="1:11" ht="12" customHeight="1" x14ac:dyDescent="0.2">
      <c r="A17" s="2">
        <v>1970</v>
      </c>
      <c r="B17" s="20">
        <v>205.05199999999999</v>
      </c>
      <c r="C17" s="8" t="s">
        <v>3</v>
      </c>
      <c r="D17" s="8" t="s">
        <v>3</v>
      </c>
      <c r="E17" s="8" t="s">
        <v>3</v>
      </c>
      <c r="F17" s="8" t="s">
        <v>3</v>
      </c>
      <c r="G17" s="8" t="s">
        <v>3</v>
      </c>
      <c r="H17" s="8" t="s">
        <v>3</v>
      </c>
      <c r="I17" s="8" t="s">
        <v>3</v>
      </c>
      <c r="J17" s="8" t="s">
        <v>3</v>
      </c>
      <c r="K17" s="8" t="s">
        <v>3</v>
      </c>
    </row>
    <row r="18" spans="1:11" ht="12" customHeight="1" x14ac:dyDescent="0.2">
      <c r="A18" s="3">
        <v>1971</v>
      </c>
      <c r="B18" s="21">
        <v>207.661</v>
      </c>
      <c r="C18" s="9" t="s">
        <v>3</v>
      </c>
      <c r="D18" s="9" t="s">
        <v>3</v>
      </c>
      <c r="E18" s="9" t="s">
        <v>3</v>
      </c>
      <c r="F18" s="9" t="s">
        <v>3</v>
      </c>
      <c r="G18" s="9" t="s">
        <v>3</v>
      </c>
      <c r="H18" s="9" t="s">
        <v>3</v>
      </c>
      <c r="I18" s="9" t="s">
        <v>3</v>
      </c>
      <c r="J18" s="9" t="s">
        <v>3</v>
      </c>
      <c r="K18" s="9" t="s">
        <v>3</v>
      </c>
    </row>
    <row r="19" spans="1:11" ht="12" customHeight="1" x14ac:dyDescent="0.2">
      <c r="A19" s="3">
        <v>1972</v>
      </c>
      <c r="B19" s="21">
        <v>209.89599999999999</v>
      </c>
      <c r="C19" s="9" t="s">
        <v>3</v>
      </c>
      <c r="D19" s="9" t="s">
        <v>3</v>
      </c>
      <c r="E19" s="9" t="s">
        <v>3</v>
      </c>
      <c r="F19" s="9" t="s">
        <v>3</v>
      </c>
      <c r="G19" s="9" t="s">
        <v>3</v>
      </c>
      <c r="H19" s="9" t="s">
        <v>3</v>
      </c>
      <c r="I19" s="9" t="s">
        <v>3</v>
      </c>
      <c r="J19" s="9" t="s">
        <v>3</v>
      </c>
      <c r="K19" s="9" t="s">
        <v>3</v>
      </c>
    </row>
    <row r="20" spans="1:11" ht="12" customHeight="1" x14ac:dyDescent="0.2">
      <c r="A20" s="3">
        <v>1973</v>
      </c>
      <c r="B20" s="21">
        <v>211.90899999999999</v>
      </c>
      <c r="C20" s="9" t="s">
        <v>3</v>
      </c>
      <c r="D20" s="9" t="s">
        <v>3</v>
      </c>
      <c r="E20" s="9" t="s">
        <v>3</v>
      </c>
      <c r="F20" s="9" t="s">
        <v>3</v>
      </c>
      <c r="G20" s="9" t="s">
        <v>3</v>
      </c>
      <c r="H20" s="9" t="s">
        <v>3</v>
      </c>
      <c r="I20" s="9" t="s">
        <v>3</v>
      </c>
      <c r="J20" s="9" t="s">
        <v>3</v>
      </c>
      <c r="K20" s="9" t="s">
        <v>3</v>
      </c>
    </row>
    <row r="21" spans="1:11" ht="12" customHeight="1" x14ac:dyDescent="0.2">
      <c r="A21" s="3">
        <v>1974</v>
      </c>
      <c r="B21" s="21">
        <v>213.85400000000001</v>
      </c>
      <c r="C21" s="9" t="s">
        <v>3</v>
      </c>
      <c r="D21" s="9" t="s">
        <v>3</v>
      </c>
      <c r="E21" s="9" t="s">
        <v>3</v>
      </c>
      <c r="F21" s="9" t="s">
        <v>3</v>
      </c>
      <c r="G21" s="9" t="s">
        <v>3</v>
      </c>
      <c r="H21" s="9" t="s">
        <v>3</v>
      </c>
      <c r="I21" s="9" t="s">
        <v>3</v>
      </c>
      <c r="J21" s="9" t="s">
        <v>3</v>
      </c>
      <c r="K21" s="9" t="s">
        <v>3</v>
      </c>
    </row>
    <row r="22" spans="1:11" ht="12" customHeight="1" x14ac:dyDescent="0.2">
      <c r="A22" s="3">
        <v>1975</v>
      </c>
      <c r="B22" s="21">
        <v>215.97300000000001</v>
      </c>
      <c r="C22" s="9" t="s">
        <v>3</v>
      </c>
      <c r="D22" s="9" t="s">
        <v>3</v>
      </c>
      <c r="E22" s="9" t="s">
        <v>3</v>
      </c>
      <c r="F22" s="9" t="s">
        <v>3</v>
      </c>
      <c r="G22" s="9" t="s">
        <v>3</v>
      </c>
      <c r="H22" s="9" t="s">
        <v>3</v>
      </c>
      <c r="I22" s="9" t="s">
        <v>3</v>
      </c>
      <c r="J22" s="9" t="s">
        <v>3</v>
      </c>
      <c r="K22" s="9" t="s">
        <v>3</v>
      </c>
    </row>
    <row r="23" spans="1:11" ht="12" customHeight="1" x14ac:dyDescent="0.2">
      <c r="A23" s="2">
        <v>1976</v>
      </c>
      <c r="B23" s="20">
        <v>218.035</v>
      </c>
      <c r="C23" s="8" t="s">
        <v>3</v>
      </c>
      <c r="D23" s="8" t="s">
        <v>3</v>
      </c>
      <c r="E23" s="8" t="s">
        <v>3</v>
      </c>
      <c r="F23" s="8" t="s">
        <v>3</v>
      </c>
      <c r="G23" s="8" t="s">
        <v>3</v>
      </c>
      <c r="H23" s="8" t="s">
        <v>3</v>
      </c>
      <c r="I23" s="8" t="s">
        <v>3</v>
      </c>
      <c r="J23" s="8" t="s">
        <v>3</v>
      </c>
      <c r="K23" s="8" t="s">
        <v>3</v>
      </c>
    </row>
    <row r="24" spans="1:11" ht="12" customHeight="1" x14ac:dyDescent="0.2">
      <c r="A24" s="2">
        <v>1977</v>
      </c>
      <c r="B24" s="20">
        <v>220.23899999999998</v>
      </c>
      <c r="C24" s="8" t="s">
        <v>3</v>
      </c>
      <c r="D24" s="8" t="s">
        <v>3</v>
      </c>
      <c r="E24" s="8" t="s">
        <v>3</v>
      </c>
      <c r="F24" s="8" t="s">
        <v>3</v>
      </c>
      <c r="G24" s="8" t="s">
        <v>3</v>
      </c>
      <c r="H24" s="8" t="s">
        <v>3</v>
      </c>
      <c r="I24" s="8" t="s">
        <v>3</v>
      </c>
      <c r="J24" s="8" t="s">
        <v>3</v>
      </c>
      <c r="K24" s="8" t="s">
        <v>3</v>
      </c>
    </row>
    <row r="25" spans="1:11" ht="12" customHeight="1" x14ac:dyDescent="0.2">
      <c r="A25" s="2">
        <v>1978</v>
      </c>
      <c r="B25" s="20">
        <v>222.58500000000001</v>
      </c>
      <c r="C25" s="8" t="s">
        <v>3</v>
      </c>
      <c r="D25" s="8" t="s">
        <v>3</v>
      </c>
      <c r="E25" s="8" t="s">
        <v>3</v>
      </c>
      <c r="F25" s="8" t="s">
        <v>3</v>
      </c>
      <c r="G25" s="8" t="s">
        <v>3</v>
      </c>
      <c r="H25" s="8" t="s">
        <v>3</v>
      </c>
      <c r="I25" s="8" t="s">
        <v>3</v>
      </c>
      <c r="J25" s="8" t="s">
        <v>3</v>
      </c>
      <c r="K25" s="8" t="s">
        <v>3</v>
      </c>
    </row>
    <row r="26" spans="1:11" ht="12" customHeight="1" x14ac:dyDescent="0.2">
      <c r="A26" s="2">
        <v>1979</v>
      </c>
      <c r="B26" s="20">
        <v>225.05500000000001</v>
      </c>
      <c r="C26" s="8" t="s">
        <v>3</v>
      </c>
      <c r="D26" s="8" t="s">
        <v>3</v>
      </c>
      <c r="E26" s="8" t="s">
        <v>3</v>
      </c>
      <c r="F26" s="8" t="s">
        <v>3</v>
      </c>
      <c r="G26" s="8" t="s">
        <v>3</v>
      </c>
      <c r="H26" s="8" t="s">
        <v>3</v>
      </c>
      <c r="I26" s="8" t="s">
        <v>3</v>
      </c>
      <c r="J26" s="8" t="s">
        <v>3</v>
      </c>
      <c r="K26" s="8" t="s">
        <v>3</v>
      </c>
    </row>
    <row r="27" spans="1:11" ht="12" customHeight="1" x14ac:dyDescent="0.2">
      <c r="A27" s="2">
        <v>1980</v>
      </c>
      <c r="B27" s="20">
        <v>227.726</v>
      </c>
      <c r="C27" s="8" t="s">
        <v>3</v>
      </c>
      <c r="D27" s="8" t="s">
        <v>3</v>
      </c>
      <c r="E27" s="8" t="s">
        <v>3</v>
      </c>
      <c r="F27" s="8" t="s">
        <v>3</v>
      </c>
      <c r="G27" s="8" t="s">
        <v>3</v>
      </c>
      <c r="H27" s="8" t="s">
        <v>3</v>
      </c>
      <c r="I27" s="8" t="s">
        <v>3</v>
      </c>
      <c r="J27" s="8" t="s">
        <v>3</v>
      </c>
      <c r="K27" s="8" t="s">
        <v>3</v>
      </c>
    </row>
    <row r="28" spans="1:11" ht="12" customHeight="1" x14ac:dyDescent="0.2">
      <c r="A28" s="3">
        <v>1981</v>
      </c>
      <c r="B28" s="21">
        <v>229.96600000000001</v>
      </c>
      <c r="C28" s="9" t="s">
        <v>3</v>
      </c>
      <c r="D28" s="9" t="s">
        <v>3</v>
      </c>
      <c r="E28" s="9" t="s">
        <v>3</v>
      </c>
      <c r="F28" s="9" t="s">
        <v>3</v>
      </c>
      <c r="G28" s="9" t="s">
        <v>3</v>
      </c>
      <c r="H28" s="9" t="s">
        <v>3</v>
      </c>
      <c r="I28" s="9" t="s">
        <v>3</v>
      </c>
      <c r="J28" s="9" t="s">
        <v>3</v>
      </c>
      <c r="K28" s="9" t="s">
        <v>3</v>
      </c>
    </row>
    <row r="29" spans="1:11" ht="12" customHeight="1" x14ac:dyDescent="0.2">
      <c r="A29" s="3">
        <v>1982</v>
      </c>
      <c r="B29" s="21">
        <v>232.18799999999999</v>
      </c>
      <c r="C29" s="9" t="s">
        <v>3</v>
      </c>
      <c r="D29" s="9" t="s">
        <v>3</v>
      </c>
      <c r="E29" s="9" t="s">
        <v>3</v>
      </c>
      <c r="F29" s="9" t="s">
        <v>3</v>
      </c>
      <c r="G29" s="9" t="s">
        <v>3</v>
      </c>
      <c r="H29" s="9" t="s">
        <v>3</v>
      </c>
      <c r="I29" s="9" t="s">
        <v>3</v>
      </c>
      <c r="J29" s="9" t="s">
        <v>3</v>
      </c>
      <c r="K29" s="9" t="s">
        <v>3</v>
      </c>
    </row>
    <row r="30" spans="1:11" ht="12" customHeight="1" x14ac:dyDescent="0.2">
      <c r="A30" s="3">
        <v>1983</v>
      </c>
      <c r="B30" s="21">
        <v>234.30699999999999</v>
      </c>
      <c r="C30" s="9" t="s">
        <v>3</v>
      </c>
      <c r="D30" s="9" t="s">
        <v>3</v>
      </c>
      <c r="E30" s="9" t="s">
        <v>3</v>
      </c>
      <c r="F30" s="9" t="s">
        <v>3</v>
      </c>
      <c r="G30" s="9" t="s">
        <v>3</v>
      </c>
      <c r="H30" s="9" t="s">
        <v>3</v>
      </c>
      <c r="I30" s="9" t="s">
        <v>3</v>
      </c>
      <c r="J30" s="9" t="s">
        <v>3</v>
      </c>
      <c r="K30" s="9" t="s">
        <v>3</v>
      </c>
    </row>
    <row r="31" spans="1:11" ht="12" customHeight="1" x14ac:dyDescent="0.2">
      <c r="A31" s="3">
        <v>1984</v>
      </c>
      <c r="B31" s="21">
        <v>236.34800000000001</v>
      </c>
      <c r="C31" s="9" t="s">
        <v>3</v>
      </c>
      <c r="D31" s="9" t="s">
        <v>3</v>
      </c>
      <c r="E31" s="9" t="s">
        <v>3</v>
      </c>
      <c r="F31" s="9" t="s">
        <v>3</v>
      </c>
      <c r="G31" s="9" t="s">
        <v>3</v>
      </c>
      <c r="H31" s="9" t="s">
        <v>3</v>
      </c>
      <c r="I31" s="9" t="s">
        <v>3</v>
      </c>
      <c r="J31" s="9" t="s">
        <v>3</v>
      </c>
      <c r="K31" s="9" t="s">
        <v>3</v>
      </c>
    </row>
    <row r="32" spans="1:11" ht="12" customHeight="1" x14ac:dyDescent="0.2">
      <c r="A32" s="3">
        <v>1985</v>
      </c>
      <c r="B32" s="21">
        <v>238.46600000000001</v>
      </c>
      <c r="C32" s="9" t="s">
        <v>3</v>
      </c>
      <c r="D32" s="9" t="s">
        <v>3</v>
      </c>
      <c r="E32" s="9" t="s">
        <v>3</v>
      </c>
      <c r="F32" s="9" t="s">
        <v>3</v>
      </c>
      <c r="G32" s="9" t="s">
        <v>3</v>
      </c>
      <c r="H32" s="9" t="s">
        <v>3</v>
      </c>
      <c r="I32" s="9" t="s">
        <v>3</v>
      </c>
      <c r="J32" s="9" t="s">
        <v>3</v>
      </c>
      <c r="K32" s="9" t="s">
        <v>3</v>
      </c>
    </row>
    <row r="33" spans="1:11" ht="12" customHeight="1" x14ac:dyDescent="0.2">
      <c r="A33" s="2">
        <v>1986</v>
      </c>
      <c r="B33" s="20">
        <v>240.65100000000001</v>
      </c>
      <c r="C33" s="8" t="s">
        <v>3</v>
      </c>
      <c r="D33" s="8" t="s">
        <v>3</v>
      </c>
      <c r="E33" s="8" t="s">
        <v>3</v>
      </c>
      <c r="F33" s="8" t="s">
        <v>3</v>
      </c>
      <c r="G33" s="8" t="s">
        <v>3</v>
      </c>
      <c r="H33" s="8" t="s">
        <v>3</v>
      </c>
      <c r="I33" s="8" t="s">
        <v>3</v>
      </c>
      <c r="J33" s="8" t="s">
        <v>3</v>
      </c>
      <c r="K33" s="8" t="s">
        <v>3</v>
      </c>
    </row>
    <row r="34" spans="1:11" ht="12" customHeight="1" x14ac:dyDescent="0.2">
      <c r="A34" s="2">
        <v>1987</v>
      </c>
      <c r="B34" s="20">
        <v>242.804</v>
      </c>
      <c r="C34" s="8" t="s">
        <v>3</v>
      </c>
      <c r="D34" s="8" t="s">
        <v>3</v>
      </c>
      <c r="E34" s="8" t="s">
        <v>3</v>
      </c>
      <c r="F34" s="8" t="s">
        <v>3</v>
      </c>
      <c r="G34" s="8" t="s">
        <v>3</v>
      </c>
      <c r="H34" s="8" t="s">
        <v>3</v>
      </c>
      <c r="I34" s="8" t="s">
        <v>3</v>
      </c>
      <c r="J34" s="8" t="s">
        <v>3</v>
      </c>
      <c r="K34" s="8" t="s">
        <v>3</v>
      </c>
    </row>
    <row r="35" spans="1:11" ht="12" customHeight="1" x14ac:dyDescent="0.2">
      <c r="A35" s="2">
        <v>1988</v>
      </c>
      <c r="B35" s="20">
        <v>245.02099999999999</v>
      </c>
      <c r="C35" s="8" t="s">
        <v>3</v>
      </c>
      <c r="D35" s="8" t="s">
        <v>3</v>
      </c>
      <c r="E35" s="8" t="s">
        <v>3</v>
      </c>
      <c r="F35" s="8" t="s">
        <v>3</v>
      </c>
      <c r="G35" s="8" t="s">
        <v>3</v>
      </c>
      <c r="H35" s="8" t="s">
        <v>3</v>
      </c>
      <c r="I35" s="8" t="s">
        <v>3</v>
      </c>
      <c r="J35" s="8" t="s">
        <v>3</v>
      </c>
      <c r="K35" s="8" t="s">
        <v>3</v>
      </c>
    </row>
    <row r="36" spans="1:11" ht="12" customHeight="1" x14ac:dyDescent="0.2">
      <c r="A36" s="2">
        <v>1989</v>
      </c>
      <c r="B36" s="20">
        <v>247.34200000000001</v>
      </c>
      <c r="C36" s="8" t="s">
        <v>3</v>
      </c>
      <c r="D36" s="8" t="s">
        <v>3</v>
      </c>
      <c r="E36" s="8" t="s">
        <v>3</v>
      </c>
      <c r="F36" s="8" t="s">
        <v>3</v>
      </c>
      <c r="G36" s="8" t="s">
        <v>3</v>
      </c>
      <c r="H36" s="8" t="s">
        <v>3</v>
      </c>
      <c r="I36" s="8" t="s">
        <v>3</v>
      </c>
      <c r="J36" s="8" t="s">
        <v>3</v>
      </c>
      <c r="K36" s="8" t="s">
        <v>3</v>
      </c>
    </row>
    <row r="37" spans="1:11" ht="12" customHeight="1" x14ac:dyDescent="0.2">
      <c r="A37" s="2">
        <v>1990</v>
      </c>
      <c r="B37" s="20">
        <v>250.13200000000001</v>
      </c>
      <c r="C37" s="8" t="s">
        <v>3</v>
      </c>
      <c r="D37" s="8" t="s">
        <v>3</v>
      </c>
      <c r="E37" s="8" t="s">
        <v>3</v>
      </c>
      <c r="F37" s="8" t="s">
        <v>3</v>
      </c>
      <c r="G37" s="8" t="s">
        <v>3</v>
      </c>
      <c r="H37" s="8" t="s">
        <v>3</v>
      </c>
      <c r="I37" s="8" t="s">
        <v>3</v>
      </c>
      <c r="J37" s="8" t="s">
        <v>3</v>
      </c>
      <c r="K37" s="8" t="s">
        <v>3</v>
      </c>
    </row>
    <row r="38" spans="1:11" ht="12" customHeight="1" x14ac:dyDescent="0.2">
      <c r="A38" s="3">
        <v>1991</v>
      </c>
      <c r="B38" s="21">
        <v>253.49299999999999</v>
      </c>
      <c r="C38" s="9" t="s">
        <v>3</v>
      </c>
      <c r="D38" s="9" t="s">
        <v>3</v>
      </c>
      <c r="E38" s="9" t="s">
        <v>3</v>
      </c>
      <c r="F38" s="9" t="s">
        <v>3</v>
      </c>
      <c r="G38" s="9" t="s">
        <v>3</v>
      </c>
      <c r="H38" s="9" t="s">
        <v>3</v>
      </c>
      <c r="I38" s="9" t="s">
        <v>3</v>
      </c>
      <c r="J38" s="9" t="s">
        <v>3</v>
      </c>
      <c r="K38" s="9" t="s">
        <v>3</v>
      </c>
    </row>
    <row r="39" spans="1:11" ht="12" customHeight="1" x14ac:dyDescent="0.2">
      <c r="A39" s="3">
        <v>1992</v>
      </c>
      <c r="B39" s="21">
        <v>256.89400000000001</v>
      </c>
      <c r="C39" s="9" t="s">
        <v>3</v>
      </c>
      <c r="D39" s="9" t="s">
        <v>3</v>
      </c>
      <c r="E39" s="9" t="s">
        <v>3</v>
      </c>
      <c r="F39" s="9" t="s">
        <v>3</v>
      </c>
      <c r="G39" s="9" t="s">
        <v>3</v>
      </c>
      <c r="H39" s="9" t="s">
        <v>3</v>
      </c>
      <c r="I39" s="9" t="s">
        <v>3</v>
      </c>
      <c r="J39" s="9" t="s">
        <v>3</v>
      </c>
      <c r="K39" s="9" t="s">
        <v>3</v>
      </c>
    </row>
    <row r="40" spans="1:11" ht="12" customHeight="1" x14ac:dyDescent="0.2">
      <c r="A40" s="3">
        <v>1993</v>
      </c>
      <c r="B40" s="21">
        <v>260.255</v>
      </c>
      <c r="C40" s="9" t="s">
        <v>3</v>
      </c>
      <c r="D40" s="9" t="s">
        <v>3</v>
      </c>
      <c r="E40" s="9" t="s">
        <v>3</v>
      </c>
      <c r="F40" s="9" t="s">
        <v>3</v>
      </c>
      <c r="G40" s="9" t="s">
        <v>3</v>
      </c>
      <c r="H40" s="9" t="s">
        <v>3</v>
      </c>
      <c r="I40" s="9" t="s">
        <v>3</v>
      </c>
      <c r="J40" s="9" t="s">
        <v>3</v>
      </c>
      <c r="K40" s="9" t="s">
        <v>3</v>
      </c>
    </row>
    <row r="41" spans="1:11" ht="12" customHeight="1" x14ac:dyDescent="0.2">
      <c r="A41" s="3">
        <v>1994</v>
      </c>
      <c r="B41" s="21">
        <v>263.43599999999998</v>
      </c>
      <c r="C41" s="9" t="s">
        <v>3</v>
      </c>
      <c r="D41" s="9" t="s">
        <v>3</v>
      </c>
      <c r="E41" s="9" t="s">
        <v>3</v>
      </c>
      <c r="F41" s="9" t="s">
        <v>3</v>
      </c>
      <c r="G41" s="9" t="s">
        <v>3</v>
      </c>
      <c r="H41" s="9" t="s">
        <v>3</v>
      </c>
      <c r="I41" s="9" t="s">
        <v>3</v>
      </c>
      <c r="J41" s="9" t="s">
        <v>3</v>
      </c>
      <c r="K41" s="9" t="s">
        <v>3</v>
      </c>
    </row>
    <row r="42" spans="1:11" ht="12" customHeight="1" x14ac:dyDescent="0.2">
      <c r="A42" s="3">
        <v>1995</v>
      </c>
      <c r="B42" s="21">
        <v>266.55700000000002</v>
      </c>
      <c r="C42" s="9" t="s">
        <v>3</v>
      </c>
      <c r="D42" s="9" t="s">
        <v>3</v>
      </c>
      <c r="E42" s="9" t="s">
        <v>3</v>
      </c>
      <c r="F42" s="9" t="s">
        <v>3</v>
      </c>
      <c r="G42" s="9" t="s">
        <v>3</v>
      </c>
      <c r="H42" s="9" t="s">
        <v>3</v>
      </c>
      <c r="I42" s="9" t="s">
        <v>3</v>
      </c>
      <c r="J42" s="9" t="s">
        <v>3</v>
      </c>
      <c r="K42" s="9" t="s">
        <v>3</v>
      </c>
    </row>
    <row r="43" spans="1:11" ht="12" customHeight="1" x14ac:dyDescent="0.2">
      <c r="A43" s="2">
        <v>1996</v>
      </c>
      <c r="B43" s="20">
        <v>269.66699999999997</v>
      </c>
      <c r="C43" s="8" t="s">
        <v>3</v>
      </c>
      <c r="D43" s="8" t="s">
        <v>3</v>
      </c>
      <c r="E43" s="8" t="s">
        <v>3</v>
      </c>
      <c r="F43" s="8" t="s">
        <v>3</v>
      </c>
      <c r="G43" s="8" t="s">
        <v>3</v>
      </c>
      <c r="H43" s="8" t="s">
        <v>3</v>
      </c>
      <c r="I43" s="8" t="s">
        <v>3</v>
      </c>
      <c r="J43" s="8" t="s">
        <v>3</v>
      </c>
      <c r="K43" s="8" t="s">
        <v>3</v>
      </c>
    </row>
    <row r="44" spans="1:11" ht="12" customHeight="1" x14ac:dyDescent="0.2">
      <c r="A44" s="2">
        <v>1997</v>
      </c>
      <c r="B44" s="20">
        <v>272.91199999999998</v>
      </c>
      <c r="C44" s="8">
        <v>215.95600000000002</v>
      </c>
      <c r="D44" s="8">
        <v>1</v>
      </c>
      <c r="E44" s="8" t="s">
        <v>3</v>
      </c>
      <c r="F44" s="8">
        <f t="shared" ref="F44:F62" si="0">SUM(C44,D44,E44)</f>
        <v>216.95600000000002</v>
      </c>
      <c r="G44" s="8" t="s">
        <v>3</v>
      </c>
      <c r="H44" s="8" t="s">
        <v>3</v>
      </c>
      <c r="I44" s="8">
        <f t="shared" ref="I44:I59" si="1">F44-SUM(G44,H44)</f>
        <v>216.95600000000002</v>
      </c>
      <c r="J44" s="142">
        <f t="shared" ref="J44:J59" si="2">IF(I44=0,0,IF(B44=0,0,I44/B44))</f>
        <v>0.79496687576947889</v>
      </c>
      <c r="K44" s="142">
        <f t="shared" ref="K44:K50" si="3">J44*0.88</f>
        <v>0.69957085067714142</v>
      </c>
    </row>
    <row r="45" spans="1:11" ht="12" customHeight="1" x14ac:dyDescent="0.2">
      <c r="A45" s="2">
        <v>1998</v>
      </c>
      <c r="B45" s="20">
        <v>276.11500000000001</v>
      </c>
      <c r="C45" s="8">
        <v>216.39800000000002</v>
      </c>
      <c r="D45" s="8">
        <v>1</v>
      </c>
      <c r="E45" s="8" t="s">
        <v>3</v>
      </c>
      <c r="F45" s="8">
        <f t="shared" si="0"/>
        <v>217.39800000000002</v>
      </c>
      <c r="G45" s="8" t="s">
        <v>3</v>
      </c>
      <c r="H45" s="8" t="s">
        <v>3</v>
      </c>
      <c r="I45" s="8">
        <f t="shared" si="1"/>
        <v>217.39800000000002</v>
      </c>
      <c r="J45" s="142">
        <f t="shared" si="2"/>
        <v>0.7873458522716984</v>
      </c>
      <c r="K45" s="142">
        <f t="shared" si="3"/>
        <v>0.69286434999909463</v>
      </c>
    </row>
    <row r="46" spans="1:11" ht="12" customHeight="1" x14ac:dyDescent="0.2">
      <c r="A46" s="2">
        <v>1999</v>
      </c>
      <c r="B46" s="20">
        <v>279.29500000000002</v>
      </c>
      <c r="C46" s="8">
        <v>216.84000000000003</v>
      </c>
      <c r="D46" s="8">
        <v>1</v>
      </c>
      <c r="E46" s="8" t="s">
        <v>3</v>
      </c>
      <c r="F46" s="8">
        <f t="shared" si="0"/>
        <v>217.84000000000003</v>
      </c>
      <c r="G46" s="8" t="s">
        <v>3</v>
      </c>
      <c r="H46" s="8" t="s">
        <v>3</v>
      </c>
      <c r="I46" s="8">
        <f t="shared" si="1"/>
        <v>217.84000000000003</v>
      </c>
      <c r="J46" s="142">
        <f t="shared" si="2"/>
        <v>0.77996383751946874</v>
      </c>
      <c r="K46" s="142">
        <f t="shared" si="3"/>
        <v>0.68636817701713249</v>
      </c>
    </row>
    <row r="47" spans="1:11" ht="12" customHeight="1" x14ac:dyDescent="0.2">
      <c r="A47" s="2">
        <v>2000</v>
      </c>
      <c r="B47" s="20">
        <v>282.38499999999999</v>
      </c>
      <c r="C47" s="8">
        <v>217.28200000000004</v>
      </c>
      <c r="D47" s="8">
        <v>1</v>
      </c>
      <c r="E47" s="8" t="s">
        <v>3</v>
      </c>
      <c r="F47" s="8">
        <f t="shared" si="0"/>
        <v>218.28200000000004</v>
      </c>
      <c r="G47" s="8" t="s">
        <v>3</v>
      </c>
      <c r="H47" s="8" t="s">
        <v>3</v>
      </c>
      <c r="I47" s="8">
        <f t="shared" si="1"/>
        <v>218.28200000000004</v>
      </c>
      <c r="J47" s="142">
        <f t="shared" si="2"/>
        <v>0.77299431627034032</v>
      </c>
      <c r="K47" s="142">
        <f t="shared" si="3"/>
        <v>0.68023499831789946</v>
      </c>
    </row>
    <row r="48" spans="1:11" ht="12" customHeight="1" x14ac:dyDescent="0.2">
      <c r="A48" s="3">
        <v>2001</v>
      </c>
      <c r="B48" s="21">
        <v>285.30901899999998</v>
      </c>
      <c r="C48" s="9">
        <v>217.72400000000005</v>
      </c>
      <c r="D48" s="9">
        <v>1</v>
      </c>
      <c r="E48" s="9" t="s">
        <v>3</v>
      </c>
      <c r="F48" s="9">
        <f t="shared" si="0"/>
        <v>218.72400000000005</v>
      </c>
      <c r="G48" s="9" t="s">
        <v>3</v>
      </c>
      <c r="H48" s="9" t="s">
        <v>3</v>
      </c>
      <c r="I48" s="9">
        <f t="shared" si="1"/>
        <v>218.72400000000005</v>
      </c>
      <c r="J48" s="143">
        <f t="shared" si="2"/>
        <v>0.7666214014776731</v>
      </c>
      <c r="K48" s="143">
        <f t="shared" si="3"/>
        <v>0.67462683330035234</v>
      </c>
    </row>
    <row r="49" spans="1:12" ht="12" customHeight="1" x14ac:dyDescent="0.2">
      <c r="A49" s="3">
        <v>2002</v>
      </c>
      <c r="B49" s="21">
        <v>288.10481800000002</v>
      </c>
      <c r="C49" s="9">
        <v>218.166</v>
      </c>
      <c r="D49" s="9">
        <v>0.89333333333333331</v>
      </c>
      <c r="E49" s="9" t="s">
        <v>3</v>
      </c>
      <c r="F49" s="9">
        <f t="shared" si="0"/>
        <v>219.05933333333334</v>
      </c>
      <c r="G49" s="9" t="s">
        <v>3</v>
      </c>
      <c r="H49" s="9" t="s">
        <v>3</v>
      </c>
      <c r="I49" s="9">
        <f t="shared" si="1"/>
        <v>219.05933333333334</v>
      </c>
      <c r="J49" s="143">
        <f t="shared" si="2"/>
        <v>0.76034595621838341</v>
      </c>
      <c r="K49" s="143">
        <f t="shared" si="3"/>
        <v>0.6691044414721774</v>
      </c>
    </row>
    <row r="50" spans="1:12" ht="12" customHeight="1" x14ac:dyDescent="0.2">
      <c r="A50" s="3">
        <v>2003</v>
      </c>
      <c r="B50" s="21">
        <v>290.81963400000001</v>
      </c>
      <c r="C50" s="9">
        <v>251.91216553595655</v>
      </c>
      <c r="D50" s="9">
        <v>0.97333333333333338</v>
      </c>
      <c r="E50" s="9" t="s">
        <v>3</v>
      </c>
      <c r="F50" s="9">
        <f t="shared" si="0"/>
        <v>252.88549886928988</v>
      </c>
      <c r="G50" s="9" t="s">
        <v>3</v>
      </c>
      <c r="H50" s="9" t="s">
        <v>3</v>
      </c>
      <c r="I50" s="9">
        <f t="shared" si="1"/>
        <v>252.88549886928988</v>
      </c>
      <c r="J50" s="143">
        <f t="shared" si="2"/>
        <v>0.86956129952797434</v>
      </c>
      <c r="K50" s="143">
        <f t="shared" si="3"/>
        <v>0.76521394358461747</v>
      </c>
    </row>
    <row r="51" spans="1:12" ht="12" customHeight="1" x14ac:dyDescent="0.2">
      <c r="A51" s="3">
        <v>2004</v>
      </c>
      <c r="B51" s="21">
        <v>293.46318500000001</v>
      </c>
      <c r="C51" s="9">
        <v>248.26126458616011</v>
      </c>
      <c r="D51" s="9">
        <v>0.84666666666666679</v>
      </c>
      <c r="E51" s="9" t="s">
        <v>3</v>
      </c>
      <c r="F51" s="9">
        <f t="shared" si="0"/>
        <v>249.10793125282677</v>
      </c>
      <c r="G51" s="9" t="s">
        <v>3</v>
      </c>
      <c r="H51" s="9" t="s">
        <v>3</v>
      </c>
      <c r="I51" s="9">
        <f t="shared" si="1"/>
        <v>249.10793125282677</v>
      </c>
      <c r="J51" s="143">
        <f t="shared" si="2"/>
        <v>0.84885581560367362</v>
      </c>
      <c r="K51" s="143">
        <f t="shared" ref="K51:K56" si="4">J51*0.88</f>
        <v>0.74699311773123278</v>
      </c>
    </row>
    <row r="52" spans="1:12" ht="12" customHeight="1" x14ac:dyDescent="0.2">
      <c r="A52" s="3">
        <v>2005</v>
      </c>
      <c r="B52" s="21">
        <v>296.186216</v>
      </c>
      <c r="C52" s="9">
        <v>218.75803799185888</v>
      </c>
      <c r="D52" s="9">
        <v>0.7333333333333335</v>
      </c>
      <c r="E52" s="9" t="s">
        <v>3</v>
      </c>
      <c r="F52" s="9">
        <f t="shared" si="0"/>
        <v>219.4913713251922</v>
      </c>
      <c r="G52" s="9" t="s">
        <v>3</v>
      </c>
      <c r="H52" s="9" t="s">
        <v>3</v>
      </c>
      <c r="I52" s="9">
        <f t="shared" si="1"/>
        <v>219.4913713251922</v>
      </c>
      <c r="J52" s="143">
        <f t="shared" si="2"/>
        <v>0.74105869709072558</v>
      </c>
      <c r="K52" s="143">
        <f t="shared" si="4"/>
        <v>0.65213165343983848</v>
      </c>
    </row>
    <row r="53" spans="1:12" ht="12" customHeight="1" x14ac:dyDescent="0.2">
      <c r="A53" s="2">
        <v>2006</v>
      </c>
      <c r="B53" s="20">
        <v>298.99582500000002</v>
      </c>
      <c r="C53" s="8">
        <v>192.80703934871099</v>
      </c>
      <c r="D53" s="8">
        <v>0.6100000000000001</v>
      </c>
      <c r="E53" s="8" t="s">
        <v>3</v>
      </c>
      <c r="F53" s="8">
        <f t="shared" si="0"/>
        <v>193.417039348711</v>
      </c>
      <c r="G53" s="8" t="s">
        <v>3</v>
      </c>
      <c r="H53" s="8" t="s">
        <v>3</v>
      </c>
      <c r="I53" s="8">
        <f t="shared" si="1"/>
        <v>193.417039348711</v>
      </c>
      <c r="J53" s="142">
        <f t="shared" si="2"/>
        <v>0.64688876290734487</v>
      </c>
      <c r="K53" s="142">
        <f t="shared" si="4"/>
        <v>0.5692621113584635</v>
      </c>
    </row>
    <row r="54" spans="1:12" ht="12" customHeight="1" x14ac:dyDescent="0.2">
      <c r="A54" s="2">
        <v>2007</v>
      </c>
      <c r="B54" s="20">
        <v>302.003917</v>
      </c>
      <c r="C54" s="8">
        <v>204.2586</v>
      </c>
      <c r="D54" s="8">
        <v>0.82666666666666677</v>
      </c>
      <c r="E54" s="8" t="s">
        <v>3</v>
      </c>
      <c r="F54" s="8">
        <f t="shared" si="0"/>
        <v>205.08526666666666</v>
      </c>
      <c r="G54" s="8" t="s">
        <v>3</v>
      </c>
      <c r="H54" s="8" t="s">
        <v>3</v>
      </c>
      <c r="I54" s="8">
        <f t="shared" si="1"/>
        <v>205.08526666666666</v>
      </c>
      <c r="J54" s="142">
        <f t="shared" si="2"/>
        <v>0.67908147915401595</v>
      </c>
      <c r="K54" s="142">
        <f t="shared" si="4"/>
        <v>0.59759170165553399</v>
      </c>
    </row>
    <row r="55" spans="1:12" ht="12" customHeight="1" x14ac:dyDescent="0.2">
      <c r="A55" s="2">
        <v>2008</v>
      </c>
      <c r="B55" s="20">
        <v>304.79776099999998</v>
      </c>
      <c r="C55" s="8">
        <v>212.27606399999996</v>
      </c>
      <c r="D55" s="8">
        <v>0.66666666666666674</v>
      </c>
      <c r="E55" s="8" t="s">
        <v>3</v>
      </c>
      <c r="F55" s="8">
        <f t="shared" si="0"/>
        <v>212.94273066666662</v>
      </c>
      <c r="G55" s="8" t="s">
        <v>3</v>
      </c>
      <c r="H55" s="8" t="s">
        <v>3</v>
      </c>
      <c r="I55" s="8">
        <f t="shared" si="1"/>
        <v>212.94273066666662</v>
      </c>
      <c r="J55" s="142">
        <f t="shared" si="2"/>
        <v>0.69863613816594483</v>
      </c>
      <c r="K55" s="142">
        <f t="shared" si="4"/>
        <v>0.61479980158603142</v>
      </c>
    </row>
    <row r="56" spans="1:12" ht="12" customHeight="1" x14ac:dyDescent="0.2">
      <c r="A56" s="2">
        <v>2009</v>
      </c>
      <c r="B56" s="20">
        <v>307.43940600000002</v>
      </c>
      <c r="C56" s="8">
        <v>217.15108799999996</v>
      </c>
      <c r="D56" s="8">
        <v>0.42000000000000004</v>
      </c>
      <c r="E56" s="8" t="s">
        <v>3</v>
      </c>
      <c r="F56" s="8">
        <f t="shared" si="0"/>
        <v>217.57108799999995</v>
      </c>
      <c r="G56" s="8" t="s">
        <v>3</v>
      </c>
      <c r="H56" s="8" t="s">
        <v>3</v>
      </c>
      <c r="I56" s="8">
        <f t="shared" si="1"/>
        <v>217.57108799999995</v>
      </c>
      <c r="J56" s="142">
        <f t="shared" si="2"/>
        <v>0.70768770611012677</v>
      </c>
      <c r="K56" s="142">
        <f t="shared" si="4"/>
        <v>0.62276518137691161</v>
      </c>
    </row>
    <row r="57" spans="1:12" ht="12" customHeight="1" x14ac:dyDescent="0.2">
      <c r="A57" s="2">
        <v>2010</v>
      </c>
      <c r="B57" s="20">
        <v>309.74127900000002</v>
      </c>
      <c r="C57" s="8">
        <v>288.12934079999991</v>
      </c>
      <c r="D57" s="8">
        <v>0.4333333333333334</v>
      </c>
      <c r="E57" s="8" t="s">
        <v>3</v>
      </c>
      <c r="F57" s="8">
        <f t="shared" si="0"/>
        <v>288.56267413333325</v>
      </c>
      <c r="G57" s="8" t="s">
        <v>3</v>
      </c>
      <c r="H57" s="8" t="s">
        <v>3</v>
      </c>
      <c r="I57" s="8">
        <f t="shared" si="1"/>
        <v>288.56267413333325</v>
      </c>
      <c r="J57" s="142">
        <f t="shared" si="2"/>
        <v>0.93162485499174696</v>
      </c>
      <c r="K57" s="142">
        <f t="shared" ref="K57:K62" si="5">J57*0.88</f>
        <v>0.8198298723927373</v>
      </c>
    </row>
    <row r="58" spans="1:12" ht="12" customHeight="1" x14ac:dyDescent="0.2">
      <c r="A58" s="33">
        <v>2011</v>
      </c>
      <c r="B58" s="31">
        <v>311.97391399999998</v>
      </c>
      <c r="C58" s="39">
        <v>272.45325799999995</v>
      </c>
      <c r="D58" s="39">
        <v>0.4366666666666667</v>
      </c>
      <c r="E58" s="39" t="s">
        <v>3</v>
      </c>
      <c r="F58" s="39">
        <f t="shared" si="0"/>
        <v>272.88992466666662</v>
      </c>
      <c r="G58" s="39" t="s">
        <v>3</v>
      </c>
      <c r="H58" s="39" t="s">
        <v>3</v>
      </c>
      <c r="I58" s="39">
        <f t="shared" si="1"/>
        <v>272.88992466666662</v>
      </c>
      <c r="J58" s="144">
        <f t="shared" si="2"/>
        <v>0.87472032891399576</v>
      </c>
      <c r="K58" s="144">
        <f t="shared" si="5"/>
        <v>0.76975388944431622</v>
      </c>
    </row>
    <row r="59" spans="1:12" s="43" customFormat="1" ht="12" customHeight="1" x14ac:dyDescent="0.2">
      <c r="A59" s="33">
        <v>2012</v>
      </c>
      <c r="B59" s="31">
        <v>314.16755799999999</v>
      </c>
      <c r="C59" s="39">
        <v>346.08394800000002</v>
      </c>
      <c r="D59" s="39">
        <v>0.53666666666666674</v>
      </c>
      <c r="E59" s="39" t="s">
        <v>3</v>
      </c>
      <c r="F59" s="39">
        <f t="shared" si="0"/>
        <v>346.62061466666671</v>
      </c>
      <c r="G59" s="39" t="s">
        <v>3</v>
      </c>
      <c r="H59" s="39" t="s">
        <v>3</v>
      </c>
      <c r="I59" s="39">
        <f t="shared" si="1"/>
        <v>346.62061466666671</v>
      </c>
      <c r="J59" s="144">
        <f t="shared" si="2"/>
        <v>1.1032985610394144</v>
      </c>
      <c r="K59" s="144">
        <f t="shared" si="5"/>
        <v>0.97090273371468461</v>
      </c>
      <c r="L59"/>
    </row>
    <row r="60" spans="1:12" s="93" customFormat="1" ht="12" customHeight="1" x14ac:dyDescent="0.2">
      <c r="A60" s="33">
        <v>2013</v>
      </c>
      <c r="B60" s="31">
        <v>316.29476599999998</v>
      </c>
      <c r="C60" s="39">
        <v>401.58988799999997</v>
      </c>
      <c r="D60" s="39">
        <v>0.66333333333333344</v>
      </c>
      <c r="E60" s="39" t="s">
        <v>3</v>
      </c>
      <c r="F60" s="39">
        <f t="shared" si="0"/>
        <v>402.25322133333333</v>
      </c>
      <c r="G60" s="39" t="s">
        <v>3</v>
      </c>
      <c r="H60" s="39" t="s">
        <v>3</v>
      </c>
      <c r="I60" s="39">
        <f t="shared" ref="I60" si="6">F60-SUM(G60,H60)</f>
        <v>402.25322133333333</v>
      </c>
      <c r="J60" s="144">
        <f t="shared" ref="J60" si="7">IF(I60=0,0,IF(B60=0,0,I60/B60))</f>
        <v>1.2717669230521929</v>
      </c>
      <c r="K60" s="144">
        <f t="shared" si="5"/>
        <v>1.1191548922859298</v>
      </c>
      <c r="L60" s="83"/>
    </row>
    <row r="61" spans="1:12" s="93" customFormat="1" ht="12" customHeight="1" x14ac:dyDescent="0.2">
      <c r="A61" s="33">
        <v>2014</v>
      </c>
      <c r="B61" s="31">
        <v>318.576955</v>
      </c>
      <c r="C61" s="39">
        <v>489.09057119999994</v>
      </c>
      <c r="D61" s="39">
        <v>0.91333333333333344</v>
      </c>
      <c r="E61" s="39" t="s">
        <v>3</v>
      </c>
      <c r="F61" s="39">
        <f t="shared" si="0"/>
        <v>490.0039045333333</v>
      </c>
      <c r="G61" s="39" t="s">
        <v>3</v>
      </c>
      <c r="H61" s="39" t="s">
        <v>3</v>
      </c>
      <c r="I61" s="39">
        <f t="shared" ref="I61" si="8">F61-SUM(G61,H61)</f>
        <v>490.0039045333333</v>
      </c>
      <c r="J61" s="144">
        <f t="shared" ref="J61" si="9">IF(I61=0,0,IF(B61=0,0,I61/B61))</f>
        <v>1.5381021660318566</v>
      </c>
      <c r="K61" s="144">
        <f t="shared" si="5"/>
        <v>1.3535299061080337</v>
      </c>
      <c r="L61" s="83"/>
    </row>
    <row r="62" spans="1:12" s="93" customFormat="1" ht="12" customHeight="1" x14ac:dyDescent="0.2">
      <c r="A62" s="33">
        <v>2015</v>
      </c>
      <c r="B62" s="31">
        <v>320.87070299999999</v>
      </c>
      <c r="C62" s="39">
        <v>417.38875359999992</v>
      </c>
      <c r="D62" s="39">
        <v>1.0166666666666666</v>
      </c>
      <c r="E62" s="39" t="s">
        <v>3</v>
      </c>
      <c r="F62" s="39">
        <f t="shared" si="0"/>
        <v>418.40542026666657</v>
      </c>
      <c r="G62" s="39" t="s">
        <v>3</v>
      </c>
      <c r="H62" s="39" t="s">
        <v>3</v>
      </c>
      <c r="I62" s="39">
        <f t="shared" ref="I62" si="10">F62-SUM(G62,H62)</f>
        <v>418.40542026666657</v>
      </c>
      <c r="J62" s="144">
        <f t="shared" ref="J62" si="11">IF(I62=0,0,IF(B62=0,0,I62/B62))</f>
        <v>1.3039689082074488</v>
      </c>
      <c r="K62" s="144">
        <f t="shared" si="5"/>
        <v>1.1474926392225551</v>
      </c>
      <c r="L62" s="83"/>
    </row>
    <row r="63" spans="1:12" s="93" customFormat="1" ht="12" customHeight="1" x14ac:dyDescent="0.2">
      <c r="A63" s="128">
        <v>2016</v>
      </c>
      <c r="B63" s="129">
        <v>323.16101099999997</v>
      </c>
      <c r="C63" s="130">
        <v>352.73856239999998</v>
      </c>
      <c r="D63" s="130">
        <v>1.0433333333333332</v>
      </c>
      <c r="E63" s="130" t="s">
        <v>3</v>
      </c>
      <c r="F63" s="130">
        <f t="shared" ref="F63:F64" si="12">SUM(C63,D63,E63)</f>
        <v>353.78189573333333</v>
      </c>
      <c r="G63" s="130" t="s">
        <v>3</v>
      </c>
      <c r="H63" s="130" t="s">
        <v>3</v>
      </c>
      <c r="I63" s="130">
        <f t="shared" ref="I63:I64" si="13">F63-SUM(G63,H63)</f>
        <v>353.78189573333333</v>
      </c>
      <c r="J63" s="145">
        <f t="shared" ref="J63:J64" si="14">IF(I63=0,0,IF(B63=0,0,I63/B63))</f>
        <v>1.0947542670403805</v>
      </c>
      <c r="K63" s="145">
        <f t="shared" ref="K63:K64" si="15">J63*0.88</f>
        <v>0.96338375499553486</v>
      </c>
      <c r="L63" s="83"/>
    </row>
    <row r="64" spans="1:12" s="93" customFormat="1" ht="12" customHeight="1" x14ac:dyDescent="0.2">
      <c r="A64" s="125">
        <v>2017</v>
      </c>
      <c r="B64" s="126">
        <v>325.20603</v>
      </c>
      <c r="C64" s="127">
        <v>356.04164400000002</v>
      </c>
      <c r="D64" s="127">
        <v>1.0833333333333333</v>
      </c>
      <c r="E64" s="127" t="s">
        <v>3</v>
      </c>
      <c r="F64" s="127">
        <f t="shared" si="12"/>
        <v>357.12497733333333</v>
      </c>
      <c r="G64" s="127" t="s">
        <v>3</v>
      </c>
      <c r="H64" s="127" t="s">
        <v>3</v>
      </c>
      <c r="I64" s="127">
        <f t="shared" si="13"/>
        <v>357.12497733333333</v>
      </c>
      <c r="J64" s="146">
        <f t="shared" si="14"/>
        <v>1.0981499246288065</v>
      </c>
      <c r="K64" s="146">
        <f t="shared" si="15"/>
        <v>0.96637193367334973</v>
      </c>
      <c r="L64" s="83"/>
    </row>
    <row r="65" spans="1:12" s="93" customFormat="1" ht="12" customHeight="1" x14ac:dyDescent="0.2">
      <c r="A65" s="125">
        <v>2018</v>
      </c>
      <c r="B65" s="126">
        <v>326.92397599999998</v>
      </c>
      <c r="C65" s="127">
        <v>399.33043359999999</v>
      </c>
      <c r="D65" s="127">
        <v>1.192090395480226</v>
      </c>
      <c r="E65" s="127" t="s">
        <v>3</v>
      </c>
      <c r="F65" s="127">
        <f t="shared" ref="F65:F67" si="16">SUM(C65,D65,E65)</f>
        <v>400.52252399548024</v>
      </c>
      <c r="G65" s="127" t="s">
        <v>3</v>
      </c>
      <c r="H65" s="127" t="s">
        <v>3</v>
      </c>
      <c r="I65" s="127">
        <f t="shared" ref="I65:I67" si="17">F65-SUM(G65,H65)</f>
        <v>400.52252399548024</v>
      </c>
      <c r="J65" s="146">
        <f t="shared" ref="J65:J67" si="18">IF(I65=0,0,IF(B65=0,0,I65/B65))</f>
        <v>1.2251243512206651</v>
      </c>
      <c r="K65" s="146">
        <f t="shared" ref="K65:K67" si="19">J65*0.88</f>
        <v>1.0781094290741853</v>
      </c>
      <c r="L65" s="83"/>
    </row>
    <row r="66" spans="1:12" s="93" customFormat="1" ht="12" customHeight="1" x14ac:dyDescent="0.2">
      <c r="A66" s="128">
        <v>2019</v>
      </c>
      <c r="B66" s="129">
        <v>328.475998</v>
      </c>
      <c r="C66" s="130">
        <v>401.81788879803798</v>
      </c>
      <c r="D66" s="162">
        <v>1.1099999999999999</v>
      </c>
      <c r="E66" s="130" t="s">
        <v>3</v>
      </c>
      <c r="F66" s="130">
        <f t="shared" si="16"/>
        <v>402.927888798038</v>
      </c>
      <c r="G66" s="130" t="s">
        <v>3</v>
      </c>
      <c r="H66" s="130" t="s">
        <v>3</v>
      </c>
      <c r="I66" s="130">
        <f t="shared" si="17"/>
        <v>402.927888798038</v>
      </c>
      <c r="J66" s="145">
        <f t="shared" si="18"/>
        <v>1.2266585420285046</v>
      </c>
      <c r="K66" s="145">
        <f t="shared" si="19"/>
        <v>1.079459516985084</v>
      </c>
      <c r="L66" s="83"/>
    </row>
    <row r="67" spans="1:12" s="93" customFormat="1" ht="12" customHeight="1" thickBot="1" x14ac:dyDescent="0.25">
      <c r="A67" s="148">
        <v>2020</v>
      </c>
      <c r="B67" s="149">
        <v>330.11398000000003</v>
      </c>
      <c r="C67" s="147">
        <v>416.27128144387865</v>
      </c>
      <c r="D67" s="124">
        <v>1.1284745762711865</v>
      </c>
      <c r="E67" s="150" t="s">
        <v>3</v>
      </c>
      <c r="F67" s="150">
        <f t="shared" si="16"/>
        <v>417.39975602014982</v>
      </c>
      <c r="G67" s="150" t="s">
        <v>3</v>
      </c>
      <c r="H67" s="150" t="s">
        <v>3</v>
      </c>
      <c r="I67" s="150">
        <f t="shared" si="17"/>
        <v>417.39975602014982</v>
      </c>
      <c r="J67" s="152">
        <f t="shared" si="18"/>
        <v>1.2644110256104566</v>
      </c>
      <c r="K67" s="152">
        <f t="shared" si="19"/>
        <v>1.1126817025372018</v>
      </c>
      <c r="L67" s="83"/>
    </row>
    <row r="68" spans="1:12" ht="12" customHeight="1" thickTop="1" x14ac:dyDescent="0.2">
      <c r="A68" s="254" t="s">
        <v>8</v>
      </c>
      <c r="B68" s="255"/>
      <c r="C68" s="255"/>
      <c r="D68" s="255"/>
      <c r="E68" s="255"/>
      <c r="F68" s="255"/>
      <c r="G68" s="255"/>
      <c r="H68" s="255"/>
      <c r="I68" s="255"/>
      <c r="J68" s="255"/>
      <c r="K68" s="256"/>
      <c r="L68" s="44"/>
    </row>
    <row r="69" spans="1:12" ht="12" customHeight="1" x14ac:dyDescent="0.2">
      <c r="A69" s="248"/>
      <c r="B69" s="249"/>
      <c r="C69" s="249"/>
      <c r="D69" s="249"/>
      <c r="E69" s="249"/>
      <c r="F69" s="249"/>
      <c r="G69" s="249"/>
      <c r="H69" s="249"/>
      <c r="I69" s="249"/>
      <c r="J69" s="249"/>
      <c r="K69" s="250"/>
      <c r="L69" s="43"/>
    </row>
    <row r="70" spans="1:12" ht="12" customHeight="1" x14ac:dyDescent="0.2">
      <c r="A70" s="251" t="s">
        <v>216</v>
      </c>
      <c r="B70" s="252"/>
      <c r="C70" s="252"/>
      <c r="D70" s="252"/>
      <c r="E70" s="252"/>
      <c r="F70" s="252"/>
      <c r="G70" s="252"/>
      <c r="H70" s="252"/>
      <c r="I70" s="252"/>
      <c r="J70" s="252"/>
      <c r="K70" s="253"/>
      <c r="L70" s="43"/>
    </row>
    <row r="71" spans="1:12" ht="12" customHeight="1" x14ac:dyDescent="0.2">
      <c r="A71" s="251"/>
      <c r="B71" s="252"/>
      <c r="C71" s="252"/>
      <c r="D71" s="252"/>
      <c r="E71" s="252"/>
      <c r="F71" s="252"/>
      <c r="G71" s="252"/>
      <c r="H71" s="252"/>
      <c r="I71" s="252"/>
      <c r="J71" s="252"/>
      <c r="K71" s="253"/>
      <c r="L71" s="43"/>
    </row>
    <row r="72" spans="1:12" s="93" customFormat="1" ht="12" customHeight="1" x14ac:dyDescent="0.2">
      <c r="A72" s="251"/>
      <c r="B72" s="252"/>
      <c r="C72" s="252"/>
      <c r="D72" s="252"/>
      <c r="E72" s="252"/>
      <c r="F72" s="252"/>
      <c r="G72" s="252"/>
      <c r="H72" s="252"/>
      <c r="I72" s="252"/>
      <c r="J72" s="252"/>
      <c r="K72" s="253"/>
    </row>
    <row r="73" spans="1:12" s="93" customFormat="1" ht="12" customHeight="1" x14ac:dyDescent="0.2">
      <c r="A73" s="251"/>
      <c r="B73" s="252"/>
      <c r="C73" s="252"/>
      <c r="D73" s="252"/>
      <c r="E73" s="252"/>
      <c r="F73" s="252"/>
      <c r="G73" s="252"/>
      <c r="H73" s="252"/>
      <c r="I73" s="252"/>
      <c r="J73" s="252"/>
      <c r="K73" s="253"/>
    </row>
    <row r="74" spans="1:12" ht="12" customHeight="1" x14ac:dyDescent="0.2">
      <c r="A74" s="251"/>
      <c r="B74" s="252"/>
      <c r="C74" s="252"/>
      <c r="D74" s="252"/>
      <c r="E74" s="252"/>
      <c r="F74" s="252"/>
      <c r="G74" s="252"/>
      <c r="H74" s="252"/>
      <c r="I74" s="252"/>
      <c r="J74" s="252"/>
      <c r="K74" s="253"/>
      <c r="L74" s="43"/>
    </row>
    <row r="75" spans="1:12" ht="12" customHeight="1" x14ac:dyDescent="0.2">
      <c r="A75" s="278" t="s">
        <v>198</v>
      </c>
      <c r="B75" s="279"/>
      <c r="C75" s="279"/>
      <c r="D75" s="279"/>
      <c r="E75" s="279"/>
      <c r="F75" s="279"/>
      <c r="G75" s="279"/>
      <c r="H75" s="279"/>
      <c r="I75" s="279"/>
      <c r="J75" s="279"/>
      <c r="K75" s="280"/>
      <c r="L75" s="43"/>
    </row>
  </sheetData>
  <mergeCells count="23">
    <mergeCell ref="E3:E5"/>
    <mergeCell ref="I3:I5"/>
    <mergeCell ref="A2:A5"/>
    <mergeCell ref="B2:B5"/>
    <mergeCell ref="A75:K75"/>
    <mergeCell ref="G3:G5"/>
    <mergeCell ref="H3:H5"/>
    <mergeCell ref="A1:I1"/>
    <mergeCell ref="A74:K74"/>
    <mergeCell ref="A69:K69"/>
    <mergeCell ref="A68:K68"/>
    <mergeCell ref="A70:K73"/>
    <mergeCell ref="C6:I6"/>
    <mergeCell ref="J6:K6"/>
    <mergeCell ref="J1:K1"/>
    <mergeCell ref="J4:J5"/>
    <mergeCell ref="J3:K3"/>
    <mergeCell ref="C2:F2"/>
    <mergeCell ref="C3:C5"/>
    <mergeCell ref="D3:D5"/>
    <mergeCell ref="I2:K2"/>
    <mergeCell ref="G2:H2"/>
    <mergeCell ref="F3:F5"/>
  </mergeCells>
  <phoneticPr fontId="7" type="noConversion"/>
  <printOptions horizontalCentered="1"/>
  <pageMargins left="0.45" right="0.45" top="0.75" bottom="0.75" header="0" footer="0"/>
  <pageSetup scale="66" fitToWidth="2"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pageSetUpPr autoPageBreaks="0" fitToPage="1"/>
  </sheetPr>
  <dimension ref="A1:J75"/>
  <sheetViews>
    <sheetView showOutlineSymbols="0" zoomScaleNormal="100" workbookViewId="0">
      <pane ySplit="6" topLeftCell="A7" activePane="bottomLeft" state="frozen"/>
      <selection sqref="A1:G1"/>
      <selection pane="bottomLeft" sqref="A1:G1"/>
    </sheetView>
  </sheetViews>
  <sheetFormatPr defaultColWidth="12.7109375" defaultRowHeight="12" customHeight="1" x14ac:dyDescent="0.2"/>
  <cols>
    <col min="1" max="1" width="12.7109375" style="13" customWidth="1"/>
    <col min="2" max="16384" width="12.7109375" style="13"/>
  </cols>
  <sheetData>
    <row r="1" spans="1:10" s="1" customFormat="1" ht="12" customHeight="1" thickBot="1" x14ac:dyDescent="0.25">
      <c r="A1" s="201" t="s">
        <v>158</v>
      </c>
      <c r="B1" s="201"/>
      <c r="C1" s="201"/>
      <c r="D1" s="201"/>
      <c r="E1" s="201"/>
      <c r="F1" s="201"/>
      <c r="G1" s="201"/>
      <c r="H1" s="200" t="s">
        <v>19</v>
      </c>
      <c r="I1" s="200"/>
    </row>
    <row r="2" spans="1:10" ht="12" customHeight="1" thickTop="1" x14ac:dyDescent="0.2">
      <c r="A2" s="257" t="s">
        <v>1</v>
      </c>
      <c r="B2" s="258" t="s">
        <v>85</v>
      </c>
      <c r="C2" s="218" t="s">
        <v>2</v>
      </c>
      <c r="D2" s="218"/>
      <c r="E2" s="218"/>
      <c r="F2" s="117" t="s">
        <v>146</v>
      </c>
      <c r="G2" s="244" t="s">
        <v>147</v>
      </c>
      <c r="H2" s="245"/>
      <c r="I2" s="245"/>
    </row>
    <row r="3" spans="1:10" ht="12" customHeight="1" x14ac:dyDescent="0.2">
      <c r="A3" s="217"/>
      <c r="B3" s="259"/>
      <c r="C3" s="217" t="s">
        <v>86</v>
      </c>
      <c r="D3" s="217" t="s">
        <v>87</v>
      </c>
      <c r="E3" s="217" t="s">
        <v>88</v>
      </c>
      <c r="F3" s="217" t="s">
        <v>95</v>
      </c>
      <c r="G3" s="217" t="s">
        <v>137</v>
      </c>
      <c r="H3" s="226" t="s">
        <v>28</v>
      </c>
      <c r="I3" s="227"/>
    </row>
    <row r="4" spans="1:10" ht="12" customHeight="1" x14ac:dyDescent="0.2">
      <c r="A4" s="217"/>
      <c r="B4" s="259"/>
      <c r="C4" s="217"/>
      <c r="D4" s="217"/>
      <c r="E4" s="217"/>
      <c r="F4" s="217"/>
      <c r="G4" s="217"/>
      <c r="H4" s="217" t="s">
        <v>4</v>
      </c>
      <c r="I4" s="14" t="s">
        <v>139</v>
      </c>
      <c r="J4" s="4"/>
    </row>
    <row r="5" spans="1:10" ht="12" customHeight="1" x14ac:dyDescent="0.2">
      <c r="A5" s="217"/>
      <c r="B5" s="259"/>
      <c r="C5" s="217"/>
      <c r="D5" s="217"/>
      <c r="E5" s="217"/>
      <c r="F5" s="217"/>
      <c r="G5" s="217"/>
      <c r="H5" s="217"/>
      <c r="I5" s="14" t="s">
        <v>191</v>
      </c>
    </row>
    <row r="6" spans="1:10" ht="12" customHeight="1" x14ac:dyDescent="0.2">
      <c r="A6" s="64"/>
      <c r="B6" s="167" t="s">
        <v>121</v>
      </c>
      <c r="C6" s="273" t="s">
        <v>122</v>
      </c>
      <c r="D6" s="274"/>
      <c r="E6" s="274"/>
      <c r="F6" s="274"/>
      <c r="G6" s="274"/>
      <c r="H6" s="273" t="s">
        <v>118</v>
      </c>
      <c r="I6" s="274"/>
      <c r="J6" s="64"/>
    </row>
    <row r="7" spans="1:10" ht="12" customHeight="1" x14ac:dyDescent="0.2">
      <c r="A7" s="2">
        <v>1960</v>
      </c>
      <c r="B7" s="20">
        <v>180.67099999999999</v>
      </c>
      <c r="C7" s="168">
        <v>1514.6</v>
      </c>
      <c r="D7" s="170" t="s">
        <v>3</v>
      </c>
      <c r="E7" s="170">
        <f t="shared" ref="E7:E38" si="0">SUM(C7,D7)</f>
        <v>1514.6</v>
      </c>
      <c r="F7" s="170" t="s">
        <v>3</v>
      </c>
      <c r="G7" s="170">
        <f t="shared" ref="G7:G38" si="1">E7-SUM(F7)</f>
        <v>1514.6</v>
      </c>
      <c r="H7" s="142">
        <f t="shared" ref="H7:H38" si="2">IF(G7=0,0,IF(B7=0,0,G7/B7))</f>
        <v>8.3831937610352512</v>
      </c>
      <c r="I7" s="142">
        <f t="shared" ref="I7:I47" si="3">H7*0.92</f>
        <v>7.7125382601524315</v>
      </c>
    </row>
    <row r="8" spans="1:10" ht="12" customHeight="1" x14ac:dyDescent="0.2">
      <c r="A8" s="3">
        <v>1961</v>
      </c>
      <c r="B8" s="21">
        <v>183.691</v>
      </c>
      <c r="C8" s="171">
        <v>1550.4</v>
      </c>
      <c r="D8" s="172" t="s">
        <v>3</v>
      </c>
      <c r="E8" s="172">
        <f t="shared" si="0"/>
        <v>1550.4</v>
      </c>
      <c r="F8" s="172" t="s">
        <v>3</v>
      </c>
      <c r="G8" s="172">
        <f t="shared" si="1"/>
        <v>1550.4</v>
      </c>
      <c r="H8" s="183">
        <f t="shared" si="2"/>
        <v>8.4402610906359055</v>
      </c>
      <c r="I8" s="144">
        <f t="shared" si="3"/>
        <v>7.7650402033850332</v>
      </c>
    </row>
    <row r="9" spans="1:10" ht="12" customHeight="1" x14ac:dyDescent="0.2">
      <c r="A9" s="3">
        <v>1962</v>
      </c>
      <c r="B9" s="21">
        <v>186.53800000000001</v>
      </c>
      <c r="C9" s="171">
        <v>1548.9</v>
      </c>
      <c r="D9" s="172" t="s">
        <v>3</v>
      </c>
      <c r="E9" s="172">
        <f t="shared" si="0"/>
        <v>1548.9</v>
      </c>
      <c r="F9" s="172" t="s">
        <v>3</v>
      </c>
      <c r="G9" s="172">
        <f t="shared" si="1"/>
        <v>1548.9</v>
      </c>
      <c r="H9" s="183">
        <f t="shared" si="2"/>
        <v>8.3034019877987326</v>
      </c>
      <c r="I9" s="144">
        <f t="shared" si="3"/>
        <v>7.6391298287748342</v>
      </c>
    </row>
    <row r="10" spans="1:10" ht="12" customHeight="1" x14ac:dyDescent="0.2">
      <c r="A10" s="3">
        <v>1963</v>
      </c>
      <c r="B10" s="21">
        <v>189.24199999999999</v>
      </c>
      <c r="C10" s="171">
        <v>1554.7</v>
      </c>
      <c r="D10" s="172" t="s">
        <v>3</v>
      </c>
      <c r="E10" s="172">
        <f t="shared" si="0"/>
        <v>1554.7</v>
      </c>
      <c r="F10" s="172" t="s">
        <v>3</v>
      </c>
      <c r="G10" s="172">
        <f t="shared" si="1"/>
        <v>1554.7</v>
      </c>
      <c r="H10" s="183">
        <f t="shared" si="2"/>
        <v>8.2154067278933862</v>
      </c>
      <c r="I10" s="144">
        <f t="shared" si="3"/>
        <v>7.5581741896619157</v>
      </c>
    </row>
    <row r="11" spans="1:10" ht="12" customHeight="1" x14ac:dyDescent="0.2">
      <c r="A11" s="3">
        <v>1964</v>
      </c>
      <c r="B11" s="21">
        <v>191.88900000000001</v>
      </c>
      <c r="C11" s="171">
        <v>1482.4</v>
      </c>
      <c r="D11" s="172" t="s">
        <v>3</v>
      </c>
      <c r="E11" s="172">
        <f t="shared" si="0"/>
        <v>1482.4</v>
      </c>
      <c r="F11" s="172" t="s">
        <v>3</v>
      </c>
      <c r="G11" s="172">
        <f t="shared" si="1"/>
        <v>1482.4</v>
      </c>
      <c r="H11" s="183">
        <f t="shared" si="2"/>
        <v>7.7252995221195588</v>
      </c>
      <c r="I11" s="144">
        <f t="shared" si="3"/>
        <v>7.1072755603499944</v>
      </c>
    </row>
    <row r="12" spans="1:10" ht="12" customHeight="1" x14ac:dyDescent="0.2">
      <c r="A12" s="3">
        <v>1965</v>
      </c>
      <c r="B12" s="21">
        <v>194.303</v>
      </c>
      <c r="C12" s="171">
        <v>1549.8</v>
      </c>
      <c r="D12" s="172" t="s">
        <v>3</v>
      </c>
      <c r="E12" s="172">
        <f t="shared" si="0"/>
        <v>1549.8</v>
      </c>
      <c r="F12" s="172" t="s">
        <v>3</v>
      </c>
      <c r="G12" s="172">
        <f t="shared" si="1"/>
        <v>1549.8</v>
      </c>
      <c r="H12" s="183">
        <f t="shared" si="2"/>
        <v>7.9762021173116215</v>
      </c>
      <c r="I12" s="144">
        <f t="shared" si="3"/>
        <v>7.3381059479266924</v>
      </c>
    </row>
    <row r="13" spans="1:10" ht="12" customHeight="1" x14ac:dyDescent="0.2">
      <c r="A13" s="2">
        <v>1966</v>
      </c>
      <c r="B13" s="20">
        <v>196.56</v>
      </c>
      <c r="C13" s="168">
        <v>1445.4</v>
      </c>
      <c r="D13" s="170" t="s">
        <v>3</v>
      </c>
      <c r="E13" s="170">
        <f t="shared" si="0"/>
        <v>1445.4</v>
      </c>
      <c r="F13" s="170" t="s">
        <v>3</v>
      </c>
      <c r="G13" s="170">
        <f t="shared" si="1"/>
        <v>1445.4</v>
      </c>
      <c r="H13" s="142">
        <f t="shared" si="2"/>
        <v>7.353479853479854</v>
      </c>
      <c r="I13" s="142">
        <f t="shared" si="3"/>
        <v>6.765201465201466</v>
      </c>
    </row>
    <row r="14" spans="1:10" ht="12" customHeight="1" x14ac:dyDescent="0.2">
      <c r="A14" s="2">
        <v>1967</v>
      </c>
      <c r="B14" s="20">
        <v>198.71199999999999</v>
      </c>
      <c r="C14" s="168">
        <v>1571.9</v>
      </c>
      <c r="D14" s="170" t="s">
        <v>3</v>
      </c>
      <c r="E14" s="170">
        <f t="shared" si="0"/>
        <v>1571.9</v>
      </c>
      <c r="F14" s="170" t="s">
        <v>3</v>
      </c>
      <c r="G14" s="170">
        <f t="shared" si="1"/>
        <v>1571.9</v>
      </c>
      <c r="H14" s="142">
        <f t="shared" si="2"/>
        <v>7.9104432545593628</v>
      </c>
      <c r="I14" s="142">
        <f t="shared" si="3"/>
        <v>7.2776077941946138</v>
      </c>
    </row>
    <row r="15" spans="1:10" ht="12" customHeight="1" x14ac:dyDescent="0.2">
      <c r="A15" s="2">
        <v>1968</v>
      </c>
      <c r="B15" s="20">
        <v>200.70599999999999</v>
      </c>
      <c r="C15" s="168">
        <v>1551.2</v>
      </c>
      <c r="D15" s="170" t="s">
        <v>3</v>
      </c>
      <c r="E15" s="170">
        <f t="shared" si="0"/>
        <v>1551.2</v>
      </c>
      <c r="F15" s="170" t="s">
        <v>3</v>
      </c>
      <c r="G15" s="170">
        <f t="shared" si="1"/>
        <v>1551.2</v>
      </c>
      <c r="H15" s="142">
        <f t="shared" si="2"/>
        <v>7.7287176267774758</v>
      </c>
      <c r="I15" s="142">
        <f t="shared" si="3"/>
        <v>7.1104202166352781</v>
      </c>
    </row>
    <row r="16" spans="1:10" ht="12" customHeight="1" x14ac:dyDescent="0.2">
      <c r="A16" s="2">
        <v>1969</v>
      </c>
      <c r="B16" s="20">
        <v>202.67699999999999</v>
      </c>
      <c r="C16" s="168">
        <v>1591.6</v>
      </c>
      <c r="D16" s="170" t="s">
        <v>3</v>
      </c>
      <c r="E16" s="170">
        <f t="shared" si="0"/>
        <v>1591.6</v>
      </c>
      <c r="F16" s="170" t="s">
        <v>3</v>
      </c>
      <c r="G16" s="170">
        <f t="shared" si="1"/>
        <v>1591.6</v>
      </c>
      <c r="H16" s="142">
        <f t="shared" si="2"/>
        <v>7.8528890796686355</v>
      </c>
      <c r="I16" s="142">
        <f t="shared" si="3"/>
        <v>7.2246579532951447</v>
      </c>
    </row>
    <row r="17" spans="1:9" ht="12" customHeight="1" x14ac:dyDescent="0.2">
      <c r="A17" s="2">
        <v>1970</v>
      </c>
      <c r="B17" s="20">
        <v>205.05199999999999</v>
      </c>
      <c r="C17" s="168">
        <v>1594.2</v>
      </c>
      <c r="D17" s="170">
        <v>1.1910000000000001</v>
      </c>
      <c r="E17" s="170">
        <f t="shared" si="0"/>
        <v>1595.3910000000001</v>
      </c>
      <c r="F17" s="170" t="s">
        <v>3</v>
      </c>
      <c r="G17" s="170">
        <f t="shared" si="1"/>
        <v>1595.3910000000001</v>
      </c>
      <c r="H17" s="142">
        <f t="shared" si="2"/>
        <v>7.7804215516064223</v>
      </c>
      <c r="I17" s="142">
        <f t="shared" si="3"/>
        <v>7.1579878274779087</v>
      </c>
    </row>
    <row r="18" spans="1:9" ht="12" customHeight="1" x14ac:dyDescent="0.2">
      <c r="A18" s="3">
        <v>1971</v>
      </c>
      <c r="B18" s="21">
        <v>207.661</v>
      </c>
      <c r="C18" s="171">
        <v>1547.4</v>
      </c>
      <c r="D18" s="172">
        <v>0.79800000000000004</v>
      </c>
      <c r="E18" s="172">
        <f t="shared" si="0"/>
        <v>1548.1980000000001</v>
      </c>
      <c r="F18" s="172" t="s">
        <v>3</v>
      </c>
      <c r="G18" s="172">
        <f t="shared" si="1"/>
        <v>1548.1980000000001</v>
      </c>
      <c r="H18" s="183">
        <f t="shared" si="2"/>
        <v>7.4554105007680791</v>
      </c>
      <c r="I18" s="144">
        <f t="shared" si="3"/>
        <v>6.8589776607066328</v>
      </c>
    </row>
    <row r="19" spans="1:9" ht="12" customHeight="1" x14ac:dyDescent="0.2">
      <c r="A19" s="3">
        <v>1972</v>
      </c>
      <c r="B19" s="21">
        <v>209.89599999999999</v>
      </c>
      <c r="C19" s="171">
        <v>1630.4</v>
      </c>
      <c r="D19" s="172">
        <v>0.68400000000000005</v>
      </c>
      <c r="E19" s="172">
        <f t="shared" si="0"/>
        <v>1631.0840000000001</v>
      </c>
      <c r="F19" s="172" t="s">
        <v>3</v>
      </c>
      <c r="G19" s="172">
        <f t="shared" si="1"/>
        <v>1631.0840000000001</v>
      </c>
      <c r="H19" s="183">
        <f t="shared" si="2"/>
        <v>7.7709151198688886</v>
      </c>
      <c r="I19" s="144">
        <f t="shared" si="3"/>
        <v>7.1492419102793781</v>
      </c>
    </row>
    <row r="20" spans="1:9" ht="12" customHeight="1" x14ac:dyDescent="0.2">
      <c r="A20" s="3">
        <v>1973</v>
      </c>
      <c r="B20" s="21">
        <v>211.90899999999999</v>
      </c>
      <c r="C20" s="171">
        <v>1675.8</v>
      </c>
      <c r="D20" s="172">
        <v>0.378</v>
      </c>
      <c r="E20" s="172">
        <f t="shared" si="0"/>
        <v>1676.1779999999999</v>
      </c>
      <c r="F20" s="172" t="s">
        <v>3</v>
      </c>
      <c r="G20" s="172">
        <f t="shared" si="1"/>
        <v>1676.1779999999999</v>
      </c>
      <c r="H20" s="183">
        <f t="shared" si="2"/>
        <v>7.9098952852403626</v>
      </c>
      <c r="I20" s="144">
        <f t="shared" si="3"/>
        <v>7.2771036624211343</v>
      </c>
    </row>
    <row r="21" spans="1:9" ht="12" customHeight="1" x14ac:dyDescent="0.2">
      <c r="A21" s="3">
        <v>1974</v>
      </c>
      <c r="B21" s="21">
        <v>213.85400000000001</v>
      </c>
      <c r="C21" s="171">
        <v>1652.9</v>
      </c>
      <c r="D21" s="172">
        <v>0.746</v>
      </c>
      <c r="E21" s="172">
        <f t="shared" si="0"/>
        <v>1653.6460000000002</v>
      </c>
      <c r="F21" s="172" t="s">
        <v>3</v>
      </c>
      <c r="G21" s="172">
        <f t="shared" si="1"/>
        <v>1653.6460000000002</v>
      </c>
      <c r="H21" s="183">
        <f t="shared" si="2"/>
        <v>7.7325932645636746</v>
      </c>
      <c r="I21" s="144">
        <f t="shared" si="3"/>
        <v>7.113985803398581</v>
      </c>
    </row>
    <row r="22" spans="1:9" ht="12" customHeight="1" x14ac:dyDescent="0.2">
      <c r="A22" s="3">
        <v>1975</v>
      </c>
      <c r="B22" s="21">
        <v>215.97300000000001</v>
      </c>
      <c r="C22" s="171">
        <v>1678.5</v>
      </c>
      <c r="D22" s="172">
        <v>0.67100000000000004</v>
      </c>
      <c r="E22" s="172">
        <f t="shared" si="0"/>
        <v>1679.171</v>
      </c>
      <c r="F22" s="172" t="s">
        <v>3</v>
      </c>
      <c r="G22" s="172">
        <f t="shared" si="1"/>
        <v>1679.171</v>
      </c>
      <c r="H22" s="183">
        <f t="shared" si="2"/>
        <v>7.7749116787746617</v>
      </c>
      <c r="I22" s="144">
        <f t="shared" si="3"/>
        <v>7.1529187444726894</v>
      </c>
    </row>
    <row r="23" spans="1:9" ht="12" customHeight="1" x14ac:dyDescent="0.2">
      <c r="A23" s="2">
        <v>1976</v>
      </c>
      <c r="B23" s="20">
        <v>218.035</v>
      </c>
      <c r="C23" s="168">
        <v>1746.7</v>
      </c>
      <c r="D23" s="170">
        <v>0.36499999999999999</v>
      </c>
      <c r="E23" s="170">
        <f t="shared" si="0"/>
        <v>1747.0650000000001</v>
      </c>
      <c r="F23" s="170" t="s">
        <v>3</v>
      </c>
      <c r="G23" s="170">
        <f t="shared" si="1"/>
        <v>1747.0650000000001</v>
      </c>
      <c r="H23" s="142">
        <f t="shared" si="2"/>
        <v>8.0127731786181116</v>
      </c>
      <c r="I23" s="142">
        <f t="shared" si="3"/>
        <v>7.3717513243286632</v>
      </c>
    </row>
    <row r="24" spans="1:9" ht="12" customHeight="1" x14ac:dyDescent="0.2">
      <c r="A24" s="2">
        <v>1977</v>
      </c>
      <c r="B24" s="20">
        <v>220.23899999999998</v>
      </c>
      <c r="C24" s="168">
        <v>1663.8</v>
      </c>
      <c r="D24" s="170">
        <v>0.42299999999999999</v>
      </c>
      <c r="E24" s="170">
        <f t="shared" si="0"/>
        <v>1664.223</v>
      </c>
      <c r="F24" s="170" t="s">
        <v>3</v>
      </c>
      <c r="G24" s="170">
        <f t="shared" si="1"/>
        <v>1664.223</v>
      </c>
      <c r="H24" s="142">
        <f t="shared" si="2"/>
        <v>7.5564409573236357</v>
      </c>
      <c r="I24" s="142">
        <f t="shared" si="3"/>
        <v>6.9519256807377454</v>
      </c>
    </row>
    <row r="25" spans="1:9" ht="12" customHeight="1" x14ac:dyDescent="0.2">
      <c r="A25" s="2">
        <v>1978</v>
      </c>
      <c r="B25" s="20">
        <v>222.58500000000001</v>
      </c>
      <c r="C25" s="168">
        <v>1511.6</v>
      </c>
      <c r="D25" s="170">
        <v>0.60099999999999998</v>
      </c>
      <c r="E25" s="170">
        <f t="shared" si="0"/>
        <v>1512.201</v>
      </c>
      <c r="F25" s="170">
        <v>45.387</v>
      </c>
      <c r="G25" s="170">
        <f t="shared" si="1"/>
        <v>1466.8140000000001</v>
      </c>
      <c r="H25" s="142">
        <f t="shared" si="2"/>
        <v>6.5899049801199538</v>
      </c>
      <c r="I25" s="142">
        <f t="shared" si="3"/>
        <v>6.0627125817103575</v>
      </c>
    </row>
    <row r="26" spans="1:9" ht="12" customHeight="1" x14ac:dyDescent="0.2">
      <c r="A26" s="2">
        <v>1979</v>
      </c>
      <c r="B26" s="20">
        <v>225.05500000000001</v>
      </c>
      <c r="C26" s="168">
        <v>1501.5</v>
      </c>
      <c r="D26" s="170">
        <v>0.21199999999999999</v>
      </c>
      <c r="E26" s="170">
        <f t="shared" si="0"/>
        <v>1501.712</v>
      </c>
      <c r="F26" s="170">
        <v>42.746000000000002</v>
      </c>
      <c r="G26" s="170">
        <f t="shared" si="1"/>
        <v>1458.9659999999999</v>
      </c>
      <c r="H26" s="142">
        <f t="shared" si="2"/>
        <v>6.482708671213703</v>
      </c>
      <c r="I26" s="142">
        <f t="shared" si="3"/>
        <v>5.964091977516607</v>
      </c>
    </row>
    <row r="27" spans="1:9" ht="12" customHeight="1" x14ac:dyDescent="0.2">
      <c r="A27" s="2">
        <v>1980</v>
      </c>
      <c r="B27" s="20">
        <v>227.726</v>
      </c>
      <c r="C27" s="168">
        <v>1524.5</v>
      </c>
      <c r="D27" s="170">
        <v>0.95299999999999996</v>
      </c>
      <c r="E27" s="170">
        <f t="shared" si="0"/>
        <v>1525.453</v>
      </c>
      <c r="F27" s="170">
        <v>45.624000000000002</v>
      </c>
      <c r="G27" s="170">
        <f t="shared" si="1"/>
        <v>1479.829</v>
      </c>
      <c r="H27" s="142">
        <f t="shared" si="2"/>
        <v>6.4982874155783703</v>
      </c>
      <c r="I27" s="142">
        <f t="shared" si="3"/>
        <v>5.9784244223321013</v>
      </c>
    </row>
    <row r="28" spans="1:9" ht="12" customHeight="1" x14ac:dyDescent="0.2">
      <c r="A28" s="3">
        <v>1981</v>
      </c>
      <c r="B28" s="21">
        <v>229.96600000000001</v>
      </c>
      <c r="C28" s="171">
        <v>1475.2</v>
      </c>
      <c r="D28" s="172">
        <v>0.36599999999999999</v>
      </c>
      <c r="E28" s="172">
        <f t="shared" si="0"/>
        <v>1475.566</v>
      </c>
      <c r="F28" s="172">
        <v>42.186</v>
      </c>
      <c r="G28" s="172">
        <f t="shared" si="1"/>
        <v>1433.38</v>
      </c>
      <c r="H28" s="183">
        <f t="shared" si="2"/>
        <v>6.2330083577572335</v>
      </c>
      <c r="I28" s="144">
        <f t="shared" si="3"/>
        <v>5.7343676891366551</v>
      </c>
    </row>
    <row r="29" spans="1:9" ht="12" customHeight="1" x14ac:dyDescent="0.2">
      <c r="A29" s="3">
        <v>1982</v>
      </c>
      <c r="B29" s="21">
        <v>232.18799999999999</v>
      </c>
      <c r="C29" s="171">
        <v>1443.5</v>
      </c>
      <c r="D29" s="172">
        <v>0.32800000000000001</v>
      </c>
      <c r="E29" s="172">
        <f t="shared" si="0"/>
        <v>1443.828</v>
      </c>
      <c r="F29" s="172">
        <v>46.634999999999998</v>
      </c>
      <c r="G29" s="172">
        <f t="shared" si="1"/>
        <v>1397.193</v>
      </c>
      <c r="H29" s="183">
        <f t="shared" si="2"/>
        <v>6.0175073647216912</v>
      </c>
      <c r="I29" s="144">
        <f t="shared" si="3"/>
        <v>5.5361067755439564</v>
      </c>
    </row>
    <row r="30" spans="1:9" ht="12" customHeight="1" x14ac:dyDescent="0.2">
      <c r="A30" s="3">
        <v>1983</v>
      </c>
      <c r="B30" s="21">
        <v>234.30699999999999</v>
      </c>
      <c r="C30" s="171">
        <v>1487.4</v>
      </c>
      <c r="D30" s="172">
        <v>2.3319999999999999</v>
      </c>
      <c r="E30" s="172">
        <f t="shared" si="0"/>
        <v>1489.7320000000002</v>
      </c>
      <c r="F30" s="172">
        <v>49.932000000000002</v>
      </c>
      <c r="G30" s="172">
        <f t="shared" si="1"/>
        <v>1439.8000000000002</v>
      </c>
      <c r="H30" s="183">
        <f t="shared" si="2"/>
        <v>6.1449295155501131</v>
      </c>
      <c r="I30" s="144">
        <f t="shared" si="3"/>
        <v>5.6533351543061041</v>
      </c>
    </row>
    <row r="31" spans="1:9" ht="12" customHeight="1" x14ac:dyDescent="0.2">
      <c r="A31" s="3">
        <v>1984</v>
      </c>
      <c r="B31" s="21">
        <v>236.34800000000001</v>
      </c>
      <c r="C31" s="171">
        <v>1560.7</v>
      </c>
      <c r="D31" s="172">
        <v>8.6329999999999991</v>
      </c>
      <c r="E31" s="172">
        <f t="shared" si="0"/>
        <v>1569.3330000000001</v>
      </c>
      <c r="F31" s="172">
        <v>48.1</v>
      </c>
      <c r="G31" s="172">
        <f t="shared" si="1"/>
        <v>1521.2330000000002</v>
      </c>
      <c r="H31" s="183">
        <f t="shared" si="2"/>
        <v>6.4364115626110658</v>
      </c>
      <c r="I31" s="144">
        <f t="shared" si="3"/>
        <v>5.9214986376021805</v>
      </c>
    </row>
    <row r="32" spans="1:9" ht="12" customHeight="1" x14ac:dyDescent="0.2">
      <c r="A32" s="3">
        <v>1985</v>
      </c>
      <c r="B32" s="21">
        <v>238.46600000000001</v>
      </c>
      <c r="C32" s="171">
        <v>1575.4</v>
      </c>
      <c r="D32" s="172">
        <v>6.8090000000000002</v>
      </c>
      <c r="E32" s="172">
        <f t="shared" si="0"/>
        <v>1582.2090000000001</v>
      </c>
      <c r="F32" s="172">
        <v>52.872999999999998</v>
      </c>
      <c r="G32" s="172">
        <f t="shared" si="1"/>
        <v>1529.336</v>
      </c>
      <c r="H32" s="183">
        <f t="shared" si="2"/>
        <v>6.4132245267669186</v>
      </c>
      <c r="I32" s="144">
        <f t="shared" si="3"/>
        <v>5.9001665646255654</v>
      </c>
    </row>
    <row r="33" spans="1:9" ht="12" customHeight="1" x14ac:dyDescent="0.2">
      <c r="A33" s="2">
        <v>1986</v>
      </c>
      <c r="B33" s="20">
        <v>240.65100000000001</v>
      </c>
      <c r="C33" s="168">
        <v>1505</v>
      </c>
      <c r="D33" s="170">
        <v>7.6795</v>
      </c>
      <c r="E33" s="170">
        <f t="shared" si="0"/>
        <v>1512.6795</v>
      </c>
      <c r="F33" s="170">
        <v>54.186</v>
      </c>
      <c r="G33" s="170">
        <f t="shared" si="1"/>
        <v>1458.4935</v>
      </c>
      <c r="H33" s="142">
        <f t="shared" si="2"/>
        <v>6.0606168268571503</v>
      </c>
      <c r="I33" s="142">
        <f t="shared" si="3"/>
        <v>5.5757674807085786</v>
      </c>
    </row>
    <row r="34" spans="1:9" ht="12" customHeight="1" x14ac:dyDescent="0.2">
      <c r="A34" s="2">
        <v>1987</v>
      </c>
      <c r="B34" s="20">
        <v>242.804</v>
      </c>
      <c r="C34" s="168">
        <v>1566.4</v>
      </c>
      <c r="D34" s="170">
        <v>15.414999999999999</v>
      </c>
      <c r="E34" s="170">
        <f t="shared" si="0"/>
        <v>1581.8150000000001</v>
      </c>
      <c r="F34" s="170">
        <v>61.411999999999999</v>
      </c>
      <c r="G34" s="170">
        <f t="shared" si="1"/>
        <v>1520.403</v>
      </c>
      <c r="H34" s="142">
        <f t="shared" si="2"/>
        <v>6.2618531819904124</v>
      </c>
      <c r="I34" s="142">
        <f t="shared" si="3"/>
        <v>5.7609049274311799</v>
      </c>
    </row>
    <row r="35" spans="1:9" ht="12" customHeight="1" x14ac:dyDescent="0.2">
      <c r="A35" s="2">
        <v>1988</v>
      </c>
      <c r="B35" s="20">
        <v>245.02099999999999</v>
      </c>
      <c r="C35" s="168">
        <v>1457.4</v>
      </c>
      <c r="D35" s="170">
        <v>11.914999999999999</v>
      </c>
      <c r="E35" s="170">
        <f t="shared" si="0"/>
        <v>1469.3150000000001</v>
      </c>
      <c r="F35" s="170">
        <v>43.441000000000003</v>
      </c>
      <c r="G35" s="170">
        <f t="shared" si="1"/>
        <v>1425.874</v>
      </c>
      <c r="H35" s="142">
        <f t="shared" si="2"/>
        <v>5.8193950722591126</v>
      </c>
      <c r="I35" s="142">
        <f t="shared" si="3"/>
        <v>5.3538434664783834</v>
      </c>
    </row>
    <row r="36" spans="1:9" ht="12" customHeight="1" x14ac:dyDescent="0.2">
      <c r="A36" s="2">
        <v>1989</v>
      </c>
      <c r="B36" s="20">
        <v>247.34200000000001</v>
      </c>
      <c r="C36" s="168">
        <v>1654.3</v>
      </c>
      <c r="D36" s="170">
        <v>21.274000000000001</v>
      </c>
      <c r="E36" s="170">
        <f t="shared" si="0"/>
        <v>1675.5740000000001</v>
      </c>
      <c r="F36" s="170">
        <v>61.017000000000003</v>
      </c>
      <c r="G36" s="170">
        <f t="shared" si="1"/>
        <v>1614.557</v>
      </c>
      <c r="H36" s="142">
        <f t="shared" si="2"/>
        <v>6.5276297596041104</v>
      </c>
      <c r="I36" s="142">
        <f t="shared" si="3"/>
        <v>6.0054193788357821</v>
      </c>
    </row>
    <row r="37" spans="1:9" ht="12" customHeight="1" x14ac:dyDescent="0.2">
      <c r="A37" s="2">
        <v>1990</v>
      </c>
      <c r="B37" s="20">
        <v>250.13200000000001</v>
      </c>
      <c r="C37" s="168">
        <v>1745.5</v>
      </c>
      <c r="D37" s="170">
        <v>14.695</v>
      </c>
      <c r="E37" s="170">
        <f t="shared" si="0"/>
        <v>1760.1949999999999</v>
      </c>
      <c r="F37" s="170">
        <v>73.715000000000003</v>
      </c>
      <c r="G37" s="170">
        <f t="shared" si="1"/>
        <v>1686.48</v>
      </c>
      <c r="H37" s="142">
        <f t="shared" si="2"/>
        <v>6.7423600339020995</v>
      </c>
      <c r="I37" s="142">
        <f t="shared" si="3"/>
        <v>6.2029712311899319</v>
      </c>
    </row>
    <row r="38" spans="1:9" ht="12" customHeight="1" x14ac:dyDescent="0.2">
      <c r="A38" s="3">
        <v>1991</v>
      </c>
      <c r="B38" s="21">
        <v>253.49299999999999</v>
      </c>
      <c r="C38" s="171">
        <v>1552.7</v>
      </c>
      <c r="D38" s="172">
        <v>13.4755</v>
      </c>
      <c r="E38" s="172">
        <f t="shared" si="0"/>
        <v>1566.1755000000001</v>
      </c>
      <c r="F38" s="172">
        <v>68.508144000000001</v>
      </c>
      <c r="G38" s="172">
        <f t="shared" si="1"/>
        <v>1497.6673560000002</v>
      </c>
      <c r="H38" s="183">
        <f t="shared" si="2"/>
        <v>5.9081211552192769</v>
      </c>
      <c r="I38" s="144">
        <f t="shared" si="3"/>
        <v>5.4354714628017353</v>
      </c>
    </row>
    <row r="39" spans="1:9" ht="12" customHeight="1" x14ac:dyDescent="0.2">
      <c r="A39" s="3">
        <v>1992</v>
      </c>
      <c r="B39" s="21">
        <v>256.89400000000001</v>
      </c>
      <c r="C39" s="171">
        <v>1847.3</v>
      </c>
      <c r="D39" s="172">
        <v>11.383929999999999</v>
      </c>
      <c r="E39" s="172">
        <f t="shared" ref="E39:E67" si="4">SUM(C39,D39)</f>
        <v>1858.6839299999999</v>
      </c>
      <c r="F39" s="172">
        <v>94.156983999999994</v>
      </c>
      <c r="G39" s="172">
        <f t="shared" ref="G39:G59" si="5">E39-SUM(F39)</f>
        <v>1764.526946</v>
      </c>
      <c r="H39" s="183">
        <f t="shared" ref="H39:H59" si="6">IF(G39=0,0,IF(B39=0,0,G39/B39))</f>
        <v>6.8686966063823984</v>
      </c>
      <c r="I39" s="144">
        <f t="shared" si="3"/>
        <v>6.3192008778718067</v>
      </c>
    </row>
    <row r="40" spans="1:9" ht="12" customHeight="1" x14ac:dyDescent="0.2">
      <c r="A40" s="3">
        <v>1993</v>
      </c>
      <c r="B40" s="21">
        <v>260.255</v>
      </c>
      <c r="C40" s="171">
        <v>1884.8</v>
      </c>
      <c r="D40" s="172">
        <v>6.4136030000000002</v>
      </c>
      <c r="E40" s="172">
        <f t="shared" si="4"/>
        <v>1891.2136029999999</v>
      </c>
      <c r="F40" s="172">
        <v>75.488924999999995</v>
      </c>
      <c r="G40" s="172">
        <f t="shared" si="5"/>
        <v>1815.724678</v>
      </c>
      <c r="H40" s="183">
        <f t="shared" si="6"/>
        <v>6.9767139075137852</v>
      </c>
      <c r="I40" s="144">
        <f t="shared" si="3"/>
        <v>6.4185767949126831</v>
      </c>
    </row>
    <row r="41" spans="1:9" ht="12" customHeight="1" x14ac:dyDescent="0.2">
      <c r="A41" s="3">
        <v>1994</v>
      </c>
      <c r="B41" s="21">
        <v>263.43599999999998</v>
      </c>
      <c r="C41" s="171">
        <v>2212.1</v>
      </c>
      <c r="D41" s="172">
        <v>10.638807999999999</v>
      </c>
      <c r="E41" s="172">
        <f t="shared" si="4"/>
        <v>2222.7388080000001</v>
      </c>
      <c r="F41" s="172">
        <v>74.454781999999994</v>
      </c>
      <c r="G41" s="172">
        <f t="shared" si="5"/>
        <v>2148.2840260000003</v>
      </c>
      <c r="H41" s="183">
        <f t="shared" si="6"/>
        <v>8.154861241440047</v>
      </c>
      <c r="I41" s="144">
        <f t="shared" si="3"/>
        <v>7.5024723421248432</v>
      </c>
    </row>
    <row r="42" spans="1:9" ht="12" customHeight="1" x14ac:dyDescent="0.2">
      <c r="A42" s="3">
        <v>1995</v>
      </c>
      <c r="B42" s="21">
        <v>266.55700000000002</v>
      </c>
      <c r="C42" s="171">
        <v>2179.1999999999998</v>
      </c>
      <c r="D42" s="172">
        <v>15.516733</v>
      </c>
      <c r="E42" s="172">
        <f t="shared" si="4"/>
        <v>2194.7167329999997</v>
      </c>
      <c r="F42" s="172">
        <v>109.49190900000001</v>
      </c>
      <c r="G42" s="172">
        <f t="shared" si="5"/>
        <v>2085.2248239999999</v>
      </c>
      <c r="H42" s="183">
        <f t="shared" si="6"/>
        <v>7.8228102207032633</v>
      </c>
      <c r="I42" s="144">
        <f t="shared" si="3"/>
        <v>7.1969854030470026</v>
      </c>
    </row>
    <row r="43" spans="1:9" ht="12" customHeight="1" x14ac:dyDescent="0.2">
      <c r="A43" s="2">
        <v>1996</v>
      </c>
      <c r="B43" s="20">
        <v>269.66699999999997</v>
      </c>
      <c r="C43" s="168">
        <v>2312.6999999999998</v>
      </c>
      <c r="D43" s="170">
        <v>23.543880000000001</v>
      </c>
      <c r="E43" s="170">
        <f t="shared" si="4"/>
        <v>2336.24388</v>
      </c>
      <c r="F43" s="170">
        <v>90.971310000000003</v>
      </c>
      <c r="G43" s="170">
        <f t="shared" si="5"/>
        <v>2245.2725700000001</v>
      </c>
      <c r="H43" s="142">
        <f t="shared" si="6"/>
        <v>8.3260931815906289</v>
      </c>
      <c r="I43" s="142">
        <f t="shared" si="3"/>
        <v>7.6600057270633792</v>
      </c>
    </row>
    <row r="44" spans="1:9" ht="12" customHeight="1" x14ac:dyDescent="0.2">
      <c r="A44" s="2">
        <v>1997</v>
      </c>
      <c r="B44" s="20">
        <v>272.91199999999998</v>
      </c>
      <c r="C44" s="168">
        <v>2364.1</v>
      </c>
      <c r="D44" s="170">
        <v>23.046807999999999</v>
      </c>
      <c r="E44" s="170">
        <f t="shared" si="4"/>
        <v>2387.146808</v>
      </c>
      <c r="F44" s="170">
        <v>124.586539</v>
      </c>
      <c r="G44" s="170">
        <f t="shared" si="5"/>
        <v>2262.5602690000001</v>
      </c>
      <c r="H44" s="142">
        <f t="shared" si="6"/>
        <v>8.290438929032069</v>
      </c>
      <c r="I44" s="142">
        <f t="shared" si="3"/>
        <v>7.627203814709504</v>
      </c>
    </row>
    <row r="45" spans="1:9" ht="12" customHeight="1" x14ac:dyDescent="0.2">
      <c r="A45" s="2">
        <v>1998</v>
      </c>
      <c r="B45" s="20">
        <v>276.11500000000001</v>
      </c>
      <c r="C45" s="168">
        <v>2630.7</v>
      </c>
      <c r="D45" s="170">
        <v>39.998317999999998</v>
      </c>
      <c r="E45" s="170">
        <f t="shared" si="4"/>
        <v>2670.6983179999997</v>
      </c>
      <c r="F45" s="170">
        <v>93.575702000000007</v>
      </c>
      <c r="G45" s="170">
        <f t="shared" si="5"/>
        <v>2577.1226159999997</v>
      </c>
      <c r="H45" s="142">
        <f t="shared" si="6"/>
        <v>9.3335118193506315</v>
      </c>
      <c r="I45" s="142">
        <f t="shared" si="3"/>
        <v>8.5868308738025814</v>
      </c>
    </row>
    <row r="46" spans="1:9" ht="12" customHeight="1" x14ac:dyDescent="0.2">
      <c r="A46" s="2">
        <v>1999</v>
      </c>
      <c r="B46" s="20">
        <v>279.29500000000002</v>
      </c>
      <c r="C46" s="168">
        <v>2576.1999999999998</v>
      </c>
      <c r="D46" s="170">
        <v>53.149625</v>
      </c>
      <c r="E46" s="170">
        <f t="shared" si="4"/>
        <v>2629.3496249999998</v>
      </c>
      <c r="F46" s="170">
        <v>89.181231999999994</v>
      </c>
      <c r="G46" s="170">
        <f t="shared" si="5"/>
        <v>2540.1683929999999</v>
      </c>
      <c r="H46" s="142">
        <f t="shared" si="6"/>
        <v>9.0949297087309109</v>
      </c>
      <c r="I46" s="142">
        <f t="shared" si="3"/>
        <v>8.3673353320324377</v>
      </c>
    </row>
    <row r="47" spans="1:9" ht="12" customHeight="1" x14ac:dyDescent="0.2">
      <c r="A47" s="2">
        <v>2000</v>
      </c>
      <c r="B47" s="20">
        <v>282.38499999999999</v>
      </c>
      <c r="C47" s="168">
        <v>2602.6999999999998</v>
      </c>
      <c r="D47" s="170">
        <v>51.701292000000002</v>
      </c>
      <c r="E47" s="170">
        <f t="shared" si="4"/>
        <v>2654.401292</v>
      </c>
      <c r="F47" s="170">
        <v>101.734525</v>
      </c>
      <c r="G47" s="170">
        <f t="shared" si="5"/>
        <v>2552.6667670000002</v>
      </c>
      <c r="H47" s="142">
        <f t="shared" si="6"/>
        <v>9.0396684207730598</v>
      </c>
      <c r="I47" s="142">
        <f t="shared" si="3"/>
        <v>8.3164949471112148</v>
      </c>
    </row>
    <row r="48" spans="1:9" ht="12" customHeight="1" x14ac:dyDescent="0.2">
      <c r="A48" s="3">
        <v>2001</v>
      </c>
      <c r="B48" s="21">
        <v>285.30901899999998</v>
      </c>
      <c r="C48" s="171">
        <v>2681.5</v>
      </c>
      <c r="D48" s="172">
        <v>49.040658999999998</v>
      </c>
      <c r="E48" s="172">
        <f t="shared" si="4"/>
        <v>2730.5406589999998</v>
      </c>
      <c r="F48" s="172">
        <v>113.34603300000001</v>
      </c>
      <c r="G48" s="172">
        <f t="shared" si="5"/>
        <v>2617.194626</v>
      </c>
      <c r="H48" s="183">
        <f t="shared" si="6"/>
        <v>9.1731927549055161</v>
      </c>
      <c r="I48" s="144">
        <f t="shared" ref="I48:I53" si="7">H48*0.92</f>
        <v>8.4393373345130751</v>
      </c>
    </row>
    <row r="49" spans="1:9" ht="12" customHeight="1" x14ac:dyDescent="0.2">
      <c r="A49" s="3">
        <v>2002</v>
      </c>
      <c r="B49" s="21">
        <v>288.10481800000002</v>
      </c>
      <c r="C49" s="171">
        <v>2648</v>
      </c>
      <c r="D49" s="172">
        <v>52.106341999999998</v>
      </c>
      <c r="E49" s="172">
        <f t="shared" si="4"/>
        <v>2700.106342</v>
      </c>
      <c r="F49" s="172">
        <v>114.667833</v>
      </c>
      <c r="G49" s="172">
        <f t="shared" si="5"/>
        <v>2585.4385090000001</v>
      </c>
      <c r="H49" s="183">
        <f t="shared" si="6"/>
        <v>8.9739509632220038</v>
      </c>
      <c r="I49" s="144">
        <f t="shared" si="7"/>
        <v>8.2560348861642439</v>
      </c>
    </row>
    <row r="50" spans="1:9" ht="12" customHeight="1" x14ac:dyDescent="0.2">
      <c r="A50" s="3">
        <v>2003</v>
      </c>
      <c r="B50" s="21">
        <v>290.81963400000001</v>
      </c>
      <c r="C50" s="171">
        <v>2749.2</v>
      </c>
      <c r="D50" s="172">
        <v>49.697175999999999</v>
      </c>
      <c r="E50" s="172">
        <f t="shared" si="4"/>
        <v>2798.8971759999999</v>
      </c>
      <c r="F50" s="172">
        <v>133.363372</v>
      </c>
      <c r="G50" s="172">
        <f t="shared" si="5"/>
        <v>2665.5338040000001</v>
      </c>
      <c r="H50" s="183">
        <f t="shared" si="6"/>
        <v>9.1655909449359942</v>
      </c>
      <c r="I50" s="144">
        <f t="shared" si="7"/>
        <v>8.4323436693411153</v>
      </c>
    </row>
    <row r="51" spans="1:9" ht="12" customHeight="1" x14ac:dyDescent="0.2">
      <c r="A51" s="3">
        <v>2004</v>
      </c>
      <c r="B51" s="21">
        <v>293.46318500000001</v>
      </c>
      <c r="C51" s="171">
        <v>2712.6</v>
      </c>
      <c r="D51" s="172">
        <v>50.984020000000001</v>
      </c>
      <c r="E51" s="172">
        <f t="shared" si="4"/>
        <v>2763.5840199999998</v>
      </c>
      <c r="F51" s="172">
        <v>133.4734</v>
      </c>
      <c r="G51" s="172">
        <f t="shared" si="5"/>
        <v>2630.1106199999999</v>
      </c>
      <c r="H51" s="183">
        <f t="shared" si="6"/>
        <v>8.9623187998862619</v>
      </c>
      <c r="I51" s="144">
        <f t="shared" si="7"/>
        <v>8.245333295895362</v>
      </c>
    </row>
    <row r="52" spans="1:9" ht="12" customHeight="1" x14ac:dyDescent="0.2">
      <c r="A52" s="3">
        <v>2005</v>
      </c>
      <c r="B52" s="21">
        <v>296.186216</v>
      </c>
      <c r="C52" s="171">
        <v>2641.6</v>
      </c>
      <c r="D52" s="172">
        <v>56.847355999999998</v>
      </c>
      <c r="E52" s="172">
        <f t="shared" si="4"/>
        <v>2698.4473560000001</v>
      </c>
      <c r="F52" s="172">
        <v>135.978036</v>
      </c>
      <c r="G52" s="172">
        <f t="shared" si="5"/>
        <v>2562.4693200000002</v>
      </c>
      <c r="H52" s="183">
        <f t="shared" si="6"/>
        <v>8.6515481868339208</v>
      </c>
      <c r="I52" s="144">
        <f t="shared" si="7"/>
        <v>7.9594243318872078</v>
      </c>
    </row>
    <row r="53" spans="1:9" ht="12" customHeight="1" x14ac:dyDescent="0.2">
      <c r="A53" s="2">
        <v>2006</v>
      </c>
      <c r="B53" s="20">
        <v>298.99582500000002</v>
      </c>
      <c r="C53" s="168">
        <v>2574.5</v>
      </c>
      <c r="D53" s="170">
        <v>59.810369999999999</v>
      </c>
      <c r="E53" s="170">
        <f t="shared" si="4"/>
        <v>2634.3103700000001</v>
      </c>
      <c r="F53" s="170">
        <v>144.80062799999999</v>
      </c>
      <c r="G53" s="170">
        <f t="shared" si="5"/>
        <v>2489.5097420000002</v>
      </c>
      <c r="H53" s="142">
        <f t="shared" si="6"/>
        <v>8.3262357994463638</v>
      </c>
      <c r="I53" s="142">
        <f t="shared" si="7"/>
        <v>7.6601369354906552</v>
      </c>
    </row>
    <row r="54" spans="1:9" ht="12" customHeight="1" x14ac:dyDescent="0.2">
      <c r="A54" s="2">
        <v>2007</v>
      </c>
      <c r="B54" s="20">
        <v>302.003917</v>
      </c>
      <c r="C54" s="168">
        <v>2850.4</v>
      </c>
      <c r="D54" s="170">
        <v>66.602245999999994</v>
      </c>
      <c r="E54" s="170">
        <f t="shared" si="4"/>
        <v>2917.002246</v>
      </c>
      <c r="F54" s="170">
        <v>131.15610799999999</v>
      </c>
      <c r="G54" s="170">
        <f t="shared" si="5"/>
        <v>2785.8461379999999</v>
      </c>
      <c r="H54" s="142">
        <f t="shared" si="6"/>
        <v>9.224536442022373</v>
      </c>
      <c r="I54" s="142">
        <f t="shared" ref="I54:I59" si="8">H54*0.92</f>
        <v>8.4865735266605835</v>
      </c>
    </row>
    <row r="55" spans="1:9" ht="12" customHeight="1" x14ac:dyDescent="0.2">
      <c r="A55" s="2">
        <v>2008</v>
      </c>
      <c r="B55" s="20">
        <v>304.79776099999998</v>
      </c>
      <c r="C55" s="168">
        <v>2889.9</v>
      </c>
      <c r="D55" s="170">
        <v>77.391391999999996</v>
      </c>
      <c r="E55" s="170">
        <f t="shared" si="4"/>
        <v>2967.2913920000001</v>
      </c>
      <c r="F55" s="170">
        <v>180.69692499999999</v>
      </c>
      <c r="G55" s="170">
        <f t="shared" si="5"/>
        <v>2786.5944669999999</v>
      </c>
      <c r="H55" s="142">
        <f t="shared" si="6"/>
        <v>9.1424374570783016</v>
      </c>
      <c r="I55" s="142">
        <f t="shared" si="8"/>
        <v>8.4110424605120375</v>
      </c>
    </row>
    <row r="56" spans="1:9" ht="12" customHeight="1" x14ac:dyDescent="0.2">
      <c r="A56" s="2">
        <v>2009</v>
      </c>
      <c r="B56" s="20">
        <v>307.43940600000002</v>
      </c>
      <c r="C56" s="168">
        <v>2883.9</v>
      </c>
      <c r="D56" s="170">
        <v>85.684060000000002</v>
      </c>
      <c r="E56" s="170">
        <f t="shared" si="4"/>
        <v>2969.5840600000001</v>
      </c>
      <c r="F56" s="170">
        <v>149.09337099999999</v>
      </c>
      <c r="G56" s="170">
        <f t="shared" si="5"/>
        <v>2820.4906890000002</v>
      </c>
      <c r="H56" s="142">
        <f t="shared" si="6"/>
        <v>9.1741352408155521</v>
      </c>
      <c r="I56" s="142">
        <f t="shared" si="8"/>
        <v>8.4402044215503089</v>
      </c>
    </row>
    <row r="57" spans="1:9" ht="12" customHeight="1" x14ac:dyDescent="0.2">
      <c r="A57" s="2">
        <v>2010</v>
      </c>
      <c r="B57" s="20">
        <v>309.74127900000002</v>
      </c>
      <c r="C57" s="168">
        <v>2914.9</v>
      </c>
      <c r="D57" s="170">
        <v>122.39804204408001</v>
      </c>
      <c r="E57" s="170">
        <f t="shared" si="4"/>
        <v>3037.2980420440799</v>
      </c>
      <c r="F57" s="170">
        <v>172.70107484145998</v>
      </c>
      <c r="G57" s="170">
        <f t="shared" si="5"/>
        <v>2864.5969672026199</v>
      </c>
      <c r="H57" s="142">
        <f t="shared" si="6"/>
        <v>9.2483539050751435</v>
      </c>
      <c r="I57" s="142">
        <f t="shared" si="8"/>
        <v>8.5084855926691318</v>
      </c>
    </row>
    <row r="58" spans="1:9" ht="12" customHeight="1" x14ac:dyDescent="0.2">
      <c r="A58" s="33">
        <v>2011</v>
      </c>
      <c r="B58" s="31">
        <v>311.97391399999998</v>
      </c>
      <c r="C58" s="171">
        <v>2633.6</v>
      </c>
      <c r="D58" s="172">
        <v>105.89152299528001</v>
      </c>
      <c r="E58" s="172">
        <f t="shared" si="4"/>
        <v>2739.4915229952799</v>
      </c>
      <c r="F58" s="172">
        <v>190.95792107457999</v>
      </c>
      <c r="G58" s="172">
        <f t="shared" si="5"/>
        <v>2548.5336019206998</v>
      </c>
      <c r="H58" s="183">
        <f t="shared" si="6"/>
        <v>8.169059935955735</v>
      </c>
      <c r="I58" s="144">
        <f t="shared" si="8"/>
        <v>7.5155351410792761</v>
      </c>
    </row>
    <row r="59" spans="1:9" s="43" customFormat="1" ht="12" customHeight="1" x14ac:dyDescent="0.2">
      <c r="A59" s="33">
        <v>2012</v>
      </c>
      <c r="B59" s="31">
        <v>314.16755799999999</v>
      </c>
      <c r="C59" s="171">
        <v>2791</v>
      </c>
      <c r="D59" s="172">
        <v>108.45752651030001</v>
      </c>
      <c r="E59" s="172">
        <f t="shared" si="4"/>
        <v>2899.4575265102999</v>
      </c>
      <c r="F59" s="172">
        <v>172.17606222541997</v>
      </c>
      <c r="G59" s="172">
        <f t="shared" si="5"/>
        <v>2727.2814642848798</v>
      </c>
      <c r="H59" s="183">
        <f t="shared" si="6"/>
        <v>8.6809773792266611</v>
      </c>
      <c r="I59" s="144">
        <f t="shared" si="8"/>
        <v>7.9864991888885282</v>
      </c>
    </row>
    <row r="60" spans="1:9" s="93" customFormat="1" ht="12" customHeight="1" x14ac:dyDescent="0.2">
      <c r="A60" s="33">
        <v>2013</v>
      </c>
      <c r="B60" s="31">
        <v>316.29476599999998</v>
      </c>
      <c r="C60" s="171">
        <v>2856.1</v>
      </c>
      <c r="D60" s="172">
        <v>106.21676397002</v>
      </c>
      <c r="E60" s="172">
        <f t="shared" si="4"/>
        <v>2962.31676397002</v>
      </c>
      <c r="F60" s="172">
        <v>155.03355439902001</v>
      </c>
      <c r="G60" s="172">
        <f t="shared" ref="G60" si="9">E60-SUM(F60)</f>
        <v>2807.283209571</v>
      </c>
      <c r="H60" s="183">
        <f t="shared" ref="H60" si="10">IF(G60=0,0,IF(B60=0,0,G60/B60))</f>
        <v>8.8755284985367098</v>
      </c>
      <c r="I60" s="144">
        <f t="shared" ref="I60" si="11">H60*0.92</f>
        <v>8.1654862186537738</v>
      </c>
    </row>
    <row r="61" spans="1:9" s="93" customFormat="1" ht="12" customHeight="1" x14ac:dyDescent="0.2">
      <c r="A61" s="33">
        <v>2014</v>
      </c>
      <c r="B61" s="31">
        <v>318.576955</v>
      </c>
      <c r="C61" s="171">
        <v>2464.9</v>
      </c>
      <c r="D61" s="172">
        <v>108.10773047800001</v>
      </c>
      <c r="E61" s="172">
        <f t="shared" si="4"/>
        <v>2573.0077304780002</v>
      </c>
      <c r="F61" s="172">
        <v>136.99605021893998</v>
      </c>
      <c r="G61" s="172">
        <f t="shared" ref="G61" si="12">E61-SUM(F61)</f>
        <v>2436.0116802590601</v>
      </c>
      <c r="H61" s="183">
        <f t="shared" ref="H61" si="13">IF(G61=0,0,IF(B61=0,0,G61/B61))</f>
        <v>7.6465407871672957</v>
      </c>
      <c r="I61" s="144">
        <f t="shared" ref="I61" si="14">H61*0.92</f>
        <v>7.0348175241939126</v>
      </c>
    </row>
    <row r="62" spans="1:9" s="93" customFormat="1" ht="12" customHeight="1" x14ac:dyDescent="0.2">
      <c r="A62" s="33">
        <v>2015</v>
      </c>
      <c r="B62" s="31">
        <v>320.87070299999999</v>
      </c>
      <c r="C62" s="171">
        <v>2795.2</v>
      </c>
      <c r="D62" s="172">
        <v>105.24117773224</v>
      </c>
      <c r="E62" s="172">
        <f t="shared" si="4"/>
        <v>2900.4411777322398</v>
      </c>
      <c r="F62" s="172">
        <v>135.70533118912002</v>
      </c>
      <c r="G62" s="172">
        <f t="shared" ref="G62" si="15">E62-SUM(F62)</f>
        <v>2764.7358465431198</v>
      </c>
      <c r="H62" s="183">
        <f t="shared" ref="H62" si="16">IF(G62=0,0,IF(B62=0,0,G62/B62))</f>
        <v>8.6163548765719504</v>
      </c>
      <c r="I62" s="144">
        <f t="shared" ref="I62" si="17">H62*0.92</f>
        <v>7.9270464864461951</v>
      </c>
    </row>
    <row r="63" spans="1:9" s="93" customFormat="1" ht="12" customHeight="1" x14ac:dyDescent="0.2">
      <c r="A63" s="128">
        <v>2016</v>
      </c>
      <c r="B63" s="129">
        <v>323.16101099999997</v>
      </c>
      <c r="C63" s="168">
        <v>2303.6999999999998</v>
      </c>
      <c r="D63" s="170">
        <v>122.39515399187999</v>
      </c>
      <c r="E63" s="170">
        <f t="shared" si="4"/>
        <v>2426.0951539918797</v>
      </c>
      <c r="F63" s="170">
        <v>132.57125662484003</v>
      </c>
      <c r="G63" s="170">
        <f t="shared" ref="G63:G64" si="18">E63-SUM(F63)</f>
        <v>2293.5238973670398</v>
      </c>
      <c r="H63" s="142">
        <f t="shared" ref="H63:H64" si="19">IF(G63=0,0,IF(B63=0,0,G63/B63))</f>
        <v>7.0971553476388891</v>
      </c>
      <c r="I63" s="142">
        <f t="shared" ref="I63:I64" si="20">H63*0.92</f>
        <v>6.5293829198277784</v>
      </c>
    </row>
    <row r="64" spans="1:9" s="93" customFormat="1" ht="12" customHeight="1" x14ac:dyDescent="0.2">
      <c r="A64" s="125">
        <v>2017</v>
      </c>
      <c r="B64" s="126">
        <v>325.20603</v>
      </c>
      <c r="C64" s="168">
        <v>2361.3200000000002</v>
      </c>
      <c r="D64" s="170">
        <v>137.35460079726002</v>
      </c>
      <c r="E64" s="170">
        <f t="shared" si="4"/>
        <v>2498.6746007972602</v>
      </c>
      <c r="F64" s="170">
        <v>150.65272533696</v>
      </c>
      <c r="G64" s="170">
        <f t="shared" si="18"/>
        <v>2348.0218754603002</v>
      </c>
      <c r="H64" s="142">
        <f t="shared" si="19"/>
        <v>7.2201055910934375</v>
      </c>
      <c r="I64" s="142">
        <f t="shared" si="20"/>
        <v>6.6424971438059632</v>
      </c>
    </row>
    <row r="65" spans="1:10" s="93" customFormat="1" ht="12" customHeight="1" x14ac:dyDescent="0.2">
      <c r="A65" s="125">
        <v>2018</v>
      </c>
      <c r="B65" s="126">
        <v>326.92397599999998</v>
      </c>
      <c r="C65" s="168">
        <v>2254.84</v>
      </c>
      <c r="D65" s="170">
        <v>117.62516320280002</v>
      </c>
      <c r="E65" s="170">
        <f t="shared" si="4"/>
        <v>2372.4651632028003</v>
      </c>
      <c r="F65" s="170">
        <v>146.88271711058002</v>
      </c>
      <c r="G65" s="170">
        <f t="shared" ref="G65:G67" si="21">E65-SUM(F65)</f>
        <v>2225.5824460922204</v>
      </c>
      <c r="H65" s="142">
        <f t="shared" ref="H65:H67" si="22">IF(G65=0,0,IF(B65=0,0,G65/B65))</f>
        <v>6.80764523092739</v>
      </c>
      <c r="I65" s="142">
        <f t="shared" ref="I65:I67" si="23">H65*0.92</f>
        <v>6.2630336124531993</v>
      </c>
    </row>
    <row r="66" spans="1:10" s="93" customFormat="1" ht="12" customHeight="1" x14ac:dyDescent="0.2">
      <c r="A66" s="128">
        <v>2019</v>
      </c>
      <c r="B66" s="129">
        <v>328.475998</v>
      </c>
      <c r="C66" s="168">
        <v>1677.26</v>
      </c>
      <c r="D66" s="170">
        <v>126.90025748334001</v>
      </c>
      <c r="E66" s="170">
        <f t="shared" si="4"/>
        <v>1804.16025748334</v>
      </c>
      <c r="F66" s="170">
        <v>126.27484426788001</v>
      </c>
      <c r="G66" s="170">
        <f t="shared" si="21"/>
        <v>1677.8854132154599</v>
      </c>
      <c r="H66" s="142">
        <f t="shared" si="22"/>
        <v>5.1080913778530022</v>
      </c>
      <c r="I66" s="142">
        <f t="shared" si="23"/>
        <v>4.6994440676247624</v>
      </c>
    </row>
    <row r="67" spans="1:10" s="93" customFormat="1" ht="12" customHeight="1" thickBot="1" x14ac:dyDescent="0.25">
      <c r="A67" s="148">
        <v>2020</v>
      </c>
      <c r="B67" s="149">
        <v>330.11398000000003</v>
      </c>
      <c r="C67" s="168">
        <v>1514.92</v>
      </c>
      <c r="D67" s="170">
        <v>159.69254477572005</v>
      </c>
      <c r="E67" s="170">
        <f t="shared" si="4"/>
        <v>1674.6125447757202</v>
      </c>
      <c r="F67" s="170">
        <v>133.88748972192002</v>
      </c>
      <c r="G67" s="170">
        <f t="shared" si="21"/>
        <v>1540.7250550538001</v>
      </c>
      <c r="H67" s="142">
        <f t="shared" si="22"/>
        <v>4.6672517627208636</v>
      </c>
      <c r="I67" s="142">
        <f t="shared" si="23"/>
        <v>4.2938716217031949</v>
      </c>
    </row>
    <row r="68" spans="1:10" ht="12" customHeight="1" thickTop="1" x14ac:dyDescent="0.2">
      <c r="A68" s="284" t="s">
        <v>8</v>
      </c>
      <c r="B68" s="285"/>
      <c r="C68" s="285"/>
      <c r="D68" s="285"/>
      <c r="E68" s="285"/>
      <c r="F68" s="285"/>
      <c r="G68" s="285"/>
      <c r="H68" s="285"/>
      <c r="I68" s="286"/>
      <c r="J68" s="22"/>
    </row>
    <row r="69" spans="1:10" ht="12" customHeight="1" x14ac:dyDescent="0.2">
      <c r="A69" s="287"/>
      <c r="B69" s="288"/>
      <c r="C69" s="288"/>
      <c r="D69" s="288"/>
      <c r="E69" s="288"/>
      <c r="F69" s="288"/>
      <c r="G69" s="288"/>
      <c r="H69" s="288"/>
      <c r="I69" s="289"/>
      <c r="J69" s="22"/>
    </row>
    <row r="70" spans="1:10" ht="12" customHeight="1" x14ac:dyDescent="0.2">
      <c r="A70" s="251" t="s">
        <v>230</v>
      </c>
      <c r="B70" s="252"/>
      <c r="C70" s="252"/>
      <c r="D70" s="252"/>
      <c r="E70" s="252"/>
      <c r="F70" s="252"/>
      <c r="G70" s="252"/>
      <c r="H70" s="252"/>
      <c r="I70" s="253"/>
      <c r="J70" s="45"/>
    </row>
    <row r="71" spans="1:10" ht="12" customHeight="1" x14ac:dyDescent="0.2">
      <c r="A71" s="251"/>
      <c r="B71" s="252"/>
      <c r="C71" s="252"/>
      <c r="D71" s="252"/>
      <c r="E71" s="252"/>
      <c r="F71" s="252"/>
      <c r="G71" s="252"/>
      <c r="H71" s="252"/>
      <c r="I71" s="253"/>
      <c r="J71" s="43"/>
    </row>
    <row r="72" spans="1:10" ht="12" customHeight="1" x14ac:dyDescent="0.2">
      <c r="A72" s="251"/>
      <c r="B72" s="252"/>
      <c r="C72" s="252"/>
      <c r="D72" s="252"/>
      <c r="E72" s="252"/>
      <c r="F72" s="252"/>
      <c r="G72" s="252"/>
      <c r="H72" s="252"/>
      <c r="I72" s="253"/>
      <c r="J72" s="43"/>
    </row>
    <row r="73" spans="1:10" ht="12" customHeight="1" x14ac:dyDescent="0.2">
      <c r="A73" s="211"/>
      <c r="B73" s="212"/>
      <c r="C73" s="212"/>
      <c r="D73" s="212"/>
      <c r="E73" s="212"/>
      <c r="F73" s="212"/>
      <c r="G73" s="212"/>
      <c r="H73" s="212"/>
      <c r="I73" s="213"/>
      <c r="J73" s="43"/>
    </row>
    <row r="74" spans="1:10" ht="12" customHeight="1" x14ac:dyDescent="0.2">
      <c r="A74" s="281" t="s">
        <v>198</v>
      </c>
      <c r="B74" s="282"/>
      <c r="C74" s="282"/>
      <c r="D74" s="282"/>
      <c r="E74" s="282"/>
      <c r="F74" s="282"/>
      <c r="G74" s="282"/>
      <c r="H74" s="282"/>
      <c r="I74" s="283"/>
      <c r="J74" s="43"/>
    </row>
    <row r="75" spans="1:10" ht="12" customHeight="1" x14ac:dyDescent="0.2">
      <c r="A75" s="281"/>
      <c r="B75" s="282"/>
      <c r="C75" s="282"/>
      <c r="D75" s="282"/>
      <c r="E75" s="282"/>
      <c r="F75" s="282"/>
      <c r="G75" s="282"/>
      <c r="H75" s="282"/>
      <c r="I75" s="283"/>
      <c r="J75" s="43"/>
    </row>
  </sheetData>
  <mergeCells count="20">
    <mergeCell ref="H6:I6"/>
    <mergeCell ref="A74:I75"/>
    <mergeCell ref="A70:I72"/>
    <mergeCell ref="A68:I68"/>
    <mergeCell ref="A69:I69"/>
    <mergeCell ref="A73:I73"/>
    <mergeCell ref="C6:G6"/>
    <mergeCell ref="H1:I1"/>
    <mergeCell ref="G3:G5"/>
    <mergeCell ref="C3:C5"/>
    <mergeCell ref="D3:D5"/>
    <mergeCell ref="F3:F5"/>
    <mergeCell ref="A1:G1"/>
    <mergeCell ref="A2:A5"/>
    <mergeCell ref="B2:B5"/>
    <mergeCell ref="E3:E5"/>
    <mergeCell ref="H4:H5"/>
    <mergeCell ref="C2:E2"/>
    <mergeCell ref="H3:I3"/>
    <mergeCell ref="G2:I2"/>
  </mergeCells>
  <phoneticPr fontId="7" type="noConversion"/>
  <printOptions horizontalCentered="1"/>
  <pageMargins left="0.45" right="0.45" top="0.75" bottom="0.75" header="0" footer="0"/>
  <pageSetup scale="66" fitToWidth="2"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pageSetUpPr autoPageBreaks="0" fitToPage="1"/>
  </sheetPr>
  <dimension ref="A1:J75"/>
  <sheetViews>
    <sheetView showOutlineSymbols="0" zoomScaleNormal="100" workbookViewId="0">
      <pane ySplit="6" topLeftCell="A7" activePane="bottomLeft" state="frozen"/>
      <selection sqref="A1:G1"/>
      <selection pane="bottomLeft" sqref="A1:G1"/>
    </sheetView>
  </sheetViews>
  <sheetFormatPr defaultColWidth="12.7109375" defaultRowHeight="12" customHeight="1" x14ac:dyDescent="0.2"/>
  <cols>
    <col min="1" max="1" width="12.7109375" style="13" customWidth="1"/>
    <col min="2" max="16384" width="12.7109375" style="13"/>
  </cols>
  <sheetData>
    <row r="1" spans="1:10" s="1" customFormat="1" ht="12" customHeight="1" thickBot="1" x14ac:dyDescent="0.25">
      <c r="A1" s="201" t="s">
        <v>159</v>
      </c>
      <c r="B1" s="201"/>
      <c r="C1" s="201"/>
      <c r="D1" s="201"/>
      <c r="E1" s="201"/>
      <c r="F1" s="201"/>
      <c r="G1" s="201"/>
      <c r="H1" s="200" t="s">
        <v>19</v>
      </c>
      <c r="I1" s="200"/>
    </row>
    <row r="2" spans="1:10" ht="12" customHeight="1" thickTop="1" x14ac:dyDescent="0.2">
      <c r="A2" s="257" t="s">
        <v>1</v>
      </c>
      <c r="B2" s="258" t="s">
        <v>24</v>
      </c>
      <c r="C2" s="218" t="s">
        <v>2</v>
      </c>
      <c r="D2" s="218"/>
      <c r="E2" s="218"/>
      <c r="F2" s="117" t="s">
        <v>146</v>
      </c>
      <c r="G2" s="244" t="s">
        <v>147</v>
      </c>
      <c r="H2" s="245"/>
      <c r="I2" s="245"/>
    </row>
    <row r="3" spans="1:10" ht="12" customHeight="1" x14ac:dyDescent="0.2">
      <c r="A3" s="217"/>
      <c r="B3" s="259"/>
      <c r="C3" s="217" t="s">
        <v>6</v>
      </c>
      <c r="D3" s="217" t="s">
        <v>7</v>
      </c>
      <c r="E3" s="217" t="s">
        <v>25</v>
      </c>
      <c r="F3" s="217" t="s">
        <v>144</v>
      </c>
      <c r="G3" s="217" t="s">
        <v>137</v>
      </c>
      <c r="H3" s="226" t="s">
        <v>28</v>
      </c>
      <c r="I3" s="227"/>
    </row>
    <row r="4" spans="1:10" ht="12" customHeight="1" x14ac:dyDescent="0.2">
      <c r="A4" s="217"/>
      <c r="B4" s="259"/>
      <c r="C4" s="217"/>
      <c r="D4" s="217"/>
      <c r="E4" s="217"/>
      <c r="F4" s="217"/>
      <c r="G4" s="217"/>
      <c r="H4" s="217" t="s">
        <v>4</v>
      </c>
      <c r="I4" s="14" t="s">
        <v>139</v>
      </c>
      <c r="J4" s="4"/>
    </row>
    <row r="5" spans="1:10" ht="12" customHeight="1" x14ac:dyDescent="0.2">
      <c r="A5" s="217"/>
      <c r="B5" s="259"/>
      <c r="C5" s="217"/>
      <c r="D5" s="217"/>
      <c r="E5" s="217"/>
      <c r="F5" s="217"/>
      <c r="G5" s="217"/>
      <c r="H5" s="217"/>
      <c r="I5" s="14" t="s">
        <v>191</v>
      </c>
    </row>
    <row r="6" spans="1:10" ht="12" customHeight="1" x14ac:dyDescent="0.2">
      <c r="A6" s="66"/>
      <c r="B6" s="167" t="s">
        <v>121</v>
      </c>
      <c r="C6" s="290" t="s">
        <v>122</v>
      </c>
      <c r="D6" s="291"/>
      <c r="E6" s="291"/>
      <c r="F6" s="291"/>
      <c r="G6" s="292"/>
      <c r="H6" s="214" t="s">
        <v>118</v>
      </c>
      <c r="I6" s="222"/>
      <c r="J6" s="66"/>
    </row>
    <row r="7" spans="1:10" ht="12" customHeight="1" x14ac:dyDescent="0.2">
      <c r="A7" s="2">
        <v>1960</v>
      </c>
      <c r="B7" s="20">
        <v>180.67099999999999</v>
      </c>
      <c r="C7" s="168">
        <v>474.1</v>
      </c>
      <c r="D7" s="170">
        <v>65.400000000000006</v>
      </c>
      <c r="E7" s="170">
        <f t="shared" ref="E7:E38" si="0">SUM(C7,D7)</f>
        <v>539.5</v>
      </c>
      <c r="F7" s="170" t="s">
        <v>3</v>
      </c>
      <c r="G7" s="170">
        <f t="shared" ref="G7:G38" si="1">E7-SUM(F7)</f>
        <v>539.5</v>
      </c>
      <c r="H7" s="142">
        <f t="shared" ref="H7:H38" si="2">IF(G7=0,0,IF(B7=0,0,G7/B7))</f>
        <v>2.9860907395210079</v>
      </c>
      <c r="I7" s="142">
        <f t="shared" ref="I7:I16" si="3">H7*0.92</f>
        <v>2.7472034803593273</v>
      </c>
    </row>
    <row r="8" spans="1:10" ht="12" customHeight="1" x14ac:dyDescent="0.2">
      <c r="A8" s="3">
        <v>1961</v>
      </c>
      <c r="B8" s="21">
        <v>183.691</v>
      </c>
      <c r="C8" s="171">
        <v>507</v>
      </c>
      <c r="D8" s="172">
        <v>44.27</v>
      </c>
      <c r="E8" s="172">
        <f t="shared" si="0"/>
        <v>551.27</v>
      </c>
      <c r="F8" s="172" t="s">
        <v>3</v>
      </c>
      <c r="G8" s="172">
        <f t="shared" si="1"/>
        <v>551.27</v>
      </c>
      <c r="H8" s="183">
        <f t="shared" si="2"/>
        <v>3.0010724531958561</v>
      </c>
      <c r="I8" s="144">
        <f t="shared" si="3"/>
        <v>2.760986656940188</v>
      </c>
    </row>
    <row r="9" spans="1:10" ht="12" customHeight="1" x14ac:dyDescent="0.2">
      <c r="A9" s="3">
        <v>1962</v>
      </c>
      <c r="B9" s="21">
        <v>186.53800000000001</v>
      </c>
      <c r="C9" s="171">
        <v>458.7</v>
      </c>
      <c r="D9" s="172">
        <v>59.048999999999999</v>
      </c>
      <c r="E9" s="172">
        <f t="shared" si="0"/>
        <v>517.74900000000002</v>
      </c>
      <c r="F9" s="172" t="s">
        <v>3</v>
      </c>
      <c r="G9" s="172">
        <f t="shared" si="1"/>
        <v>517.74900000000002</v>
      </c>
      <c r="H9" s="183">
        <f t="shared" si="2"/>
        <v>2.7755685168705573</v>
      </c>
      <c r="I9" s="144">
        <f t="shared" si="3"/>
        <v>2.5535230355209126</v>
      </c>
    </row>
    <row r="10" spans="1:10" ht="12" customHeight="1" x14ac:dyDescent="0.2">
      <c r="A10" s="3">
        <v>1963</v>
      </c>
      <c r="B10" s="21">
        <v>189.24199999999999</v>
      </c>
      <c r="C10" s="171">
        <v>519.5</v>
      </c>
      <c r="D10" s="172">
        <v>61.155999999999999</v>
      </c>
      <c r="E10" s="172">
        <f t="shared" si="0"/>
        <v>580.65599999999995</v>
      </c>
      <c r="F10" s="172" t="s">
        <v>3</v>
      </c>
      <c r="G10" s="172">
        <f t="shared" si="1"/>
        <v>580.65599999999995</v>
      </c>
      <c r="H10" s="183">
        <f t="shared" si="2"/>
        <v>3.0683252132190528</v>
      </c>
      <c r="I10" s="144">
        <f t="shared" si="3"/>
        <v>2.8228591961615286</v>
      </c>
    </row>
    <row r="11" spans="1:10" ht="12" customHeight="1" x14ac:dyDescent="0.2">
      <c r="A11" s="3">
        <v>1964</v>
      </c>
      <c r="B11" s="21">
        <v>191.88900000000001</v>
      </c>
      <c r="C11" s="171">
        <v>522.20000000000005</v>
      </c>
      <c r="D11" s="172">
        <v>51.415999999999997</v>
      </c>
      <c r="E11" s="172">
        <f t="shared" si="0"/>
        <v>573.61599999999999</v>
      </c>
      <c r="F11" s="172" t="s">
        <v>3</v>
      </c>
      <c r="G11" s="172">
        <f t="shared" si="1"/>
        <v>573.61599999999999</v>
      </c>
      <c r="H11" s="183">
        <f t="shared" si="2"/>
        <v>2.9893115290610717</v>
      </c>
      <c r="I11" s="144">
        <f t="shared" si="3"/>
        <v>2.7501666067361858</v>
      </c>
    </row>
    <row r="12" spans="1:10" ht="12" customHeight="1" x14ac:dyDescent="0.2">
      <c r="A12" s="3">
        <v>1965</v>
      </c>
      <c r="B12" s="21">
        <v>194.303</v>
      </c>
      <c r="C12" s="171">
        <v>524.20000000000005</v>
      </c>
      <c r="D12" s="172">
        <v>75.777000000000001</v>
      </c>
      <c r="E12" s="172">
        <f t="shared" si="0"/>
        <v>599.97700000000009</v>
      </c>
      <c r="F12" s="172" t="s">
        <v>3</v>
      </c>
      <c r="G12" s="172">
        <f t="shared" si="1"/>
        <v>599.97700000000009</v>
      </c>
      <c r="H12" s="183">
        <f t="shared" si="2"/>
        <v>3.0878421846291624</v>
      </c>
      <c r="I12" s="144">
        <f t="shared" si="3"/>
        <v>2.8408148098588297</v>
      </c>
    </row>
    <row r="13" spans="1:10" ht="12" customHeight="1" x14ac:dyDescent="0.2">
      <c r="A13" s="2">
        <v>1966</v>
      </c>
      <c r="B13" s="20">
        <v>196.56</v>
      </c>
      <c r="C13" s="168">
        <v>501.8</v>
      </c>
      <c r="D13" s="170">
        <v>71.350999999999999</v>
      </c>
      <c r="E13" s="170">
        <f t="shared" si="0"/>
        <v>573.15100000000007</v>
      </c>
      <c r="F13" s="170" t="s">
        <v>3</v>
      </c>
      <c r="G13" s="170">
        <f t="shared" si="1"/>
        <v>573.15100000000007</v>
      </c>
      <c r="H13" s="142">
        <f t="shared" si="2"/>
        <v>2.9159086284086286</v>
      </c>
      <c r="I13" s="142">
        <f t="shared" si="3"/>
        <v>2.6826359381359386</v>
      </c>
    </row>
    <row r="14" spans="1:10" ht="12" customHeight="1" x14ac:dyDescent="0.2">
      <c r="A14" s="2">
        <v>1967</v>
      </c>
      <c r="B14" s="20">
        <v>198.71199999999999</v>
      </c>
      <c r="C14" s="168">
        <v>529</v>
      </c>
      <c r="D14" s="170">
        <v>86.509</v>
      </c>
      <c r="E14" s="170">
        <f t="shared" si="0"/>
        <v>615.50900000000001</v>
      </c>
      <c r="F14" s="170" t="s">
        <v>3</v>
      </c>
      <c r="G14" s="170">
        <f t="shared" si="1"/>
        <v>615.50900000000001</v>
      </c>
      <c r="H14" s="142">
        <f t="shared" si="2"/>
        <v>3.0974928539796291</v>
      </c>
      <c r="I14" s="142">
        <f t="shared" si="3"/>
        <v>2.8496934256612589</v>
      </c>
    </row>
    <row r="15" spans="1:10" ht="12" customHeight="1" x14ac:dyDescent="0.2">
      <c r="A15" s="2">
        <v>1968</v>
      </c>
      <c r="B15" s="20">
        <v>200.70599999999999</v>
      </c>
      <c r="C15" s="168">
        <v>503.4</v>
      </c>
      <c r="D15" s="170">
        <v>77.19</v>
      </c>
      <c r="E15" s="170">
        <f t="shared" si="0"/>
        <v>580.58999999999992</v>
      </c>
      <c r="F15" s="170" t="s">
        <v>3</v>
      </c>
      <c r="G15" s="170">
        <f t="shared" si="1"/>
        <v>580.58999999999992</v>
      </c>
      <c r="H15" s="142">
        <f t="shared" si="2"/>
        <v>2.892738632626827</v>
      </c>
      <c r="I15" s="142">
        <f t="shared" si="3"/>
        <v>2.6613195420166811</v>
      </c>
    </row>
    <row r="16" spans="1:10" ht="12" customHeight="1" x14ac:dyDescent="0.2">
      <c r="A16" s="2">
        <v>1969</v>
      </c>
      <c r="B16" s="20">
        <v>202.67699999999999</v>
      </c>
      <c r="C16" s="168">
        <v>499.7</v>
      </c>
      <c r="D16" s="170">
        <v>134.755</v>
      </c>
      <c r="E16" s="170">
        <f t="shared" si="0"/>
        <v>634.45499999999993</v>
      </c>
      <c r="F16" s="170" t="s">
        <v>3</v>
      </c>
      <c r="G16" s="170">
        <f t="shared" si="1"/>
        <v>634.45499999999993</v>
      </c>
      <c r="H16" s="142">
        <f t="shared" si="2"/>
        <v>3.1303749315413194</v>
      </c>
      <c r="I16" s="142">
        <f t="shared" si="3"/>
        <v>2.8799449370180139</v>
      </c>
    </row>
    <row r="17" spans="1:9" ht="12" customHeight="1" x14ac:dyDescent="0.2">
      <c r="A17" s="2">
        <v>1970</v>
      </c>
      <c r="B17" s="20">
        <v>205.05199999999999</v>
      </c>
      <c r="C17" s="168">
        <v>447.8</v>
      </c>
      <c r="D17" s="170">
        <v>143.30000000000001</v>
      </c>
      <c r="E17" s="170">
        <f t="shared" si="0"/>
        <v>591.1</v>
      </c>
      <c r="F17" s="170">
        <v>13.2</v>
      </c>
      <c r="G17" s="170">
        <f t="shared" si="1"/>
        <v>577.9</v>
      </c>
      <c r="H17" s="142">
        <f t="shared" si="2"/>
        <v>2.8183095019799858</v>
      </c>
      <c r="I17" s="142">
        <f>H17*0.92</f>
        <v>2.5928447418215872</v>
      </c>
    </row>
    <row r="18" spans="1:9" ht="12" customHeight="1" x14ac:dyDescent="0.2">
      <c r="A18" s="3">
        <v>1971</v>
      </c>
      <c r="B18" s="21">
        <v>207.661</v>
      </c>
      <c r="C18" s="171">
        <v>432.6</v>
      </c>
      <c r="D18" s="172">
        <v>157.4</v>
      </c>
      <c r="E18" s="172">
        <f t="shared" si="0"/>
        <v>590</v>
      </c>
      <c r="F18" s="172">
        <v>11.6</v>
      </c>
      <c r="G18" s="172">
        <f t="shared" si="1"/>
        <v>578.4</v>
      </c>
      <c r="H18" s="183">
        <f t="shared" si="2"/>
        <v>2.7853087483928132</v>
      </c>
      <c r="I18" s="144">
        <f t="shared" ref="I18:I47" si="4">H18*0.92</f>
        <v>2.5624840485213882</v>
      </c>
    </row>
    <row r="19" spans="1:9" ht="12" customHeight="1" x14ac:dyDescent="0.2">
      <c r="A19" s="3">
        <v>1972</v>
      </c>
      <c r="B19" s="21">
        <v>209.89599999999999</v>
      </c>
      <c r="C19" s="171">
        <v>470.2</v>
      </c>
      <c r="D19" s="172">
        <v>169.5</v>
      </c>
      <c r="E19" s="172">
        <f t="shared" si="0"/>
        <v>639.70000000000005</v>
      </c>
      <c r="F19" s="172">
        <v>16.899999999999999</v>
      </c>
      <c r="G19" s="172">
        <f t="shared" si="1"/>
        <v>622.80000000000007</v>
      </c>
      <c r="H19" s="183">
        <f t="shared" si="2"/>
        <v>2.9671837481419376</v>
      </c>
      <c r="I19" s="144">
        <f t="shared" si="4"/>
        <v>2.7298090482905826</v>
      </c>
    </row>
    <row r="20" spans="1:9" ht="12" customHeight="1" x14ac:dyDescent="0.2">
      <c r="A20" s="3">
        <v>1973</v>
      </c>
      <c r="B20" s="21">
        <v>211.90899999999999</v>
      </c>
      <c r="C20" s="171">
        <v>420.6</v>
      </c>
      <c r="D20" s="172">
        <v>177.6</v>
      </c>
      <c r="E20" s="172">
        <f t="shared" si="0"/>
        <v>598.20000000000005</v>
      </c>
      <c r="F20" s="172">
        <v>16.5</v>
      </c>
      <c r="G20" s="172">
        <f t="shared" si="1"/>
        <v>581.70000000000005</v>
      </c>
      <c r="H20" s="183">
        <f t="shared" si="2"/>
        <v>2.7450462226710526</v>
      </c>
      <c r="I20" s="144">
        <f t="shared" si="4"/>
        <v>2.5254425248573686</v>
      </c>
    </row>
    <row r="21" spans="1:9" ht="12" customHeight="1" x14ac:dyDescent="0.2">
      <c r="A21" s="3">
        <v>1974</v>
      </c>
      <c r="B21" s="21">
        <v>213.85400000000001</v>
      </c>
      <c r="C21" s="171">
        <v>467.6</v>
      </c>
      <c r="D21" s="172">
        <v>182.2</v>
      </c>
      <c r="E21" s="172">
        <f t="shared" si="0"/>
        <v>649.79999999999995</v>
      </c>
      <c r="F21" s="172">
        <v>17.5</v>
      </c>
      <c r="G21" s="172">
        <f t="shared" si="1"/>
        <v>632.29999999999995</v>
      </c>
      <c r="H21" s="183">
        <f t="shared" si="2"/>
        <v>2.956690078277703</v>
      </c>
      <c r="I21" s="144">
        <f t="shared" si="4"/>
        <v>2.7201548720154869</v>
      </c>
    </row>
    <row r="22" spans="1:9" ht="12" customHeight="1" x14ac:dyDescent="0.2">
      <c r="A22" s="3">
        <v>1975</v>
      </c>
      <c r="B22" s="21">
        <v>215.97300000000001</v>
      </c>
      <c r="C22" s="171">
        <v>496.9</v>
      </c>
      <c r="D22" s="172">
        <v>131.1</v>
      </c>
      <c r="E22" s="172">
        <f t="shared" si="0"/>
        <v>628</v>
      </c>
      <c r="F22" s="172">
        <v>22.2</v>
      </c>
      <c r="G22" s="172">
        <f t="shared" si="1"/>
        <v>605.79999999999995</v>
      </c>
      <c r="H22" s="183">
        <f t="shared" si="2"/>
        <v>2.8049802521611493</v>
      </c>
      <c r="I22" s="144">
        <f t="shared" si="4"/>
        <v>2.5805818319882574</v>
      </c>
    </row>
    <row r="23" spans="1:9" ht="12" customHeight="1" x14ac:dyDescent="0.2">
      <c r="A23" s="2">
        <v>1976</v>
      </c>
      <c r="B23" s="20">
        <v>218.035</v>
      </c>
      <c r="C23" s="168">
        <v>510.9</v>
      </c>
      <c r="D23" s="170">
        <v>213.9</v>
      </c>
      <c r="E23" s="170">
        <f t="shared" si="0"/>
        <v>724.8</v>
      </c>
      <c r="F23" s="170">
        <v>52.6</v>
      </c>
      <c r="G23" s="170">
        <f t="shared" si="1"/>
        <v>672.19999999999993</v>
      </c>
      <c r="H23" s="142">
        <f t="shared" si="2"/>
        <v>3.0829912628706397</v>
      </c>
      <c r="I23" s="142">
        <f t="shared" si="4"/>
        <v>2.8363519618409887</v>
      </c>
    </row>
    <row r="24" spans="1:9" ht="12" customHeight="1" x14ac:dyDescent="0.2">
      <c r="A24" s="2">
        <v>1977</v>
      </c>
      <c r="B24" s="20">
        <v>220.23899999999998</v>
      </c>
      <c r="C24" s="168">
        <v>564.70000000000005</v>
      </c>
      <c r="D24" s="170">
        <v>251</v>
      </c>
      <c r="E24" s="170">
        <f t="shared" si="0"/>
        <v>815.7</v>
      </c>
      <c r="F24" s="170">
        <v>45.9</v>
      </c>
      <c r="G24" s="170">
        <f t="shared" si="1"/>
        <v>769.80000000000007</v>
      </c>
      <c r="H24" s="142">
        <f t="shared" si="2"/>
        <v>3.4952937490635181</v>
      </c>
      <c r="I24" s="142">
        <f t="shared" si="4"/>
        <v>3.2156702491384368</v>
      </c>
    </row>
    <row r="25" spans="1:9" ht="12" customHeight="1" x14ac:dyDescent="0.2">
      <c r="A25" s="2">
        <v>1978</v>
      </c>
      <c r="B25" s="20">
        <v>222.58500000000001</v>
      </c>
      <c r="C25" s="168">
        <v>593.1</v>
      </c>
      <c r="D25" s="170">
        <v>305</v>
      </c>
      <c r="E25" s="170">
        <f t="shared" si="0"/>
        <v>898.1</v>
      </c>
      <c r="F25" s="170">
        <v>50.7</v>
      </c>
      <c r="G25" s="170">
        <f t="shared" si="1"/>
        <v>847.4</v>
      </c>
      <c r="H25" s="142">
        <f t="shared" si="2"/>
        <v>3.8070849338454971</v>
      </c>
      <c r="I25" s="142">
        <f t="shared" si="4"/>
        <v>3.5025181391378575</v>
      </c>
    </row>
    <row r="26" spans="1:9" ht="12" customHeight="1" x14ac:dyDescent="0.2">
      <c r="A26" s="2">
        <v>1979</v>
      </c>
      <c r="B26" s="20">
        <v>225.05500000000001</v>
      </c>
      <c r="C26" s="168">
        <v>592.1</v>
      </c>
      <c r="D26" s="170">
        <v>320</v>
      </c>
      <c r="E26" s="170">
        <f t="shared" si="0"/>
        <v>912.1</v>
      </c>
      <c r="F26" s="170">
        <v>49.3</v>
      </c>
      <c r="G26" s="170">
        <f t="shared" si="1"/>
        <v>862.80000000000007</v>
      </c>
      <c r="H26" s="142">
        <f t="shared" si="2"/>
        <v>3.8337295327808758</v>
      </c>
      <c r="I26" s="142">
        <f t="shared" si="4"/>
        <v>3.5270311701584061</v>
      </c>
    </row>
    <row r="27" spans="1:9" ht="12" customHeight="1" x14ac:dyDescent="0.2">
      <c r="A27" s="2">
        <v>1980</v>
      </c>
      <c r="B27" s="20">
        <v>227.726</v>
      </c>
      <c r="C27" s="168">
        <v>614.29999999999995</v>
      </c>
      <c r="D27" s="170">
        <v>316.2</v>
      </c>
      <c r="E27" s="170">
        <f t="shared" si="0"/>
        <v>930.5</v>
      </c>
      <c r="F27" s="170">
        <v>51</v>
      </c>
      <c r="G27" s="170">
        <f t="shared" si="1"/>
        <v>879.5</v>
      </c>
      <c r="H27" s="142">
        <f t="shared" si="2"/>
        <v>3.8620974328798643</v>
      </c>
      <c r="I27" s="142">
        <f t="shared" si="4"/>
        <v>3.5531296382494753</v>
      </c>
    </row>
    <row r="28" spans="1:9" ht="12" customHeight="1" x14ac:dyDescent="0.2">
      <c r="A28" s="3">
        <v>1981</v>
      </c>
      <c r="B28" s="21">
        <v>229.96600000000001</v>
      </c>
      <c r="C28" s="171">
        <v>603.70000000000005</v>
      </c>
      <c r="D28" s="172">
        <v>374.6</v>
      </c>
      <c r="E28" s="172">
        <f t="shared" si="0"/>
        <v>978.30000000000007</v>
      </c>
      <c r="F28" s="172">
        <v>58.5</v>
      </c>
      <c r="G28" s="172">
        <f t="shared" si="1"/>
        <v>919.80000000000007</v>
      </c>
      <c r="H28" s="183">
        <f t="shared" si="2"/>
        <v>3.9997216979901378</v>
      </c>
      <c r="I28" s="144">
        <f t="shared" si="4"/>
        <v>3.6797439621509267</v>
      </c>
    </row>
    <row r="29" spans="1:9" ht="12" customHeight="1" x14ac:dyDescent="0.2">
      <c r="A29" s="3">
        <v>1982</v>
      </c>
      <c r="B29" s="21">
        <v>232.18799999999999</v>
      </c>
      <c r="C29" s="171">
        <v>722.2</v>
      </c>
      <c r="D29" s="172">
        <v>304.60000000000002</v>
      </c>
      <c r="E29" s="172">
        <f t="shared" si="0"/>
        <v>1026.8000000000002</v>
      </c>
      <c r="F29" s="172">
        <v>54.9</v>
      </c>
      <c r="G29" s="172">
        <f t="shared" si="1"/>
        <v>971.9000000000002</v>
      </c>
      <c r="H29" s="183">
        <f t="shared" si="2"/>
        <v>4.1858321704825414</v>
      </c>
      <c r="I29" s="144">
        <f t="shared" si="4"/>
        <v>3.8509655968439382</v>
      </c>
    </row>
    <row r="30" spans="1:9" ht="12" customHeight="1" x14ac:dyDescent="0.2">
      <c r="A30" s="3">
        <v>1983</v>
      </c>
      <c r="B30" s="21">
        <v>234.30699999999999</v>
      </c>
      <c r="C30" s="171">
        <v>728.6</v>
      </c>
      <c r="D30" s="172">
        <v>390.6</v>
      </c>
      <c r="E30" s="172">
        <f t="shared" si="0"/>
        <v>1119.2</v>
      </c>
      <c r="F30" s="172">
        <v>56.2</v>
      </c>
      <c r="G30" s="172">
        <f t="shared" si="1"/>
        <v>1063</v>
      </c>
      <c r="H30" s="183">
        <f t="shared" si="2"/>
        <v>4.5367829386232597</v>
      </c>
      <c r="I30" s="144">
        <f t="shared" si="4"/>
        <v>4.1738403035333986</v>
      </c>
    </row>
    <row r="31" spans="1:9" ht="12" customHeight="1" x14ac:dyDescent="0.2">
      <c r="A31" s="3">
        <v>1984</v>
      </c>
      <c r="B31" s="21">
        <v>236.34800000000001</v>
      </c>
      <c r="C31" s="171">
        <v>766.1</v>
      </c>
      <c r="D31" s="172">
        <v>388.3</v>
      </c>
      <c r="E31" s="172">
        <f t="shared" si="0"/>
        <v>1154.4000000000001</v>
      </c>
      <c r="F31" s="172">
        <v>54.7</v>
      </c>
      <c r="G31" s="172">
        <f t="shared" si="1"/>
        <v>1099.7</v>
      </c>
      <c r="H31" s="183">
        <f t="shared" si="2"/>
        <v>4.6528847292974769</v>
      </c>
      <c r="I31" s="144">
        <f t="shared" si="4"/>
        <v>4.2806539509536785</v>
      </c>
    </row>
    <row r="32" spans="1:9" ht="12" customHeight="1" x14ac:dyDescent="0.2">
      <c r="A32" s="3">
        <v>1985</v>
      </c>
      <c r="B32" s="21">
        <v>238.46600000000001</v>
      </c>
      <c r="C32" s="171">
        <v>723.2</v>
      </c>
      <c r="D32" s="172">
        <v>380.5</v>
      </c>
      <c r="E32" s="172">
        <f t="shared" si="0"/>
        <v>1103.7</v>
      </c>
      <c r="F32" s="172">
        <v>55.9</v>
      </c>
      <c r="G32" s="172">
        <f t="shared" si="1"/>
        <v>1047.8</v>
      </c>
      <c r="H32" s="183">
        <f t="shared" si="2"/>
        <v>4.393917791215519</v>
      </c>
      <c r="I32" s="144">
        <f t="shared" si="4"/>
        <v>4.0424043679182775</v>
      </c>
    </row>
    <row r="33" spans="1:9" ht="12" customHeight="1" x14ac:dyDescent="0.2">
      <c r="A33" s="2">
        <v>1986</v>
      </c>
      <c r="B33" s="20">
        <v>240.65100000000001</v>
      </c>
      <c r="C33" s="168">
        <v>745.7</v>
      </c>
      <c r="D33" s="170">
        <v>429.1</v>
      </c>
      <c r="E33" s="170">
        <f t="shared" si="0"/>
        <v>1174.8000000000002</v>
      </c>
      <c r="F33" s="170">
        <v>61.8</v>
      </c>
      <c r="G33" s="170">
        <f t="shared" si="1"/>
        <v>1113.0000000000002</v>
      </c>
      <c r="H33" s="142">
        <f t="shared" si="2"/>
        <v>4.6249548100776652</v>
      </c>
      <c r="I33" s="142">
        <f t="shared" si="4"/>
        <v>4.2549584252714521</v>
      </c>
    </row>
    <row r="34" spans="1:9" ht="12" customHeight="1" x14ac:dyDescent="0.2">
      <c r="A34" s="2">
        <v>1987</v>
      </c>
      <c r="B34" s="20">
        <v>242.804</v>
      </c>
      <c r="C34" s="168">
        <v>813.3</v>
      </c>
      <c r="D34" s="170">
        <v>476</v>
      </c>
      <c r="E34" s="170">
        <f t="shared" si="0"/>
        <v>1289.3</v>
      </c>
      <c r="F34" s="170">
        <v>59.1</v>
      </c>
      <c r="G34" s="170">
        <f t="shared" si="1"/>
        <v>1230.2</v>
      </c>
      <c r="H34" s="142">
        <f t="shared" si="2"/>
        <v>5.0666381113984942</v>
      </c>
      <c r="I34" s="142">
        <f t="shared" si="4"/>
        <v>4.6613070624866149</v>
      </c>
    </row>
    <row r="35" spans="1:9" ht="12" customHeight="1" x14ac:dyDescent="0.2">
      <c r="A35" s="2">
        <v>1988</v>
      </c>
      <c r="B35" s="20">
        <v>245.02099999999999</v>
      </c>
      <c r="C35" s="168">
        <v>834.9</v>
      </c>
      <c r="D35" s="170">
        <v>428.6</v>
      </c>
      <c r="E35" s="170">
        <f t="shared" si="0"/>
        <v>1263.5</v>
      </c>
      <c r="F35" s="170">
        <v>81.400000000000006</v>
      </c>
      <c r="G35" s="170">
        <f t="shared" si="1"/>
        <v>1182.0999999999999</v>
      </c>
      <c r="H35" s="142">
        <f t="shared" si="2"/>
        <v>4.8244844319466491</v>
      </c>
      <c r="I35" s="142">
        <f t="shared" si="4"/>
        <v>4.438525677390917</v>
      </c>
    </row>
    <row r="36" spans="1:9" ht="12" customHeight="1" x14ac:dyDescent="0.2">
      <c r="A36" s="2">
        <v>1989</v>
      </c>
      <c r="B36" s="20">
        <v>247.34200000000001</v>
      </c>
      <c r="C36" s="168">
        <v>805.2</v>
      </c>
      <c r="D36" s="170">
        <v>452.8</v>
      </c>
      <c r="E36" s="170">
        <f t="shared" si="0"/>
        <v>1258</v>
      </c>
      <c r="F36" s="170">
        <v>74.8</v>
      </c>
      <c r="G36" s="170">
        <f t="shared" si="1"/>
        <v>1183.2</v>
      </c>
      <c r="H36" s="142">
        <f t="shared" si="2"/>
        <v>4.7836598717565151</v>
      </c>
      <c r="I36" s="142">
        <f t="shared" si="4"/>
        <v>4.4009670820159936</v>
      </c>
    </row>
    <row r="37" spans="1:9" ht="12" customHeight="1" x14ac:dyDescent="0.2">
      <c r="A37" s="2">
        <v>1990</v>
      </c>
      <c r="B37" s="20">
        <v>250.13200000000001</v>
      </c>
      <c r="C37" s="168">
        <v>857.6</v>
      </c>
      <c r="D37" s="170">
        <v>394.56808999999998</v>
      </c>
      <c r="E37" s="170">
        <f t="shared" si="0"/>
        <v>1252.1680900000001</v>
      </c>
      <c r="F37" s="170">
        <v>83.002274</v>
      </c>
      <c r="G37" s="170">
        <f t="shared" si="1"/>
        <v>1169.1658160000002</v>
      </c>
      <c r="H37" s="142">
        <f t="shared" si="2"/>
        <v>4.6741952888874678</v>
      </c>
      <c r="I37" s="142">
        <f t="shared" si="4"/>
        <v>4.3002596657764709</v>
      </c>
    </row>
    <row r="38" spans="1:9" ht="12" customHeight="1" x14ac:dyDescent="0.2">
      <c r="A38" s="3">
        <v>1991</v>
      </c>
      <c r="B38" s="21">
        <v>253.49299999999999</v>
      </c>
      <c r="C38" s="171">
        <v>854.1</v>
      </c>
      <c r="D38" s="172">
        <v>382.91007000000002</v>
      </c>
      <c r="E38" s="172">
        <f t="shared" si="0"/>
        <v>1237.01007</v>
      </c>
      <c r="F38" s="172">
        <v>81.617322999999999</v>
      </c>
      <c r="G38" s="172">
        <f t="shared" si="1"/>
        <v>1155.3927470000001</v>
      </c>
      <c r="H38" s="183">
        <f t="shared" si="2"/>
        <v>4.5578881744269077</v>
      </c>
      <c r="I38" s="144">
        <f t="shared" si="4"/>
        <v>4.1932571204727553</v>
      </c>
    </row>
    <row r="39" spans="1:9" ht="12" customHeight="1" x14ac:dyDescent="0.2">
      <c r="A39" s="3">
        <v>1992</v>
      </c>
      <c r="B39" s="21">
        <v>256.89400000000001</v>
      </c>
      <c r="C39" s="171">
        <v>915.6</v>
      </c>
      <c r="D39" s="172">
        <v>432.45056</v>
      </c>
      <c r="E39" s="172">
        <f t="shared" ref="E39:E67" si="5">SUM(C39,D39)</f>
        <v>1348.0505600000001</v>
      </c>
      <c r="F39" s="172">
        <v>82.114293000000004</v>
      </c>
      <c r="G39" s="172">
        <f t="shared" ref="G39:G59" si="6">E39-SUM(F39)</f>
        <v>1265.936267</v>
      </c>
      <c r="H39" s="183">
        <f t="shared" ref="H39:H59" si="7">IF(G39=0,0,IF(B39=0,0,G39/B39))</f>
        <v>4.9278545509042644</v>
      </c>
      <c r="I39" s="144">
        <f t="shared" si="4"/>
        <v>4.5336261868319232</v>
      </c>
    </row>
    <row r="40" spans="1:9" ht="12" customHeight="1" x14ac:dyDescent="0.2">
      <c r="A40" s="3">
        <v>1993</v>
      </c>
      <c r="B40" s="21">
        <v>260.255</v>
      </c>
      <c r="C40" s="171">
        <v>933.5</v>
      </c>
      <c r="D40" s="172">
        <v>502.26218</v>
      </c>
      <c r="E40" s="172">
        <f t="shared" si="5"/>
        <v>1435.7621799999999</v>
      </c>
      <c r="F40" s="172">
        <v>79.369643999999994</v>
      </c>
      <c r="G40" s="172">
        <f t="shared" si="6"/>
        <v>1356.3925359999998</v>
      </c>
      <c r="H40" s="183">
        <f t="shared" si="7"/>
        <v>5.2117828130103163</v>
      </c>
      <c r="I40" s="144">
        <f t="shared" si="4"/>
        <v>4.7948401879694913</v>
      </c>
    </row>
    <row r="41" spans="1:9" ht="12" customHeight="1" x14ac:dyDescent="0.2">
      <c r="A41" s="3">
        <v>1994</v>
      </c>
      <c r="B41" s="21">
        <v>263.43599999999998</v>
      </c>
      <c r="C41" s="171">
        <v>941.5</v>
      </c>
      <c r="D41" s="172">
        <v>549.11656000000005</v>
      </c>
      <c r="E41" s="172">
        <f t="shared" si="5"/>
        <v>1490.6165599999999</v>
      </c>
      <c r="F41" s="172">
        <v>77.890372999999997</v>
      </c>
      <c r="G41" s="172">
        <f t="shared" si="6"/>
        <v>1412.726187</v>
      </c>
      <c r="H41" s="183">
        <f t="shared" si="7"/>
        <v>5.3626922174645841</v>
      </c>
      <c r="I41" s="144">
        <f t="shared" si="4"/>
        <v>4.9336768400674176</v>
      </c>
    </row>
    <row r="42" spans="1:9" ht="12" customHeight="1" x14ac:dyDescent="0.2">
      <c r="A42" s="3">
        <v>1995</v>
      </c>
      <c r="B42" s="21">
        <v>266.55700000000002</v>
      </c>
      <c r="C42" s="171">
        <v>1000.2</v>
      </c>
      <c r="D42" s="172">
        <v>572.04414999999995</v>
      </c>
      <c r="E42" s="172">
        <f t="shared" si="5"/>
        <v>1572.24415</v>
      </c>
      <c r="F42" s="172">
        <v>77.140313000000006</v>
      </c>
      <c r="G42" s="172">
        <f t="shared" si="6"/>
        <v>1495.1038369999999</v>
      </c>
      <c r="H42" s="183">
        <f t="shared" si="7"/>
        <v>5.6089460678203906</v>
      </c>
      <c r="I42" s="144">
        <f t="shared" si="4"/>
        <v>5.1602303823947597</v>
      </c>
    </row>
    <row r="43" spans="1:9" ht="12" customHeight="1" x14ac:dyDescent="0.2">
      <c r="A43" s="2">
        <v>1996</v>
      </c>
      <c r="B43" s="20">
        <v>269.66699999999997</v>
      </c>
      <c r="C43" s="168">
        <v>983.6</v>
      </c>
      <c r="D43" s="170">
        <v>686.30357000000004</v>
      </c>
      <c r="E43" s="170">
        <f t="shared" si="5"/>
        <v>1669.9035699999999</v>
      </c>
      <c r="F43" s="170">
        <v>70.687137000000007</v>
      </c>
      <c r="G43" s="170">
        <f t="shared" si="6"/>
        <v>1599.2164330000001</v>
      </c>
      <c r="H43" s="142">
        <f t="shared" si="7"/>
        <v>5.9303379093474549</v>
      </c>
      <c r="I43" s="142">
        <f t="shared" si="4"/>
        <v>5.4559108765996589</v>
      </c>
    </row>
    <row r="44" spans="1:9" ht="12" customHeight="1" x14ac:dyDescent="0.2">
      <c r="A44" s="2">
        <v>1997</v>
      </c>
      <c r="B44" s="20">
        <v>272.91199999999998</v>
      </c>
      <c r="C44" s="168">
        <v>1157.0999999999999</v>
      </c>
      <c r="D44" s="170">
        <v>667.54783999999995</v>
      </c>
      <c r="E44" s="170">
        <f t="shared" si="5"/>
        <v>1824.6478399999999</v>
      </c>
      <c r="F44" s="170">
        <v>71.772354000000007</v>
      </c>
      <c r="G44" s="170">
        <f t="shared" si="6"/>
        <v>1752.8754859999999</v>
      </c>
      <c r="H44" s="142">
        <f t="shared" si="7"/>
        <v>6.4228596983643085</v>
      </c>
      <c r="I44" s="142">
        <f t="shared" si="4"/>
        <v>5.9090309224951643</v>
      </c>
    </row>
    <row r="45" spans="1:9" ht="12" customHeight="1" x14ac:dyDescent="0.2">
      <c r="A45" s="2">
        <v>1998</v>
      </c>
      <c r="B45" s="20">
        <v>276.11500000000001</v>
      </c>
      <c r="C45" s="168">
        <v>1119.7</v>
      </c>
      <c r="D45" s="170">
        <v>723.30165999999997</v>
      </c>
      <c r="E45" s="170">
        <f t="shared" si="5"/>
        <v>1843.0016599999999</v>
      </c>
      <c r="F45" s="170">
        <v>50.931572000000003</v>
      </c>
      <c r="G45" s="170">
        <f t="shared" si="6"/>
        <v>1792.0700879999999</v>
      </c>
      <c r="H45" s="142">
        <f t="shared" si="7"/>
        <v>6.4903032721873126</v>
      </c>
      <c r="I45" s="142">
        <f t="shared" si="4"/>
        <v>5.9710790104123275</v>
      </c>
    </row>
    <row r="46" spans="1:9" ht="12" customHeight="1" x14ac:dyDescent="0.2">
      <c r="A46" s="2">
        <v>1999</v>
      </c>
      <c r="B46" s="20">
        <v>279.29500000000002</v>
      </c>
      <c r="C46" s="168">
        <v>1182.5999999999999</v>
      </c>
      <c r="D46" s="170">
        <v>749.63679999999999</v>
      </c>
      <c r="E46" s="170">
        <f t="shared" si="5"/>
        <v>1932.2367999999999</v>
      </c>
      <c r="F46" s="170">
        <v>52.802703999999999</v>
      </c>
      <c r="G46" s="170">
        <f t="shared" si="6"/>
        <v>1879.434096</v>
      </c>
      <c r="H46" s="142">
        <f t="shared" si="7"/>
        <v>6.7292078125279717</v>
      </c>
      <c r="I46" s="142">
        <f t="shared" si="4"/>
        <v>6.1908711875257341</v>
      </c>
    </row>
    <row r="47" spans="1:9" ht="12" customHeight="1" x14ac:dyDescent="0.2">
      <c r="A47" s="2">
        <v>2000</v>
      </c>
      <c r="B47" s="20">
        <v>282.38499999999999</v>
      </c>
      <c r="C47" s="168">
        <v>1087.3</v>
      </c>
      <c r="D47" s="170">
        <v>763.36127999999997</v>
      </c>
      <c r="E47" s="170">
        <f t="shared" si="5"/>
        <v>1850.6612799999998</v>
      </c>
      <c r="F47" s="170">
        <v>57.145642000000002</v>
      </c>
      <c r="G47" s="170">
        <f t="shared" si="6"/>
        <v>1793.5156379999999</v>
      </c>
      <c r="H47" s="142">
        <f t="shared" si="7"/>
        <v>6.3513134125396178</v>
      </c>
      <c r="I47" s="142">
        <f t="shared" si="4"/>
        <v>5.8432083395364485</v>
      </c>
    </row>
    <row r="48" spans="1:9" ht="12" customHeight="1" x14ac:dyDescent="0.2">
      <c r="A48" s="3">
        <v>2001</v>
      </c>
      <c r="B48" s="21">
        <v>285.30901899999998</v>
      </c>
      <c r="C48" s="171">
        <v>1039.2</v>
      </c>
      <c r="D48" s="172">
        <v>811.49787000000003</v>
      </c>
      <c r="E48" s="172">
        <f t="shared" si="5"/>
        <v>1850.69787</v>
      </c>
      <c r="F48" s="172">
        <v>62.457407000000003</v>
      </c>
      <c r="G48" s="172">
        <f t="shared" si="6"/>
        <v>1788.2404629999999</v>
      </c>
      <c r="H48" s="183">
        <f t="shared" si="7"/>
        <v>6.2677319815115977</v>
      </c>
      <c r="I48" s="144">
        <f t="shared" ref="I48:I53" si="8">H48*0.92</f>
        <v>5.7663134229906703</v>
      </c>
    </row>
    <row r="49" spans="1:9" ht="12" customHeight="1" x14ac:dyDescent="0.2">
      <c r="A49" s="3">
        <v>2002</v>
      </c>
      <c r="B49" s="21">
        <v>288.10481800000002</v>
      </c>
      <c r="C49" s="171">
        <v>1093.9000000000001</v>
      </c>
      <c r="D49" s="172">
        <v>868.70806000000005</v>
      </c>
      <c r="E49" s="172">
        <f t="shared" si="5"/>
        <v>1962.60806</v>
      </c>
      <c r="F49" s="172">
        <v>54.378704999999997</v>
      </c>
      <c r="G49" s="172">
        <f t="shared" si="6"/>
        <v>1908.2293549999999</v>
      </c>
      <c r="H49" s="183">
        <f t="shared" si="7"/>
        <v>6.6233857810736083</v>
      </c>
      <c r="I49" s="144">
        <f t="shared" si="8"/>
        <v>6.0935149185877195</v>
      </c>
    </row>
    <row r="50" spans="1:9" ht="12" customHeight="1" x14ac:dyDescent="0.2">
      <c r="A50" s="3">
        <v>2003</v>
      </c>
      <c r="B50" s="21">
        <v>290.81963400000001</v>
      </c>
      <c r="C50" s="171">
        <v>938.1</v>
      </c>
      <c r="D50" s="172">
        <v>900.25868000000003</v>
      </c>
      <c r="E50" s="172">
        <f t="shared" si="5"/>
        <v>1838.35868</v>
      </c>
      <c r="F50" s="172">
        <v>47.592545000000001</v>
      </c>
      <c r="G50" s="172">
        <f t="shared" si="6"/>
        <v>1790.7661350000001</v>
      </c>
      <c r="H50" s="183">
        <f t="shared" si="7"/>
        <v>6.1576521171194374</v>
      </c>
      <c r="I50" s="144">
        <f t="shared" si="8"/>
        <v>5.6650399477498823</v>
      </c>
    </row>
    <row r="51" spans="1:9" ht="12" customHeight="1" x14ac:dyDescent="0.2">
      <c r="A51" s="3">
        <v>2004</v>
      </c>
      <c r="B51" s="21">
        <v>293.46318500000001</v>
      </c>
      <c r="C51" s="171">
        <v>1000.5</v>
      </c>
      <c r="D51" s="172">
        <v>933.39360099999999</v>
      </c>
      <c r="E51" s="172">
        <f t="shared" si="5"/>
        <v>1933.893601</v>
      </c>
      <c r="F51" s="172">
        <v>46.958454000000003</v>
      </c>
      <c r="G51" s="172">
        <f t="shared" si="6"/>
        <v>1886.9351469999999</v>
      </c>
      <c r="H51" s="183">
        <f t="shared" si="7"/>
        <v>6.4298870981039746</v>
      </c>
      <c r="I51" s="144">
        <f t="shared" si="8"/>
        <v>5.915496130255657</v>
      </c>
    </row>
    <row r="52" spans="1:9" ht="12" customHeight="1" x14ac:dyDescent="0.2">
      <c r="A52" s="3">
        <v>2005</v>
      </c>
      <c r="B52" s="21">
        <v>296.186216</v>
      </c>
      <c r="C52" s="171">
        <v>926.5</v>
      </c>
      <c r="D52" s="172">
        <v>955.05081800000005</v>
      </c>
      <c r="E52" s="172">
        <f t="shared" si="5"/>
        <v>1881.5508180000002</v>
      </c>
      <c r="F52" s="172">
        <v>47.129444999999997</v>
      </c>
      <c r="G52" s="172">
        <f t="shared" si="6"/>
        <v>1834.4213730000001</v>
      </c>
      <c r="H52" s="183">
        <f t="shared" si="7"/>
        <v>6.1934731392091527</v>
      </c>
      <c r="I52" s="144">
        <f t="shared" si="8"/>
        <v>5.6979952880724207</v>
      </c>
    </row>
    <row r="53" spans="1:9" ht="12" customHeight="1" x14ac:dyDescent="0.2">
      <c r="A53" s="2">
        <v>2006</v>
      </c>
      <c r="B53" s="20">
        <v>298.99582500000002</v>
      </c>
      <c r="C53" s="168">
        <v>907.9</v>
      </c>
      <c r="D53" s="170">
        <v>974.32421399999998</v>
      </c>
      <c r="E53" s="170">
        <f t="shared" si="5"/>
        <v>1882.2242139999998</v>
      </c>
      <c r="F53" s="170">
        <v>46.263824999999997</v>
      </c>
      <c r="G53" s="170">
        <f t="shared" si="6"/>
        <v>1835.9603889999999</v>
      </c>
      <c r="H53" s="142">
        <f t="shared" si="7"/>
        <v>6.1404214891629332</v>
      </c>
      <c r="I53" s="142">
        <f t="shared" si="8"/>
        <v>5.6491877700298989</v>
      </c>
    </row>
    <row r="54" spans="1:9" ht="12" customHeight="1" x14ac:dyDescent="0.2">
      <c r="A54" s="2">
        <v>2007</v>
      </c>
      <c r="B54" s="20">
        <v>302.003917</v>
      </c>
      <c r="C54" s="168">
        <v>970</v>
      </c>
      <c r="D54" s="170">
        <v>1012.206457</v>
      </c>
      <c r="E54" s="170">
        <f t="shared" si="5"/>
        <v>1982.206457</v>
      </c>
      <c r="F54" s="170">
        <v>42.442999999999998</v>
      </c>
      <c r="G54" s="170">
        <f t="shared" si="6"/>
        <v>1939.763457</v>
      </c>
      <c r="H54" s="142">
        <f t="shared" si="7"/>
        <v>6.4229744973804426</v>
      </c>
      <c r="I54" s="142">
        <f t="shared" ref="I54:I59" si="9">H54*0.92</f>
        <v>5.9091365375900073</v>
      </c>
    </row>
    <row r="55" spans="1:9" ht="12" customHeight="1" x14ac:dyDescent="0.2">
      <c r="A55" s="2">
        <v>2008</v>
      </c>
      <c r="B55" s="20">
        <v>304.79776099999998</v>
      </c>
      <c r="C55" s="168">
        <v>884.3</v>
      </c>
      <c r="D55" s="170">
        <v>1097.9449959999999</v>
      </c>
      <c r="E55" s="170">
        <f t="shared" si="5"/>
        <v>1982.2449959999999</v>
      </c>
      <c r="F55" s="170">
        <v>35.271475000000002</v>
      </c>
      <c r="G55" s="170">
        <f t="shared" si="6"/>
        <v>1946.9735209999999</v>
      </c>
      <c r="H55" s="142">
        <f t="shared" si="7"/>
        <v>6.3877553254073938</v>
      </c>
      <c r="I55" s="142">
        <f t="shared" si="9"/>
        <v>5.8767348993748021</v>
      </c>
    </row>
    <row r="56" spans="1:9" ht="12" customHeight="1" x14ac:dyDescent="0.2">
      <c r="A56" s="2">
        <v>2009</v>
      </c>
      <c r="B56" s="20">
        <v>307.43940600000002</v>
      </c>
      <c r="C56" s="168">
        <v>935.9</v>
      </c>
      <c r="D56" s="170">
        <v>1188.8410859999999</v>
      </c>
      <c r="E56" s="170">
        <f t="shared" si="5"/>
        <v>2124.741086</v>
      </c>
      <c r="F56" s="170">
        <v>33.010553000000002</v>
      </c>
      <c r="G56" s="170">
        <f t="shared" si="6"/>
        <v>2091.7305329999999</v>
      </c>
      <c r="H56" s="142">
        <f t="shared" si="7"/>
        <v>6.8037164142842501</v>
      </c>
      <c r="I56" s="142">
        <f t="shared" si="9"/>
        <v>6.2594191011415106</v>
      </c>
    </row>
    <row r="57" spans="1:9" ht="12" customHeight="1" x14ac:dyDescent="0.2">
      <c r="A57" s="2">
        <v>2010</v>
      </c>
      <c r="B57" s="20">
        <v>309.74127900000002</v>
      </c>
      <c r="C57" s="168">
        <v>835.1</v>
      </c>
      <c r="D57" s="170">
        <v>1290.9698384142998</v>
      </c>
      <c r="E57" s="170">
        <f t="shared" si="5"/>
        <v>2126.0698384142997</v>
      </c>
      <c r="F57" s="170">
        <v>41.065606654160007</v>
      </c>
      <c r="G57" s="170">
        <f t="shared" si="6"/>
        <v>2085.0042317601396</v>
      </c>
      <c r="H57" s="142">
        <f t="shared" si="7"/>
        <v>6.7314380520787465</v>
      </c>
      <c r="I57" s="142">
        <f t="shared" si="9"/>
        <v>6.1929230079124471</v>
      </c>
    </row>
    <row r="58" spans="1:9" ht="12" customHeight="1" x14ac:dyDescent="0.2">
      <c r="A58" s="33">
        <v>2011</v>
      </c>
      <c r="B58" s="31">
        <v>311.97391399999998</v>
      </c>
      <c r="C58" s="171">
        <v>719.4</v>
      </c>
      <c r="D58" s="172">
        <v>1309.9848909439604</v>
      </c>
      <c r="E58" s="172">
        <f t="shared" si="5"/>
        <v>2029.3848909439603</v>
      </c>
      <c r="F58" s="172">
        <v>38.422924250919998</v>
      </c>
      <c r="G58" s="172">
        <f t="shared" si="6"/>
        <v>1990.9619666930403</v>
      </c>
      <c r="H58" s="183">
        <f t="shared" si="7"/>
        <v>6.3818219323716932</v>
      </c>
      <c r="I58" s="144">
        <f t="shared" si="9"/>
        <v>5.871276177781958</v>
      </c>
    </row>
    <row r="59" spans="1:9" s="43" customFormat="1" ht="12" customHeight="1" x14ac:dyDescent="0.2">
      <c r="A59" s="33">
        <v>2012</v>
      </c>
      <c r="B59" s="31">
        <v>314.16755799999999</v>
      </c>
      <c r="C59" s="171">
        <v>818.2</v>
      </c>
      <c r="D59" s="172">
        <v>1453.8278272922803</v>
      </c>
      <c r="E59" s="172">
        <f t="shared" si="5"/>
        <v>2272.0278272922806</v>
      </c>
      <c r="F59" s="172">
        <v>33.937666748699996</v>
      </c>
      <c r="G59" s="172">
        <f t="shared" si="6"/>
        <v>2238.0901605435806</v>
      </c>
      <c r="H59" s="183">
        <f t="shared" si="7"/>
        <v>7.1238741988234846</v>
      </c>
      <c r="I59" s="144">
        <f t="shared" si="9"/>
        <v>6.5539642629176065</v>
      </c>
    </row>
    <row r="60" spans="1:9" s="93" customFormat="1" ht="12" customHeight="1" x14ac:dyDescent="0.2">
      <c r="A60" s="33">
        <v>2013</v>
      </c>
      <c r="B60" s="31">
        <v>316.29476599999998</v>
      </c>
      <c r="C60" s="171">
        <v>760.3</v>
      </c>
      <c r="D60" s="172">
        <v>1587.7749497805801</v>
      </c>
      <c r="E60" s="172">
        <f t="shared" si="5"/>
        <v>2348.07494978058</v>
      </c>
      <c r="F60" s="172">
        <v>31.421780860140007</v>
      </c>
      <c r="G60" s="172">
        <f t="shared" ref="G60" si="10">E60-SUM(F60)</f>
        <v>2316.6531689204398</v>
      </c>
      <c r="H60" s="183">
        <f t="shared" ref="H60" si="11">IF(G60=0,0,IF(B60=0,0,G60/B60))</f>
        <v>7.3243487339921396</v>
      </c>
      <c r="I60" s="144">
        <f t="shared" ref="I60" si="12">H60*0.92</f>
        <v>6.7384008352727687</v>
      </c>
    </row>
    <row r="61" spans="1:9" s="93" customFormat="1" ht="12" customHeight="1" x14ac:dyDescent="0.2">
      <c r="A61" s="33">
        <v>2014</v>
      </c>
      <c r="B61" s="31">
        <v>318.576955</v>
      </c>
      <c r="C61" s="171">
        <v>689.5</v>
      </c>
      <c r="D61" s="172">
        <v>1710.81954734592</v>
      </c>
      <c r="E61" s="172">
        <f t="shared" si="5"/>
        <v>2400.31954734592</v>
      </c>
      <c r="F61" s="172">
        <v>32.480490090400004</v>
      </c>
      <c r="G61" s="172">
        <f t="shared" ref="G61" si="13">E61-SUM(F61)</f>
        <v>2367.8390572555199</v>
      </c>
      <c r="H61" s="183">
        <f t="shared" ref="H61" si="14">IF(G61=0,0,IF(B61=0,0,G61/B61))</f>
        <v>7.4325497186559524</v>
      </c>
      <c r="I61" s="144">
        <f t="shared" ref="I61" si="15">H61*0.92</f>
        <v>6.8379457411634768</v>
      </c>
    </row>
    <row r="62" spans="1:9" s="93" customFormat="1" ht="12" customHeight="1" x14ac:dyDescent="0.2">
      <c r="A62" s="33">
        <v>2015</v>
      </c>
      <c r="B62" s="31">
        <v>320.87070299999999</v>
      </c>
      <c r="C62" s="171">
        <v>672.5</v>
      </c>
      <c r="D62" s="172">
        <v>1785.4852735852005</v>
      </c>
      <c r="E62" s="172">
        <f t="shared" si="5"/>
        <v>2457.9852735852005</v>
      </c>
      <c r="F62" s="172">
        <v>31.081949710239996</v>
      </c>
      <c r="G62" s="172">
        <f t="shared" ref="G62" si="16">E62-SUM(F62)</f>
        <v>2426.9033238749607</v>
      </c>
      <c r="H62" s="183">
        <f t="shared" ref="H62" si="17">IF(G62=0,0,IF(B62=0,0,G62/B62))</f>
        <v>7.5634930244004259</v>
      </c>
      <c r="I62" s="144">
        <f t="shared" ref="I62" si="18">H62*0.92</f>
        <v>6.9584135824483919</v>
      </c>
    </row>
    <row r="63" spans="1:9" s="93" customFormat="1" ht="12" customHeight="1" x14ac:dyDescent="0.2">
      <c r="A63" s="128">
        <v>2016</v>
      </c>
      <c r="B63" s="129">
        <v>323.16101099999997</v>
      </c>
      <c r="C63" s="168">
        <v>728.33</v>
      </c>
      <c r="D63" s="170">
        <v>1924.4459753263804</v>
      </c>
      <c r="E63" s="170">
        <f t="shared" si="5"/>
        <v>2652.7759753263804</v>
      </c>
      <c r="F63" s="170">
        <v>28.757127213980002</v>
      </c>
      <c r="G63" s="170">
        <f t="shared" ref="G63:G64" si="19">E63-SUM(F63)</f>
        <v>2624.0188481124005</v>
      </c>
      <c r="H63" s="142">
        <f t="shared" ref="H63:H64" si="20">IF(G63=0,0,IF(B63=0,0,G63/B63))</f>
        <v>8.1198497306112234</v>
      </c>
      <c r="I63" s="142">
        <f t="shared" ref="I63:I64" si="21">H63*0.92</f>
        <v>7.470261752162326</v>
      </c>
    </row>
    <row r="64" spans="1:9" s="93" customFormat="1" ht="12" customHeight="1" x14ac:dyDescent="0.2">
      <c r="A64" s="125">
        <v>2017</v>
      </c>
      <c r="B64" s="126">
        <v>325.20603</v>
      </c>
      <c r="C64" s="168">
        <v>502.87</v>
      </c>
      <c r="D64" s="170">
        <v>1943.91980266418</v>
      </c>
      <c r="E64" s="170">
        <f t="shared" si="5"/>
        <v>2446.7898026641801</v>
      </c>
      <c r="F64" s="170">
        <v>30.639350199040003</v>
      </c>
      <c r="G64" s="170">
        <f t="shared" si="19"/>
        <v>2416.15045246514</v>
      </c>
      <c r="H64" s="142">
        <f t="shared" si="20"/>
        <v>7.4295991758367457</v>
      </c>
      <c r="I64" s="142">
        <f t="shared" si="21"/>
        <v>6.8352312417698062</v>
      </c>
    </row>
    <row r="65" spans="1:10" s="93" customFormat="1" ht="12" customHeight="1" x14ac:dyDescent="0.2">
      <c r="A65" s="125">
        <v>2018</v>
      </c>
      <c r="B65" s="126">
        <v>326.92397599999998</v>
      </c>
      <c r="C65" s="168">
        <v>559.54999999999995</v>
      </c>
      <c r="D65" s="170">
        <v>2081.1521440547203</v>
      </c>
      <c r="E65" s="170">
        <f t="shared" si="5"/>
        <v>2640.7021440547205</v>
      </c>
      <c r="F65" s="170">
        <v>27.139460833540003</v>
      </c>
      <c r="G65" s="170">
        <f t="shared" ref="G65:G67" si="22">E65-SUM(F65)</f>
        <v>2613.5626832211806</v>
      </c>
      <c r="H65" s="142">
        <f t="shared" ref="H65:H67" si="23">IF(G65=0,0,IF(B65=0,0,G65/B65))</f>
        <v>7.9944050454751006</v>
      </c>
      <c r="I65" s="142">
        <f t="shared" ref="I65:I67" si="24">H65*0.92</f>
        <v>7.354852641837093</v>
      </c>
    </row>
    <row r="66" spans="1:10" s="93" customFormat="1" ht="12" customHeight="1" x14ac:dyDescent="0.2">
      <c r="A66" s="128">
        <v>2019</v>
      </c>
      <c r="B66" s="129">
        <v>328.475998</v>
      </c>
      <c r="C66" s="168">
        <v>459.2</v>
      </c>
      <c r="D66" s="170">
        <v>2144.8134522438804</v>
      </c>
      <c r="E66" s="170">
        <f t="shared" si="5"/>
        <v>2604.0134522438802</v>
      </c>
      <c r="F66" s="170">
        <v>31.503722176300002</v>
      </c>
      <c r="G66" s="170">
        <f t="shared" si="22"/>
        <v>2572.5097300675802</v>
      </c>
      <c r="H66" s="142">
        <f t="shared" si="23"/>
        <v>7.8316520711737976</v>
      </c>
      <c r="I66" s="142">
        <f t="shared" si="24"/>
        <v>7.2051199054798944</v>
      </c>
    </row>
    <row r="67" spans="1:10" s="93" customFormat="1" ht="12" customHeight="1" thickBot="1" x14ac:dyDescent="0.25">
      <c r="A67" s="148">
        <v>2020</v>
      </c>
      <c r="B67" s="149">
        <v>330.11398000000003</v>
      </c>
      <c r="C67" s="168">
        <v>314.10000000000002</v>
      </c>
      <c r="D67" s="170">
        <v>2193.3819671869601</v>
      </c>
      <c r="E67" s="170">
        <f t="shared" si="5"/>
        <v>2507.48196718696</v>
      </c>
      <c r="F67" s="170">
        <v>29.794350217720005</v>
      </c>
      <c r="G67" s="170">
        <f t="shared" si="22"/>
        <v>2477.68761696924</v>
      </c>
      <c r="H67" s="142">
        <f t="shared" si="23"/>
        <v>7.5055519217006195</v>
      </c>
      <c r="I67" s="142">
        <f t="shared" si="24"/>
        <v>6.9051077679645703</v>
      </c>
    </row>
    <row r="68" spans="1:10" ht="12" customHeight="1" thickTop="1" x14ac:dyDescent="0.2">
      <c r="A68" s="254" t="s">
        <v>8</v>
      </c>
      <c r="B68" s="255"/>
      <c r="C68" s="255"/>
      <c r="D68" s="255"/>
      <c r="E68" s="255"/>
      <c r="F68" s="255"/>
      <c r="G68" s="255"/>
      <c r="H68" s="255"/>
      <c r="I68" s="256"/>
      <c r="J68" s="65"/>
    </row>
    <row r="69" spans="1:10" ht="13.5" customHeight="1" x14ac:dyDescent="0.2">
      <c r="A69" s="248"/>
      <c r="B69" s="249"/>
      <c r="C69" s="249"/>
      <c r="D69" s="249"/>
      <c r="E69" s="249"/>
      <c r="F69" s="249"/>
      <c r="G69" s="249"/>
      <c r="H69" s="249"/>
      <c r="I69" s="250"/>
      <c r="J69" s="65"/>
    </row>
    <row r="70" spans="1:10" ht="12" customHeight="1" x14ac:dyDescent="0.2">
      <c r="A70" s="251" t="s">
        <v>231</v>
      </c>
      <c r="B70" s="252"/>
      <c r="C70" s="252"/>
      <c r="D70" s="252"/>
      <c r="E70" s="252"/>
      <c r="F70" s="252"/>
      <c r="G70" s="252"/>
      <c r="H70" s="252"/>
      <c r="I70" s="253"/>
      <c r="J70" s="65"/>
    </row>
    <row r="71" spans="1:10" ht="12" customHeight="1" x14ac:dyDescent="0.2">
      <c r="A71" s="251"/>
      <c r="B71" s="252"/>
      <c r="C71" s="252"/>
      <c r="D71" s="252"/>
      <c r="E71" s="252"/>
      <c r="F71" s="252"/>
      <c r="G71" s="252"/>
      <c r="H71" s="252"/>
      <c r="I71" s="253"/>
      <c r="J71" s="65"/>
    </row>
    <row r="72" spans="1:10" ht="12" customHeight="1" x14ac:dyDescent="0.2">
      <c r="A72" s="251"/>
      <c r="B72" s="252"/>
      <c r="C72" s="252"/>
      <c r="D72" s="252"/>
      <c r="E72" s="252"/>
      <c r="F72" s="252"/>
      <c r="G72" s="252"/>
      <c r="H72" s="252"/>
      <c r="I72" s="253"/>
      <c r="J72" s="65"/>
    </row>
    <row r="73" spans="1:10" ht="12" customHeight="1" x14ac:dyDescent="0.2">
      <c r="A73" s="275"/>
      <c r="B73" s="276"/>
      <c r="C73" s="276"/>
      <c r="D73" s="276"/>
      <c r="E73" s="276"/>
      <c r="F73" s="276"/>
      <c r="G73" s="276"/>
      <c r="H73" s="276"/>
      <c r="I73" s="277"/>
      <c r="J73" s="65"/>
    </row>
    <row r="74" spans="1:10" ht="12" customHeight="1" x14ac:dyDescent="0.2">
      <c r="A74" s="223" t="s">
        <v>198</v>
      </c>
      <c r="B74" s="224"/>
      <c r="C74" s="224"/>
      <c r="D74" s="224"/>
      <c r="E74" s="224"/>
      <c r="F74" s="224"/>
      <c r="G74" s="224"/>
      <c r="H74" s="224"/>
      <c r="I74" s="225"/>
      <c r="J74" s="43"/>
    </row>
    <row r="75" spans="1:10" ht="12" customHeight="1" x14ac:dyDescent="0.2">
      <c r="A75" s="223"/>
      <c r="B75" s="224"/>
      <c r="C75" s="224"/>
      <c r="D75" s="224"/>
      <c r="E75" s="224"/>
      <c r="F75" s="224"/>
      <c r="G75" s="224"/>
      <c r="H75" s="224"/>
      <c r="I75" s="225"/>
      <c r="J75" s="43"/>
    </row>
  </sheetData>
  <mergeCells count="20">
    <mergeCell ref="A69:I69"/>
    <mergeCell ref="A73:I73"/>
    <mergeCell ref="A74:I75"/>
    <mergeCell ref="A70:I72"/>
    <mergeCell ref="H6:I6"/>
    <mergeCell ref="C6:G6"/>
    <mergeCell ref="A68:I68"/>
    <mergeCell ref="H1:I1"/>
    <mergeCell ref="G3:G5"/>
    <mergeCell ref="C3:C5"/>
    <mergeCell ref="D3:D5"/>
    <mergeCell ref="F3:F5"/>
    <mergeCell ref="A1:G1"/>
    <mergeCell ref="A2:A5"/>
    <mergeCell ref="B2:B5"/>
    <mergeCell ref="E3:E5"/>
    <mergeCell ref="C2:E2"/>
    <mergeCell ref="H3:I3"/>
    <mergeCell ref="H4:H5"/>
    <mergeCell ref="G2:I2"/>
  </mergeCells>
  <phoneticPr fontId="7" type="noConversion"/>
  <printOptions horizontalCentered="1"/>
  <pageMargins left="0.45" right="0.45" top="0.75" bottom="0.75" header="0" footer="0"/>
  <pageSetup scale="66" fitToWidth="2"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pageSetUpPr autoPageBreaks="0" fitToPage="1"/>
  </sheetPr>
  <dimension ref="A1:J75"/>
  <sheetViews>
    <sheetView showOutlineSymbols="0" zoomScaleNormal="100" workbookViewId="0">
      <pane ySplit="6" topLeftCell="A7" activePane="bottomLeft" state="frozen"/>
      <selection sqref="A1:G1"/>
      <selection pane="bottomLeft" sqref="A1:G1"/>
    </sheetView>
  </sheetViews>
  <sheetFormatPr defaultColWidth="12.7109375" defaultRowHeight="12" customHeight="1" x14ac:dyDescent="0.2"/>
  <cols>
    <col min="1" max="1" width="12.7109375" style="13" customWidth="1"/>
    <col min="2" max="16384" width="12.7109375" style="13"/>
  </cols>
  <sheetData>
    <row r="1" spans="1:10" s="1" customFormat="1" ht="12" customHeight="1" thickBot="1" x14ac:dyDescent="0.25">
      <c r="A1" s="201" t="s">
        <v>160</v>
      </c>
      <c r="B1" s="201"/>
      <c r="C1" s="201"/>
      <c r="D1" s="201"/>
      <c r="E1" s="201"/>
      <c r="F1" s="201"/>
      <c r="G1" s="201"/>
      <c r="H1" s="200" t="s">
        <v>19</v>
      </c>
      <c r="I1" s="200"/>
    </row>
    <row r="2" spans="1:10" ht="12" customHeight="1" thickTop="1" x14ac:dyDescent="0.2">
      <c r="A2" s="257" t="s">
        <v>1</v>
      </c>
      <c r="B2" s="258" t="s">
        <v>85</v>
      </c>
      <c r="C2" s="218" t="s">
        <v>2</v>
      </c>
      <c r="D2" s="218"/>
      <c r="E2" s="218"/>
      <c r="F2" s="117" t="s">
        <v>146</v>
      </c>
      <c r="G2" s="244" t="s">
        <v>147</v>
      </c>
      <c r="H2" s="245"/>
      <c r="I2" s="245"/>
    </row>
    <row r="3" spans="1:10" ht="12" customHeight="1" x14ac:dyDescent="0.2">
      <c r="A3" s="217"/>
      <c r="B3" s="259"/>
      <c r="C3" s="217" t="s">
        <v>86</v>
      </c>
      <c r="D3" s="217" t="s">
        <v>87</v>
      </c>
      <c r="E3" s="217" t="s">
        <v>88</v>
      </c>
      <c r="F3" s="217" t="s">
        <v>95</v>
      </c>
      <c r="G3" s="217" t="s">
        <v>137</v>
      </c>
      <c r="H3" s="226" t="s">
        <v>28</v>
      </c>
      <c r="I3" s="227"/>
    </row>
    <row r="4" spans="1:10" ht="12" customHeight="1" x14ac:dyDescent="0.2">
      <c r="A4" s="217"/>
      <c r="B4" s="259"/>
      <c r="C4" s="217"/>
      <c r="D4" s="217"/>
      <c r="E4" s="217"/>
      <c r="F4" s="217"/>
      <c r="G4" s="217"/>
      <c r="H4" s="217" t="s">
        <v>4</v>
      </c>
      <c r="I4" s="14" t="s">
        <v>139</v>
      </c>
      <c r="J4" s="4"/>
    </row>
    <row r="5" spans="1:10" ht="12" customHeight="1" x14ac:dyDescent="0.2">
      <c r="A5" s="217"/>
      <c r="B5" s="259"/>
      <c r="C5" s="217"/>
      <c r="D5" s="217"/>
      <c r="E5" s="217"/>
      <c r="F5" s="217"/>
      <c r="G5" s="217"/>
      <c r="H5" s="217"/>
      <c r="I5" s="14" t="s">
        <v>187</v>
      </c>
    </row>
    <row r="6" spans="1:10" ht="12" customHeight="1" x14ac:dyDescent="0.2">
      <c r="A6" s="109"/>
      <c r="B6" s="167" t="s">
        <v>121</v>
      </c>
      <c r="C6" s="290" t="s">
        <v>122</v>
      </c>
      <c r="D6" s="291"/>
      <c r="E6" s="291"/>
      <c r="F6" s="291"/>
      <c r="G6" s="292"/>
      <c r="H6" s="214" t="s">
        <v>118</v>
      </c>
      <c r="I6" s="222"/>
      <c r="J6" s="67"/>
    </row>
    <row r="7" spans="1:10" ht="12" customHeight="1" x14ac:dyDescent="0.2">
      <c r="A7" s="2">
        <v>1960</v>
      </c>
      <c r="B7" s="20">
        <v>180.67099999999999</v>
      </c>
      <c r="C7" s="8">
        <v>47.9</v>
      </c>
      <c r="D7" s="8" t="s">
        <v>3</v>
      </c>
      <c r="E7" s="8">
        <f t="shared" ref="E7:E38" si="0">SUM(C7,D7)</f>
        <v>47.9</v>
      </c>
      <c r="F7" s="8" t="s">
        <v>3</v>
      </c>
      <c r="G7" s="8">
        <f t="shared" ref="G7:G38" si="1">E7-SUM(F7)</f>
        <v>47.9</v>
      </c>
      <c r="H7" s="142">
        <f t="shared" ref="H7:H38" si="2">IF(G7=0,0,IF(B7=0,0,G7/B7))</f>
        <v>0.26512279225775026</v>
      </c>
      <c r="I7" s="142">
        <f t="shared" ref="I7:I16" si="3">H7*0.9</f>
        <v>0.23861051303197525</v>
      </c>
    </row>
    <row r="8" spans="1:10" ht="12" customHeight="1" x14ac:dyDescent="0.2">
      <c r="A8" s="3">
        <v>1961</v>
      </c>
      <c r="B8" s="21">
        <v>183.691</v>
      </c>
      <c r="C8" s="9">
        <v>57</v>
      </c>
      <c r="D8" s="9" t="s">
        <v>3</v>
      </c>
      <c r="E8" s="9">
        <f t="shared" si="0"/>
        <v>57</v>
      </c>
      <c r="F8" s="9" t="s">
        <v>3</v>
      </c>
      <c r="G8" s="9">
        <f t="shared" si="1"/>
        <v>57</v>
      </c>
      <c r="H8" s="143">
        <f t="shared" si="2"/>
        <v>0.3103037165674965</v>
      </c>
      <c r="I8" s="143">
        <f t="shared" si="3"/>
        <v>0.27927334491074685</v>
      </c>
    </row>
    <row r="9" spans="1:10" ht="12" customHeight="1" x14ac:dyDescent="0.2">
      <c r="A9" s="3">
        <v>1962</v>
      </c>
      <c r="B9" s="21">
        <v>186.53800000000001</v>
      </c>
      <c r="C9" s="9">
        <v>54.7</v>
      </c>
      <c r="D9" s="9" t="s">
        <v>3</v>
      </c>
      <c r="E9" s="9">
        <f t="shared" si="0"/>
        <v>54.7</v>
      </c>
      <c r="F9" s="9" t="s">
        <v>3</v>
      </c>
      <c r="G9" s="9">
        <f t="shared" si="1"/>
        <v>54.7</v>
      </c>
      <c r="H9" s="143">
        <f t="shared" si="2"/>
        <v>0.29323783893898292</v>
      </c>
      <c r="I9" s="143">
        <f t="shared" si="3"/>
        <v>0.26391405504508464</v>
      </c>
    </row>
    <row r="10" spans="1:10" ht="12" customHeight="1" x14ac:dyDescent="0.2">
      <c r="A10" s="3">
        <v>1963</v>
      </c>
      <c r="B10" s="21">
        <v>189.24199999999999</v>
      </c>
      <c r="C10" s="9">
        <v>51.3</v>
      </c>
      <c r="D10" s="9" t="s">
        <v>3</v>
      </c>
      <c r="E10" s="9">
        <f t="shared" si="0"/>
        <v>51.3</v>
      </c>
      <c r="F10" s="9" t="s">
        <v>3</v>
      </c>
      <c r="G10" s="9">
        <f t="shared" si="1"/>
        <v>51.3</v>
      </c>
      <c r="H10" s="143">
        <f t="shared" si="2"/>
        <v>0.27108147240041852</v>
      </c>
      <c r="I10" s="143">
        <f t="shared" si="3"/>
        <v>0.24397332516037668</v>
      </c>
    </row>
    <row r="11" spans="1:10" ht="12" customHeight="1" x14ac:dyDescent="0.2">
      <c r="A11" s="3">
        <v>1964</v>
      </c>
      <c r="B11" s="21">
        <v>191.88900000000001</v>
      </c>
      <c r="C11" s="9">
        <v>51.7</v>
      </c>
      <c r="D11" s="9" t="s">
        <v>3</v>
      </c>
      <c r="E11" s="9">
        <f t="shared" si="0"/>
        <v>51.7</v>
      </c>
      <c r="F11" s="9" t="s">
        <v>3</v>
      </c>
      <c r="G11" s="9">
        <f t="shared" si="1"/>
        <v>51.7</v>
      </c>
      <c r="H11" s="143">
        <f t="shared" si="2"/>
        <v>0.2694265955839053</v>
      </c>
      <c r="I11" s="143">
        <f t="shared" si="3"/>
        <v>0.24248393602551477</v>
      </c>
    </row>
    <row r="12" spans="1:10" ht="12" customHeight="1" x14ac:dyDescent="0.2">
      <c r="A12" s="3">
        <v>1965</v>
      </c>
      <c r="B12" s="21">
        <v>194.303</v>
      </c>
      <c r="C12" s="9">
        <v>55.8</v>
      </c>
      <c r="D12" s="9" t="s">
        <v>3</v>
      </c>
      <c r="E12" s="9">
        <f t="shared" si="0"/>
        <v>55.8</v>
      </c>
      <c r="F12" s="9" t="s">
        <v>3</v>
      </c>
      <c r="G12" s="9">
        <f t="shared" si="1"/>
        <v>55.8</v>
      </c>
      <c r="H12" s="143">
        <f t="shared" si="2"/>
        <v>0.28718033174989577</v>
      </c>
      <c r="I12" s="143">
        <f t="shared" si="3"/>
        <v>0.25846229857490621</v>
      </c>
    </row>
    <row r="13" spans="1:10" ht="12" customHeight="1" x14ac:dyDescent="0.2">
      <c r="A13" s="2">
        <v>1966</v>
      </c>
      <c r="B13" s="20">
        <v>196.56</v>
      </c>
      <c r="C13" s="8">
        <v>51</v>
      </c>
      <c r="D13" s="8" t="s">
        <v>3</v>
      </c>
      <c r="E13" s="8">
        <f t="shared" si="0"/>
        <v>51</v>
      </c>
      <c r="F13" s="8" t="s">
        <v>3</v>
      </c>
      <c r="G13" s="8">
        <f t="shared" si="1"/>
        <v>51</v>
      </c>
      <c r="H13" s="142">
        <f t="shared" si="2"/>
        <v>0.25946275946275948</v>
      </c>
      <c r="I13" s="142">
        <f t="shared" si="3"/>
        <v>0.23351648351648355</v>
      </c>
    </row>
    <row r="14" spans="1:10" ht="12" customHeight="1" x14ac:dyDescent="0.2">
      <c r="A14" s="2">
        <v>1967</v>
      </c>
      <c r="B14" s="20">
        <v>198.71199999999999</v>
      </c>
      <c r="C14" s="8">
        <v>55.1</v>
      </c>
      <c r="D14" s="8" t="s">
        <v>3</v>
      </c>
      <c r="E14" s="8">
        <f t="shared" si="0"/>
        <v>55.1</v>
      </c>
      <c r="F14" s="8" t="s">
        <v>3</v>
      </c>
      <c r="G14" s="8">
        <f t="shared" si="1"/>
        <v>55.1</v>
      </c>
      <c r="H14" s="142">
        <f t="shared" si="2"/>
        <v>0.27728572003703855</v>
      </c>
      <c r="I14" s="142">
        <f t="shared" si="3"/>
        <v>0.2495571480333347</v>
      </c>
    </row>
    <row r="15" spans="1:10" ht="12" customHeight="1" x14ac:dyDescent="0.2">
      <c r="A15" s="2">
        <v>1968</v>
      </c>
      <c r="B15" s="20">
        <v>200.70599999999999</v>
      </c>
      <c r="C15" s="8">
        <v>42.4</v>
      </c>
      <c r="D15" s="8" t="s">
        <v>3</v>
      </c>
      <c r="E15" s="8">
        <f t="shared" si="0"/>
        <v>42.4</v>
      </c>
      <c r="F15" s="8" t="s">
        <v>3</v>
      </c>
      <c r="G15" s="8">
        <f t="shared" si="1"/>
        <v>42.4</v>
      </c>
      <c r="H15" s="142">
        <f t="shared" si="2"/>
        <v>0.21125427241836317</v>
      </c>
      <c r="I15" s="142">
        <f t="shared" si="3"/>
        <v>0.19012884517652687</v>
      </c>
    </row>
    <row r="16" spans="1:10" ht="12" customHeight="1" x14ac:dyDescent="0.2">
      <c r="A16" s="2">
        <v>1969</v>
      </c>
      <c r="B16" s="20">
        <v>202.67699999999999</v>
      </c>
      <c r="C16" s="8">
        <v>47.8</v>
      </c>
      <c r="D16" s="8">
        <v>17.782</v>
      </c>
      <c r="E16" s="8">
        <f t="shared" si="0"/>
        <v>65.581999999999994</v>
      </c>
      <c r="F16" s="8" t="s">
        <v>3</v>
      </c>
      <c r="G16" s="8">
        <f t="shared" si="1"/>
        <v>65.581999999999994</v>
      </c>
      <c r="H16" s="142">
        <f t="shared" si="2"/>
        <v>0.32357889647073912</v>
      </c>
      <c r="I16" s="142">
        <f t="shared" si="3"/>
        <v>0.2912210068236652</v>
      </c>
    </row>
    <row r="17" spans="1:9" ht="12" customHeight="1" x14ac:dyDescent="0.2">
      <c r="A17" s="2">
        <v>1970</v>
      </c>
      <c r="B17" s="20">
        <v>205.05199999999999</v>
      </c>
      <c r="C17" s="8">
        <v>46.7</v>
      </c>
      <c r="D17" s="8">
        <v>21.7</v>
      </c>
      <c r="E17" s="8">
        <f t="shared" si="0"/>
        <v>68.400000000000006</v>
      </c>
      <c r="F17" s="8" t="s">
        <v>3</v>
      </c>
      <c r="G17" s="8">
        <f t="shared" si="1"/>
        <v>68.400000000000006</v>
      </c>
      <c r="H17" s="142">
        <f t="shared" si="2"/>
        <v>0.33357392271228764</v>
      </c>
      <c r="I17" s="142">
        <f t="shared" ref="I17:I47" si="4">H17*0.9</f>
        <v>0.30021653044105889</v>
      </c>
    </row>
    <row r="18" spans="1:9" ht="12" customHeight="1" x14ac:dyDescent="0.2">
      <c r="A18" s="3">
        <v>1971</v>
      </c>
      <c r="B18" s="21">
        <v>207.661</v>
      </c>
      <c r="C18" s="9">
        <v>43.7</v>
      </c>
      <c r="D18" s="9">
        <v>23.3</v>
      </c>
      <c r="E18" s="9">
        <f t="shared" si="0"/>
        <v>67</v>
      </c>
      <c r="F18" s="9" t="s">
        <v>3</v>
      </c>
      <c r="G18" s="9">
        <f t="shared" si="1"/>
        <v>67</v>
      </c>
      <c r="H18" s="143">
        <f t="shared" si="2"/>
        <v>0.32264122777026016</v>
      </c>
      <c r="I18" s="143">
        <f t="shared" si="4"/>
        <v>0.29037710499323416</v>
      </c>
    </row>
    <row r="19" spans="1:9" ht="12" customHeight="1" x14ac:dyDescent="0.2">
      <c r="A19" s="3">
        <v>1972</v>
      </c>
      <c r="B19" s="21">
        <v>209.89599999999999</v>
      </c>
      <c r="C19" s="9">
        <v>52.2</v>
      </c>
      <c r="D19" s="9">
        <v>29</v>
      </c>
      <c r="E19" s="9">
        <f t="shared" si="0"/>
        <v>81.2</v>
      </c>
      <c r="F19" s="9" t="s">
        <v>3</v>
      </c>
      <c r="G19" s="9">
        <f t="shared" si="1"/>
        <v>81.2</v>
      </c>
      <c r="H19" s="143">
        <f t="shared" si="2"/>
        <v>0.38685825361131232</v>
      </c>
      <c r="I19" s="143">
        <f t="shared" si="4"/>
        <v>0.34817242825018108</v>
      </c>
    </row>
    <row r="20" spans="1:9" ht="12" customHeight="1" x14ac:dyDescent="0.2">
      <c r="A20" s="3">
        <v>1973</v>
      </c>
      <c r="B20" s="21">
        <v>211.90899999999999</v>
      </c>
      <c r="C20" s="9">
        <v>52.7</v>
      </c>
      <c r="D20" s="9">
        <v>39.200000000000003</v>
      </c>
      <c r="E20" s="9">
        <f t="shared" si="0"/>
        <v>91.9</v>
      </c>
      <c r="F20" s="9" t="s">
        <v>3</v>
      </c>
      <c r="G20" s="9">
        <f t="shared" si="1"/>
        <v>91.9</v>
      </c>
      <c r="H20" s="143">
        <f t="shared" si="2"/>
        <v>0.43367671972403254</v>
      </c>
      <c r="I20" s="143">
        <f t="shared" si="4"/>
        <v>0.39030904775162928</v>
      </c>
    </row>
    <row r="21" spans="1:9" ht="12" customHeight="1" x14ac:dyDescent="0.2">
      <c r="A21" s="3">
        <v>1974</v>
      </c>
      <c r="B21" s="21">
        <v>213.85400000000001</v>
      </c>
      <c r="C21" s="9">
        <v>60.5</v>
      </c>
      <c r="D21" s="9">
        <v>26.4</v>
      </c>
      <c r="E21" s="9">
        <f t="shared" si="0"/>
        <v>86.9</v>
      </c>
      <c r="F21" s="9" t="s">
        <v>3</v>
      </c>
      <c r="G21" s="9">
        <f t="shared" si="1"/>
        <v>86.9</v>
      </c>
      <c r="H21" s="143">
        <f t="shared" si="2"/>
        <v>0.40635199715693887</v>
      </c>
      <c r="I21" s="143">
        <f t="shared" si="4"/>
        <v>0.36571679744124497</v>
      </c>
    </row>
    <row r="22" spans="1:9" ht="12" customHeight="1" x14ac:dyDescent="0.2">
      <c r="A22" s="3">
        <v>1975</v>
      </c>
      <c r="B22" s="21">
        <v>215.97300000000001</v>
      </c>
      <c r="C22" s="9">
        <v>70.099999999999994</v>
      </c>
      <c r="D22" s="9">
        <v>26.1</v>
      </c>
      <c r="E22" s="9">
        <f t="shared" si="0"/>
        <v>96.199999999999989</v>
      </c>
      <c r="F22" s="9" t="s">
        <v>3</v>
      </c>
      <c r="G22" s="9">
        <f t="shared" si="1"/>
        <v>96.199999999999989</v>
      </c>
      <c r="H22" s="143">
        <f t="shared" si="2"/>
        <v>0.44542604862644858</v>
      </c>
      <c r="I22" s="143">
        <f t="shared" si="4"/>
        <v>0.40088344376380375</v>
      </c>
    </row>
    <row r="23" spans="1:9" ht="12" customHeight="1" x14ac:dyDescent="0.2">
      <c r="A23" s="2">
        <v>1976</v>
      </c>
      <c r="B23" s="20">
        <v>218.035</v>
      </c>
      <c r="C23" s="8">
        <v>70.2</v>
      </c>
      <c r="D23" s="8">
        <v>29.9</v>
      </c>
      <c r="E23" s="8">
        <f t="shared" si="0"/>
        <v>100.1</v>
      </c>
      <c r="F23" s="8" t="s">
        <v>3</v>
      </c>
      <c r="G23" s="8">
        <f t="shared" si="1"/>
        <v>100.1</v>
      </c>
      <c r="H23" s="142">
        <f t="shared" si="2"/>
        <v>0.45910060311417888</v>
      </c>
      <c r="I23" s="142">
        <f t="shared" si="4"/>
        <v>0.41319054280276102</v>
      </c>
    </row>
    <row r="24" spans="1:9" ht="12" customHeight="1" x14ac:dyDescent="0.2">
      <c r="A24" s="2">
        <v>1977</v>
      </c>
      <c r="B24" s="20">
        <v>220.23899999999998</v>
      </c>
      <c r="C24" s="8">
        <v>64.099999999999994</v>
      </c>
      <c r="D24" s="8">
        <v>32.299999999999997</v>
      </c>
      <c r="E24" s="8">
        <f t="shared" si="0"/>
        <v>96.399999999999991</v>
      </c>
      <c r="F24" s="8" t="s">
        <v>3</v>
      </c>
      <c r="G24" s="8">
        <f t="shared" si="1"/>
        <v>96.399999999999991</v>
      </c>
      <c r="H24" s="142">
        <f t="shared" si="2"/>
        <v>0.4377063099632672</v>
      </c>
      <c r="I24" s="142">
        <f t="shared" si="4"/>
        <v>0.39393567896694048</v>
      </c>
    </row>
    <row r="25" spans="1:9" ht="12" customHeight="1" x14ac:dyDescent="0.2">
      <c r="A25" s="2">
        <v>1978</v>
      </c>
      <c r="B25" s="20">
        <v>222.58500000000001</v>
      </c>
      <c r="C25" s="8">
        <v>66.900000000000006</v>
      </c>
      <c r="D25" s="8">
        <v>41.9</v>
      </c>
      <c r="E25" s="8">
        <f t="shared" si="0"/>
        <v>108.80000000000001</v>
      </c>
      <c r="F25" s="8" t="s">
        <v>3</v>
      </c>
      <c r="G25" s="8">
        <f t="shared" si="1"/>
        <v>108.80000000000001</v>
      </c>
      <c r="H25" s="142">
        <f t="shared" si="2"/>
        <v>0.48880203068490691</v>
      </c>
      <c r="I25" s="142">
        <f t="shared" si="4"/>
        <v>0.43992182761641624</v>
      </c>
    </row>
    <row r="26" spans="1:9" ht="12" customHeight="1" x14ac:dyDescent="0.2">
      <c r="A26" s="2">
        <v>1979</v>
      </c>
      <c r="B26" s="20">
        <v>225.05500000000001</v>
      </c>
      <c r="C26" s="8">
        <v>67.099999999999994</v>
      </c>
      <c r="D26" s="8">
        <v>40</v>
      </c>
      <c r="E26" s="8">
        <f t="shared" si="0"/>
        <v>107.1</v>
      </c>
      <c r="F26" s="8" t="s">
        <v>3</v>
      </c>
      <c r="G26" s="8">
        <f t="shared" si="1"/>
        <v>107.1</v>
      </c>
      <c r="H26" s="142">
        <f t="shared" si="2"/>
        <v>0.47588367287996264</v>
      </c>
      <c r="I26" s="142">
        <f t="shared" si="4"/>
        <v>0.42829530559196638</v>
      </c>
    </row>
    <row r="27" spans="1:9" ht="12" customHeight="1" x14ac:dyDescent="0.2">
      <c r="A27" s="2">
        <v>1980</v>
      </c>
      <c r="B27" s="20">
        <v>227.726</v>
      </c>
      <c r="C27" s="8">
        <v>71.900000000000006</v>
      </c>
      <c r="D27" s="8">
        <v>36.799999999999997</v>
      </c>
      <c r="E27" s="8">
        <f t="shared" si="0"/>
        <v>108.7</v>
      </c>
      <c r="F27" s="8" t="s">
        <v>3</v>
      </c>
      <c r="G27" s="8">
        <f t="shared" si="1"/>
        <v>108.7</v>
      </c>
      <c r="H27" s="142">
        <f t="shared" si="2"/>
        <v>0.47732801700288946</v>
      </c>
      <c r="I27" s="142">
        <f t="shared" si="4"/>
        <v>0.42959521530260053</v>
      </c>
    </row>
    <row r="28" spans="1:9" ht="12" customHeight="1" x14ac:dyDescent="0.2">
      <c r="A28" s="3">
        <v>1981</v>
      </c>
      <c r="B28" s="21">
        <v>229.96600000000001</v>
      </c>
      <c r="C28" s="9">
        <v>70.7</v>
      </c>
      <c r="D28" s="9">
        <v>34.700000000000003</v>
      </c>
      <c r="E28" s="9">
        <f t="shared" si="0"/>
        <v>105.4</v>
      </c>
      <c r="F28" s="9" t="s">
        <v>3</v>
      </c>
      <c r="G28" s="9">
        <f t="shared" si="1"/>
        <v>105.4</v>
      </c>
      <c r="H28" s="143">
        <f t="shared" si="2"/>
        <v>0.45832862249202055</v>
      </c>
      <c r="I28" s="143">
        <f t="shared" si="4"/>
        <v>0.41249576024281853</v>
      </c>
    </row>
    <row r="29" spans="1:9" ht="12" customHeight="1" x14ac:dyDescent="0.2">
      <c r="A29" s="3">
        <v>1982</v>
      </c>
      <c r="B29" s="21">
        <v>232.18799999999999</v>
      </c>
      <c r="C29" s="9">
        <v>85</v>
      </c>
      <c r="D29" s="9">
        <v>34.299999999999997</v>
      </c>
      <c r="E29" s="9">
        <f t="shared" si="0"/>
        <v>119.3</v>
      </c>
      <c r="F29" s="9" t="s">
        <v>3</v>
      </c>
      <c r="G29" s="9">
        <f t="shared" si="1"/>
        <v>119.3</v>
      </c>
      <c r="H29" s="143">
        <f t="shared" si="2"/>
        <v>0.51380777645700904</v>
      </c>
      <c r="I29" s="143">
        <f t="shared" si="4"/>
        <v>0.46242699881130817</v>
      </c>
    </row>
    <row r="30" spans="1:9" ht="12" customHeight="1" x14ac:dyDescent="0.2">
      <c r="A30" s="3">
        <v>1983</v>
      </c>
      <c r="B30" s="21">
        <v>234.30699999999999</v>
      </c>
      <c r="C30" s="9">
        <v>80.8</v>
      </c>
      <c r="D30" s="9">
        <v>39.299999999999997</v>
      </c>
      <c r="E30" s="9">
        <f t="shared" si="0"/>
        <v>120.1</v>
      </c>
      <c r="F30" s="9" t="s">
        <v>3</v>
      </c>
      <c r="G30" s="9">
        <f t="shared" si="1"/>
        <v>120.1</v>
      </c>
      <c r="H30" s="143">
        <f t="shared" si="2"/>
        <v>0.51257538187079343</v>
      </c>
      <c r="I30" s="143">
        <f t="shared" si="4"/>
        <v>0.46131784368371409</v>
      </c>
    </row>
    <row r="31" spans="1:9" ht="12" customHeight="1" x14ac:dyDescent="0.2">
      <c r="A31" s="3">
        <v>1984</v>
      </c>
      <c r="B31" s="21">
        <v>236.34800000000001</v>
      </c>
      <c r="C31" s="9">
        <v>71.2</v>
      </c>
      <c r="D31" s="9">
        <v>39.6</v>
      </c>
      <c r="E31" s="9">
        <f t="shared" si="0"/>
        <v>110.80000000000001</v>
      </c>
      <c r="F31" s="9" t="s">
        <v>3</v>
      </c>
      <c r="G31" s="9">
        <f t="shared" si="1"/>
        <v>110.80000000000001</v>
      </c>
      <c r="H31" s="143">
        <f t="shared" si="2"/>
        <v>0.46880024370842999</v>
      </c>
      <c r="I31" s="143">
        <f t="shared" si="4"/>
        <v>0.421920219337587</v>
      </c>
    </row>
    <row r="32" spans="1:9" ht="12" customHeight="1" x14ac:dyDescent="0.2">
      <c r="A32" s="3">
        <v>1985</v>
      </c>
      <c r="B32" s="21">
        <v>238.46600000000001</v>
      </c>
      <c r="C32" s="9">
        <v>77.2</v>
      </c>
      <c r="D32" s="9">
        <v>32</v>
      </c>
      <c r="E32" s="9">
        <f t="shared" si="0"/>
        <v>109.2</v>
      </c>
      <c r="F32" s="9" t="s">
        <v>3</v>
      </c>
      <c r="G32" s="9">
        <f t="shared" si="1"/>
        <v>109.2</v>
      </c>
      <c r="H32" s="143">
        <f t="shared" si="2"/>
        <v>0.45792691620608389</v>
      </c>
      <c r="I32" s="143">
        <f t="shared" si="4"/>
        <v>0.41213422458547549</v>
      </c>
    </row>
    <row r="33" spans="1:9" ht="12" customHeight="1" x14ac:dyDescent="0.2">
      <c r="A33" s="2">
        <v>1986</v>
      </c>
      <c r="B33" s="20">
        <v>240.65100000000001</v>
      </c>
      <c r="C33" s="8">
        <v>76.599999999999994</v>
      </c>
      <c r="D33" s="8">
        <v>35.700000000000003</v>
      </c>
      <c r="E33" s="8">
        <f t="shared" si="0"/>
        <v>112.3</v>
      </c>
      <c r="F33" s="8" t="s">
        <v>3</v>
      </c>
      <c r="G33" s="8">
        <f t="shared" si="1"/>
        <v>112.3</v>
      </c>
      <c r="H33" s="142">
        <f t="shared" si="2"/>
        <v>0.4666508761650689</v>
      </c>
      <c r="I33" s="142">
        <f t="shared" si="4"/>
        <v>0.419985788548562</v>
      </c>
    </row>
    <row r="34" spans="1:9" ht="12" customHeight="1" x14ac:dyDescent="0.2">
      <c r="A34" s="2">
        <v>1987</v>
      </c>
      <c r="B34" s="20">
        <v>242.804</v>
      </c>
      <c r="C34" s="8">
        <v>80.3</v>
      </c>
      <c r="D34" s="8">
        <v>34.5</v>
      </c>
      <c r="E34" s="8">
        <f t="shared" si="0"/>
        <v>114.8</v>
      </c>
      <c r="F34" s="8" t="s">
        <v>3</v>
      </c>
      <c r="G34" s="8">
        <f t="shared" si="1"/>
        <v>114.8</v>
      </c>
      <c r="H34" s="142">
        <f t="shared" si="2"/>
        <v>0.47280934416236964</v>
      </c>
      <c r="I34" s="142">
        <f t="shared" si="4"/>
        <v>0.42552840974613271</v>
      </c>
    </row>
    <row r="35" spans="1:9" ht="12" customHeight="1" x14ac:dyDescent="0.2">
      <c r="A35" s="2">
        <v>1988</v>
      </c>
      <c r="B35" s="20">
        <v>245.02099999999999</v>
      </c>
      <c r="C35" s="8">
        <v>72.7</v>
      </c>
      <c r="D35" s="8">
        <v>37.1</v>
      </c>
      <c r="E35" s="8">
        <f t="shared" si="0"/>
        <v>109.80000000000001</v>
      </c>
      <c r="F35" s="8">
        <v>14.2</v>
      </c>
      <c r="G35" s="8">
        <f t="shared" si="1"/>
        <v>95.600000000000009</v>
      </c>
      <c r="H35" s="142">
        <f t="shared" si="2"/>
        <v>0.39017063843507299</v>
      </c>
      <c r="I35" s="142">
        <f t="shared" si="4"/>
        <v>0.35115357459156571</v>
      </c>
    </row>
    <row r="36" spans="1:9" ht="12" customHeight="1" x14ac:dyDescent="0.2">
      <c r="A36" s="2">
        <v>1989</v>
      </c>
      <c r="B36" s="20">
        <v>247.34200000000001</v>
      </c>
      <c r="C36" s="8">
        <v>74</v>
      </c>
      <c r="D36" s="8">
        <v>37.9</v>
      </c>
      <c r="E36" s="8">
        <f t="shared" si="0"/>
        <v>111.9</v>
      </c>
      <c r="F36" s="8">
        <v>13.2</v>
      </c>
      <c r="G36" s="8">
        <f t="shared" si="1"/>
        <v>98.7</v>
      </c>
      <c r="H36" s="142">
        <f t="shared" si="2"/>
        <v>0.39904262114804601</v>
      </c>
      <c r="I36" s="142">
        <f t="shared" si="4"/>
        <v>0.35913835903324143</v>
      </c>
    </row>
    <row r="37" spans="1:9" ht="12" customHeight="1" x14ac:dyDescent="0.2">
      <c r="A37" s="2">
        <v>1990</v>
      </c>
      <c r="B37" s="20">
        <v>250.13200000000001</v>
      </c>
      <c r="C37" s="8">
        <v>79</v>
      </c>
      <c r="D37" s="8">
        <v>35.9</v>
      </c>
      <c r="E37" s="8">
        <f t="shared" si="0"/>
        <v>114.9</v>
      </c>
      <c r="F37" s="8">
        <v>15</v>
      </c>
      <c r="G37" s="8">
        <f t="shared" si="1"/>
        <v>99.9</v>
      </c>
      <c r="H37" s="142">
        <f t="shared" si="2"/>
        <v>0.39938912254329717</v>
      </c>
      <c r="I37" s="142">
        <f t="shared" si="4"/>
        <v>0.35945021028896745</v>
      </c>
    </row>
    <row r="38" spans="1:9" ht="12" customHeight="1" x14ac:dyDescent="0.2">
      <c r="A38" s="3">
        <v>1991</v>
      </c>
      <c r="B38" s="21">
        <v>253.49299999999999</v>
      </c>
      <c r="C38" s="9">
        <v>76.2</v>
      </c>
      <c r="D38" s="9">
        <v>43.8</v>
      </c>
      <c r="E38" s="9">
        <f t="shared" si="0"/>
        <v>120</v>
      </c>
      <c r="F38" s="9">
        <v>15.7</v>
      </c>
      <c r="G38" s="9">
        <f t="shared" si="1"/>
        <v>104.3</v>
      </c>
      <c r="H38" s="143">
        <f t="shared" si="2"/>
        <v>0.41145120378077499</v>
      </c>
      <c r="I38" s="143">
        <f t="shared" si="4"/>
        <v>0.37030608340269749</v>
      </c>
    </row>
    <row r="39" spans="1:9" ht="12" customHeight="1" x14ac:dyDescent="0.2">
      <c r="A39" s="3">
        <v>1992</v>
      </c>
      <c r="B39" s="21">
        <v>256.89400000000001</v>
      </c>
      <c r="C39" s="9">
        <v>103.2</v>
      </c>
      <c r="D39" s="9">
        <v>37.200000000000003</v>
      </c>
      <c r="E39" s="9">
        <f t="shared" ref="E39:E67" si="5">SUM(C39,D39)</f>
        <v>140.4</v>
      </c>
      <c r="F39" s="9">
        <v>19.7</v>
      </c>
      <c r="G39" s="9">
        <f t="shared" ref="G39:G59" si="6">E39-SUM(F39)</f>
        <v>120.7</v>
      </c>
      <c r="H39" s="143">
        <f t="shared" ref="H39:H59" si="7">IF(G39=0,0,IF(B39=0,0,G39/B39))</f>
        <v>0.46984359307730039</v>
      </c>
      <c r="I39" s="143">
        <f t="shared" si="4"/>
        <v>0.42285923376957035</v>
      </c>
    </row>
    <row r="40" spans="1:9" ht="12" customHeight="1" x14ac:dyDescent="0.2">
      <c r="A40" s="3">
        <v>1993</v>
      </c>
      <c r="B40" s="21">
        <v>260.255</v>
      </c>
      <c r="C40" s="9">
        <v>101.6</v>
      </c>
      <c r="D40" s="9">
        <v>40.1</v>
      </c>
      <c r="E40" s="9">
        <f t="shared" si="5"/>
        <v>141.69999999999999</v>
      </c>
      <c r="F40" s="9">
        <v>19</v>
      </c>
      <c r="G40" s="9">
        <f t="shared" si="6"/>
        <v>122.69999999999999</v>
      </c>
      <c r="H40" s="143">
        <f t="shared" si="7"/>
        <v>0.47146068279187714</v>
      </c>
      <c r="I40" s="143">
        <f t="shared" si="4"/>
        <v>0.42431461451268943</v>
      </c>
    </row>
    <row r="41" spans="1:9" ht="12" customHeight="1" x14ac:dyDescent="0.2">
      <c r="A41" s="3">
        <v>1994</v>
      </c>
      <c r="B41" s="21">
        <v>263.43599999999998</v>
      </c>
      <c r="C41" s="9">
        <v>107.4</v>
      </c>
      <c r="D41" s="9">
        <v>47</v>
      </c>
      <c r="E41" s="9">
        <f t="shared" si="5"/>
        <v>154.4</v>
      </c>
      <c r="F41" s="9">
        <v>18.399999999999999</v>
      </c>
      <c r="G41" s="9">
        <f t="shared" si="6"/>
        <v>136</v>
      </c>
      <c r="H41" s="143">
        <f t="shared" si="7"/>
        <v>0.51625442232648544</v>
      </c>
      <c r="I41" s="143">
        <f t="shared" si="4"/>
        <v>0.46462898009383691</v>
      </c>
    </row>
    <row r="42" spans="1:9" ht="12" customHeight="1" x14ac:dyDescent="0.2">
      <c r="A42" s="3">
        <v>1995</v>
      </c>
      <c r="B42" s="21">
        <v>266.55700000000002</v>
      </c>
      <c r="C42" s="9">
        <v>91</v>
      </c>
      <c r="D42" s="9">
        <v>55</v>
      </c>
      <c r="E42" s="9">
        <f t="shared" si="5"/>
        <v>146</v>
      </c>
      <c r="F42" s="9">
        <v>20</v>
      </c>
      <c r="G42" s="9">
        <f t="shared" si="6"/>
        <v>126</v>
      </c>
      <c r="H42" s="143">
        <f t="shared" si="7"/>
        <v>0.47269439557017823</v>
      </c>
      <c r="I42" s="143">
        <f t="shared" si="4"/>
        <v>0.42542495601316044</v>
      </c>
    </row>
    <row r="43" spans="1:9" ht="12" customHeight="1" x14ac:dyDescent="0.2">
      <c r="A43" s="2">
        <v>1996</v>
      </c>
      <c r="B43" s="20">
        <v>269.66699999999997</v>
      </c>
      <c r="C43" s="8">
        <v>113.8</v>
      </c>
      <c r="D43" s="8">
        <v>67.900000000000006</v>
      </c>
      <c r="E43" s="8">
        <f t="shared" si="5"/>
        <v>181.7</v>
      </c>
      <c r="F43" s="8">
        <v>20.2</v>
      </c>
      <c r="G43" s="8">
        <f t="shared" si="6"/>
        <v>161.5</v>
      </c>
      <c r="H43" s="142">
        <f t="shared" si="7"/>
        <v>0.59888677517085898</v>
      </c>
      <c r="I43" s="142">
        <f t="shared" si="4"/>
        <v>0.53899809765377305</v>
      </c>
    </row>
    <row r="44" spans="1:9" ht="12" customHeight="1" x14ac:dyDescent="0.2">
      <c r="A44" s="2">
        <v>1997</v>
      </c>
      <c r="B44" s="20">
        <v>272.91199999999998</v>
      </c>
      <c r="C44" s="8">
        <v>133.4375</v>
      </c>
      <c r="D44" s="8">
        <v>66</v>
      </c>
      <c r="E44" s="8">
        <f t="shared" si="5"/>
        <v>199.4375</v>
      </c>
      <c r="F44" s="8">
        <v>22</v>
      </c>
      <c r="G44" s="8">
        <f t="shared" si="6"/>
        <v>177.4375</v>
      </c>
      <c r="H44" s="142">
        <f t="shared" si="7"/>
        <v>0.65016378906020988</v>
      </c>
      <c r="I44" s="142">
        <f t="shared" si="4"/>
        <v>0.58514741015418892</v>
      </c>
    </row>
    <row r="45" spans="1:9" ht="12" customHeight="1" x14ac:dyDescent="0.2">
      <c r="A45" s="2">
        <v>1998</v>
      </c>
      <c r="B45" s="20">
        <v>276.11500000000001</v>
      </c>
      <c r="C45" s="8">
        <v>129.012</v>
      </c>
      <c r="D45" s="8">
        <v>83.9</v>
      </c>
      <c r="E45" s="8">
        <f t="shared" si="5"/>
        <v>212.91200000000001</v>
      </c>
      <c r="F45" s="8">
        <v>19.7</v>
      </c>
      <c r="G45" s="8">
        <f t="shared" si="6"/>
        <v>193.21200000000002</v>
      </c>
      <c r="H45" s="142">
        <f t="shared" si="7"/>
        <v>0.6997519149629684</v>
      </c>
      <c r="I45" s="142">
        <f t="shared" si="4"/>
        <v>0.62977672346667157</v>
      </c>
    </row>
    <row r="46" spans="1:9" ht="12" customHeight="1" x14ac:dyDescent="0.2">
      <c r="A46" s="2">
        <v>1999</v>
      </c>
      <c r="B46" s="20">
        <v>279.29500000000002</v>
      </c>
      <c r="C46" s="8">
        <v>137.11600000000001</v>
      </c>
      <c r="D46" s="8">
        <v>71.5</v>
      </c>
      <c r="E46" s="8">
        <f t="shared" si="5"/>
        <v>208.61600000000001</v>
      </c>
      <c r="F46" s="8">
        <v>22.6</v>
      </c>
      <c r="G46" s="8">
        <f t="shared" si="6"/>
        <v>186.01600000000002</v>
      </c>
      <c r="H46" s="142">
        <f t="shared" si="7"/>
        <v>0.66601979985320181</v>
      </c>
      <c r="I46" s="142">
        <f t="shared" si="4"/>
        <v>0.59941781986788167</v>
      </c>
    </row>
    <row r="47" spans="1:9" ht="12" customHeight="1" x14ac:dyDescent="0.2">
      <c r="A47" s="2">
        <v>2000</v>
      </c>
      <c r="B47" s="20">
        <v>282.38499999999999</v>
      </c>
      <c r="C47" s="8">
        <v>165.4</v>
      </c>
      <c r="D47" s="8">
        <v>85.798439999999999</v>
      </c>
      <c r="E47" s="8">
        <f t="shared" si="5"/>
        <v>251.19844000000001</v>
      </c>
      <c r="F47" s="8">
        <v>23.316275999999998</v>
      </c>
      <c r="G47" s="8">
        <f t="shared" si="6"/>
        <v>227.88216400000002</v>
      </c>
      <c r="H47" s="142">
        <f t="shared" si="7"/>
        <v>0.80699103705933395</v>
      </c>
      <c r="I47" s="142">
        <f t="shared" si="4"/>
        <v>0.72629193335340059</v>
      </c>
    </row>
    <row r="48" spans="1:9" ht="12" customHeight="1" x14ac:dyDescent="0.2">
      <c r="A48" s="3">
        <v>2001</v>
      </c>
      <c r="B48" s="21">
        <v>285.30901899999998</v>
      </c>
      <c r="C48" s="9">
        <v>169.4</v>
      </c>
      <c r="D48" s="9">
        <v>90.958102999999994</v>
      </c>
      <c r="E48" s="9">
        <f t="shared" si="5"/>
        <v>260.35810300000003</v>
      </c>
      <c r="F48" s="9">
        <v>22.869152</v>
      </c>
      <c r="G48" s="9">
        <f t="shared" si="6"/>
        <v>237.48895100000004</v>
      </c>
      <c r="H48" s="143">
        <f t="shared" si="7"/>
        <v>0.83239202122804279</v>
      </c>
      <c r="I48" s="143">
        <f t="shared" ref="I48:I53" si="8">H48*0.9</f>
        <v>0.74915281910523857</v>
      </c>
    </row>
    <row r="49" spans="1:9" ht="12" customHeight="1" x14ac:dyDescent="0.2">
      <c r="A49" s="3">
        <v>2002</v>
      </c>
      <c r="B49" s="21">
        <v>288.10481800000002</v>
      </c>
      <c r="C49" s="9">
        <v>140.75</v>
      </c>
      <c r="D49" s="9">
        <v>89.337153000000001</v>
      </c>
      <c r="E49" s="9">
        <f t="shared" si="5"/>
        <v>230.087153</v>
      </c>
      <c r="F49" s="9">
        <v>22.920970000000001</v>
      </c>
      <c r="G49" s="9">
        <f t="shared" si="6"/>
        <v>207.16618299999999</v>
      </c>
      <c r="H49" s="143">
        <f t="shared" si="7"/>
        <v>0.71906531948382746</v>
      </c>
      <c r="I49" s="143">
        <f t="shared" si="8"/>
        <v>0.64715878753544476</v>
      </c>
    </row>
    <row r="50" spans="1:9" ht="12" customHeight="1" x14ac:dyDescent="0.2">
      <c r="A50" s="3">
        <v>2003</v>
      </c>
      <c r="B50" s="21">
        <v>290.81963400000001</v>
      </c>
      <c r="C50" s="9">
        <v>135.89792</v>
      </c>
      <c r="D50" s="9">
        <v>98.533154999999994</v>
      </c>
      <c r="E50" s="9">
        <f t="shared" si="5"/>
        <v>234.43107499999999</v>
      </c>
      <c r="F50" s="9">
        <v>23.451764000000001</v>
      </c>
      <c r="G50" s="9">
        <f t="shared" si="6"/>
        <v>210.979311</v>
      </c>
      <c r="H50" s="143">
        <f t="shared" si="7"/>
        <v>0.72546446778074136</v>
      </c>
      <c r="I50" s="143">
        <f t="shared" si="8"/>
        <v>0.65291802100266727</v>
      </c>
    </row>
    <row r="51" spans="1:9" ht="12" customHeight="1" x14ac:dyDescent="0.2">
      <c r="A51" s="3">
        <v>2004</v>
      </c>
      <c r="B51" s="21">
        <v>293.46318500000001</v>
      </c>
      <c r="C51" s="9">
        <v>124.27784</v>
      </c>
      <c r="D51" s="9">
        <v>109.72232600000001</v>
      </c>
      <c r="E51" s="9">
        <f t="shared" si="5"/>
        <v>234.00016600000001</v>
      </c>
      <c r="F51" s="9">
        <v>21.316616</v>
      </c>
      <c r="G51" s="9">
        <f t="shared" si="6"/>
        <v>212.68355</v>
      </c>
      <c r="H51" s="143">
        <f t="shared" si="7"/>
        <v>0.72473673316126519</v>
      </c>
      <c r="I51" s="143">
        <f t="shared" si="8"/>
        <v>0.65226305984513866</v>
      </c>
    </row>
    <row r="52" spans="1:9" ht="12" customHeight="1" x14ac:dyDescent="0.2">
      <c r="A52" s="3">
        <v>2005</v>
      </c>
      <c r="B52" s="21">
        <v>296.186216</v>
      </c>
      <c r="C52" s="9">
        <v>153.75225815950921</v>
      </c>
      <c r="D52" s="9">
        <v>119.262927</v>
      </c>
      <c r="E52" s="9">
        <f t="shared" si="5"/>
        <v>273.0151851595092</v>
      </c>
      <c r="F52" s="9">
        <v>21.297630000000002</v>
      </c>
      <c r="G52" s="9">
        <f t="shared" si="6"/>
        <v>251.7175551595092</v>
      </c>
      <c r="H52" s="143">
        <f t="shared" si="7"/>
        <v>0.84986249042564899</v>
      </c>
      <c r="I52" s="143">
        <f t="shared" si="8"/>
        <v>0.76487624138308408</v>
      </c>
    </row>
    <row r="53" spans="1:9" ht="12" customHeight="1" x14ac:dyDescent="0.2">
      <c r="A53" s="2">
        <v>2006</v>
      </c>
      <c r="B53" s="20">
        <v>298.99582500000002</v>
      </c>
      <c r="C53" s="8">
        <v>167.51172024539875</v>
      </c>
      <c r="D53" s="8">
        <v>108.18104700000001</v>
      </c>
      <c r="E53" s="8">
        <f t="shared" si="5"/>
        <v>275.69276724539873</v>
      </c>
      <c r="F53" s="8">
        <v>21.222207999999998</v>
      </c>
      <c r="G53" s="8">
        <f t="shared" si="6"/>
        <v>254.47055924539873</v>
      </c>
      <c r="H53" s="142">
        <f t="shared" si="7"/>
        <v>0.85108398836471622</v>
      </c>
      <c r="I53" s="142">
        <f t="shared" si="8"/>
        <v>0.76597558952824463</v>
      </c>
    </row>
    <row r="54" spans="1:9" ht="12" customHeight="1" x14ac:dyDescent="0.2">
      <c r="A54" s="2">
        <v>2007</v>
      </c>
      <c r="B54" s="20">
        <v>302.003917</v>
      </c>
      <c r="C54" s="8">
        <v>168.62884417177915</v>
      </c>
      <c r="D54" s="8">
        <v>110.99054100000001</v>
      </c>
      <c r="E54" s="8">
        <f t="shared" si="5"/>
        <v>279.61938517177919</v>
      </c>
      <c r="F54" s="8">
        <v>21.366517999999999</v>
      </c>
      <c r="G54" s="8">
        <f t="shared" si="6"/>
        <v>258.2528671717792</v>
      </c>
      <c r="H54" s="142">
        <f t="shared" si="7"/>
        <v>0.85513085306035685</v>
      </c>
      <c r="I54" s="142">
        <f t="shared" ref="I54:I59" si="9">H54*0.9</f>
        <v>0.76961776775432122</v>
      </c>
    </row>
    <row r="55" spans="1:9" ht="12" customHeight="1" x14ac:dyDescent="0.2">
      <c r="A55" s="2">
        <v>2008</v>
      </c>
      <c r="B55" s="20">
        <v>304.79776099999998</v>
      </c>
      <c r="C55" s="8">
        <v>148.53401742331289</v>
      </c>
      <c r="D55" s="8">
        <v>111.01703500000001</v>
      </c>
      <c r="E55" s="8">
        <f t="shared" si="5"/>
        <v>259.55105242331291</v>
      </c>
      <c r="F55" s="8">
        <v>22.86531112866</v>
      </c>
      <c r="G55" s="8">
        <f t="shared" si="6"/>
        <v>236.6857412946529</v>
      </c>
      <c r="H55" s="142">
        <f t="shared" si="7"/>
        <v>0.77653372688211086</v>
      </c>
      <c r="I55" s="142">
        <f t="shared" si="9"/>
        <v>0.69888035419389982</v>
      </c>
    </row>
    <row r="56" spans="1:9" ht="12" customHeight="1" x14ac:dyDescent="0.2">
      <c r="A56" s="2">
        <v>2009</v>
      </c>
      <c r="B56" s="20">
        <v>307.43940600000002</v>
      </c>
      <c r="C56" s="8">
        <v>155.10427165644171</v>
      </c>
      <c r="D56" s="8">
        <v>117.3262</v>
      </c>
      <c r="E56" s="8">
        <f t="shared" si="5"/>
        <v>272.43047165644168</v>
      </c>
      <c r="F56" s="8">
        <v>24.866588002960004</v>
      </c>
      <c r="G56" s="8">
        <f t="shared" si="6"/>
        <v>247.56388365348167</v>
      </c>
      <c r="H56" s="142">
        <f t="shared" si="7"/>
        <v>0.80524447686931078</v>
      </c>
      <c r="I56" s="142">
        <f t="shared" si="9"/>
        <v>0.72472002918237977</v>
      </c>
    </row>
    <row r="57" spans="1:9" ht="12" customHeight="1" x14ac:dyDescent="0.2">
      <c r="A57" s="2">
        <v>2010</v>
      </c>
      <c r="B57" s="20">
        <v>309.74127900000002</v>
      </c>
      <c r="C57" s="8">
        <v>110.69623509202455</v>
      </c>
      <c r="D57" s="8">
        <v>141.75076299142</v>
      </c>
      <c r="E57" s="8">
        <f t="shared" si="5"/>
        <v>252.44699808344456</v>
      </c>
      <c r="F57" s="8">
        <v>22.585322184040002</v>
      </c>
      <c r="G57" s="8">
        <f t="shared" si="6"/>
        <v>229.86167589940456</v>
      </c>
      <c r="H57" s="142">
        <f t="shared" si="7"/>
        <v>0.74210862898711205</v>
      </c>
      <c r="I57" s="142">
        <f t="shared" si="9"/>
        <v>0.6678977660884009</v>
      </c>
    </row>
    <row r="58" spans="1:9" ht="12" customHeight="1" x14ac:dyDescent="0.2">
      <c r="A58" s="33">
        <v>2011</v>
      </c>
      <c r="B58" s="31">
        <v>311.97391399999998</v>
      </c>
      <c r="C58" s="39">
        <v>130.64154331288344</v>
      </c>
      <c r="D58" s="39">
        <v>114.9869054719</v>
      </c>
      <c r="E58" s="39">
        <f t="shared" si="5"/>
        <v>245.62844878478344</v>
      </c>
      <c r="F58" s="39">
        <v>23.400828758999996</v>
      </c>
      <c r="G58" s="39">
        <f t="shared" si="6"/>
        <v>222.22762002578344</v>
      </c>
      <c r="H58" s="144">
        <f t="shared" si="7"/>
        <v>0.71232756988067747</v>
      </c>
      <c r="I58" s="144">
        <f t="shared" si="9"/>
        <v>0.64109481289260972</v>
      </c>
    </row>
    <row r="59" spans="1:9" s="43" customFormat="1" ht="12" customHeight="1" x14ac:dyDescent="0.2">
      <c r="A59" s="33">
        <v>2012</v>
      </c>
      <c r="B59" s="31">
        <v>314.16755799999999</v>
      </c>
      <c r="C59" s="39">
        <v>133.99070306748467</v>
      </c>
      <c r="D59" s="39">
        <v>145.21386165836</v>
      </c>
      <c r="E59" s="39">
        <f t="shared" si="5"/>
        <v>279.20456472584465</v>
      </c>
      <c r="F59" s="39">
        <v>25.951318363079999</v>
      </c>
      <c r="G59" s="39">
        <f t="shared" si="6"/>
        <v>253.25324636276466</v>
      </c>
      <c r="H59" s="144">
        <f t="shared" si="7"/>
        <v>0.80610884196631361</v>
      </c>
      <c r="I59" s="144">
        <f t="shared" si="9"/>
        <v>0.72549795776968229</v>
      </c>
    </row>
    <row r="60" spans="1:9" s="93" customFormat="1" ht="12" customHeight="1" x14ac:dyDescent="0.2">
      <c r="A60" s="33">
        <v>2013</v>
      </c>
      <c r="B60" s="31">
        <v>316.29476599999998</v>
      </c>
      <c r="C60" s="39">
        <v>148.76066666666665</v>
      </c>
      <c r="D60" s="39">
        <v>145.89391197128</v>
      </c>
      <c r="E60" s="39">
        <f t="shared" si="5"/>
        <v>294.65457863794666</v>
      </c>
      <c r="F60" s="39">
        <v>26.27088905518</v>
      </c>
      <c r="G60" s="39">
        <f t="shared" ref="G60" si="10">E60-SUM(F60)</f>
        <v>268.38368958276664</v>
      </c>
      <c r="H60" s="144">
        <f t="shared" ref="H60" si="11">IF(G60=0,0,IF(B60=0,0,G60/B60))</f>
        <v>0.84852396698453947</v>
      </c>
      <c r="I60" s="144">
        <f t="shared" ref="I60" si="12">H60*0.9</f>
        <v>0.76367157028608557</v>
      </c>
    </row>
    <row r="61" spans="1:9" s="93" customFormat="1" ht="12" customHeight="1" x14ac:dyDescent="0.2">
      <c r="A61" s="33">
        <v>2014</v>
      </c>
      <c r="B61" s="31">
        <v>318.576955</v>
      </c>
      <c r="C61" s="39">
        <v>151.07933333333332</v>
      </c>
      <c r="D61" s="39">
        <v>147.46006299618</v>
      </c>
      <c r="E61" s="39">
        <f t="shared" si="5"/>
        <v>298.53939632951335</v>
      </c>
      <c r="F61" s="39">
        <v>28.653750377559998</v>
      </c>
      <c r="G61" s="39">
        <f t="shared" ref="G61" si="13">E61-SUM(F61)</f>
        <v>269.88564595195334</v>
      </c>
      <c r="H61" s="144">
        <f t="shared" ref="H61" si="14">IF(G61=0,0,IF(B61=0,0,G61/B61))</f>
        <v>0.84715997725558445</v>
      </c>
      <c r="I61" s="144">
        <f t="shared" ref="I61" si="15">H61*0.9</f>
        <v>0.76244397953002607</v>
      </c>
    </row>
    <row r="62" spans="1:9" s="93" customFormat="1" ht="12" customHeight="1" x14ac:dyDescent="0.2">
      <c r="A62" s="33">
        <v>2015</v>
      </c>
      <c r="B62" s="31">
        <v>320.87070299999999</v>
      </c>
      <c r="C62" s="39">
        <v>156.02199999999999</v>
      </c>
      <c r="D62" s="39">
        <v>142.63436586894002</v>
      </c>
      <c r="E62" s="39">
        <f t="shared" si="5"/>
        <v>298.65636586894004</v>
      </c>
      <c r="F62" s="39">
        <v>26.754240967080001</v>
      </c>
      <c r="G62" s="39">
        <f t="shared" ref="G62" si="16">E62-SUM(F62)</f>
        <v>271.90212490186002</v>
      </c>
      <c r="H62" s="144">
        <f t="shared" ref="H62" si="17">IF(G62=0,0,IF(B62=0,0,G62/B62))</f>
        <v>0.84738844138681002</v>
      </c>
      <c r="I62" s="144">
        <f t="shared" ref="I62" si="18">H62*0.9</f>
        <v>0.76264959724812909</v>
      </c>
    </row>
    <row r="63" spans="1:9" s="93" customFormat="1" ht="12" customHeight="1" x14ac:dyDescent="0.2">
      <c r="A63" s="128">
        <v>2016</v>
      </c>
      <c r="B63" s="129">
        <v>323.16101099999997</v>
      </c>
      <c r="C63" s="130">
        <v>152.07355855855857</v>
      </c>
      <c r="D63" s="130">
        <v>153.28543624394001</v>
      </c>
      <c r="E63" s="130">
        <f t="shared" si="5"/>
        <v>305.35899480249861</v>
      </c>
      <c r="F63" s="130">
        <v>26.050570355479998</v>
      </c>
      <c r="G63" s="130">
        <f t="shared" ref="G63:G64" si="19">E63-SUM(F63)</f>
        <v>279.30842444701864</v>
      </c>
      <c r="H63" s="145">
        <f t="shared" ref="H63:H64" si="20">IF(G63=0,0,IF(B63=0,0,G63/B63))</f>
        <v>0.86430112216420396</v>
      </c>
      <c r="I63" s="145">
        <f t="shared" ref="I63:I64" si="21">H63*0.9</f>
        <v>0.77787100994778358</v>
      </c>
    </row>
    <row r="64" spans="1:9" s="93" customFormat="1" ht="12" customHeight="1" x14ac:dyDescent="0.2">
      <c r="A64" s="125">
        <v>2017</v>
      </c>
      <c r="B64" s="126">
        <v>325.20603</v>
      </c>
      <c r="C64" s="127">
        <v>181.06875000000002</v>
      </c>
      <c r="D64" s="127">
        <v>159.96864256603999</v>
      </c>
      <c r="E64" s="127">
        <f t="shared" si="5"/>
        <v>341.03739256604001</v>
      </c>
      <c r="F64" s="127">
        <v>25.515681041840001</v>
      </c>
      <c r="G64" s="127">
        <f t="shared" si="19"/>
        <v>315.52171152419999</v>
      </c>
      <c r="H64" s="146">
        <f t="shared" si="20"/>
        <v>0.97022097506679073</v>
      </c>
      <c r="I64" s="146">
        <f t="shared" si="21"/>
        <v>0.87319887756011172</v>
      </c>
    </row>
    <row r="65" spans="1:10" s="93" customFormat="1" ht="12" customHeight="1" x14ac:dyDescent="0.2">
      <c r="A65" s="128">
        <v>2018</v>
      </c>
      <c r="B65" s="129">
        <v>326.92397599999998</v>
      </c>
      <c r="C65" s="130">
        <v>113.907888</v>
      </c>
      <c r="D65" s="130">
        <v>175.42331536664003</v>
      </c>
      <c r="E65" s="130">
        <f t="shared" si="5"/>
        <v>289.33120336664001</v>
      </c>
      <c r="F65" s="130">
        <v>24.787010039439995</v>
      </c>
      <c r="G65" s="130">
        <f t="shared" ref="G65:G67" si="22">E65-SUM(F65)</f>
        <v>264.54419332719999</v>
      </c>
      <c r="H65" s="145">
        <f t="shared" ref="H65:H67" si="23">IF(G65=0,0,IF(B65=0,0,G65/B65))</f>
        <v>0.80919177774590634</v>
      </c>
      <c r="I65" s="145">
        <f t="shared" ref="I65:I67" si="24">H65*0.9</f>
        <v>0.72827259997131577</v>
      </c>
    </row>
    <row r="66" spans="1:10" s="93" customFormat="1" ht="12" customHeight="1" x14ac:dyDescent="0.2">
      <c r="A66" s="128">
        <v>2019</v>
      </c>
      <c r="B66" s="129">
        <v>328.475998</v>
      </c>
      <c r="C66" s="130">
        <v>113.184918</v>
      </c>
      <c r="D66" s="162">
        <v>175.51520833748003</v>
      </c>
      <c r="E66" s="130">
        <f t="shared" si="5"/>
        <v>288.70012633748001</v>
      </c>
      <c r="F66" s="162">
        <v>24.566060818419999</v>
      </c>
      <c r="G66" s="130">
        <f t="shared" si="22"/>
        <v>264.13406551906002</v>
      </c>
      <c r="H66" s="145">
        <f t="shared" si="23"/>
        <v>0.80411983562665057</v>
      </c>
      <c r="I66" s="145">
        <f t="shared" si="24"/>
        <v>0.72370785206398558</v>
      </c>
    </row>
    <row r="67" spans="1:10" s="93" customFormat="1" ht="12" customHeight="1" thickBot="1" x14ac:dyDescent="0.25">
      <c r="A67" s="148">
        <v>2020</v>
      </c>
      <c r="B67" s="149">
        <v>330.11398000000003</v>
      </c>
      <c r="C67" s="147">
        <v>156.42943434385947</v>
      </c>
      <c r="D67" s="124">
        <v>185.73105806441998</v>
      </c>
      <c r="E67" s="150">
        <f t="shared" si="5"/>
        <v>342.16049240827942</v>
      </c>
      <c r="F67" s="147">
        <v>24.399212972199997</v>
      </c>
      <c r="G67" s="150">
        <f t="shared" si="22"/>
        <v>317.76127943607941</v>
      </c>
      <c r="H67" s="152">
        <f t="shared" si="23"/>
        <v>0.96258049851775251</v>
      </c>
      <c r="I67" s="152">
        <f t="shared" si="24"/>
        <v>0.8663224486659773</v>
      </c>
    </row>
    <row r="68" spans="1:10" ht="12" customHeight="1" thickTop="1" x14ac:dyDescent="0.2">
      <c r="A68" s="254" t="s">
        <v>8</v>
      </c>
      <c r="B68" s="255"/>
      <c r="C68" s="255"/>
      <c r="D68" s="255"/>
      <c r="E68" s="255"/>
      <c r="F68" s="255"/>
      <c r="G68" s="255"/>
      <c r="H68" s="255"/>
      <c r="I68" s="256"/>
      <c r="J68" s="44"/>
    </row>
    <row r="69" spans="1:10" ht="12" customHeight="1" x14ac:dyDescent="0.2">
      <c r="A69" s="248"/>
      <c r="B69" s="249"/>
      <c r="C69" s="249"/>
      <c r="D69" s="249"/>
      <c r="E69" s="249"/>
      <c r="F69" s="249"/>
      <c r="G69" s="249"/>
      <c r="H69" s="249"/>
      <c r="I69" s="250"/>
      <c r="J69" s="44"/>
    </row>
    <row r="70" spans="1:10" ht="12" customHeight="1" x14ac:dyDescent="0.2">
      <c r="A70" s="251" t="s">
        <v>232</v>
      </c>
      <c r="B70" s="252"/>
      <c r="C70" s="252"/>
      <c r="D70" s="252"/>
      <c r="E70" s="252"/>
      <c r="F70" s="252"/>
      <c r="G70" s="252"/>
      <c r="H70" s="252"/>
      <c r="I70" s="253"/>
      <c r="J70" s="44"/>
    </row>
    <row r="71" spans="1:10" ht="11.25" customHeight="1" x14ac:dyDescent="0.2">
      <c r="A71" s="251"/>
      <c r="B71" s="252"/>
      <c r="C71" s="252"/>
      <c r="D71" s="252"/>
      <c r="E71" s="252"/>
      <c r="F71" s="252"/>
      <c r="G71" s="252"/>
      <c r="H71" s="252"/>
      <c r="I71" s="253"/>
      <c r="J71" s="44"/>
    </row>
    <row r="72" spans="1:10" ht="24.75" customHeight="1" x14ac:dyDescent="0.2">
      <c r="A72" s="251"/>
      <c r="B72" s="252"/>
      <c r="C72" s="252"/>
      <c r="D72" s="252"/>
      <c r="E72" s="252"/>
      <c r="F72" s="252"/>
      <c r="G72" s="252"/>
      <c r="H72" s="252"/>
      <c r="I72" s="253"/>
      <c r="J72" s="44"/>
    </row>
    <row r="73" spans="1:10" ht="12" customHeight="1" x14ac:dyDescent="0.2">
      <c r="A73" s="248"/>
      <c r="B73" s="249"/>
      <c r="C73" s="249"/>
      <c r="D73" s="249"/>
      <c r="E73" s="249"/>
      <c r="F73" s="249"/>
      <c r="G73" s="249"/>
      <c r="H73" s="249"/>
      <c r="I73" s="250"/>
      <c r="J73" s="43"/>
    </row>
    <row r="74" spans="1:10" ht="12" customHeight="1" x14ac:dyDescent="0.2">
      <c r="A74" s="223" t="s">
        <v>198</v>
      </c>
      <c r="B74" s="224"/>
      <c r="C74" s="224"/>
      <c r="D74" s="224"/>
      <c r="E74" s="224"/>
      <c r="F74" s="224"/>
      <c r="G74" s="224"/>
      <c r="H74" s="224"/>
      <c r="I74" s="225"/>
      <c r="J74" s="43"/>
    </row>
    <row r="75" spans="1:10" ht="12" customHeight="1" x14ac:dyDescent="0.2">
      <c r="A75" s="223"/>
      <c r="B75" s="224"/>
      <c r="C75" s="224"/>
      <c r="D75" s="224"/>
      <c r="E75" s="224"/>
      <c r="F75" s="224"/>
      <c r="G75" s="224"/>
      <c r="H75" s="224"/>
      <c r="I75" s="225"/>
      <c r="J75" s="43"/>
    </row>
  </sheetData>
  <mergeCells count="20">
    <mergeCell ref="A68:I68"/>
    <mergeCell ref="A69:I69"/>
    <mergeCell ref="A73:I73"/>
    <mergeCell ref="A74:I75"/>
    <mergeCell ref="A70:I72"/>
    <mergeCell ref="C2:E2"/>
    <mergeCell ref="H6:I6"/>
    <mergeCell ref="C6:G6"/>
    <mergeCell ref="A1:G1"/>
    <mergeCell ref="H1:I1"/>
    <mergeCell ref="G3:G5"/>
    <mergeCell ref="C3:C5"/>
    <mergeCell ref="D3:D5"/>
    <mergeCell ref="F3:F5"/>
    <mergeCell ref="A2:A5"/>
    <mergeCell ref="B2:B5"/>
    <mergeCell ref="E3:E5"/>
    <mergeCell ref="H4:H5"/>
    <mergeCell ref="H3:I3"/>
    <mergeCell ref="G2:I2"/>
  </mergeCells>
  <phoneticPr fontId="7" type="noConversion"/>
  <printOptions horizontalCentered="1"/>
  <pageMargins left="0.45" right="0.45" top="0.75" bottom="0.75" header="0" footer="0"/>
  <pageSetup scale="65" fitToWidth="2"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pageSetUpPr autoPageBreaks="0" fitToPage="1"/>
  </sheetPr>
  <dimension ref="A1:J75"/>
  <sheetViews>
    <sheetView showOutlineSymbols="0" zoomScaleNormal="100" workbookViewId="0">
      <pane ySplit="6" topLeftCell="A7" activePane="bottomLeft" state="frozen"/>
      <selection sqref="A1:G1"/>
      <selection pane="bottomLeft" sqref="A1:G1"/>
    </sheetView>
  </sheetViews>
  <sheetFormatPr defaultColWidth="12.7109375" defaultRowHeight="12" customHeight="1" x14ac:dyDescent="0.2"/>
  <cols>
    <col min="1" max="1" width="12.7109375" style="13" customWidth="1"/>
    <col min="2" max="16384" width="12.7109375" style="13"/>
  </cols>
  <sheetData>
    <row r="1" spans="1:10" s="1" customFormat="1" ht="12" customHeight="1" thickBot="1" x14ac:dyDescent="0.25">
      <c r="A1" s="201" t="s">
        <v>161</v>
      </c>
      <c r="B1" s="201"/>
      <c r="C1" s="201"/>
      <c r="D1" s="201"/>
      <c r="E1" s="201"/>
      <c r="F1" s="201"/>
      <c r="G1" s="201"/>
      <c r="H1" s="200" t="s">
        <v>19</v>
      </c>
      <c r="I1" s="200"/>
    </row>
    <row r="2" spans="1:10" ht="12" customHeight="1" thickTop="1" x14ac:dyDescent="0.2">
      <c r="A2" s="257" t="s">
        <v>1</v>
      </c>
      <c r="B2" s="258" t="s">
        <v>85</v>
      </c>
      <c r="C2" s="218" t="s">
        <v>2</v>
      </c>
      <c r="D2" s="218"/>
      <c r="E2" s="218"/>
      <c r="F2" s="117" t="s">
        <v>146</v>
      </c>
      <c r="G2" s="244" t="s">
        <v>147</v>
      </c>
      <c r="H2" s="245"/>
      <c r="I2" s="245"/>
    </row>
    <row r="3" spans="1:10" ht="12" customHeight="1" x14ac:dyDescent="0.2">
      <c r="A3" s="217"/>
      <c r="B3" s="259"/>
      <c r="C3" s="217" t="s">
        <v>86</v>
      </c>
      <c r="D3" s="217" t="s">
        <v>87</v>
      </c>
      <c r="E3" s="217" t="s">
        <v>88</v>
      </c>
      <c r="F3" s="217" t="s">
        <v>95</v>
      </c>
      <c r="G3" s="217" t="s">
        <v>137</v>
      </c>
      <c r="H3" s="226" t="s">
        <v>28</v>
      </c>
      <c r="I3" s="227"/>
    </row>
    <row r="4" spans="1:10" ht="12" customHeight="1" x14ac:dyDescent="0.2">
      <c r="A4" s="217"/>
      <c r="B4" s="259"/>
      <c r="C4" s="217"/>
      <c r="D4" s="217"/>
      <c r="E4" s="217"/>
      <c r="F4" s="217"/>
      <c r="G4" s="217"/>
      <c r="H4" s="217" t="s">
        <v>4</v>
      </c>
      <c r="I4" s="14" t="s">
        <v>139</v>
      </c>
      <c r="J4" s="4"/>
    </row>
    <row r="5" spans="1:10" ht="12" customHeight="1" x14ac:dyDescent="0.2">
      <c r="A5" s="217"/>
      <c r="B5" s="259"/>
      <c r="C5" s="217"/>
      <c r="D5" s="217"/>
      <c r="E5" s="217"/>
      <c r="F5" s="217"/>
      <c r="G5" s="217"/>
      <c r="H5" s="217"/>
      <c r="I5" s="14" t="s">
        <v>187</v>
      </c>
    </row>
    <row r="6" spans="1:10" ht="12" customHeight="1" x14ac:dyDescent="0.2">
      <c r="A6" s="68"/>
      <c r="B6" s="167" t="s">
        <v>121</v>
      </c>
      <c r="C6" s="290" t="s">
        <v>122</v>
      </c>
      <c r="D6" s="291"/>
      <c r="E6" s="291"/>
      <c r="F6" s="291"/>
      <c r="G6" s="292"/>
      <c r="H6" s="214" t="s">
        <v>118</v>
      </c>
      <c r="I6" s="222"/>
      <c r="J6" s="68"/>
    </row>
    <row r="7" spans="1:10" ht="12" customHeight="1" x14ac:dyDescent="0.2">
      <c r="A7" s="2">
        <v>1960</v>
      </c>
      <c r="B7" s="20">
        <v>180.67099999999999</v>
      </c>
      <c r="C7" s="8">
        <v>131.5</v>
      </c>
      <c r="D7" s="24" t="s">
        <v>3</v>
      </c>
      <c r="E7" s="8">
        <f t="shared" ref="E7:E38" si="0">SUM(C7,D7)</f>
        <v>131.5</v>
      </c>
      <c r="F7" s="8" t="s">
        <v>3</v>
      </c>
      <c r="G7" s="8">
        <f t="shared" ref="G7:G38" si="1">E7-SUM(F7)</f>
        <v>131.5</v>
      </c>
      <c r="H7" s="142">
        <f t="shared" ref="H7:H38" si="2">IF(G7=0,0,IF(B7=0,0,G7/B7))</f>
        <v>0.72784232112513914</v>
      </c>
      <c r="I7" s="142">
        <f t="shared" ref="I7:I16" si="3">H7*0.9</f>
        <v>0.65505808901262519</v>
      </c>
    </row>
    <row r="8" spans="1:10" ht="12" customHeight="1" x14ac:dyDescent="0.2">
      <c r="A8" s="3">
        <v>1961</v>
      </c>
      <c r="B8" s="21">
        <v>183.691</v>
      </c>
      <c r="C8" s="9">
        <v>131</v>
      </c>
      <c r="D8" s="25" t="s">
        <v>3</v>
      </c>
      <c r="E8" s="9">
        <f t="shared" si="0"/>
        <v>131</v>
      </c>
      <c r="F8" s="9" t="s">
        <v>3</v>
      </c>
      <c r="G8" s="9">
        <f t="shared" si="1"/>
        <v>131</v>
      </c>
      <c r="H8" s="143">
        <f t="shared" si="2"/>
        <v>0.71315415562003581</v>
      </c>
      <c r="I8" s="143">
        <f t="shared" si="3"/>
        <v>0.64183874005803221</v>
      </c>
    </row>
    <row r="9" spans="1:10" ht="12" customHeight="1" x14ac:dyDescent="0.2">
      <c r="A9" s="3">
        <v>1962</v>
      </c>
      <c r="B9" s="21">
        <v>186.53800000000001</v>
      </c>
      <c r="C9" s="9">
        <v>127.5</v>
      </c>
      <c r="D9" s="25" t="s">
        <v>3</v>
      </c>
      <c r="E9" s="9">
        <f t="shared" si="0"/>
        <v>127.5</v>
      </c>
      <c r="F9" s="9" t="s">
        <v>3</v>
      </c>
      <c r="G9" s="9">
        <f t="shared" si="1"/>
        <v>127.5</v>
      </c>
      <c r="H9" s="143">
        <f t="shared" si="2"/>
        <v>0.68350684579013388</v>
      </c>
      <c r="I9" s="143">
        <f t="shared" si="3"/>
        <v>0.61515616121112049</v>
      </c>
    </row>
    <row r="10" spans="1:10" ht="12" customHeight="1" x14ac:dyDescent="0.2">
      <c r="A10" s="3">
        <v>1963</v>
      </c>
      <c r="B10" s="21">
        <v>189.24199999999999</v>
      </c>
      <c r="C10" s="9">
        <v>137.19999999999999</v>
      </c>
      <c r="D10" s="25" t="s">
        <v>3</v>
      </c>
      <c r="E10" s="9">
        <f t="shared" si="0"/>
        <v>137.19999999999999</v>
      </c>
      <c r="F10" s="9" t="s">
        <v>3</v>
      </c>
      <c r="G10" s="9">
        <f t="shared" si="1"/>
        <v>137.19999999999999</v>
      </c>
      <c r="H10" s="143">
        <f t="shared" si="2"/>
        <v>0.7249976220923473</v>
      </c>
      <c r="I10" s="143">
        <f t="shared" si="3"/>
        <v>0.6524978598831126</v>
      </c>
    </row>
    <row r="11" spans="1:10" ht="12" customHeight="1" x14ac:dyDescent="0.2">
      <c r="A11" s="3">
        <v>1964</v>
      </c>
      <c r="B11" s="21">
        <v>191.88900000000001</v>
      </c>
      <c r="C11" s="9">
        <v>126</v>
      </c>
      <c r="D11" s="25" t="s">
        <v>3</v>
      </c>
      <c r="E11" s="9">
        <f t="shared" si="0"/>
        <v>126</v>
      </c>
      <c r="F11" s="9" t="s">
        <v>3</v>
      </c>
      <c r="G11" s="9">
        <f t="shared" si="1"/>
        <v>126</v>
      </c>
      <c r="H11" s="143">
        <f t="shared" si="2"/>
        <v>0.65662961399559117</v>
      </c>
      <c r="I11" s="143">
        <f t="shared" si="3"/>
        <v>0.59096665259603209</v>
      </c>
    </row>
    <row r="12" spans="1:10" ht="12" customHeight="1" x14ac:dyDescent="0.2">
      <c r="A12" s="3">
        <v>1965</v>
      </c>
      <c r="B12" s="21">
        <v>194.303</v>
      </c>
      <c r="C12" s="9">
        <v>127.2</v>
      </c>
      <c r="D12" s="25" t="s">
        <v>3</v>
      </c>
      <c r="E12" s="9">
        <f t="shared" si="0"/>
        <v>127.2</v>
      </c>
      <c r="F12" s="9" t="s">
        <v>3</v>
      </c>
      <c r="G12" s="9">
        <f t="shared" si="1"/>
        <v>127.2</v>
      </c>
      <c r="H12" s="143">
        <f t="shared" si="2"/>
        <v>0.65464763796750436</v>
      </c>
      <c r="I12" s="143">
        <f t="shared" si="3"/>
        <v>0.58918287417075399</v>
      </c>
    </row>
    <row r="13" spans="1:10" ht="12" customHeight="1" x14ac:dyDescent="0.2">
      <c r="A13" s="2">
        <v>1966</v>
      </c>
      <c r="B13" s="20">
        <v>196.56</v>
      </c>
      <c r="C13" s="8">
        <v>140.30000000000001</v>
      </c>
      <c r="D13" s="24" t="s">
        <v>3</v>
      </c>
      <c r="E13" s="8">
        <f t="shared" si="0"/>
        <v>140.30000000000001</v>
      </c>
      <c r="F13" s="8" t="s">
        <v>3</v>
      </c>
      <c r="G13" s="8">
        <f t="shared" si="1"/>
        <v>140.30000000000001</v>
      </c>
      <c r="H13" s="142">
        <f t="shared" si="2"/>
        <v>0.71377696377696387</v>
      </c>
      <c r="I13" s="142">
        <f t="shared" si="3"/>
        <v>0.64239926739926745</v>
      </c>
    </row>
    <row r="14" spans="1:10" ht="12" customHeight="1" x14ac:dyDescent="0.2">
      <c r="A14" s="2">
        <v>1967</v>
      </c>
      <c r="B14" s="20">
        <v>198.71199999999999</v>
      </c>
      <c r="C14" s="8">
        <v>137.19999999999999</v>
      </c>
      <c r="D14" s="24" t="s">
        <v>3</v>
      </c>
      <c r="E14" s="8">
        <f t="shared" si="0"/>
        <v>137.19999999999999</v>
      </c>
      <c r="F14" s="8" t="s">
        <v>3</v>
      </c>
      <c r="G14" s="8">
        <f t="shared" si="1"/>
        <v>137.19999999999999</v>
      </c>
      <c r="H14" s="142">
        <f t="shared" si="2"/>
        <v>0.69044647530093806</v>
      </c>
      <c r="I14" s="142">
        <f t="shared" si="3"/>
        <v>0.62140182777084429</v>
      </c>
    </row>
    <row r="15" spans="1:10" ht="12" customHeight="1" x14ac:dyDescent="0.2">
      <c r="A15" s="2">
        <v>1968</v>
      </c>
      <c r="B15" s="20">
        <v>200.70599999999999</v>
      </c>
      <c r="C15" s="8">
        <v>132.6</v>
      </c>
      <c r="D15" s="24" t="s">
        <v>3</v>
      </c>
      <c r="E15" s="8">
        <f t="shared" si="0"/>
        <v>132.6</v>
      </c>
      <c r="F15" s="8" t="s">
        <v>3</v>
      </c>
      <c r="G15" s="8">
        <f t="shared" si="1"/>
        <v>132.6</v>
      </c>
      <c r="H15" s="142">
        <f t="shared" si="2"/>
        <v>0.66066784251591881</v>
      </c>
      <c r="I15" s="142">
        <f t="shared" si="3"/>
        <v>0.59460105826432696</v>
      </c>
    </row>
    <row r="16" spans="1:10" ht="12" customHeight="1" x14ac:dyDescent="0.2">
      <c r="A16" s="2">
        <v>1969</v>
      </c>
      <c r="B16" s="20">
        <v>202.67699999999999</v>
      </c>
      <c r="C16" s="8">
        <v>133.69999999999999</v>
      </c>
      <c r="D16" s="24" t="s">
        <v>3</v>
      </c>
      <c r="E16" s="8">
        <f t="shared" si="0"/>
        <v>133.69999999999999</v>
      </c>
      <c r="F16" s="8" t="s">
        <v>3</v>
      </c>
      <c r="G16" s="8">
        <f t="shared" si="1"/>
        <v>133.69999999999999</v>
      </c>
      <c r="H16" s="142">
        <f t="shared" si="2"/>
        <v>0.65967031286233757</v>
      </c>
      <c r="I16" s="142">
        <f t="shared" si="3"/>
        <v>0.59370328157610386</v>
      </c>
    </row>
    <row r="17" spans="1:9" ht="12" customHeight="1" x14ac:dyDescent="0.2">
      <c r="A17" s="2">
        <v>1970</v>
      </c>
      <c r="B17" s="20">
        <v>205.05199999999999</v>
      </c>
      <c r="C17" s="8">
        <v>112</v>
      </c>
      <c r="D17" s="8">
        <v>2.1</v>
      </c>
      <c r="E17" s="8">
        <f t="shared" si="0"/>
        <v>114.1</v>
      </c>
      <c r="F17" s="8" t="s">
        <v>3</v>
      </c>
      <c r="G17" s="8">
        <f t="shared" si="1"/>
        <v>114.1</v>
      </c>
      <c r="H17" s="142">
        <f t="shared" si="2"/>
        <v>0.55644421902736863</v>
      </c>
      <c r="I17" s="142">
        <f t="shared" ref="I17:I47" si="4">H17*0.9</f>
        <v>0.50079979712463174</v>
      </c>
    </row>
    <row r="18" spans="1:9" ht="12" customHeight="1" x14ac:dyDescent="0.2">
      <c r="A18" s="3">
        <v>1971</v>
      </c>
      <c r="B18" s="21">
        <v>207.661</v>
      </c>
      <c r="C18" s="9">
        <v>115.5</v>
      </c>
      <c r="D18" s="9">
        <v>1.9</v>
      </c>
      <c r="E18" s="9">
        <f t="shared" si="0"/>
        <v>117.4</v>
      </c>
      <c r="F18" s="9" t="s">
        <v>3</v>
      </c>
      <c r="G18" s="9">
        <f t="shared" si="1"/>
        <v>117.4</v>
      </c>
      <c r="H18" s="143">
        <f t="shared" si="2"/>
        <v>0.56534447970490365</v>
      </c>
      <c r="I18" s="143">
        <f t="shared" si="4"/>
        <v>0.5088100317344133</v>
      </c>
    </row>
    <row r="19" spans="1:9" ht="12" customHeight="1" x14ac:dyDescent="0.2">
      <c r="A19" s="3">
        <v>1972</v>
      </c>
      <c r="B19" s="21">
        <v>209.89599999999999</v>
      </c>
      <c r="C19" s="9">
        <v>118</v>
      </c>
      <c r="D19" s="9">
        <v>1.8</v>
      </c>
      <c r="E19" s="9">
        <f t="shared" si="0"/>
        <v>119.8</v>
      </c>
      <c r="F19" s="9" t="s">
        <v>3</v>
      </c>
      <c r="G19" s="9">
        <f t="shared" si="1"/>
        <v>119.8</v>
      </c>
      <c r="H19" s="143">
        <f t="shared" si="2"/>
        <v>0.57075885200289667</v>
      </c>
      <c r="I19" s="143">
        <f t="shared" si="4"/>
        <v>0.51368296680260706</v>
      </c>
    </row>
    <row r="20" spans="1:9" ht="12" customHeight="1" x14ac:dyDescent="0.2">
      <c r="A20" s="3">
        <v>1973</v>
      </c>
      <c r="B20" s="21">
        <v>211.90899999999999</v>
      </c>
      <c r="C20" s="9">
        <v>119.9</v>
      </c>
      <c r="D20" s="9">
        <v>2.2999999999999998</v>
      </c>
      <c r="E20" s="9">
        <f t="shared" si="0"/>
        <v>122.2</v>
      </c>
      <c r="F20" s="9" t="s">
        <v>3</v>
      </c>
      <c r="G20" s="9">
        <f t="shared" si="1"/>
        <v>122.2</v>
      </c>
      <c r="H20" s="143">
        <f t="shared" si="2"/>
        <v>0.57666262405088975</v>
      </c>
      <c r="I20" s="143">
        <f t="shared" si="4"/>
        <v>0.51899636164580076</v>
      </c>
    </row>
    <row r="21" spans="1:9" ht="12" customHeight="1" x14ac:dyDescent="0.2">
      <c r="A21" s="3">
        <v>1974</v>
      </c>
      <c r="B21" s="21">
        <v>213.85400000000001</v>
      </c>
      <c r="C21" s="9">
        <v>112.3</v>
      </c>
      <c r="D21" s="9">
        <v>1.9</v>
      </c>
      <c r="E21" s="9">
        <f t="shared" si="0"/>
        <v>114.2</v>
      </c>
      <c r="F21" s="9" t="s">
        <v>3</v>
      </c>
      <c r="G21" s="9">
        <f t="shared" si="1"/>
        <v>114.2</v>
      </c>
      <c r="H21" s="143">
        <f t="shared" si="2"/>
        <v>0.53400918383570095</v>
      </c>
      <c r="I21" s="143">
        <f t="shared" si="4"/>
        <v>0.48060826545213087</v>
      </c>
    </row>
    <row r="22" spans="1:9" ht="12" customHeight="1" x14ac:dyDescent="0.2">
      <c r="A22" s="3">
        <v>1975</v>
      </c>
      <c r="B22" s="21">
        <v>215.97300000000001</v>
      </c>
      <c r="C22" s="9">
        <v>109.2</v>
      </c>
      <c r="D22" s="9">
        <v>1.6</v>
      </c>
      <c r="E22" s="9">
        <f t="shared" si="0"/>
        <v>110.8</v>
      </c>
      <c r="F22" s="9" t="s">
        <v>3</v>
      </c>
      <c r="G22" s="9">
        <f t="shared" si="1"/>
        <v>110.8</v>
      </c>
      <c r="H22" s="143">
        <f t="shared" si="2"/>
        <v>0.51302709134938163</v>
      </c>
      <c r="I22" s="143">
        <f t="shared" si="4"/>
        <v>0.46172438221444345</v>
      </c>
    </row>
    <row r="23" spans="1:9" ht="12" customHeight="1" x14ac:dyDescent="0.2">
      <c r="A23" s="2">
        <v>1976</v>
      </c>
      <c r="B23" s="20">
        <v>218.035</v>
      </c>
      <c r="C23" s="8">
        <v>111</v>
      </c>
      <c r="D23" s="8">
        <v>1.8</v>
      </c>
      <c r="E23" s="8">
        <f t="shared" si="0"/>
        <v>112.8</v>
      </c>
      <c r="F23" s="8" t="s">
        <v>3</v>
      </c>
      <c r="G23" s="8">
        <f t="shared" si="1"/>
        <v>112.8</v>
      </c>
      <c r="H23" s="142">
        <f t="shared" si="2"/>
        <v>0.51734813218061315</v>
      </c>
      <c r="I23" s="142">
        <f t="shared" si="4"/>
        <v>0.46561331896255187</v>
      </c>
    </row>
    <row r="24" spans="1:9" ht="12" customHeight="1" x14ac:dyDescent="0.2">
      <c r="A24" s="2">
        <v>1977</v>
      </c>
      <c r="B24" s="20">
        <v>220.23899999999998</v>
      </c>
      <c r="C24" s="8">
        <v>102.5</v>
      </c>
      <c r="D24" s="8">
        <v>1.4</v>
      </c>
      <c r="E24" s="8">
        <f t="shared" si="0"/>
        <v>103.9</v>
      </c>
      <c r="F24" s="8" t="s">
        <v>3</v>
      </c>
      <c r="G24" s="8">
        <f t="shared" si="1"/>
        <v>103.9</v>
      </c>
      <c r="H24" s="142">
        <f t="shared" si="2"/>
        <v>0.47176022412016044</v>
      </c>
      <c r="I24" s="142">
        <f t="shared" si="4"/>
        <v>0.42458420170814443</v>
      </c>
    </row>
    <row r="25" spans="1:9" ht="12" customHeight="1" x14ac:dyDescent="0.2">
      <c r="A25" s="2">
        <v>1978</v>
      </c>
      <c r="B25" s="20">
        <v>222.58500000000001</v>
      </c>
      <c r="C25" s="8">
        <v>104.7</v>
      </c>
      <c r="D25" s="8">
        <v>2</v>
      </c>
      <c r="E25" s="8">
        <f t="shared" si="0"/>
        <v>106.7</v>
      </c>
      <c r="F25" s="8" t="s">
        <v>3</v>
      </c>
      <c r="G25" s="8">
        <f t="shared" si="1"/>
        <v>106.7</v>
      </c>
      <c r="H25" s="142">
        <f t="shared" si="2"/>
        <v>0.47936743266617249</v>
      </c>
      <c r="I25" s="142">
        <f t="shared" si="4"/>
        <v>0.43143068939955526</v>
      </c>
    </row>
    <row r="26" spans="1:9" ht="12" customHeight="1" x14ac:dyDescent="0.2">
      <c r="A26" s="2">
        <v>1979</v>
      </c>
      <c r="B26" s="20">
        <v>225.05500000000001</v>
      </c>
      <c r="C26" s="8">
        <v>108.7</v>
      </c>
      <c r="D26" s="8">
        <v>2.2000000000000002</v>
      </c>
      <c r="E26" s="8">
        <f t="shared" si="0"/>
        <v>110.9</v>
      </c>
      <c r="F26" s="8" t="s">
        <v>3</v>
      </c>
      <c r="G26" s="8">
        <f t="shared" si="1"/>
        <v>110.9</v>
      </c>
      <c r="H26" s="142">
        <f t="shared" si="2"/>
        <v>0.49276843438270646</v>
      </c>
      <c r="I26" s="142">
        <f t="shared" si="4"/>
        <v>0.4434915909444358</v>
      </c>
    </row>
    <row r="27" spans="1:9" ht="12" customHeight="1" x14ac:dyDescent="0.2">
      <c r="A27" s="2">
        <v>1980</v>
      </c>
      <c r="B27" s="20">
        <v>227.726</v>
      </c>
      <c r="C27" s="8">
        <v>100.3</v>
      </c>
      <c r="D27" s="8">
        <v>2.5</v>
      </c>
      <c r="E27" s="8">
        <f t="shared" si="0"/>
        <v>102.8</v>
      </c>
      <c r="F27" s="8" t="s">
        <v>3</v>
      </c>
      <c r="G27" s="8">
        <f t="shared" si="1"/>
        <v>102.8</v>
      </c>
      <c r="H27" s="142">
        <f t="shared" si="2"/>
        <v>0.45141968857310977</v>
      </c>
      <c r="I27" s="142">
        <f t="shared" si="4"/>
        <v>0.40627771971579879</v>
      </c>
    </row>
    <row r="28" spans="1:9" ht="12" customHeight="1" x14ac:dyDescent="0.2">
      <c r="A28" s="3">
        <v>1981</v>
      </c>
      <c r="B28" s="21">
        <v>229.96600000000001</v>
      </c>
      <c r="C28" s="9">
        <v>99.8</v>
      </c>
      <c r="D28" s="9">
        <v>2.1</v>
      </c>
      <c r="E28" s="9">
        <f t="shared" si="0"/>
        <v>101.89999999999999</v>
      </c>
      <c r="F28" s="9" t="s">
        <v>3</v>
      </c>
      <c r="G28" s="9">
        <f t="shared" si="1"/>
        <v>101.89999999999999</v>
      </c>
      <c r="H28" s="143">
        <f t="shared" si="2"/>
        <v>0.44310898132767446</v>
      </c>
      <c r="I28" s="143">
        <f t="shared" si="4"/>
        <v>0.398798083194907</v>
      </c>
    </row>
    <row r="29" spans="1:9" ht="12" customHeight="1" x14ac:dyDescent="0.2">
      <c r="A29" s="3">
        <v>1982</v>
      </c>
      <c r="B29" s="21">
        <v>232.18799999999999</v>
      </c>
      <c r="C29" s="9">
        <v>84.3</v>
      </c>
      <c r="D29" s="9">
        <v>3.3</v>
      </c>
      <c r="E29" s="9">
        <f t="shared" si="0"/>
        <v>87.6</v>
      </c>
      <c r="F29" s="9" t="s">
        <v>3</v>
      </c>
      <c r="G29" s="9">
        <f t="shared" si="1"/>
        <v>87.6</v>
      </c>
      <c r="H29" s="143">
        <f t="shared" si="2"/>
        <v>0.37728047961134942</v>
      </c>
      <c r="I29" s="143">
        <f t="shared" si="4"/>
        <v>0.33955243165021448</v>
      </c>
    </row>
    <row r="30" spans="1:9" ht="12" customHeight="1" x14ac:dyDescent="0.2">
      <c r="A30" s="3">
        <v>1983</v>
      </c>
      <c r="B30" s="21">
        <v>234.30699999999999</v>
      </c>
      <c r="C30" s="9">
        <v>88.3</v>
      </c>
      <c r="D30" s="9">
        <v>4.2</v>
      </c>
      <c r="E30" s="9">
        <f t="shared" si="0"/>
        <v>92.5</v>
      </c>
      <c r="F30" s="9" t="s">
        <v>3</v>
      </c>
      <c r="G30" s="9">
        <f t="shared" si="1"/>
        <v>92.5</v>
      </c>
      <c r="H30" s="143">
        <f t="shared" si="2"/>
        <v>0.3947812058538584</v>
      </c>
      <c r="I30" s="143">
        <f t="shared" si="4"/>
        <v>0.35530308526847254</v>
      </c>
    </row>
    <row r="31" spans="1:9" ht="12" customHeight="1" x14ac:dyDescent="0.2">
      <c r="A31" s="3">
        <v>1984</v>
      </c>
      <c r="B31" s="21">
        <v>236.34800000000001</v>
      </c>
      <c r="C31" s="9">
        <v>85.9</v>
      </c>
      <c r="D31" s="9">
        <v>5.6</v>
      </c>
      <c r="E31" s="9">
        <f t="shared" si="0"/>
        <v>91.5</v>
      </c>
      <c r="F31" s="9" t="s">
        <v>3</v>
      </c>
      <c r="G31" s="9">
        <f t="shared" si="1"/>
        <v>91.5</v>
      </c>
      <c r="H31" s="143">
        <f t="shared" si="2"/>
        <v>0.38714099548123948</v>
      </c>
      <c r="I31" s="143">
        <f t="shared" si="4"/>
        <v>0.34842689593311554</v>
      </c>
    </row>
    <row r="32" spans="1:9" ht="12" customHeight="1" x14ac:dyDescent="0.2">
      <c r="A32" s="3">
        <v>1985</v>
      </c>
      <c r="B32" s="21">
        <v>238.46600000000001</v>
      </c>
      <c r="C32" s="9">
        <v>86.6</v>
      </c>
      <c r="D32" s="9">
        <v>6.2</v>
      </c>
      <c r="E32" s="9">
        <f t="shared" si="0"/>
        <v>92.8</v>
      </c>
      <c r="F32" s="9" t="s">
        <v>3</v>
      </c>
      <c r="G32" s="9">
        <f t="shared" si="1"/>
        <v>92.8</v>
      </c>
      <c r="H32" s="143">
        <f t="shared" si="2"/>
        <v>0.38915400937659872</v>
      </c>
      <c r="I32" s="143">
        <f t="shared" si="4"/>
        <v>0.35023860843893884</v>
      </c>
    </row>
    <row r="33" spans="1:9" ht="12" customHeight="1" x14ac:dyDescent="0.2">
      <c r="A33" s="2">
        <v>1986</v>
      </c>
      <c r="B33" s="20">
        <v>240.65100000000001</v>
      </c>
      <c r="C33" s="8">
        <v>80.900000000000006</v>
      </c>
      <c r="D33" s="8">
        <v>7.2</v>
      </c>
      <c r="E33" s="8">
        <f t="shared" si="0"/>
        <v>88.100000000000009</v>
      </c>
      <c r="F33" s="8" t="s">
        <v>3</v>
      </c>
      <c r="G33" s="8">
        <f t="shared" si="1"/>
        <v>88.100000000000009</v>
      </c>
      <c r="H33" s="142">
        <f t="shared" si="2"/>
        <v>0.36609031335834885</v>
      </c>
      <c r="I33" s="142">
        <f t="shared" si="4"/>
        <v>0.32948128202251398</v>
      </c>
    </row>
    <row r="34" spans="1:9" ht="12" customHeight="1" x14ac:dyDescent="0.2">
      <c r="A34" s="2">
        <v>1987</v>
      </c>
      <c r="B34" s="20">
        <v>242.804</v>
      </c>
      <c r="C34" s="8">
        <v>75.5</v>
      </c>
      <c r="D34" s="8">
        <v>7.4</v>
      </c>
      <c r="E34" s="8">
        <f t="shared" si="0"/>
        <v>82.9</v>
      </c>
      <c r="F34" s="8" t="s">
        <v>3</v>
      </c>
      <c r="G34" s="8">
        <f t="shared" si="1"/>
        <v>82.9</v>
      </c>
      <c r="H34" s="142">
        <f t="shared" si="2"/>
        <v>0.3414276535806659</v>
      </c>
      <c r="I34" s="142">
        <f t="shared" si="4"/>
        <v>0.30728488822259931</v>
      </c>
    </row>
    <row r="35" spans="1:9" ht="12" customHeight="1" x14ac:dyDescent="0.2">
      <c r="A35" s="2">
        <v>1988</v>
      </c>
      <c r="B35" s="20">
        <v>245.02099999999999</v>
      </c>
      <c r="C35" s="8">
        <v>77.5</v>
      </c>
      <c r="D35" s="8">
        <v>10.1</v>
      </c>
      <c r="E35" s="8">
        <f t="shared" si="0"/>
        <v>87.6</v>
      </c>
      <c r="F35" s="8" t="s">
        <v>3</v>
      </c>
      <c r="G35" s="8">
        <f t="shared" si="1"/>
        <v>87.6</v>
      </c>
      <c r="H35" s="142">
        <f t="shared" si="2"/>
        <v>0.35752037580452289</v>
      </c>
      <c r="I35" s="142">
        <f t="shared" si="4"/>
        <v>0.32176833822407064</v>
      </c>
    </row>
    <row r="36" spans="1:9" ht="12" customHeight="1" x14ac:dyDescent="0.2">
      <c r="A36" s="2">
        <v>1989</v>
      </c>
      <c r="B36" s="20">
        <v>247.34200000000001</v>
      </c>
      <c r="C36" s="8">
        <v>70.2</v>
      </c>
      <c r="D36" s="8">
        <v>12.89816085</v>
      </c>
      <c r="E36" s="8">
        <f t="shared" si="0"/>
        <v>83.098160849999999</v>
      </c>
      <c r="F36" s="8">
        <v>1.4195693300000001</v>
      </c>
      <c r="G36" s="8">
        <f t="shared" si="1"/>
        <v>81.678591519999998</v>
      </c>
      <c r="H36" s="142">
        <f t="shared" si="2"/>
        <v>0.33022532170031776</v>
      </c>
      <c r="I36" s="142">
        <f t="shared" si="4"/>
        <v>0.297202789530286</v>
      </c>
    </row>
    <row r="37" spans="1:9" ht="12" customHeight="1" x14ac:dyDescent="0.2">
      <c r="A37" s="2">
        <v>1990</v>
      </c>
      <c r="B37" s="20">
        <v>250.13200000000001</v>
      </c>
      <c r="C37" s="8">
        <v>57.6</v>
      </c>
      <c r="D37" s="8">
        <v>13.746748519999999</v>
      </c>
      <c r="E37" s="8">
        <f t="shared" si="0"/>
        <v>71.346748520000006</v>
      </c>
      <c r="F37" s="8">
        <v>5.7300043799999996</v>
      </c>
      <c r="G37" s="8">
        <f t="shared" si="1"/>
        <v>65.616744140000009</v>
      </c>
      <c r="H37" s="142">
        <f t="shared" si="2"/>
        <v>0.2623284671293557</v>
      </c>
      <c r="I37" s="142">
        <f t="shared" si="4"/>
        <v>0.23609562041642013</v>
      </c>
    </row>
    <row r="38" spans="1:9" ht="12" customHeight="1" x14ac:dyDescent="0.2">
      <c r="A38" s="3">
        <v>1991</v>
      </c>
      <c r="B38" s="21">
        <v>253.49299999999999</v>
      </c>
      <c r="C38" s="9">
        <v>54.5</v>
      </c>
      <c r="D38" s="9">
        <v>14.203455810000001</v>
      </c>
      <c r="E38" s="9">
        <f t="shared" si="0"/>
        <v>68.703455810000008</v>
      </c>
      <c r="F38" s="9">
        <v>6.1535629699999994</v>
      </c>
      <c r="G38" s="9">
        <f t="shared" si="1"/>
        <v>62.549892840000012</v>
      </c>
      <c r="H38" s="143">
        <f t="shared" si="2"/>
        <v>0.24675195307168252</v>
      </c>
      <c r="I38" s="143">
        <f t="shared" si="4"/>
        <v>0.22207675776451427</v>
      </c>
    </row>
    <row r="39" spans="1:9" ht="12" customHeight="1" x14ac:dyDescent="0.2">
      <c r="A39" s="3">
        <v>1992</v>
      </c>
      <c r="B39" s="21">
        <v>256.89400000000001</v>
      </c>
      <c r="C39" s="9">
        <v>70.599999999999994</v>
      </c>
      <c r="D39" s="9">
        <v>15.799306720000001</v>
      </c>
      <c r="E39" s="9">
        <f t="shared" ref="E39:E67" si="5">SUM(C39,D39)</f>
        <v>86.399306719999998</v>
      </c>
      <c r="F39" s="9">
        <v>4.1926288700000001</v>
      </c>
      <c r="G39" s="9">
        <f t="shared" ref="G39:G59" si="6">E39-SUM(F39)</f>
        <v>82.206677850000005</v>
      </c>
      <c r="H39" s="143">
        <f t="shared" ref="H39:H58" si="7">IF(G39=0,0,IF(B39=0,0,G39/B39))</f>
        <v>0.32000232722445837</v>
      </c>
      <c r="I39" s="143">
        <f t="shared" si="4"/>
        <v>0.28800209450201253</v>
      </c>
    </row>
    <row r="40" spans="1:9" ht="12" customHeight="1" x14ac:dyDescent="0.2">
      <c r="A40" s="3">
        <v>1993</v>
      </c>
      <c r="B40" s="21">
        <v>260.255</v>
      </c>
      <c r="C40" s="9">
        <v>67.400000000000006</v>
      </c>
      <c r="D40" s="9">
        <v>15.767280169999999</v>
      </c>
      <c r="E40" s="9">
        <f t="shared" si="5"/>
        <v>83.167280169999998</v>
      </c>
      <c r="F40" s="9">
        <v>4.9612130099999998</v>
      </c>
      <c r="G40" s="9">
        <f t="shared" si="6"/>
        <v>78.206067160000003</v>
      </c>
      <c r="H40" s="143">
        <f t="shared" si="7"/>
        <v>0.30049784695779141</v>
      </c>
      <c r="I40" s="143">
        <f t="shared" si="4"/>
        <v>0.27044806226201229</v>
      </c>
    </row>
    <row r="41" spans="1:9" ht="12" customHeight="1" x14ac:dyDescent="0.2">
      <c r="A41" s="3">
        <v>1994</v>
      </c>
      <c r="B41" s="21">
        <v>263.43599999999998</v>
      </c>
      <c r="C41" s="9">
        <v>75.3</v>
      </c>
      <c r="D41" s="9">
        <v>16.158018560000002</v>
      </c>
      <c r="E41" s="9">
        <f t="shared" si="5"/>
        <v>91.458018559999999</v>
      </c>
      <c r="F41" s="9">
        <v>4.8333339100000003</v>
      </c>
      <c r="G41" s="9">
        <f t="shared" si="6"/>
        <v>86.624684650000006</v>
      </c>
      <c r="H41" s="143">
        <f t="shared" si="7"/>
        <v>0.32882629803823327</v>
      </c>
      <c r="I41" s="143">
        <f t="shared" si="4"/>
        <v>0.29594366823440993</v>
      </c>
    </row>
    <row r="42" spans="1:9" ht="12" customHeight="1" x14ac:dyDescent="0.2">
      <c r="A42" s="3">
        <v>1995</v>
      </c>
      <c r="B42" s="21">
        <v>266.55700000000002</v>
      </c>
      <c r="C42" s="9">
        <v>70.900000000000006</v>
      </c>
      <c r="D42" s="9">
        <v>16.61432902</v>
      </c>
      <c r="E42" s="9">
        <f t="shared" si="5"/>
        <v>87.514329020000005</v>
      </c>
      <c r="F42" s="9">
        <v>6.45958655</v>
      </c>
      <c r="G42" s="9">
        <f t="shared" si="6"/>
        <v>81.054742470000008</v>
      </c>
      <c r="H42" s="143">
        <f t="shared" si="7"/>
        <v>0.30408033730121514</v>
      </c>
      <c r="I42" s="143">
        <f t="shared" si="4"/>
        <v>0.27367230357109362</v>
      </c>
    </row>
    <row r="43" spans="1:9" ht="12" customHeight="1" x14ac:dyDescent="0.2">
      <c r="A43" s="2">
        <v>1996</v>
      </c>
      <c r="B43" s="20">
        <v>269.66699999999997</v>
      </c>
      <c r="C43" s="8">
        <v>80</v>
      </c>
      <c r="D43" s="8">
        <v>12.776112980000001</v>
      </c>
      <c r="E43" s="8">
        <f t="shared" si="5"/>
        <v>92.776112979999994</v>
      </c>
      <c r="F43" s="8">
        <v>6.7221856900000008</v>
      </c>
      <c r="G43" s="8">
        <f t="shared" si="6"/>
        <v>86.05392728999999</v>
      </c>
      <c r="H43" s="142">
        <f t="shared" si="7"/>
        <v>0.31911182046746545</v>
      </c>
      <c r="I43" s="142">
        <f t="shared" si="4"/>
        <v>0.28720063842071891</v>
      </c>
    </row>
    <row r="44" spans="1:9" ht="12" customHeight="1" x14ac:dyDescent="0.2">
      <c r="A44" s="2">
        <v>1997</v>
      </c>
      <c r="B44" s="20">
        <v>272.91199999999998</v>
      </c>
      <c r="C44" s="8">
        <v>78</v>
      </c>
      <c r="D44" s="8">
        <v>12.53469364</v>
      </c>
      <c r="E44" s="8">
        <f t="shared" si="5"/>
        <v>90.53469364</v>
      </c>
      <c r="F44" s="8">
        <v>8.8160056000000004</v>
      </c>
      <c r="G44" s="8">
        <f t="shared" si="6"/>
        <v>81.718688040000004</v>
      </c>
      <c r="H44" s="142">
        <f t="shared" si="7"/>
        <v>0.2994323739520432</v>
      </c>
      <c r="I44" s="142">
        <f t="shared" si="4"/>
        <v>0.26948913655683887</v>
      </c>
    </row>
    <row r="45" spans="1:9" ht="12" customHeight="1" x14ac:dyDescent="0.2">
      <c r="A45" s="2">
        <v>1998</v>
      </c>
      <c r="B45" s="20">
        <v>276.11500000000001</v>
      </c>
      <c r="C45" s="8">
        <v>74</v>
      </c>
      <c r="D45" s="8">
        <v>17.216647179999999</v>
      </c>
      <c r="E45" s="8">
        <f t="shared" si="5"/>
        <v>91.216647179999995</v>
      </c>
      <c r="F45" s="8">
        <v>7.2176722800000004</v>
      </c>
      <c r="G45" s="8">
        <f t="shared" si="6"/>
        <v>83.998974899999993</v>
      </c>
      <c r="H45" s="142">
        <f t="shared" si="7"/>
        <v>0.30421735472538614</v>
      </c>
      <c r="I45" s="142">
        <f t="shared" si="4"/>
        <v>0.27379561925284751</v>
      </c>
    </row>
    <row r="46" spans="1:9" ht="12" customHeight="1" x14ac:dyDescent="0.2">
      <c r="A46" s="2">
        <v>1999</v>
      </c>
      <c r="B46" s="20">
        <v>279.29500000000002</v>
      </c>
      <c r="C46" s="8">
        <v>56.9</v>
      </c>
      <c r="D46" s="8">
        <v>12.222600740000001</v>
      </c>
      <c r="E46" s="8">
        <f t="shared" si="5"/>
        <v>69.122600739999996</v>
      </c>
      <c r="F46" s="8">
        <v>6.2525813699999997</v>
      </c>
      <c r="G46" s="8">
        <f t="shared" si="6"/>
        <v>62.870019369999994</v>
      </c>
      <c r="H46" s="142">
        <f t="shared" si="7"/>
        <v>0.22510255955172842</v>
      </c>
      <c r="I46" s="142">
        <f t="shared" si="4"/>
        <v>0.20259230359655558</v>
      </c>
    </row>
    <row r="47" spans="1:9" ht="12" customHeight="1" x14ac:dyDescent="0.2">
      <c r="A47" s="2">
        <v>2000</v>
      </c>
      <c r="B47" s="20">
        <v>282.38499999999999</v>
      </c>
      <c r="C47" s="8">
        <v>93.6</v>
      </c>
      <c r="D47" s="8">
        <v>12.91684502</v>
      </c>
      <c r="E47" s="8">
        <f t="shared" si="5"/>
        <v>106.51684501999999</v>
      </c>
      <c r="F47" s="8">
        <v>9.1944377799999994</v>
      </c>
      <c r="G47" s="8">
        <f t="shared" si="6"/>
        <v>97.32240723999999</v>
      </c>
      <c r="H47" s="142">
        <f t="shared" si="7"/>
        <v>0.34464439414274833</v>
      </c>
      <c r="I47" s="142">
        <f t="shared" si="4"/>
        <v>0.31017995472847348</v>
      </c>
    </row>
    <row r="48" spans="1:9" ht="12" customHeight="1" x14ac:dyDescent="0.2">
      <c r="A48" s="3">
        <v>2001</v>
      </c>
      <c r="B48" s="21">
        <v>285.30901899999998</v>
      </c>
      <c r="C48" s="9">
        <v>93.3</v>
      </c>
      <c r="D48" s="9">
        <v>15.228796839999999</v>
      </c>
      <c r="E48" s="9">
        <f t="shared" si="5"/>
        <v>108.52879684</v>
      </c>
      <c r="F48" s="9">
        <v>8.6111719600000001</v>
      </c>
      <c r="G48" s="9">
        <f t="shared" si="6"/>
        <v>99.917624880000005</v>
      </c>
      <c r="H48" s="143">
        <f t="shared" si="7"/>
        <v>0.35020843445541416</v>
      </c>
      <c r="I48" s="143">
        <f t="shared" ref="I48:I53" si="8">H48*0.9</f>
        <v>0.31518759100987276</v>
      </c>
    </row>
    <row r="49" spans="1:10" ht="12" customHeight="1" x14ac:dyDescent="0.2">
      <c r="A49" s="3">
        <v>2002</v>
      </c>
      <c r="B49" s="21">
        <v>288.10481800000002</v>
      </c>
      <c r="C49" s="9">
        <v>87.4</v>
      </c>
      <c r="D49" s="9">
        <v>13.21904138</v>
      </c>
      <c r="E49" s="9">
        <f t="shared" si="5"/>
        <v>100.61904138</v>
      </c>
      <c r="F49" s="9">
        <v>11.38243473</v>
      </c>
      <c r="G49" s="9">
        <f t="shared" si="6"/>
        <v>89.236606649999999</v>
      </c>
      <c r="H49" s="143">
        <f t="shared" si="7"/>
        <v>0.30973659958022637</v>
      </c>
      <c r="I49" s="143">
        <f t="shared" si="8"/>
        <v>0.27876293962220372</v>
      </c>
    </row>
    <row r="50" spans="1:10" ht="12" customHeight="1" x14ac:dyDescent="0.2">
      <c r="A50" s="3">
        <v>2003</v>
      </c>
      <c r="B50" s="21">
        <v>290.81963400000001</v>
      </c>
      <c r="C50" s="9">
        <v>89.78</v>
      </c>
      <c r="D50" s="9">
        <v>13.933722509999999</v>
      </c>
      <c r="E50" s="9">
        <f t="shared" si="5"/>
        <v>103.71372251</v>
      </c>
      <c r="F50" s="9">
        <v>9.58671279</v>
      </c>
      <c r="G50" s="9">
        <f t="shared" si="6"/>
        <v>94.12700971999999</v>
      </c>
      <c r="H50" s="143">
        <f t="shared" si="7"/>
        <v>0.3236611243379805</v>
      </c>
      <c r="I50" s="143">
        <f t="shared" si="8"/>
        <v>0.29129501190418244</v>
      </c>
    </row>
    <row r="51" spans="1:10" ht="12" customHeight="1" x14ac:dyDescent="0.2">
      <c r="A51" s="3">
        <v>2004</v>
      </c>
      <c r="B51" s="21">
        <v>293.46318500000001</v>
      </c>
      <c r="C51" s="9">
        <v>85.481999999999999</v>
      </c>
      <c r="D51" s="9">
        <v>15.55938873</v>
      </c>
      <c r="E51" s="9">
        <f t="shared" si="5"/>
        <v>101.04138872999999</v>
      </c>
      <c r="F51" s="9">
        <v>9.5588199100000004</v>
      </c>
      <c r="G51" s="9">
        <f t="shared" si="6"/>
        <v>91.482568819999997</v>
      </c>
      <c r="H51" s="143">
        <f t="shared" si="7"/>
        <v>0.31173439632640804</v>
      </c>
      <c r="I51" s="143">
        <f t="shared" si="8"/>
        <v>0.28056095669376724</v>
      </c>
    </row>
    <row r="52" spans="1:10" ht="12" customHeight="1" x14ac:dyDescent="0.2">
      <c r="A52" s="3">
        <v>2005</v>
      </c>
      <c r="B52" s="21">
        <v>296.186216</v>
      </c>
      <c r="C52" s="9">
        <v>70.072000000000003</v>
      </c>
      <c r="D52" s="9">
        <v>14.78787024</v>
      </c>
      <c r="E52" s="9">
        <f t="shared" si="5"/>
        <v>84.859870240000006</v>
      </c>
      <c r="F52" s="9">
        <v>9.9765913699999995</v>
      </c>
      <c r="G52" s="9">
        <f t="shared" si="6"/>
        <v>74.883278870000012</v>
      </c>
      <c r="H52" s="143">
        <f t="shared" si="7"/>
        <v>0.25282499598158209</v>
      </c>
      <c r="I52" s="143">
        <f t="shared" si="8"/>
        <v>0.22754249638342389</v>
      </c>
    </row>
    <row r="53" spans="1:10" ht="12" customHeight="1" x14ac:dyDescent="0.2">
      <c r="A53" s="2">
        <v>2006</v>
      </c>
      <c r="B53" s="20">
        <v>298.99582500000002</v>
      </c>
      <c r="C53" s="8">
        <v>87.660144000000003</v>
      </c>
      <c r="D53" s="8">
        <v>15.66213293</v>
      </c>
      <c r="E53" s="8">
        <f t="shared" si="5"/>
        <v>103.32227693</v>
      </c>
      <c r="F53" s="8">
        <v>9.8729410699999995</v>
      </c>
      <c r="G53" s="8">
        <f t="shared" si="6"/>
        <v>93.449335860000005</v>
      </c>
      <c r="H53" s="142">
        <f t="shared" si="7"/>
        <v>0.3125439489330662</v>
      </c>
      <c r="I53" s="142">
        <f t="shared" si="8"/>
        <v>0.28128955403975958</v>
      </c>
    </row>
    <row r="54" spans="1:10" ht="12" customHeight="1" x14ac:dyDescent="0.2">
      <c r="A54" s="2">
        <v>2007</v>
      </c>
      <c r="B54" s="20">
        <v>302.003917</v>
      </c>
      <c r="C54" s="8">
        <v>73.190322157434395</v>
      </c>
      <c r="D54" s="8">
        <v>15.85722655</v>
      </c>
      <c r="E54" s="8">
        <f t="shared" si="5"/>
        <v>89.047548707434402</v>
      </c>
      <c r="F54" s="8">
        <v>8.5868373400000007</v>
      </c>
      <c r="G54" s="8">
        <f t="shared" si="6"/>
        <v>80.460711367434399</v>
      </c>
      <c r="H54" s="142">
        <f t="shared" si="7"/>
        <v>0.26642274102502583</v>
      </c>
      <c r="I54" s="142">
        <f t="shared" ref="I54:I59" si="9">H54*0.9</f>
        <v>0.23978046692252325</v>
      </c>
    </row>
    <row r="55" spans="1:10" ht="12" customHeight="1" x14ac:dyDescent="0.2">
      <c r="A55" s="2">
        <v>2008</v>
      </c>
      <c r="B55" s="20">
        <v>304.79776099999998</v>
      </c>
      <c r="C55" s="8">
        <v>63.117542411966355</v>
      </c>
      <c r="D55" s="8">
        <v>11.033586359999999</v>
      </c>
      <c r="E55" s="8">
        <f t="shared" si="5"/>
        <v>74.151128771966356</v>
      </c>
      <c r="F55" s="8">
        <v>8.8419275399999986</v>
      </c>
      <c r="G55" s="8">
        <f t="shared" si="6"/>
        <v>65.309201231966355</v>
      </c>
      <c r="H55" s="142">
        <f t="shared" si="7"/>
        <v>0.21427060690241212</v>
      </c>
      <c r="I55" s="142">
        <f t="shared" si="9"/>
        <v>0.19284354621217092</v>
      </c>
    </row>
    <row r="56" spans="1:10" ht="12" customHeight="1" x14ac:dyDescent="0.2">
      <c r="A56" s="2">
        <v>2009</v>
      </c>
      <c r="B56" s="20">
        <v>307.43940600000002</v>
      </c>
      <c r="C56" s="8">
        <v>53.485052971386644</v>
      </c>
      <c r="D56" s="8">
        <v>10.102316550000001</v>
      </c>
      <c r="E56" s="8">
        <f t="shared" si="5"/>
        <v>63.587369521386648</v>
      </c>
      <c r="F56" s="8">
        <v>8.4871355199999989</v>
      </c>
      <c r="G56" s="8">
        <f t="shared" si="6"/>
        <v>55.100234001386653</v>
      </c>
      <c r="H56" s="142">
        <f t="shared" si="7"/>
        <v>0.17922306941155958</v>
      </c>
      <c r="I56" s="142">
        <f t="shared" si="9"/>
        <v>0.16130076247040362</v>
      </c>
    </row>
    <row r="57" spans="1:10" ht="12" customHeight="1" x14ac:dyDescent="0.2">
      <c r="A57" s="2">
        <v>2010</v>
      </c>
      <c r="B57" s="20">
        <v>309.74127900000002</v>
      </c>
      <c r="C57" s="8">
        <v>49.988878585461684</v>
      </c>
      <c r="D57" s="8">
        <v>11.597588199999999</v>
      </c>
      <c r="E57" s="8">
        <f t="shared" si="5"/>
        <v>61.586466785461681</v>
      </c>
      <c r="F57" s="8">
        <v>6.5279613909399998</v>
      </c>
      <c r="G57" s="8">
        <f t="shared" si="6"/>
        <v>55.058505394521681</v>
      </c>
      <c r="H57" s="142">
        <f t="shared" si="7"/>
        <v>0.1777564345710656</v>
      </c>
      <c r="I57" s="142">
        <f t="shared" si="9"/>
        <v>0.15998079111395905</v>
      </c>
    </row>
    <row r="58" spans="1:10" ht="12" customHeight="1" x14ac:dyDescent="0.2">
      <c r="A58" s="33">
        <v>2011</v>
      </c>
      <c r="B58" s="31">
        <v>311.97391399999998</v>
      </c>
      <c r="C58" s="39">
        <v>80.438980952380945</v>
      </c>
      <c r="D58" s="39">
        <v>12.94699323</v>
      </c>
      <c r="E58" s="39">
        <f t="shared" si="5"/>
        <v>93.385974182380949</v>
      </c>
      <c r="F58" s="39">
        <v>6.9231130705000004</v>
      </c>
      <c r="G58" s="39">
        <f t="shared" si="6"/>
        <v>86.462861111880954</v>
      </c>
      <c r="H58" s="144">
        <f t="shared" si="7"/>
        <v>0.27714772688296291</v>
      </c>
      <c r="I58" s="144">
        <f t="shared" si="9"/>
        <v>0.24943295419466663</v>
      </c>
    </row>
    <row r="59" spans="1:10" s="43" customFormat="1" ht="12" customHeight="1" x14ac:dyDescent="0.2">
      <c r="A59" s="33">
        <v>2012</v>
      </c>
      <c r="B59" s="31">
        <v>314.16755799999999</v>
      </c>
      <c r="C59" s="39">
        <v>74.890540540540542</v>
      </c>
      <c r="D59" s="39">
        <v>12.376489970000002</v>
      </c>
      <c r="E59" s="39">
        <f t="shared" si="5"/>
        <v>87.267030510540536</v>
      </c>
      <c r="F59" s="39">
        <v>6.3715700573799996</v>
      </c>
      <c r="G59" s="39">
        <f t="shared" si="6"/>
        <v>80.895460453160538</v>
      </c>
      <c r="H59" s="144">
        <f t="shared" ref="H59" si="10">IF(G59=0,0,IF(B59=0,0,G59/B59))</f>
        <v>0.25749145127569328</v>
      </c>
      <c r="I59" s="144">
        <f t="shared" si="9"/>
        <v>0.23174230614812397</v>
      </c>
      <c r="J59"/>
    </row>
    <row r="60" spans="1:10" s="93" customFormat="1" ht="12" customHeight="1" x14ac:dyDescent="0.2">
      <c r="A60" s="33">
        <v>2013</v>
      </c>
      <c r="B60" s="31">
        <v>316.29476599999998</v>
      </c>
      <c r="C60" s="39">
        <v>56.005739051918738</v>
      </c>
      <c r="D60" s="39">
        <v>11.79656415</v>
      </c>
      <c r="E60" s="39">
        <f t="shared" si="5"/>
        <v>67.802303201918733</v>
      </c>
      <c r="F60" s="39">
        <v>7.3138356684799994</v>
      </c>
      <c r="G60" s="39">
        <f t="shared" ref="G60" si="11">E60-SUM(F60)</f>
        <v>60.488467533438737</v>
      </c>
      <c r="H60" s="144">
        <f t="shared" ref="H60" si="12">IF(G60=0,0,IF(B60=0,0,G60/B60))</f>
        <v>0.19124081090054693</v>
      </c>
      <c r="I60" s="144">
        <f t="shared" ref="I60" si="13">H60*0.9</f>
        <v>0.17211672981049222</v>
      </c>
      <c r="J60" s="83"/>
    </row>
    <row r="61" spans="1:10" s="93" customFormat="1" ht="12" customHeight="1" x14ac:dyDescent="0.2">
      <c r="A61" s="33">
        <v>2014</v>
      </c>
      <c r="B61" s="31">
        <v>318.576955</v>
      </c>
      <c r="C61" s="39">
        <v>49.07069340974212</v>
      </c>
      <c r="D61" s="39">
        <v>12.982561846759998</v>
      </c>
      <c r="E61" s="39">
        <f t="shared" si="5"/>
        <v>62.053255256502119</v>
      </c>
      <c r="F61" s="39">
        <v>6.9870668920799988</v>
      </c>
      <c r="G61" s="39">
        <f t="shared" ref="G61" si="14">E61-SUM(F61)</f>
        <v>55.066188364422118</v>
      </c>
      <c r="H61" s="144">
        <f t="shared" ref="H61" si="15">IF(G61=0,0,IF(B61=0,0,G61/B61))</f>
        <v>0.17285050754666834</v>
      </c>
      <c r="I61" s="144">
        <f t="shared" ref="I61" si="16">H61*0.9</f>
        <v>0.15556545679200151</v>
      </c>
      <c r="J61" s="83"/>
    </row>
    <row r="62" spans="1:10" s="93" customFormat="1" ht="12" customHeight="1" x14ac:dyDescent="0.2">
      <c r="A62" s="33">
        <v>2015</v>
      </c>
      <c r="B62" s="31">
        <v>320.87070299999999</v>
      </c>
      <c r="C62" s="39">
        <v>24.908944174757277</v>
      </c>
      <c r="D62" s="39">
        <v>10.458088963300002</v>
      </c>
      <c r="E62" s="39">
        <f t="shared" si="5"/>
        <v>35.36703313805728</v>
      </c>
      <c r="F62" s="39">
        <v>7.9310300605799995</v>
      </c>
      <c r="G62" s="39">
        <f t="shared" ref="G62" si="17">E62-SUM(F62)</f>
        <v>27.436003077477281</v>
      </c>
      <c r="H62" s="144">
        <f t="shared" ref="H62" si="18">IF(G62=0,0,IF(B62=0,0,G62/B62))</f>
        <v>8.5504855447888245E-2</v>
      </c>
      <c r="I62" s="144">
        <f t="shared" ref="I62" si="19">H62*0.9</f>
        <v>7.6954369903099423E-2</v>
      </c>
      <c r="J62" s="83"/>
    </row>
    <row r="63" spans="1:10" s="93" customFormat="1" ht="12" customHeight="1" x14ac:dyDescent="0.2">
      <c r="A63" s="128">
        <v>2016</v>
      </c>
      <c r="B63" s="129">
        <v>323.16101099999997</v>
      </c>
      <c r="C63" s="130">
        <v>11.016097297297295</v>
      </c>
      <c r="D63" s="130">
        <v>9.7035996560800015</v>
      </c>
      <c r="E63" s="130">
        <f t="shared" si="5"/>
        <v>20.719696953377294</v>
      </c>
      <c r="F63" s="130">
        <v>8.3748817959400004</v>
      </c>
      <c r="G63" s="130">
        <f t="shared" ref="G63:G64" si="20">E63-SUM(F63)</f>
        <v>12.344815157437294</v>
      </c>
      <c r="H63" s="145">
        <f t="shared" ref="H63:H64" si="21">IF(G63=0,0,IF(B63=0,0,G63/B63))</f>
        <v>3.8200199706137493E-2</v>
      </c>
      <c r="I63" s="145">
        <f t="shared" ref="I63:I64" si="22">H63*0.9</f>
        <v>3.4380179735523743E-2</v>
      </c>
      <c r="J63" s="83"/>
    </row>
    <row r="64" spans="1:10" s="93" customFormat="1" ht="12" customHeight="1" x14ac:dyDescent="0.2">
      <c r="A64" s="125">
        <v>2017</v>
      </c>
      <c r="B64" s="126">
        <v>325.20603</v>
      </c>
      <c r="C64" s="127">
        <v>59.05150326797385</v>
      </c>
      <c r="D64" s="127">
        <v>12.019888068319998</v>
      </c>
      <c r="E64" s="127">
        <f t="shared" si="5"/>
        <v>71.071391336293843</v>
      </c>
      <c r="F64" s="127">
        <v>9.5059753146600023</v>
      </c>
      <c r="G64" s="127">
        <f t="shared" si="20"/>
        <v>61.565416021633837</v>
      </c>
      <c r="H64" s="146">
        <f t="shared" si="21"/>
        <v>0.18931203711577499</v>
      </c>
      <c r="I64" s="146">
        <f t="shared" si="22"/>
        <v>0.17038083340419749</v>
      </c>
      <c r="J64" s="83"/>
    </row>
    <row r="65" spans="1:10" s="93" customFormat="1" ht="12" customHeight="1" x14ac:dyDescent="0.2">
      <c r="A65" s="128">
        <v>2018</v>
      </c>
      <c r="B65" s="129">
        <v>326.92397599999998</v>
      </c>
      <c r="C65" s="130">
        <v>52.059117686447152</v>
      </c>
      <c r="D65" s="130">
        <v>12.39659810158</v>
      </c>
      <c r="E65" s="130">
        <f t="shared" si="5"/>
        <v>64.455715788027149</v>
      </c>
      <c r="F65" s="130">
        <v>7.7755690766599992</v>
      </c>
      <c r="G65" s="130">
        <f t="shared" ref="G65:G67" si="23">E65-SUM(F65)</f>
        <v>56.680146711367151</v>
      </c>
      <c r="H65" s="145">
        <f t="shared" ref="H65:H66" si="24">IF(G65=0,0,IF(B65=0,0,G65/B65))</f>
        <v>0.17337408961209733</v>
      </c>
      <c r="I65" s="145">
        <f t="shared" ref="I65:I66" si="25">H65*0.9</f>
        <v>0.1560366806508876</v>
      </c>
      <c r="J65" s="83"/>
    </row>
    <row r="66" spans="1:10" s="93" customFormat="1" ht="12" customHeight="1" x14ac:dyDescent="0.2">
      <c r="A66" s="128">
        <v>2019</v>
      </c>
      <c r="B66" s="129">
        <v>328.475998</v>
      </c>
      <c r="C66" s="130">
        <v>51.547625284114567</v>
      </c>
      <c r="D66" s="162">
        <v>12.467820555300001</v>
      </c>
      <c r="E66" s="130">
        <f t="shared" si="5"/>
        <v>64.015445839414568</v>
      </c>
      <c r="F66" s="162">
        <v>7.6509154526199996</v>
      </c>
      <c r="G66" s="130">
        <f t="shared" si="23"/>
        <v>56.36453038679457</v>
      </c>
      <c r="H66" s="145">
        <f t="shared" si="24"/>
        <v>0.17159406084457524</v>
      </c>
      <c r="I66" s="145">
        <f t="shared" si="25"/>
        <v>0.15443465476011772</v>
      </c>
      <c r="J66" s="83"/>
    </row>
    <row r="67" spans="1:10" s="93" customFormat="1" ht="12" customHeight="1" thickBot="1" x14ac:dyDescent="0.25">
      <c r="A67" s="148">
        <v>2020</v>
      </c>
      <c r="B67" s="149">
        <v>330.11398000000003</v>
      </c>
      <c r="C67" s="147">
        <v>67.686474407373424</v>
      </c>
      <c r="D67" s="124">
        <v>8.1559828715200009</v>
      </c>
      <c r="E67" s="150">
        <f t="shared" si="5"/>
        <v>75.84245727889342</v>
      </c>
      <c r="F67" s="147">
        <v>7.4247589305790136</v>
      </c>
      <c r="G67" s="150">
        <f t="shared" si="23"/>
        <v>68.417698348314403</v>
      </c>
      <c r="H67" s="152">
        <f t="shared" ref="H67" si="26">IF(G67=0,0,IF(B67=0,0,G67/B67))</f>
        <v>0.20725477408837517</v>
      </c>
      <c r="I67" s="152">
        <f t="shared" ref="I67" si="27">H67*0.9</f>
        <v>0.18652929667953766</v>
      </c>
      <c r="J67" s="83"/>
    </row>
    <row r="68" spans="1:10" ht="12" customHeight="1" thickTop="1" x14ac:dyDescent="0.2">
      <c r="A68" s="254" t="s">
        <v>8</v>
      </c>
      <c r="B68" s="255"/>
      <c r="C68" s="255"/>
      <c r="D68" s="255"/>
      <c r="E68" s="255"/>
      <c r="F68" s="255"/>
      <c r="G68" s="255"/>
      <c r="H68" s="255"/>
      <c r="I68" s="256"/>
      <c r="J68" s="23"/>
    </row>
    <row r="69" spans="1:10" ht="12" customHeight="1" x14ac:dyDescent="0.2">
      <c r="A69" s="248"/>
      <c r="B69" s="249"/>
      <c r="C69" s="249"/>
      <c r="D69" s="249"/>
      <c r="E69" s="249"/>
      <c r="F69" s="249"/>
      <c r="G69" s="249"/>
      <c r="H69" s="249"/>
      <c r="I69" s="250"/>
      <c r="J69" s="23"/>
    </row>
    <row r="70" spans="1:10" ht="12" customHeight="1" x14ac:dyDescent="0.2">
      <c r="A70" s="251" t="s">
        <v>233</v>
      </c>
      <c r="B70" s="252"/>
      <c r="C70" s="252"/>
      <c r="D70" s="252"/>
      <c r="E70" s="252"/>
      <c r="F70" s="252"/>
      <c r="G70" s="252"/>
      <c r="H70" s="252"/>
      <c r="I70" s="253"/>
      <c r="J70" s="23"/>
    </row>
    <row r="71" spans="1:10" ht="12" customHeight="1" x14ac:dyDescent="0.2">
      <c r="A71" s="251"/>
      <c r="B71" s="252"/>
      <c r="C71" s="252"/>
      <c r="D71" s="252"/>
      <c r="E71" s="252"/>
      <c r="F71" s="252"/>
      <c r="G71" s="252"/>
      <c r="H71" s="252"/>
      <c r="I71" s="253"/>
      <c r="J71" s="43"/>
    </row>
    <row r="72" spans="1:10" ht="12" customHeight="1" x14ac:dyDescent="0.2">
      <c r="A72" s="251"/>
      <c r="B72" s="252"/>
      <c r="C72" s="252"/>
      <c r="D72" s="252"/>
      <c r="E72" s="252"/>
      <c r="F72" s="252"/>
      <c r="G72" s="252"/>
      <c r="H72" s="252"/>
      <c r="I72" s="253"/>
      <c r="J72" s="43"/>
    </row>
    <row r="73" spans="1:10" ht="12" customHeight="1" x14ac:dyDescent="0.2">
      <c r="A73" s="248"/>
      <c r="B73" s="249"/>
      <c r="C73" s="249"/>
      <c r="D73" s="249"/>
      <c r="E73" s="249"/>
      <c r="F73" s="249"/>
      <c r="G73" s="249"/>
      <c r="H73" s="249"/>
      <c r="I73" s="250"/>
      <c r="J73" s="43"/>
    </row>
    <row r="74" spans="1:10" ht="12" customHeight="1" x14ac:dyDescent="0.2">
      <c r="A74" s="223" t="s">
        <v>198</v>
      </c>
      <c r="B74" s="224"/>
      <c r="C74" s="224"/>
      <c r="D74" s="224"/>
      <c r="E74" s="224"/>
      <c r="F74" s="224"/>
      <c r="G74" s="224"/>
      <c r="H74" s="224"/>
      <c r="I74" s="225"/>
      <c r="J74" s="43"/>
    </row>
    <row r="75" spans="1:10" ht="12" customHeight="1" x14ac:dyDescent="0.2">
      <c r="A75" s="223"/>
      <c r="B75" s="224"/>
      <c r="C75" s="224"/>
      <c r="D75" s="224"/>
      <c r="E75" s="224"/>
      <c r="F75" s="224"/>
      <c r="G75" s="224"/>
      <c r="H75" s="224"/>
      <c r="I75" s="225"/>
      <c r="J75" s="43"/>
    </row>
  </sheetData>
  <mergeCells count="20">
    <mergeCell ref="H6:I6"/>
    <mergeCell ref="A74:I75"/>
    <mergeCell ref="A70:I72"/>
    <mergeCell ref="A68:I68"/>
    <mergeCell ref="A69:I69"/>
    <mergeCell ref="A73:I73"/>
    <mergeCell ref="C6:G6"/>
    <mergeCell ref="H1:I1"/>
    <mergeCell ref="G3:G5"/>
    <mergeCell ref="C3:C5"/>
    <mergeCell ref="D3:D5"/>
    <mergeCell ref="F3:F5"/>
    <mergeCell ref="A1:G1"/>
    <mergeCell ref="A2:A5"/>
    <mergeCell ref="B2:B5"/>
    <mergeCell ref="E3:E5"/>
    <mergeCell ref="H4:H5"/>
    <mergeCell ref="H3:I3"/>
    <mergeCell ref="C2:E2"/>
    <mergeCell ref="G2:I2"/>
  </mergeCells>
  <phoneticPr fontId="7" type="noConversion"/>
  <printOptions horizontalCentered="1"/>
  <pageMargins left="0.45" right="0.45" top="0.75" bottom="0.75" header="0" footer="0"/>
  <pageSetup scale="65" fitToWidth="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autoPageBreaks="0" fitToPage="1"/>
  </sheetPr>
  <dimension ref="A1:AH81"/>
  <sheetViews>
    <sheetView showOutlineSymbols="0" zoomScaleNormal="100" workbookViewId="0">
      <pane xSplit="1" ySplit="5" topLeftCell="B6" activePane="bottomRight" state="frozen"/>
      <selection pane="topRight" activeCell="B1" sqref="B1"/>
      <selection pane="bottomLeft" activeCell="A6" sqref="A6"/>
      <selection pane="bottomRight" sqref="A1:P1"/>
    </sheetView>
  </sheetViews>
  <sheetFormatPr defaultColWidth="12.7109375" defaultRowHeight="12" customHeight="1" x14ac:dyDescent="0.2"/>
  <cols>
    <col min="1" max="16384" width="12.7109375" style="13"/>
  </cols>
  <sheetData>
    <row r="1" spans="1:34" s="5" customFormat="1" ht="12" customHeight="1" thickBot="1" x14ac:dyDescent="0.25">
      <c r="A1" s="201" t="s">
        <v>206</v>
      </c>
      <c r="B1" s="201"/>
      <c r="C1" s="201"/>
      <c r="D1" s="201"/>
      <c r="E1" s="201"/>
      <c r="F1" s="201"/>
      <c r="G1" s="201"/>
      <c r="H1" s="201"/>
      <c r="I1" s="201"/>
      <c r="J1" s="201"/>
      <c r="K1" s="201"/>
      <c r="L1" s="201"/>
      <c r="M1" s="201"/>
      <c r="N1" s="201"/>
      <c r="O1" s="201"/>
      <c r="P1" s="201"/>
      <c r="Q1" s="200" t="s">
        <v>19</v>
      </c>
      <c r="R1" s="200"/>
      <c r="S1" s="201" t="s">
        <v>206</v>
      </c>
      <c r="T1" s="201"/>
      <c r="U1" s="201"/>
      <c r="V1" s="201"/>
      <c r="W1" s="201"/>
      <c r="X1" s="201"/>
      <c r="Y1" s="201"/>
      <c r="Z1" s="201"/>
      <c r="AA1" s="201"/>
      <c r="AB1" s="201"/>
      <c r="AC1" s="201"/>
      <c r="AD1" s="201"/>
      <c r="AE1" s="201"/>
      <c r="AF1" s="201"/>
      <c r="AG1" s="200" t="s">
        <v>19</v>
      </c>
      <c r="AH1" s="200"/>
    </row>
    <row r="2" spans="1:34" ht="12" customHeight="1" thickTop="1" x14ac:dyDescent="0.2">
      <c r="A2" s="205" t="s">
        <v>1</v>
      </c>
      <c r="B2" s="194" t="s">
        <v>71</v>
      </c>
      <c r="C2" s="194" t="s">
        <v>9</v>
      </c>
      <c r="D2" s="194" t="s">
        <v>72</v>
      </c>
      <c r="E2" s="194" t="s">
        <v>10</v>
      </c>
      <c r="F2" s="197" t="s">
        <v>73</v>
      </c>
      <c r="G2" s="194" t="s">
        <v>11</v>
      </c>
      <c r="H2" s="194" t="s">
        <v>12</v>
      </c>
      <c r="I2" s="194" t="s">
        <v>13</v>
      </c>
      <c r="J2" s="194" t="s">
        <v>74</v>
      </c>
      <c r="K2" s="194" t="s">
        <v>75</v>
      </c>
      <c r="L2" s="194" t="s">
        <v>20</v>
      </c>
      <c r="M2" s="194" t="s">
        <v>14</v>
      </c>
      <c r="N2" s="194" t="s">
        <v>76</v>
      </c>
      <c r="O2" s="194" t="s">
        <v>21</v>
      </c>
      <c r="P2" s="194" t="s">
        <v>77</v>
      </c>
      <c r="Q2" s="194" t="s">
        <v>78</v>
      </c>
      <c r="R2" s="194" t="s">
        <v>180</v>
      </c>
      <c r="S2" s="194" t="s">
        <v>22</v>
      </c>
      <c r="T2" s="194" t="s">
        <v>0</v>
      </c>
      <c r="U2" s="194" t="s">
        <v>197</v>
      </c>
      <c r="V2" s="194" t="s">
        <v>79</v>
      </c>
      <c r="W2" s="194" t="s">
        <v>80</v>
      </c>
      <c r="X2" s="194" t="s">
        <v>15</v>
      </c>
      <c r="Y2" s="194" t="s">
        <v>16</v>
      </c>
      <c r="Z2" s="194" t="s">
        <v>81</v>
      </c>
      <c r="AA2" s="194" t="s">
        <v>82</v>
      </c>
      <c r="AB2" s="194" t="s">
        <v>23</v>
      </c>
      <c r="AC2" s="194" t="s">
        <v>17</v>
      </c>
      <c r="AD2" s="194" t="s">
        <v>83</v>
      </c>
      <c r="AE2" s="194" t="s">
        <v>195</v>
      </c>
      <c r="AF2" s="194" t="s">
        <v>18</v>
      </c>
      <c r="AG2" s="194" t="s">
        <v>84</v>
      </c>
      <c r="AH2" s="197" t="s">
        <v>182</v>
      </c>
    </row>
    <row r="3" spans="1:34" ht="12" customHeight="1" x14ac:dyDescent="0.2">
      <c r="A3" s="206"/>
      <c r="B3" s="195"/>
      <c r="C3" s="195"/>
      <c r="D3" s="195"/>
      <c r="E3" s="195"/>
      <c r="F3" s="198"/>
      <c r="G3" s="195"/>
      <c r="H3" s="195"/>
      <c r="I3" s="195"/>
      <c r="J3" s="195"/>
      <c r="K3" s="195"/>
      <c r="L3" s="195"/>
      <c r="M3" s="195"/>
      <c r="N3" s="195"/>
      <c r="O3" s="195"/>
      <c r="P3" s="195"/>
      <c r="Q3" s="195"/>
      <c r="R3" s="195"/>
      <c r="S3" s="195"/>
      <c r="T3" s="195"/>
      <c r="U3" s="195"/>
      <c r="V3" s="195"/>
      <c r="W3" s="195"/>
      <c r="X3" s="195"/>
      <c r="Y3" s="195"/>
      <c r="Z3" s="195"/>
      <c r="AA3" s="195"/>
      <c r="AB3" s="195"/>
      <c r="AC3" s="195"/>
      <c r="AD3" s="195"/>
      <c r="AE3" s="195"/>
      <c r="AF3" s="195"/>
      <c r="AG3" s="195"/>
      <c r="AH3" s="198"/>
    </row>
    <row r="4" spans="1:34" ht="23.25" customHeight="1" x14ac:dyDescent="0.2">
      <c r="A4" s="207"/>
      <c r="B4" s="196"/>
      <c r="C4" s="196"/>
      <c r="D4" s="196"/>
      <c r="E4" s="196"/>
      <c r="F4" s="199"/>
      <c r="G4" s="196"/>
      <c r="H4" s="196"/>
      <c r="I4" s="196"/>
      <c r="J4" s="196"/>
      <c r="K4" s="196"/>
      <c r="L4" s="196"/>
      <c r="M4" s="196"/>
      <c r="N4" s="196"/>
      <c r="O4" s="196"/>
      <c r="P4" s="196"/>
      <c r="Q4" s="196"/>
      <c r="R4" s="196"/>
      <c r="S4" s="196"/>
      <c r="T4" s="196"/>
      <c r="U4" s="196"/>
      <c r="V4" s="196"/>
      <c r="W4" s="196"/>
      <c r="X4" s="196"/>
      <c r="Y4" s="196"/>
      <c r="Z4" s="196"/>
      <c r="AA4" s="196"/>
      <c r="AB4" s="196"/>
      <c r="AC4" s="196"/>
      <c r="AD4" s="196"/>
      <c r="AE4" s="196"/>
      <c r="AF4" s="196"/>
      <c r="AG4" s="196"/>
      <c r="AH4" s="199"/>
    </row>
    <row r="5" spans="1:34" ht="12" customHeight="1" x14ac:dyDescent="0.2">
      <c r="A5" s="27"/>
      <c r="B5" s="202" t="s">
        <v>115</v>
      </c>
      <c r="C5" s="203"/>
      <c r="D5" s="203"/>
      <c r="E5" s="203"/>
      <c r="F5" s="203"/>
      <c r="G5" s="203"/>
      <c r="H5" s="203"/>
      <c r="I5" s="203"/>
      <c r="J5" s="203"/>
      <c r="K5" s="203"/>
      <c r="L5" s="203"/>
      <c r="M5" s="203"/>
      <c r="N5" s="203"/>
      <c r="O5" s="203"/>
      <c r="P5" s="203"/>
      <c r="Q5" s="203"/>
      <c r="R5" s="204"/>
      <c r="S5" s="202" t="s">
        <v>116</v>
      </c>
      <c r="T5" s="203"/>
      <c r="U5" s="203"/>
      <c r="V5" s="203"/>
      <c r="W5" s="203"/>
      <c r="X5" s="203"/>
      <c r="Y5" s="203"/>
      <c r="Z5" s="203"/>
      <c r="AA5" s="203"/>
      <c r="AB5" s="203"/>
      <c r="AC5" s="203"/>
      <c r="AD5" s="203"/>
      <c r="AE5" s="203"/>
      <c r="AF5" s="203"/>
      <c r="AG5" s="203"/>
      <c r="AH5" s="204"/>
    </row>
    <row r="6" spans="1:34" ht="12" customHeight="1" x14ac:dyDescent="0.2">
      <c r="A6" s="2">
        <v>1950</v>
      </c>
      <c r="B6" s="18">
        <v>0.2</v>
      </c>
      <c r="C6" s="18">
        <v>0.9</v>
      </c>
      <c r="D6" s="18">
        <v>2.2999999999999998</v>
      </c>
      <c r="E6" s="18">
        <v>1</v>
      </c>
      <c r="F6" s="18">
        <v>0.1</v>
      </c>
      <c r="G6" s="18">
        <v>14.3</v>
      </c>
      <c r="H6" s="18">
        <v>8.8000000000000007</v>
      </c>
      <c r="I6" s="18">
        <v>3</v>
      </c>
      <c r="J6" s="18">
        <v>8.4</v>
      </c>
      <c r="K6" s="18" t="s">
        <v>3</v>
      </c>
      <c r="L6" s="18">
        <v>7.7</v>
      </c>
      <c r="M6" s="18">
        <v>2.4</v>
      </c>
      <c r="N6" s="18">
        <v>0.4</v>
      </c>
      <c r="O6" s="18">
        <v>0.6</v>
      </c>
      <c r="P6" s="18">
        <v>0.2</v>
      </c>
      <c r="Q6" s="18" t="s">
        <v>3</v>
      </c>
      <c r="R6" s="18">
        <v>18</v>
      </c>
      <c r="S6" s="18">
        <v>0</v>
      </c>
      <c r="T6" s="18">
        <v>0.5</v>
      </c>
      <c r="U6" s="18" t="s">
        <v>3</v>
      </c>
      <c r="V6" s="18" t="s">
        <v>3</v>
      </c>
      <c r="W6" s="18" t="s">
        <v>3</v>
      </c>
      <c r="X6" s="18">
        <v>11.7</v>
      </c>
      <c r="Y6" s="18" t="s">
        <v>3</v>
      </c>
      <c r="Z6" s="18" t="s">
        <v>3</v>
      </c>
      <c r="AA6" s="18" t="s">
        <v>3</v>
      </c>
      <c r="AB6" s="18">
        <v>3.9</v>
      </c>
      <c r="AC6" s="18">
        <v>1.7</v>
      </c>
      <c r="AD6" s="18" t="s">
        <v>3</v>
      </c>
      <c r="AE6" s="18" t="s">
        <v>3</v>
      </c>
      <c r="AF6" s="18">
        <v>12.9</v>
      </c>
      <c r="AG6" s="18" t="s">
        <v>3</v>
      </c>
      <c r="AH6" s="18" t="s">
        <v>3</v>
      </c>
    </row>
    <row r="7" spans="1:34" ht="12" customHeight="1" x14ac:dyDescent="0.2">
      <c r="A7" s="3">
        <v>1951</v>
      </c>
      <c r="B7" s="19">
        <v>0.2</v>
      </c>
      <c r="C7" s="19">
        <v>0.8</v>
      </c>
      <c r="D7" s="19">
        <v>2.1</v>
      </c>
      <c r="E7" s="19">
        <v>0.7</v>
      </c>
      <c r="F7" s="19">
        <v>0.2</v>
      </c>
      <c r="G7" s="19">
        <v>13.3</v>
      </c>
      <c r="H7" s="19">
        <v>8</v>
      </c>
      <c r="I7" s="19">
        <v>2.7</v>
      </c>
      <c r="J7" s="19">
        <v>8.8000000000000007</v>
      </c>
      <c r="K7" s="19" t="s">
        <v>3</v>
      </c>
      <c r="L7" s="19">
        <v>7.6</v>
      </c>
      <c r="M7" s="19">
        <v>2.6</v>
      </c>
      <c r="N7" s="19">
        <v>0.4</v>
      </c>
      <c r="O7" s="19">
        <v>0.6</v>
      </c>
      <c r="P7" s="19">
        <v>0.2</v>
      </c>
      <c r="Q7" s="19" t="s">
        <v>3</v>
      </c>
      <c r="R7" s="19">
        <v>18</v>
      </c>
      <c r="S7" s="19">
        <v>0</v>
      </c>
      <c r="T7" s="19">
        <v>0.4</v>
      </c>
      <c r="U7" s="19" t="s">
        <v>3</v>
      </c>
      <c r="V7" s="19" t="s">
        <v>3</v>
      </c>
      <c r="W7" s="19" t="s">
        <v>3</v>
      </c>
      <c r="X7" s="19">
        <v>11.5</v>
      </c>
      <c r="Y7" s="19" t="s">
        <v>3</v>
      </c>
      <c r="Z7" s="19" t="s">
        <v>3</v>
      </c>
      <c r="AA7" s="19" t="s">
        <v>3</v>
      </c>
      <c r="AB7" s="19">
        <v>3.8</v>
      </c>
      <c r="AC7" s="19">
        <v>1.6</v>
      </c>
      <c r="AD7" s="19" t="s">
        <v>3</v>
      </c>
      <c r="AE7" s="19" t="s">
        <v>3</v>
      </c>
      <c r="AF7" s="19">
        <v>13.3</v>
      </c>
      <c r="AG7" s="19" t="s">
        <v>3</v>
      </c>
      <c r="AH7" s="19" t="s">
        <v>3</v>
      </c>
    </row>
    <row r="8" spans="1:34" ht="12" customHeight="1" x14ac:dyDescent="0.2">
      <c r="A8" s="3">
        <v>1952</v>
      </c>
      <c r="B8" s="19">
        <v>0.2</v>
      </c>
      <c r="C8" s="19">
        <v>0.8</v>
      </c>
      <c r="D8" s="19">
        <v>2.1</v>
      </c>
      <c r="E8" s="19">
        <v>0.8</v>
      </c>
      <c r="F8" s="19">
        <v>0.1</v>
      </c>
      <c r="G8" s="19">
        <v>12.8</v>
      </c>
      <c r="H8" s="19">
        <v>7.9</v>
      </c>
      <c r="I8" s="19">
        <v>2.6</v>
      </c>
      <c r="J8" s="19">
        <v>8.6</v>
      </c>
      <c r="K8" s="19" t="s">
        <v>3</v>
      </c>
      <c r="L8" s="19">
        <v>7.8</v>
      </c>
      <c r="M8" s="19">
        <v>2.7</v>
      </c>
      <c r="N8" s="19">
        <v>0.5</v>
      </c>
      <c r="O8" s="19">
        <v>0.7</v>
      </c>
      <c r="P8" s="19">
        <v>0.2</v>
      </c>
      <c r="Q8" s="19" t="s">
        <v>3</v>
      </c>
      <c r="R8" s="19">
        <v>19.100000000000001</v>
      </c>
      <c r="S8" s="19">
        <v>0</v>
      </c>
      <c r="T8" s="19">
        <v>0.4</v>
      </c>
      <c r="U8" s="19" t="s">
        <v>3</v>
      </c>
      <c r="V8" s="19" t="s">
        <v>3</v>
      </c>
      <c r="W8" s="19" t="s">
        <v>3</v>
      </c>
      <c r="X8" s="19">
        <v>11.7</v>
      </c>
      <c r="Y8" s="19" t="s">
        <v>3</v>
      </c>
      <c r="Z8" s="19" t="s">
        <v>3</v>
      </c>
      <c r="AA8" s="19" t="s">
        <v>3</v>
      </c>
      <c r="AB8" s="19">
        <v>3.4</v>
      </c>
      <c r="AC8" s="19">
        <v>1.5</v>
      </c>
      <c r="AD8" s="19" t="s">
        <v>3</v>
      </c>
      <c r="AE8" s="19" t="s">
        <v>3</v>
      </c>
      <c r="AF8" s="19">
        <v>13.1</v>
      </c>
      <c r="AG8" s="19" t="s">
        <v>3</v>
      </c>
      <c r="AH8" s="19" t="s">
        <v>3</v>
      </c>
    </row>
    <row r="9" spans="1:34" ht="12" customHeight="1" x14ac:dyDescent="0.2">
      <c r="A9" s="3">
        <v>1953</v>
      </c>
      <c r="B9" s="19">
        <v>0.2</v>
      </c>
      <c r="C9" s="19">
        <v>0.8</v>
      </c>
      <c r="D9" s="19">
        <v>2</v>
      </c>
      <c r="E9" s="19">
        <v>0.7</v>
      </c>
      <c r="F9" s="19">
        <v>0.1</v>
      </c>
      <c r="G9" s="19">
        <v>12.7</v>
      </c>
      <c r="H9" s="19">
        <v>7.8</v>
      </c>
      <c r="I9" s="19">
        <v>2.4</v>
      </c>
      <c r="J9" s="19">
        <v>8.6</v>
      </c>
      <c r="K9" s="19" t="s">
        <v>3</v>
      </c>
      <c r="L9" s="19">
        <v>7.8</v>
      </c>
      <c r="M9" s="19">
        <v>2.6</v>
      </c>
      <c r="N9" s="19">
        <v>0.4</v>
      </c>
      <c r="O9" s="19">
        <v>0.6</v>
      </c>
      <c r="P9" s="19">
        <v>0.2</v>
      </c>
      <c r="Q9" s="19" t="s">
        <v>3</v>
      </c>
      <c r="R9" s="19">
        <v>19</v>
      </c>
      <c r="S9" s="19">
        <v>0</v>
      </c>
      <c r="T9" s="19">
        <v>0.4</v>
      </c>
      <c r="U9" s="19" t="s">
        <v>3</v>
      </c>
      <c r="V9" s="19" t="s">
        <v>3</v>
      </c>
      <c r="W9" s="19" t="s">
        <v>3</v>
      </c>
      <c r="X9" s="19">
        <v>11.6</v>
      </c>
      <c r="Y9" s="19" t="s">
        <v>3</v>
      </c>
      <c r="Z9" s="19" t="s">
        <v>3</v>
      </c>
      <c r="AA9" s="19" t="s">
        <v>3</v>
      </c>
      <c r="AB9" s="19">
        <v>3.5</v>
      </c>
      <c r="AC9" s="19">
        <v>1.4</v>
      </c>
      <c r="AD9" s="19" t="s">
        <v>3</v>
      </c>
      <c r="AE9" s="19" t="s">
        <v>3</v>
      </c>
      <c r="AF9" s="19">
        <v>12.8</v>
      </c>
      <c r="AG9" s="19" t="s">
        <v>3</v>
      </c>
      <c r="AH9" s="19" t="s">
        <v>3</v>
      </c>
    </row>
    <row r="10" spans="1:34" ht="12" customHeight="1" x14ac:dyDescent="0.2">
      <c r="A10" s="3">
        <v>1954</v>
      </c>
      <c r="B10" s="19">
        <v>0.2</v>
      </c>
      <c r="C10" s="19">
        <v>0.7</v>
      </c>
      <c r="D10" s="19">
        <v>2.1</v>
      </c>
      <c r="E10" s="19">
        <v>0.6</v>
      </c>
      <c r="F10" s="19">
        <v>0.1</v>
      </c>
      <c r="G10" s="19">
        <v>12.5</v>
      </c>
      <c r="H10" s="19">
        <v>7.7</v>
      </c>
      <c r="I10" s="19">
        <v>1.3</v>
      </c>
      <c r="J10" s="19">
        <v>8.6</v>
      </c>
      <c r="K10" s="19" t="s">
        <v>3</v>
      </c>
      <c r="L10" s="19">
        <v>8.5</v>
      </c>
      <c r="M10" s="19">
        <v>2.8</v>
      </c>
      <c r="N10" s="19">
        <v>0.4</v>
      </c>
      <c r="O10" s="19">
        <v>0.6</v>
      </c>
      <c r="P10" s="19">
        <v>0.3</v>
      </c>
      <c r="Q10" s="19" t="s">
        <v>3</v>
      </c>
      <c r="R10" s="19">
        <v>19</v>
      </c>
      <c r="S10" s="19">
        <v>0</v>
      </c>
      <c r="T10" s="19">
        <v>0.4</v>
      </c>
      <c r="U10" s="19" t="s">
        <v>3</v>
      </c>
      <c r="V10" s="19" t="s">
        <v>3</v>
      </c>
      <c r="W10" s="19" t="s">
        <v>3</v>
      </c>
      <c r="X10" s="19">
        <v>11</v>
      </c>
      <c r="Y10" s="19" t="s">
        <v>3</v>
      </c>
      <c r="Z10" s="19" t="s">
        <v>3</v>
      </c>
      <c r="AA10" s="19" t="s">
        <v>3</v>
      </c>
      <c r="AB10" s="19">
        <v>3.3</v>
      </c>
      <c r="AC10" s="19">
        <v>1.1000000000000001</v>
      </c>
      <c r="AD10" s="19" t="s">
        <v>3</v>
      </c>
      <c r="AE10" s="19" t="s">
        <v>3</v>
      </c>
      <c r="AF10" s="19">
        <v>12.9</v>
      </c>
      <c r="AG10" s="19" t="s">
        <v>3</v>
      </c>
      <c r="AH10" s="19" t="s">
        <v>3</v>
      </c>
    </row>
    <row r="11" spans="1:34" ht="12" customHeight="1" x14ac:dyDescent="0.2">
      <c r="A11" s="3">
        <v>1955</v>
      </c>
      <c r="B11" s="19">
        <v>0.2</v>
      </c>
      <c r="C11" s="19">
        <v>0.7</v>
      </c>
      <c r="D11" s="19">
        <v>2.2000000000000002</v>
      </c>
      <c r="E11" s="19">
        <v>0.5</v>
      </c>
      <c r="F11" s="19">
        <v>0.1</v>
      </c>
      <c r="G11" s="19">
        <v>11.1</v>
      </c>
      <c r="H11" s="19">
        <v>7.5</v>
      </c>
      <c r="I11" s="19">
        <v>1.4</v>
      </c>
      <c r="J11" s="19">
        <v>8.8000000000000007</v>
      </c>
      <c r="K11" s="19" t="s">
        <v>3</v>
      </c>
      <c r="L11" s="19">
        <v>8.1999999999999993</v>
      </c>
      <c r="M11" s="19">
        <v>2.9</v>
      </c>
      <c r="N11" s="19">
        <v>0.4</v>
      </c>
      <c r="O11" s="19">
        <v>0.6</v>
      </c>
      <c r="P11" s="19">
        <v>0.3</v>
      </c>
      <c r="Q11" s="19" t="s">
        <v>3</v>
      </c>
      <c r="R11" s="19">
        <v>19.899999999999999</v>
      </c>
      <c r="S11" s="19">
        <v>0</v>
      </c>
      <c r="T11" s="19">
        <v>0.3</v>
      </c>
      <c r="U11" s="19" t="s">
        <v>3</v>
      </c>
      <c r="V11" s="19" t="s">
        <v>3</v>
      </c>
      <c r="W11" s="19" t="s">
        <v>3</v>
      </c>
      <c r="X11" s="19">
        <v>10.8</v>
      </c>
      <c r="Y11" s="19" t="s">
        <v>3</v>
      </c>
      <c r="Z11" s="19" t="s">
        <v>3</v>
      </c>
      <c r="AA11" s="19" t="s">
        <v>3</v>
      </c>
      <c r="AB11" s="19">
        <v>3.3</v>
      </c>
      <c r="AC11" s="19">
        <v>1</v>
      </c>
      <c r="AD11" s="19" t="s">
        <v>3</v>
      </c>
      <c r="AE11" s="19" t="s">
        <v>3</v>
      </c>
      <c r="AF11" s="19">
        <v>13.4</v>
      </c>
      <c r="AG11" s="19" t="s">
        <v>3</v>
      </c>
      <c r="AH11" s="19" t="s">
        <v>3</v>
      </c>
    </row>
    <row r="12" spans="1:34" ht="12" customHeight="1" x14ac:dyDescent="0.2">
      <c r="A12" s="2">
        <v>1956</v>
      </c>
      <c r="B12" s="18">
        <v>0.2</v>
      </c>
      <c r="C12" s="18">
        <v>0.7</v>
      </c>
      <c r="D12" s="18">
        <v>2.1</v>
      </c>
      <c r="E12" s="18">
        <v>0.5</v>
      </c>
      <c r="F12" s="18">
        <v>0.1</v>
      </c>
      <c r="G12" s="18">
        <v>11.8</v>
      </c>
      <c r="H12" s="18">
        <v>7.8</v>
      </c>
      <c r="I12" s="18">
        <v>1.5</v>
      </c>
      <c r="J12" s="18">
        <v>8.6</v>
      </c>
      <c r="K12" s="18" t="s">
        <v>3</v>
      </c>
      <c r="L12" s="18">
        <v>7.9</v>
      </c>
      <c r="M12" s="18">
        <v>2.8</v>
      </c>
      <c r="N12" s="18">
        <v>0.4</v>
      </c>
      <c r="O12" s="18">
        <v>0.6</v>
      </c>
      <c r="P12" s="18">
        <v>0.3</v>
      </c>
      <c r="Q12" s="18" t="s">
        <v>3</v>
      </c>
      <c r="R12" s="18">
        <v>21</v>
      </c>
      <c r="S12" s="18">
        <v>0</v>
      </c>
      <c r="T12" s="18">
        <v>0.3</v>
      </c>
      <c r="U12" s="18" t="s">
        <v>3</v>
      </c>
      <c r="V12" s="18" t="s">
        <v>3</v>
      </c>
      <c r="W12" s="18" t="s">
        <v>3</v>
      </c>
      <c r="X12" s="18">
        <v>11.3</v>
      </c>
      <c r="Y12" s="18" t="s">
        <v>3</v>
      </c>
      <c r="Z12" s="18" t="s">
        <v>3</v>
      </c>
      <c r="AA12" s="18" t="s">
        <v>3</v>
      </c>
      <c r="AB12" s="18">
        <v>2.8</v>
      </c>
      <c r="AC12" s="18">
        <v>1.1000000000000001</v>
      </c>
      <c r="AD12" s="18" t="s">
        <v>3</v>
      </c>
      <c r="AE12" s="18" t="s">
        <v>3</v>
      </c>
      <c r="AF12" s="18">
        <v>12.3</v>
      </c>
      <c r="AG12" s="18" t="s">
        <v>3</v>
      </c>
      <c r="AH12" s="18" t="s">
        <v>3</v>
      </c>
    </row>
    <row r="13" spans="1:34" ht="12" customHeight="1" x14ac:dyDescent="0.2">
      <c r="A13" s="2">
        <v>1957</v>
      </c>
      <c r="B13" s="18">
        <v>0.2</v>
      </c>
      <c r="C13" s="18">
        <v>0.8</v>
      </c>
      <c r="D13" s="18">
        <v>2.2999999999999998</v>
      </c>
      <c r="E13" s="18">
        <v>0.5</v>
      </c>
      <c r="F13" s="18">
        <v>0.1</v>
      </c>
      <c r="G13" s="18">
        <v>10.9</v>
      </c>
      <c r="H13" s="18">
        <v>7.4</v>
      </c>
      <c r="I13" s="18">
        <v>1.6</v>
      </c>
      <c r="J13" s="18">
        <v>8.4</v>
      </c>
      <c r="K13" s="18" t="s">
        <v>3</v>
      </c>
      <c r="L13" s="18">
        <v>7.7</v>
      </c>
      <c r="M13" s="18">
        <v>3.1</v>
      </c>
      <c r="N13" s="18">
        <v>0.4</v>
      </c>
      <c r="O13" s="18">
        <v>0.7</v>
      </c>
      <c r="P13" s="18">
        <v>0.2</v>
      </c>
      <c r="Q13" s="18" t="s">
        <v>3</v>
      </c>
      <c r="R13" s="18">
        <v>20.100000000000001</v>
      </c>
      <c r="S13" s="18">
        <v>0</v>
      </c>
      <c r="T13" s="18">
        <v>0.3</v>
      </c>
      <c r="U13" s="18" t="s">
        <v>3</v>
      </c>
      <c r="V13" s="18" t="s">
        <v>3</v>
      </c>
      <c r="W13" s="18" t="s">
        <v>3</v>
      </c>
      <c r="X13" s="18">
        <v>11.7</v>
      </c>
      <c r="Y13" s="18" t="s">
        <v>3</v>
      </c>
      <c r="Z13" s="18" t="s">
        <v>3</v>
      </c>
      <c r="AA13" s="18" t="s">
        <v>3</v>
      </c>
      <c r="AB13" s="18">
        <v>2.9</v>
      </c>
      <c r="AC13" s="18">
        <v>1</v>
      </c>
      <c r="AD13" s="18" t="s">
        <v>3</v>
      </c>
      <c r="AE13" s="18" t="s">
        <v>3</v>
      </c>
      <c r="AF13" s="18">
        <v>12.6</v>
      </c>
      <c r="AG13" s="18" t="s">
        <v>3</v>
      </c>
      <c r="AH13" s="18" t="s">
        <v>3</v>
      </c>
    </row>
    <row r="14" spans="1:34" ht="12" customHeight="1" x14ac:dyDescent="0.2">
      <c r="A14" s="2">
        <v>1958</v>
      </c>
      <c r="B14" s="18">
        <v>0.2</v>
      </c>
      <c r="C14" s="18">
        <v>0.8</v>
      </c>
      <c r="D14" s="18">
        <v>2.1</v>
      </c>
      <c r="E14" s="18">
        <v>0.4</v>
      </c>
      <c r="F14" s="18">
        <v>0.1</v>
      </c>
      <c r="G14" s="18">
        <v>10.8</v>
      </c>
      <c r="H14" s="18">
        <v>7.3</v>
      </c>
      <c r="I14" s="18">
        <v>1.4</v>
      </c>
      <c r="J14" s="18">
        <v>7.8</v>
      </c>
      <c r="K14" s="18" t="s">
        <v>3</v>
      </c>
      <c r="L14" s="18">
        <v>8.4</v>
      </c>
      <c r="M14" s="18">
        <v>2.8</v>
      </c>
      <c r="N14" s="18">
        <v>0.4</v>
      </c>
      <c r="O14" s="18">
        <v>0.6</v>
      </c>
      <c r="P14" s="18">
        <v>0.3</v>
      </c>
      <c r="Q14" s="18" t="s">
        <v>3</v>
      </c>
      <c r="R14" s="18">
        <v>19.5</v>
      </c>
      <c r="S14" s="18">
        <v>0</v>
      </c>
      <c r="T14" s="18">
        <v>0.3</v>
      </c>
      <c r="U14" s="18" t="s">
        <v>3</v>
      </c>
      <c r="V14" s="18" t="s">
        <v>3</v>
      </c>
      <c r="W14" s="18" t="s">
        <v>3</v>
      </c>
      <c r="X14" s="18">
        <v>11.6</v>
      </c>
      <c r="Y14" s="18" t="s">
        <v>3</v>
      </c>
      <c r="Z14" s="18" t="s">
        <v>3</v>
      </c>
      <c r="AA14" s="18" t="s">
        <v>3</v>
      </c>
      <c r="AB14" s="18">
        <v>2.6</v>
      </c>
      <c r="AC14" s="18">
        <v>1.1000000000000001</v>
      </c>
      <c r="AD14" s="18" t="s">
        <v>3</v>
      </c>
      <c r="AE14" s="18" t="s">
        <v>3</v>
      </c>
      <c r="AF14" s="18">
        <v>11.9</v>
      </c>
      <c r="AG14" s="18" t="s">
        <v>3</v>
      </c>
      <c r="AH14" s="18" t="s">
        <v>3</v>
      </c>
    </row>
    <row r="15" spans="1:34" ht="12" customHeight="1" x14ac:dyDescent="0.2">
      <c r="A15" s="2">
        <v>1959</v>
      </c>
      <c r="B15" s="18">
        <v>0.2</v>
      </c>
      <c r="C15" s="18">
        <v>0.7</v>
      </c>
      <c r="D15" s="18">
        <v>2.2999999999999998</v>
      </c>
      <c r="E15" s="18">
        <v>0.4</v>
      </c>
      <c r="F15" s="18">
        <v>0.1</v>
      </c>
      <c r="G15" s="18">
        <v>10.1</v>
      </c>
      <c r="H15" s="18">
        <v>7.1</v>
      </c>
      <c r="I15" s="18">
        <v>1.1000000000000001</v>
      </c>
      <c r="J15" s="18">
        <v>7.9</v>
      </c>
      <c r="K15" s="18" t="s">
        <v>3</v>
      </c>
      <c r="L15" s="18">
        <v>8.8000000000000007</v>
      </c>
      <c r="M15" s="18">
        <v>2.6</v>
      </c>
      <c r="N15" s="18">
        <v>0.4</v>
      </c>
      <c r="O15" s="18">
        <v>0.7</v>
      </c>
      <c r="P15" s="18">
        <v>0.3</v>
      </c>
      <c r="Q15" s="18" t="s">
        <v>3</v>
      </c>
      <c r="R15" s="18">
        <v>19.2</v>
      </c>
      <c r="S15" s="18">
        <v>0</v>
      </c>
      <c r="T15" s="18">
        <v>0.3</v>
      </c>
      <c r="U15" s="18" t="s">
        <v>3</v>
      </c>
      <c r="V15" s="18" t="s">
        <v>3</v>
      </c>
      <c r="W15" s="18" t="s">
        <v>3</v>
      </c>
      <c r="X15" s="18">
        <v>11.5</v>
      </c>
      <c r="Y15" s="18" t="s">
        <v>3</v>
      </c>
      <c r="Z15" s="18" t="s">
        <v>3</v>
      </c>
      <c r="AA15" s="18" t="s">
        <v>3</v>
      </c>
      <c r="AB15" s="18">
        <v>2.5</v>
      </c>
      <c r="AC15" s="18">
        <v>1</v>
      </c>
      <c r="AD15" s="18" t="s">
        <v>3</v>
      </c>
      <c r="AE15" s="18" t="s">
        <v>3</v>
      </c>
      <c r="AF15" s="18">
        <v>12.8</v>
      </c>
      <c r="AG15" s="18" t="s">
        <v>3</v>
      </c>
      <c r="AH15" s="18" t="s">
        <v>3</v>
      </c>
    </row>
    <row r="16" spans="1:34" ht="12" customHeight="1" x14ac:dyDescent="0.2">
      <c r="A16" s="2">
        <v>1960</v>
      </c>
      <c r="B16" s="18">
        <f>+Artichokes!H7</f>
        <v>0.23135976443369438</v>
      </c>
      <c r="C16" s="18">
        <f>+Asparagus!H7</f>
        <v>0.71400501463987032</v>
      </c>
      <c r="D16" s="18">
        <f>Peppers!H7</f>
        <v>2.0792268820120552</v>
      </c>
      <c r="E16" s="18">
        <f>Broccoli!H7</f>
        <v>0.40238887259161682</v>
      </c>
      <c r="F16" s="18" t="str">
        <f>BrusselsSprouts!J7</f>
        <v>NA</v>
      </c>
      <c r="G16" s="18">
        <f>Cabbage!I7</f>
        <v>10.531850712067792</v>
      </c>
      <c r="H16" s="18">
        <f>Carrots!H7</f>
        <v>7.2214135085320841</v>
      </c>
      <c r="I16" s="18">
        <f>Cauliflower!H7</f>
        <v>1.2835485495735344</v>
      </c>
      <c r="J16" s="18">
        <f>Celery!H7</f>
        <v>7.9874467955565649</v>
      </c>
      <c r="K16" s="18" t="str">
        <f>Collards!J7</f>
        <v>NA</v>
      </c>
      <c r="L16" s="18">
        <f>SweetCorn!H7</f>
        <v>8.3831937610352512</v>
      </c>
      <c r="M16" s="18">
        <f>Cucumbers!H7</f>
        <v>2.9860907395210079</v>
      </c>
      <c r="N16" s="18">
        <f>Eggplant!H7</f>
        <v>0.26512279225775026</v>
      </c>
      <c r="O16" s="18">
        <f>Escarole!H7</f>
        <v>0.72784232112513914</v>
      </c>
      <c r="P16" s="18">
        <f>Garlic!I7</f>
        <v>0.24897188812814453</v>
      </c>
      <c r="Q16" s="18" t="str">
        <f>Kale!J7</f>
        <v>NA</v>
      </c>
      <c r="R16" s="18">
        <f>HeadLettuce!H7</f>
        <v>21.413901511587358</v>
      </c>
      <c r="S16" s="18" t="str">
        <f>Romaine!H7</f>
        <v>NA</v>
      </c>
      <c r="T16" s="18" t="str">
        <f>LimaBeans!H7</f>
        <v>NA</v>
      </c>
      <c r="U16" s="18" t="str">
        <f>Mushrooms!H7</f>
        <v>NA</v>
      </c>
      <c r="V16" s="18" t="str">
        <f>MustardGreens!J7</f>
        <v>NA</v>
      </c>
      <c r="W16" s="18" t="str">
        <f>Okra!J7</f>
        <v>NA</v>
      </c>
      <c r="X16" s="18" t="str">
        <f>Onions!K7</f>
        <v>NA</v>
      </c>
      <c r="Y16" s="18">
        <f>Potatoes!H7</f>
        <v>81</v>
      </c>
      <c r="Z16" s="18" t="str">
        <f>Pumpkin!K7</f>
        <v>NA</v>
      </c>
      <c r="AA16" s="18" t="str">
        <f>Radishes!H7</f>
        <v>NA</v>
      </c>
      <c r="AB16" s="18">
        <f>SnapBeans!H7</f>
        <v>2.5527063004023889</v>
      </c>
      <c r="AC16" s="18">
        <f>Spinach!H7</f>
        <v>0.84296871108257565</v>
      </c>
      <c r="AD16" s="18" t="str">
        <f>Squash!H7</f>
        <v>NA</v>
      </c>
      <c r="AE16" s="18" t="str">
        <f>SweetPotatoes!L7</f>
        <v>NA</v>
      </c>
      <c r="AF16" s="18">
        <f>Tomatoes!H7</f>
        <v>12.551543966657626</v>
      </c>
      <c r="AG16" s="18" t="str">
        <f>TurnipGreens!J7</f>
        <v>NA</v>
      </c>
      <c r="AH16" s="18">
        <f t="shared" ref="AH16:AH54" si="0">SUM(B16:AG16)</f>
        <v>161.42358209120442</v>
      </c>
    </row>
    <row r="17" spans="1:34" ht="12" customHeight="1" x14ac:dyDescent="0.2">
      <c r="A17" s="3">
        <v>1961</v>
      </c>
      <c r="B17" s="19">
        <f>+Artichokes!H8</f>
        <v>0.27764016745512843</v>
      </c>
      <c r="C17" s="19">
        <f>+Asparagus!H8</f>
        <v>0.6304064978687034</v>
      </c>
      <c r="D17" s="19">
        <f>Peppers!H8</f>
        <v>2.1797692864647695</v>
      </c>
      <c r="E17" s="19">
        <f>Broccoli!H8</f>
        <v>0.43714716562052575</v>
      </c>
      <c r="F17" s="19" t="str">
        <f>BrusselsSprouts!J8</f>
        <v>NA</v>
      </c>
      <c r="G17" s="19">
        <f>Cabbage!I8</f>
        <v>9.8202960406334547</v>
      </c>
      <c r="H17" s="19">
        <f>Carrots!H8</f>
        <v>6.779864010757195</v>
      </c>
      <c r="I17" s="19">
        <f>Cauliflower!H8</f>
        <v>1.124170481950667</v>
      </c>
      <c r="J17" s="19">
        <f>Celery!H8</f>
        <v>7.7804573985660701</v>
      </c>
      <c r="K17" s="19" t="str">
        <f>Collards!J8</f>
        <v>NA</v>
      </c>
      <c r="L17" s="19">
        <f>SweetCorn!H8</f>
        <v>8.4402610906359055</v>
      </c>
      <c r="M17" s="19">
        <f>Cucumbers!H8</f>
        <v>3.0010724531958561</v>
      </c>
      <c r="N17" s="19">
        <f>Eggplant!H8</f>
        <v>0.3103037165674965</v>
      </c>
      <c r="O17" s="19">
        <f>Escarole!H8</f>
        <v>0.71315415562003581</v>
      </c>
      <c r="P17" s="19">
        <f>Garlic!I8</f>
        <v>0.15364933502457931</v>
      </c>
      <c r="Q17" s="19" t="str">
        <f>Kale!J8</f>
        <v>NA</v>
      </c>
      <c r="R17" s="19">
        <f>HeadLettuce!H8</f>
        <v>20.673233854679872</v>
      </c>
      <c r="S17" s="19" t="str">
        <f>Romaine!H8</f>
        <v>NA</v>
      </c>
      <c r="T17" s="19" t="str">
        <f>LimaBeans!H8</f>
        <v>NA</v>
      </c>
      <c r="U17" s="19" t="str">
        <f>Mushrooms!H8</f>
        <v>NA</v>
      </c>
      <c r="V17" s="19" t="str">
        <f>MustardGreens!J8</f>
        <v>NA</v>
      </c>
      <c r="W17" s="19" t="str">
        <f>Okra!J8</f>
        <v>NA</v>
      </c>
      <c r="X17" s="19" t="str">
        <f>Onions!K8</f>
        <v>NA</v>
      </c>
      <c r="Y17" s="19">
        <f>Potatoes!H8</f>
        <v>80.7</v>
      </c>
      <c r="Z17" s="19" t="str">
        <f>Pumpkin!K8</f>
        <v>NA</v>
      </c>
      <c r="AA17" s="19" t="str">
        <f>Radishes!H8</f>
        <v>NA</v>
      </c>
      <c r="AB17" s="19">
        <f>SnapBeans!H8</f>
        <v>2.4900512273328577</v>
      </c>
      <c r="AC17" s="19">
        <f>Spinach!H8</f>
        <v>0.69682238106385175</v>
      </c>
      <c r="AD17" s="19" t="str">
        <f>Squash!H8</f>
        <v>NA</v>
      </c>
      <c r="AE17" s="19" t="str">
        <f>SweetPotatoes!L8</f>
        <v>NA</v>
      </c>
      <c r="AF17" s="19">
        <f>Tomatoes!H8</f>
        <v>12.525382299622734</v>
      </c>
      <c r="AG17" s="19" t="str">
        <f>TurnipGreens!J8</f>
        <v>NA</v>
      </c>
      <c r="AH17" s="19">
        <f t="shared" si="0"/>
        <v>158.73368156305969</v>
      </c>
    </row>
    <row r="18" spans="1:34" ht="12" customHeight="1" x14ac:dyDescent="0.2">
      <c r="A18" s="3">
        <v>1962</v>
      </c>
      <c r="B18" s="19">
        <f>+Artichokes!H9</f>
        <v>0.23587687227267365</v>
      </c>
      <c r="C18" s="19">
        <f>+Asparagus!H9</f>
        <v>0.58486742647610668</v>
      </c>
      <c r="D18" s="19">
        <f>Peppers!H9</f>
        <v>2.0215934554889619</v>
      </c>
      <c r="E18" s="19">
        <f>Broccoli!H9</f>
        <v>0.33451629158670082</v>
      </c>
      <c r="F18" s="19" t="str">
        <f>BrusselsSprouts!J9</f>
        <v>NA</v>
      </c>
      <c r="G18" s="19">
        <f>Cabbage!I9</f>
        <v>9.8140861379450826</v>
      </c>
      <c r="H18" s="19">
        <f>Carrots!H9</f>
        <v>6.8468623015149728</v>
      </c>
      <c r="I18" s="19">
        <f>Cauliflower!H9</f>
        <v>1.148291500927425</v>
      </c>
      <c r="J18" s="19">
        <f>Celery!H9</f>
        <v>7.2194405429456729</v>
      </c>
      <c r="K18" s="19" t="str">
        <f>Collards!J9</f>
        <v>NA</v>
      </c>
      <c r="L18" s="19">
        <f>SweetCorn!H9</f>
        <v>8.3034019877987326</v>
      </c>
      <c r="M18" s="19">
        <f>Cucumbers!H9</f>
        <v>2.7755685168705573</v>
      </c>
      <c r="N18" s="19">
        <f>Eggplant!H9</f>
        <v>0.29323783893898292</v>
      </c>
      <c r="O18" s="19">
        <f>Escarole!H9</f>
        <v>0.68350684579013388</v>
      </c>
      <c r="P18" s="19">
        <f>Garlic!I9</f>
        <v>0.14920284338847847</v>
      </c>
      <c r="Q18" s="19" t="str">
        <f>Kale!J9</f>
        <v>NA</v>
      </c>
      <c r="R18" s="19">
        <f>HeadLettuce!H9</f>
        <v>20.061960565675623</v>
      </c>
      <c r="S18" s="19" t="str">
        <f>Romaine!H9</f>
        <v>NA</v>
      </c>
      <c r="T18" s="19" t="str">
        <f>LimaBeans!H9</f>
        <v>NA</v>
      </c>
      <c r="U18" s="19" t="str">
        <f>Mushrooms!H9</f>
        <v>NA</v>
      </c>
      <c r="V18" s="19" t="str">
        <f>MustardGreens!J9</f>
        <v>NA</v>
      </c>
      <c r="W18" s="19" t="str">
        <f>Okra!J9</f>
        <v>NA</v>
      </c>
      <c r="X18" s="19" t="str">
        <f>Onions!K9</f>
        <v>NA</v>
      </c>
      <c r="Y18" s="19">
        <f>Potatoes!H9</f>
        <v>76.099999999999994</v>
      </c>
      <c r="Z18" s="19" t="str">
        <f>Pumpkin!K9</f>
        <v>NA</v>
      </c>
      <c r="AA18" s="19" t="str">
        <f>Radishes!H9</f>
        <v>NA</v>
      </c>
      <c r="AB18" s="19">
        <f>SnapBeans!H9</f>
        <v>2.2392220351885403</v>
      </c>
      <c r="AC18" s="19">
        <f>Spinach!H9</f>
        <v>0.60363035949779664</v>
      </c>
      <c r="AD18" s="19" t="str">
        <f>Squash!H9</f>
        <v>NA</v>
      </c>
      <c r="AE18" s="19" t="str">
        <f>SweetPotatoes!L9</f>
        <v>NA</v>
      </c>
      <c r="AF18" s="19">
        <f>Tomatoes!H9</f>
        <v>12.606546655373164</v>
      </c>
      <c r="AG18" s="19" t="str">
        <f>TurnipGreens!J9</f>
        <v>NA</v>
      </c>
      <c r="AH18" s="19">
        <f t="shared" si="0"/>
        <v>152.02181217767961</v>
      </c>
    </row>
    <row r="19" spans="1:34" ht="12" customHeight="1" x14ac:dyDescent="0.2">
      <c r="A19" s="3">
        <v>1963</v>
      </c>
      <c r="B19" s="19">
        <f>+Artichokes!H10</f>
        <v>0.25364348294776001</v>
      </c>
      <c r="C19" s="19">
        <f>+Asparagus!H10</f>
        <v>0.57333995624649925</v>
      </c>
      <c r="D19" s="19">
        <f>Peppers!H10</f>
        <v>2.1326819627778191</v>
      </c>
      <c r="E19" s="19">
        <f>Broccoli!H10</f>
        <v>0.36725462635144418</v>
      </c>
      <c r="F19" s="19" t="str">
        <f>BrusselsSprouts!J10</f>
        <v>NA</v>
      </c>
      <c r="G19" s="19">
        <f>Cabbage!I10</f>
        <v>9.7832405068642281</v>
      </c>
      <c r="H19" s="19">
        <f>Carrots!H10</f>
        <v>7.1950201329514591</v>
      </c>
      <c r="I19" s="19">
        <f>Cauliflower!H10</f>
        <v>1.1118039335876815</v>
      </c>
      <c r="J19" s="19">
        <f>Celery!H10</f>
        <v>7.1125860009934376</v>
      </c>
      <c r="K19" s="19" t="str">
        <f>Collards!J10</f>
        <v>NA</v>
      </c>
      <c r="L19" s="19">
        <f>SweetCorn!H10</f>
        <v>8.2154067278933862</v>
      </c>
      <c r="M19" s="19">
        <f>Cucumbers!H10</f>
        <v>3.0683252132190528</v>
      </c>
      <c r="N19" s="19">
        <f>Eggplant!H10</f>
        <v>0.27108147240041852</v>
      </c>
      <c r="O19" s="19">
        <f>Escarole!H10</f>
        <v>0.7249976220923473</v>
      </c>
      <c r="P19" s="19">
        <f>Garlic!I10</f>
        <v>0.21232073218418746</v>
      </c>
      <c r="Q19" s="19" t="str">
        <f>Kale!J10</f>
        <v>NA</v>
      </c>
      <c r="R19" s="19">
        <f>HeadLettuce!H10</f>
        <v>20.817313281406879</v>
      </c>
      <c r="S19" s="19" t="str">
        <f>Romaine!H10</f>
        <v>NA</v>
      </c>
      <c r="T19" s="19" t="str">
        <f>LimaBeans!H10</f>
        <v>NA</v>
      </c>
      <c r="U19" s="19" t="str">
        <f>Mushrooms!H10</f>
        <v>NA</v>
      </c>
      <c r="V19" s="19" t="str">
        <f>MustardGreens!J10</f>
        <v>NA</v>
      </c>
      <c r="W19" s="19" t="str">
        <f>Okra!J10</f>
        <v>NA</v>
      </c>
      <c r="X19" s="19" t="str">
        <f>Onions!K10</f>
        <v>NA</v>
      </c>
      <c r="Y19" s="19">
        <f>Potatoes!H10</f>
        <v>78.599999999999994</v>
      </c>
      <c r="Z19" s="19" t="str">
        <f>Pumpkin!K10</f>
        <v>NA</v>
      </c>
      <c r="AA19" s="19" t="str">
        <f>Radishes!H10</f>
        <v>NA</v>
      </c>
      <c r="AB19" s="19">
        <f>SnapBeans!H10</f>
        <v>2.1934877035753164</v>
      </c>
      <c r="AC19" s="19">
        <f>Spinach!H10</f>
        <v>0.58602213039388729</v>
      </c>
      <c r="AD19" s="19" t="str">
        <f>Squash!H10</f>
        <v>NA</v>
      </c>
      <c r="AE19" s="19" t="str">
        <f>SweetPotatoes!L10</f>
        <v>NA</v>
      </c>
      <c r="AF19" s="19">
        <f>Tomatoes!H10</f>
        <v>12.001035710888704</v>
      </c>
      <c r="AG19" s="19" t="str">
        <f>TurnipGreens!J10</f>
        <v>NA</v>
      </c>
      <c r="AH19" s="19">
        <f t="shared" si="0"/>
        <v>155.21956119677452</v>
      </c>
    </row>
    <row r="20" spans="1:34" ht="12" customHeight="1" x14ac:dyDescent="0.2">
      <c r="A20" s="3">
        <v>1964</v>
      </c>
      <c r="B20" s="19">
        <f>+Artichokes!H11</f>
        <v>0.29496219168373383</v>
      </c>
      <c r="C20" s="19">
        <f>+Asparagus!H11</f>
        <v>0.54302226808206822</v>
      </c>
      <c r="D20" s="19">
        <f>Peppers!H11</f>
        <v>2.0198656514964379</v>
      </c>
      <c r="E20" s="19">
        <f>Broccoli!H11</f>
        <v>0.32570913392638451</v>
      </c>
      <c r="F20" s="19" t="str">
        <f>BrusselsSprouts!J11</f>
        <v>NA</v>
      </c>
      <c r="G20" s="19">
        <f>Cabbage!I11</f>
        <v>9.3475915763800952</v>
      </c>
      <c r="H20" s="19">
        <f>Carrots!H11</f>
        <v>6.7653695626117178</v>
      </c>
      <c r="I20" s="19">
        <f>Cauliflower!H11</f>
        <v>1.0292408632073751</v>
      </c>
      <c r="J20" s="19">
        <f>Celery!H11</f>
        <v>6.8617794662539264</v>
      </c>
      <c r="K20" s="19" t="str">
        <f>Collards!J11</f>
        <v>NA</v>
      </c>
      <c r="L20" s="19">
        <f>SweetCorn!H11</f>
        <v>7.7252995221195588</v>
      </c>
      <c r="M20" s="19">
        <f>Cucumbers!H11</f>
        <v>2.9893115290610717</v>
      </c>
      <c r="N20" s="19">
        <f>Eggplant!H11</f>
        <v>0.2694265955839053</v>
      </c>
      <c r="O20" s="19">
        <f>Escarole!H11</f>
        <v>0.65662961399559117</v>
      </c>
      <c r="P20" s="19">
        <f>Garlic!I11</f>
        <v>0.25842023253026486</v>
      </c>
      <c r="Q20" s="19" t="str">
        <f>Kale!J11</f>
        <v>NA</v>
      </c>
      <c r="R20" s="19">
        <f>HeadLettuce!H11</f>
        <v>20.406021189333416</v>
      </c>
      <c r="S20" s="19" t="str">
        <f>Romaine!H11</f>
        <v>NA</v>
      </c>
      <c r="T20" s="19" t="str">
        <f>LimaBeans!H11</f>
        <v>NA</v>
      </c>
      <c r="U20" s="19" t="str">
        <f>Mushrooms!H11</f>
        <v>NA</v>
      </c>
      <c r="V20" s="19" t="str">
        <f>MustardGreens!J11</f>
        <v>NA</v>
      </c>
      <c r="W20" s="19" t="str">
        <f>Okra!J11</f>
        <v>NA</v>
      </c>
      <c r="X20" s="19" t="str">
        <f>Onions!K11</f>
        <v>NA</v>
      </c>
      <c r="Y20" s="19">
        <f>Potatoes!H11</f>
        <v>74.8</v>
      </c>
      <c r="Z20" s="19" t="str">
        <f>Pumpkin!K11</f>
        <v>NA</v>
      </c>
      <c r="AA20" s="19" t="str">
        <f>Radishes!H11</f>
        <v>NA</v>
      </c>
      <c r="AB20" s="19">
        <f>SnapBeans!H11</f>
        <v>2.0517069764290814</v>
      </c>
      <c r="AC20" s="19">
        <f>Spinach!H11</f>
        <v>0.55083928729630149</v>
      </c>
      <c r="AD20" s="19" t="str">
        <f>Squash!H11</f>
        <v>NA</v>
      </c>
      <c r="AE20" s="19" t="str">
        <f>SweetPotatoes!L11</f>
        <v>NA</v>
      </c>
      <c r="AF20" s="19">
        <f>Tomatoes!H11</f>
        <v>12.127323608961429</v>
      </c>
      <c r="AG20" s="19" t="str">
        <f>TurnipGreens!J11</f>
        <v>NA</v>
      </c>
      <c r="AH20" s="19">
        <f t="shared" si="0"/>
        <v>149.02251926895235</v>
      </c>
    </row>
    <row r="21" spans="1:34" ht="12" customHeight="1" x14ac:dyDescent="0.2">
      <c r="A21" s="3">
        <v>1965</v>
      </c>
      <c r="B21" s="19">
        <f>+Artichokes!H12</f>
        <v>0.33144109972568619</v>
      </c>
      <c r="C21" s="19">
        <f>+Asparagus!H12</f>
        <v>0.55068629923367118</v>
      </c>
      <c r="D21" s="19">
        <f>Peppers!H12</f>
        <v>2.0179667838376147</v>
      </c>
      <c r="E21" s="19">
        <f>Broccoli!H12</f>
        <v>0.31600129694343371</v>
      </c>
      <c r="F21" s="19" t="str">
        <f>BrusselsSprouts!J12</f>
        <v>NA</v>
      </c>
      <c r="G21" s="19">
        <f>Cabbage!I12</f>
        <v>9.089411897912024</v>
      </c>
      <c r="H21" s="19">
        <f>Carrots!H12</f>
        <v>6.8856373807918567</v>
      </c>
      <c r="I21" s="19">
        <f>Cauliflower!H12</f>
        <v>1.0066751414028605</v>
      </c>
      <c r="J21" s="19">
        <f>Celery!H12</f>
        <v>6.7657215791830279</v>
      </c>
      <c r="K21" s="19" t="str">
        <f>Collards!J12</f>
        <v>NA</v>
      </c>
      <c r="L21" s="19">
        <f>SweetCorn!H12</f>
        <v>7.9762021173116215</v>
      </c>
      <c r="M21" s="19">
        <f>Cucumbers!H12</f>
        <v>3.0878421846291624</v>
      </c>
      <c r="N21" s="19">
        <f>Eggplant!H12</f>
        <v>0.28718033174989577</v>
      </c>
      <c r="O21" s="19">
        <f>Escarole!H12</f>
        <v>0.65464763796750436</v>
      </c>
      <c r="P21" s="19">
        <f>Garlic!I12</f>
        <v>0.27841052376957642</v>
      </c>
      <c r="Q21" s="19" t="str">
        <f>Kale!J12</f>
        <v>NA</v>
      </c>
      <c r="R21" s="19">
        <f>HeadLettuce!H12</f>
        <v>21.008574237145076</v>
      </c>
      <c r="S21" s="19" t="str">
        <f>Romaine!H12</f>
        <v>NA</v>
      </c>
      <c r="T21" s="19" t="str">
        <f>LimaBeans!H12</f>
        <v>NA</v>
      </c>
      <c r="U21" s="19">
        <f>Mushrooms!H12</f>
        <v>0.15816440071834098</v>
      </c>
      <c r="V21" s="19" t="str">
        <f>MustardGreens!J12</f>
        <v>NA</v>
      </c>
      <c r="W21" s="19" t="str">
        <f>Okra!J12</f>
        <v>NA</v>
      </c>
      <c r="X21" s="19" t="str">
        <f>Onions!K12</f>
        <v>NA</v>
      </c>
      <c r="Y21" s="19">
        <f>Potatoes!H12</f>
        <v>66.7</v>
      </c>
      <c r="Z21" s="19" t="str">
        <f>Pumpkin!K12</f>
        <v>NA</v>
      </c>
      <c r="AA21" s="19" t="str">
        <f>Radishes!H12</f>
        <v>NA</v>
      </c>
      <c r="AB21" s="19">
        <f>SnapBeans!H12</f>
        <v>1.996881159837985</v>
      </c>
      <c r="AC21" s="19">
        <f>Spinach!H12</f>
        <v>0.50899883172158955</v>
      </c>
      <c r="AD21" s="19" t="str">
        <f>Squash!H12</f>
        <v>NA</v>
      </c>
      <c r="AE21" s="19">
        <f>SweetPotatoes!L12</f>
        <v>6.6401445165540425</v>
      </c>
      <c r="AF21" s="19">
        <f>Tomatoes!H12</f>
        <v>12.028121027467408</v>
      </c>
      <c r="AG21" s="19" t="str">
        <f>TurnipGreens!J12</f>
        <v>NA</v>
      </c>
      <c r="AH21" s="19">
        <f t="shared" si="0"/>
        <v>148.28870844790239</v>
      </c>
    </row>
    <row r="22" spans="1:34" ht="12" customHeight="1" x14ac:dyDescent="0.2">
      <c r="A22" s="2">
        <v>1966</v>
      </c>
      <c r="B22" s="18">
        <f>+Artichokes!H13</f>
        <v>0.33984533984533982</v>
      </c>
      <c r="C22" s="18">
        <f>+Asparagus!H13</f>
        <v>0.44820919820919819</v>
      </c>
      <c r="D22" s="18">
        <f>Peppers!H13</f>
        <v>2.0959045584045581</v>
      </c>
      <c r="E22" s="18">
        <f>Broccoli!H13</f>
        <v>0.30728530728530729</v>
      </c>
      <c r="F22" s="18" t="str">
        <f>BrusselsSprouts!J13</f>
        <v>NA</v>
      </c>
      <c r="G22" s="18">
        <f>Cabbage!I13</f>
        <v>8.7525437525437528</v>
      </c>
      <c r="H22" s="18">
        <f>Carrots!H13</f>
        <v>6.2861212861212854</v>
      </c>
      <c r="I22" s="18">
        <f>Cauliflower!H13</f>
        <v>0.95238095238095233</v>
      </c>
      <c r="J22" s="18">
        <f>Celery!H13</f>
        <v>6.968864468864469</v>
      </c>
      <c r="K22" s="18" t="str">
        <f>Collards!J13</f>
        <v>NA</v>
      </c>
      <c r="L22" s="18">
        <f>SweetCorn!H13</f>
        <v>7.353479853479854</v>
      </c>
      <c r="M22" s="18">
        <f>Cucumbers!H13</f>
        <v>2.9159086284086286</v>
      </c>
      <c r="N22" s="18">
        <f>Eggplant!H13</f>
        <v>0.25946275946275948</v>
      </c>
      <c r="O22" s="18">
        <f>Escarole!H13</f>
        <v>0.71377696377696387</v>
      </c>
      <c r="P22" s="18">
        <f>Garlic!I13</f>
        <v>0.17450142450142447</v>
      </c>
      <c r="Q22" s="18" t="str">
        <f>Kale!J13</f>
        <v>NA</v>
      </c>
      <c r="R22" s="18">
        <f>HeadLettuce!H13</f>
        <v>20.930062067562066</v>
      </c>
      <c r="S22" s="18" t="str">
        <f>Romaine!H13</f>
        <v>NA</v>
      </c>
      <c r="T22" s="18" t="str">
        <f>LimaBeans!H13</f>
        <v>NA</v>
      </c>
      <c r="U22" s="18">
        <f>Mushrooms!H13</f>
        <v>0.21456077815678715</v>
      </c>
      <c r="V22" s="18" t="str">
        <f>MustardGreens!J13</f>
        <v>NA</v>
      </c>
      <c r="W22" s="18" t="str">
        <f>Okra!J13</f>
        <v>NA</v>
      </c>
      <c r="X22" s="18" t="str">
        <f>Onions!K13</f>
        <v>NA</v>
      </c>
      <c r="Y22" s="18">
        <f>Potatoes!H13</f>
        <v>71.7</v>
      </c>
      <c r="Z22" s="18" t="str">
        <f>Pumpkin!K13</f>
        <v>NA</v>
      </c>
      <c r="AA22" s="18" t="str">
        <f>Radishes!H13</f>
        <v>NA</v>
      </c>
      <c r="AB22" s="18">
        <f>SnapBeans!H13</f>
        <v>1.8956043956043953</v>
      </c>
      <c r="AC22" s="18">
        <f>Spinach!H13</f>
        <v>0.43905168905168901</v>
      </c>
      <c r="AD22" s="18" t="str">
        <f>Squash!H13</f>
        <v>NA</v>
      </c>
      <c r="AE22" s="18">
        <f>SweetPotatoes!L13</f>
        <v>5.8954008954008961</v>
      </c>
      <c r="AF22" s="18">
        <f>Tomatoes!H13</f>
        <v>12.365181115181114</v>
      </c>
      <c r="AG22" s="18" t="str">
        <f>TurnipGreens!J13</f>
        <v>NA</v>
      </c>
      <c r="AH22" s="18">
        <f t="shared" si="0"/>
        <v>151.00814543424144</v>
      </c>
    </row>
    <row r="23" spans="1:34" ht="12" customHeight="1" x14ac:dyDescent="0.2">
      <c r="A23" s="2">
        <v>1967</v>
      </c>
      <c r="B23" s="18">
        <f>+Artichokes!H14</f>
        <v>0.36736583598373529</v>
      </c>
      <c r="C23" s="18">
        <f>+Asparagus!H14</f>
        <v>0.44385844840774591</v>
      </c>
      <c r="D23" s="18">
        <f>Peppers!H14</f>
        <v>2.2586003864889892</v>
      </c>
      <c r="E23" s="18">
        <f>Broccoli!H14</f>
        <v>0.29238294617335642</v>
      </c>
      <c r="F23" s="18" t="str">
        <f>BrusselsSprouts!J14</f>
        <v>NA</v>
      </c>
      <c r="G23" s="18">
        <f>Cabbage!I14</f>
        <v>9.268690365956763</v>
      </c>
      <c r="H23" s="18">
        <f>Carrots!H14</f>
        <v>6.4077660131245233</v>
      </c>
      <c r="I23" s="18">
        <f>Cauliflower!H14</f>
        <v>0.92847940738355006</v>
      </c>
      <c r="J23" s="18">
        <f>Celery!H14</f>
        <v>6.8606827972140598</v>
      </c>
      <c r="K23" s="18" t="str">
        <f>Collards!J14</f>
        <v>NA</v>
      </c>
      <c r="L23" s="18">
        <f>SweetCorn!H14</f>
        <v>7.9104432545593628</v>
      </c>
      <c r="M23" s="18">
        <f>Cucumbers!H14</f>
        <v>3.0974928539796291</v>
      </c>
      <c r="N23" s="18">
        <f>Eggplant!H14</f>
        <v>0.27728572003703855</v>
      </c>
      <c r="O23" s="18">
        <f>Escarole!H14</f>
        <v>0.69044647530093806</v>
      </c>
      <c r="P23" s="18">
        <f>Garlic!I14</f>
        <v>0.24954708321591049</v>
      </c>
      <c r="Q23" s="18" t="str">
        <f>Kale!J14</f>
        <v>NA</v>
      </c>
      <c r="R23" s="18">
        <f>HeadLettuce!H14</f>
        <v>21.401173557711669</v>
      </c>
      <c r="S23" s="18" t="str">
        <f>Romaine!H14</f>
        <v>NA</v>
      </c>
      <c r="T23" s="18" t="str">
        <f>LimaBeans!H14</f>
        <v>NA</v>
      </c>
      <c r="U23" s="18">
        <f>Mushrooms!H14</f>
        <v>0.2407958085528179</v>
      </c>
      <c r="V23" s="18" t="str">
        <f>MustardGreens!J14</f>
        <v>NA</v>
      </c>
      <c r="W23" s="18" t="str">
        <f>Okra!J14</f>
        <v>NA</v>
      </c>
      <c r="X23" s="18" t="str">
        <f>Onions!K14</f>
        <v>NA</v>
      </c>
      <c r="Y23" s="18">
        <f>Potatoes!H14</f>
        <v>60.4</v>
      </c>
      <c r="Z23" s="18" t="str">
        <f>Pumpkin!K14</f>
        <v>NA</v>
      </c>
      <c r="AA23" s="18" t="str">
        <f>Radishes!H14</f>
        <v>NA</v>
      </c>
      <c r="AB23" s="18">
        <f>SnapBeans!H14</f>
        <v>1.9566005072667982</v>
      </c>
      <c r="AC23" s="18">
        <f>Spinach!H14</f>
        <v>0.44385844840774591</v>
      </c>
      <c r="AD23" s="18" t="str">
        <f>Squash!H14</f>
        <v>NA</v>
      </c>
      <c r="AE23" s="18">
        <f>SweetPotatoes!L14</f>
        <v>5.8375941060429168</v>
      </c>
      <c r="AF23" s="18">
        <f>Tomatoes!H14</f>
        <v>12.310781432424815</v>
      </c>
      <c r="AG23" s="18" t="str">
        <f>TurnipGreens!J14</f>
        <v>NA</v>
      </c>
      <c r="AH23" s="18">
        <f t="shared" si="0"/>
        <v>141.64384544823236</v>
      </c>
    </row>
    <row r="24" spans="1:34" ht="12" customHeight="1" x14ac:dyDescent="0.2">
      <c r="A24" s="2">
        <v>1968</v>
      </c>
      <c r="B24" s="18">
        <f>+Artichokes!H15</f>
        <v>0.28698693611551229</v>
      </c>
      <c r="C24" s="18">
        <f>+Asparagus!H15</f>
        <v>0.45738542943409766</v>
      </c>
      <c r="D24" s="18">
        <f>Peppers!H15</f>
        <v>2.4969756758641997</v>
      </c>
      <c r="E24" s="18">
        <f>Broccoli!H15</f>
        <v>0.43745578109274263</v>
      </c>
      <c r="F24" s="18" t="str">
        <f>BrusselsSprouts!J15</f>
        <v>NA</v>
      </c>
      <c r="G24" s="18">
        <f>Cabbage!I15</f>
        <v>9.2752583380666245</v>
      </c>
      <c r="H24" s="18">
        <f>Carrots!H15</f>
        <v>7.3510507907087979</v>
      </c>
      <c r="I24" s="18">
        <f>Cauliflower!H15</f>
        <v>0.964096738513049</v>
      </c>
      <c r="J24" s="18">
        <f>Celery!H15</f>
        <v>7.2005819457315674</v>
      </c>
      <c r="K24" s="18" t="str">
        <f>Collards!J15</f>
        <v>NA</v>
      </c>
      <c r="L24" s="18">
        <f>SweetCorn!H15</f>
        <v>7.7287176267774758</v>
      </c>
      <c r="M24" s="18">
        <f>Cucumbers!H15</f>
        <v>2.892738632626827</v>
      </c>
      <c r="N24" s="18">
        <f>Eggplant!H15</f>
        <v>0.21125427241836317</v>
      </c>
      <c r="O24" s="18">
        <f>Escarole!H15</f>
        <v>0.66066784251591881</v>
      </c>
      <c r="P24" s="18">
        <f>Garlic!I15</f>
        <v>0.39062110749055839</v>
      </c>
      <c r="Q24" s="18" t="str">
        <f>Kale!J15</f>
        <v>NA</v>
      </c>
      <c r="R24" s="18">
        <f>HeadLettuce!H15</f>
        <v>21.833308421272914</v>
      </c>
      <c r="S24" s="18" t="str">
        <f>Romaine!H15</f>
        <v>NA</v>
      </c>
      <c r="T24" s="18" t="str">
        <f>LimaBeans!H15</f>
        <v>NA</v>
      </c>
      <c r="U24" s="18">
        <f>Mushrooms!H15</f>
        <v>0.28040919282511212</v>
      </c>
      <c r="V24" s="18" t="str">
        <f>MustardGreens!J15</f>
        <v>NA</v>
      </c>
      <c r="W24" s="18" t="str">
        <f>Okra!J15</f>
        <v>NA</v>
      </c>
      <c r="X24" s="18" t="str">
        <f>Onions!K15</f>
        <v>NA</v>
      </c>
      <c r="Y24" s="18">
        <f>Potatoes!H15</f>
        <v>65.3</v>
      </c>
      <c r="Z24" s="18" t="str">
        <f>Pumpkin!K15</f>
        <v>NA</v>
      </c>
      <c r="AA24" s="18" t="str">
        <f>Radishes!H15</f>
        <v>NA</v>
      </c>
      <c r="AB24" s="18">
        <f>SnapBeans!H15</f>
        <v>1.854952019371618</v>
      </c>
      <c r="AC24" s="18">
        <f>Spinach!H15</f>
        <v>0.39161758990762607</v>
      </c>
      <c r="AD24" s="18" t="str">
        <f>Squash!H15</f>
        <v>NA</v>
      </c>
      <c r="AE24" s="18">
        <f>SweetPotatoes!L15</f>
        <v>6.049644754018316</v>
      </c>
      <c r="AF24" s="18">
        <f>Tomatoes!H15</f>
        <v>11.827249808177136</v>
      </c>
      <c r="AG24" s="18" t="str">
        <f>TurnipGreens!J15</f>
        <v>NA</v>
      </c>
      <c r="AH24" s="18">
        <f t="shared" si="0"/>
        <v>147.89097290292844</v>
      </c>
    </row>
    <row r="25" spans="1:34" ht="12" customHeight="1" x14ac:dyDescent="0.2">
      <c r="A25" s="2">
        <v>1969</v>
      </c>
      <c r="B25" s="18">
        <f>+Artichokes!H16</f>
        <v>0.32416110362794004</v>
      </c>
      <c r="C25" s="18">
        <f>+Asparagus!H16</f>
        <v>0.39965067570567947</v>
      </c>
      <c r="D25" s="18">
        <f>Peppers!H16</f>
        <v>2.2887550141357926</v>
      </c>
      <c r="E25" s="18">
        <f>Broccoli!H16</f>
        <v>0.45737799552983321</v>
      </c>
      <c r="F25" s="18" t="str">
        <f>BrusselsSprouts!J16</f>
        <v>NA</v>
      </c>
      <c r="G25" s="18">
        <f>Cabbage!I16</f>
        <v>8.8362271002629811</v>
      </c>
      <c r="H25" s="18">
        <f>Carrots!H16</f>
        <v>5.8802922877287518</v>
      </c>
      <c r="I25" s="18">
        <f>Cauliflower!H16</f>
        <v>0.88564563319962308</v>
      </c>
      <c r="J25" s="18">
        <f>Celery!H16</f>
        <v>7.3323564094593872</v>
      </c>
      <c r="K25" s="18" t="str">
        <f>Collards!J16</f>
        <v>NA</v>
      </c>
      <c r="L25" s="18">
        <f>SweetCorn!H16</f>
        <v>7.8528890796686355</v>
      </c>
      <c r="M25" s="18">
        <f>Cucumbers!H16</f>
        <v>3.1303749315413194</v>
      </c>
      <c r="N25" s="18">
        <f>Eggplant!H16</f>
        <v>0.32357889647073912</v>
      </c>
      <c r="O25" s="18">
        <f>Escarole!H16</f>
        <v>0.65967031286233757</v>
      </c>
      <c r="P25" s="18">
        <f>Garlic!I16</f>
        <v>0.5124311095980304</v>
      </c>
      <c r="Q25" s="18" t="str">
        <f>Kale!J16</f>
        <v>NA</v>
      </c>
      <c r="R25" s="18">
        <f>HeadLettuce!H16</f>
        <v>21.836597147184929</v>
      </c>
      <c r="S25" s="18" t="str">
        <f>Romaine!H16</f>
        <v>NA</v>
      </c>
      <c r="T25" s="18" t="str">
        <f>LimaBeans!H16</f>
        <v>NA</v>
      </c>
      <c r="U25" s="18">
        <f>Mushrooms!H16</f>
        <v>0.30858445678033308</v>
      </c>
      <c r="V25" s="18" t="str">
        <f>MustardGreens!J16</f>
        <v>NA</v>
      </c>
      <c r="W25" s="18" t="str">
        <f>Okra!J16</f>
        <v>NA</v>
      </c>
      <c r="X25" s="18" t="str">
        <f>Onions!K16</f>
        <v>NA</v>
      </c>
      <c r="Y25" s="18">
        <f>Potatoes!H16</f>
        <v>62.6</v>
      </c>
      <c r="Z25" s="18" t="str">
        <f>Pumpkin!K16</f>
        <v>NA</v>
      </c>
      <c r="AA25" s="18" t="str">
        <f>Radishes!H16</f>
        <v>NA</v>
      </c>
      <c r="AB25" s="18">
        <f>SnapBeans!H16</f>
        <v>1.7599431607927885</v>
      </c>
      <c r="AC25" s="18">
        <f>Spinach!H16</f>
        <v>0.29899791293536021</v>
      </c>
      <c r="AD25" s="18" t="str">
        <f>Squash!H16</f>
        <v>NA</v>
      </c>
      <c r="AE25" s="18">
        <f>SweetPotatoes!L16</f>
        <v>5.8704243698100917</v>
      </c>
      <c r="AF25" s="18">
        <f>Tomatoes!H16</f>
        <v>11.880973174065138</v>
      </c>
      <c r="AG25" s="18" t="str">
        <f>TurnipGreens!J16</f>
        <v>NA</v>
      </c>
      <c r="AH25" s="18">
        <f t="shared" si="0"/>
        <v>143.43893077135968</v>
      </c>
    </row>
    <row r="26" spans="1:34" ht="12" customHeight="1" x14ac:dyDescent="0.2">
      <c r="A26" s="2">
        <v>1970</v>
      </c>
      <c r="B26" s="18">
        <f>+Artichokes!H17</f>
        <v>0.46622320191951311</v>
      </c>
      <c r="C26" s="18">
        <f>+Asparagus!H17</f>
        <v>0.44193180266468995</v>
      </c>
      <c r="D26" s="18">
        <f>Peppers!H17</f>
        <v>2.1628660047207537</v>
      </c>
      <c r="E26" s="18">
        <f>Broccoli!H17</f>
        <v>0.53254784152312584</v>
      </c>
      <c r="F26" s="18">
        <f>BrusselsSprouts!J17</f>
        <v>0.31725971948578902</v>
      </c>
      <c r="G26" s="18">
        <f>Cabbage!I17</f>
        <v>8.672434309345924</v>
      </c>
      <c r="H26" s="18">
        <f>Carrots!H17</f>
        <v>5.9682422019780361</v>
      </c>
      <c r="I26" s="18">
        <f>Cauliflower!H17</f>
        <v>0.74127538380508362</v>
      </c>
      <c r="J26" s="18">
        <f>Celery!H17</f>
        <v>7.2666348048299945</v>
      </c>
      <c r="K26" s="18" t="str">
        <f>Collards!J17</f>
        <v>NA</v>
      </c>
      <c r="L26" s="18">
        <f>SweetCorn!H17</f>
        <v>7.7804215516064223</v>
      </c>
      <c r="M26" s="18">
        <f>Cucumbers!H17</f>
        <v>2.8183095019799858</v>
      </c>
      <c r="N26" s="18">
        <f>Eggplant!H17</f>
        <v>0.33357392271228764</v>
      </c>
      <c r="O26" s="18">
        <f>Escarole!H17</f>
        <v>0.55644421902736863</v>
      </c>
      <c r="P26" s="18">
        <f>Garlic!I17</f>
        <v>0.44254140413163484</v>
      </c>
      <c r="Q26" s="18" t="str">
        <f>Kale!J17</f>
        <v>NA</v>
      </c>
      <c r="R26" s="18">
        <f>HeadLettuce!H17</f>
        <v>22.37627528626885</v>
      </c>
      <c r="S26" s="18" t="str">
        <f>Romaine!H17</f>
        <v>NA</v>
      </c>
      <c r="T26" s="18" t="str">
        <f>LimaBeans!H17</f>
        <v>NA</v>
      </c>
      <c r="U26" s="18">
        <f>Mushrooms!H17</f>
        <v>0.28758051302679927</v>
      </c>
      <c r="V26" s="18" t="str">
        <f>MustardGreens!J17</f>
        <v>NA</v>
      </c>
      <c r="W26" s="18" t="str">
        <f>Okra!J17</f>
        <v>NA</v>
      </c>
      <c r="X26" s="18">
        <f>Onions!K17</f>
        <v>10.143768409964304</v>
      </c>
      <c r="Y26" s="18">
        <f>Potatoes!H17</f>
        <v>61.806639291496793</v>
      </c>
      <c r="Z26" s="18" t="str">
        <f>Pumpkin!K17</f>
        <v>NA</v>
      </c>
      <c r="AA26" s="18">
        <f>Radishes!H17</f>
        <v>0.50279928993621126</v>
      </c>
      <c r="AB26" s="18">
        <f>SnapBeans!H17</f>
        <v>1.5483877260402239</v>
      </c>
      <c r="AC26" s="18">
        <f>Spinach!H17</f>
        <v>0.29797319704270137</v>
      </c>
      <c r="AD26" s="18">
        <f>Squash!H17</f>
        <v>1.3290238573630104</v>
      </c>
      <c r="AE26" s="18">
        <f>SweetPotatoes!L17</f>
        <v>5.4127733452977784</v>
      </c>
      <c r="AF26" s="18">
        <f>Tomatoes!H17</f>
        <v>12.147795681095529</v>
      </c>
      <c r="AG26" s="18" t="str">
        <f>TurnipGreens!J17</f>
        <v>NA</v>
      </c>
      <c r="AH26" s="18">
        <f t="shared" si="0"/>
        <v>154.3537224672628</v>
      </c>
    </row>
    <row r="27" spans="1:34" ht="12" customHeight="1" x14ac:dyDescent="0.2">
      <c r="A27" s="3">
        <v>1971</v>
      </c>
      <c r="B27" s="19">
        <f>+Artichokes!H18</f>
        <v>0.50707643707773731</v>
      </c>
      <c r="C27" s="19">
        <f>+Asparagus!H18</f>
        <v>0.37862670409946975</v>
      </c>
      <c r="D27" s="19">
        <f>Peppers!H18</f>
        <v>2.264748797318707</v>
      </c>
      <c r="E27" s="19">
        <f>Broccoli!H18</f>
        <v>0.72040489066314806</v>
      </c>
      <c r="F27" s="19">
        <f>BrusselsSprouts!J18</f>
        <v>0.29995704537684009</v>
      </c>
      <c r="G27" s="19">
        <f>Cabbage!I18</f>
        <v>8.8220705861957711</v>
      </c>
      <c r="H27" s="19">
        <f>Carrots!H18</f>
        <v>6.1162182595672752</v>
      </c>
      <c r="I27" s="19">
        <f>Cauliflower!H18</f>
        <v>0.69440097081300778</v>
      </c>
      <c r="J27" s="19">
        <f>Celery!H18</f>
        <v>7.2721512465027143</v>
      </c>
      <c r="K27" s="19" t="str">
        <f>Collards!J18</f>
        <v>NA</v>
      </c>
      <c r="L27" s="19">
        <f>SweetCorn!H18</f>
        <v>7.4554105007680791</v>
      </c>
      <c r="M27" s="19">
        <f>Cucumbers!H18</f>
        <v>2.7853087483928132</v>
      </c>
      <c r="N27" s="19">
        <f>Eggplant!H18</f>
        <v>0.32264122777026016</v>
      </c>
      <c r="O27" s="19">
        <f>Escarole!H18</f>
        <v>0.56534447970490365</v>
      </c>
      <c r="P27" s="19">
        <f>Garlic!I18</f>
        <v>0.29922806882370784</v>
      </c>
      <c r="Q27" s="19" t="str">
        <f>Kale!J18</f>
        <v>NA</v>
      </c>
      <c r="R27" s="19">
        <f>HeadLettuce!H18</f>
        <v>22.384559450257871</v>
      </c>
      <c r="S27" s="19" t="str">
        <f>Romaine!H18</f>
        <v>NA</v>
      </c>
      <c r="T27" s="19" t="str">
        <f>LimaBeans!H18</f>
        <v>NA</v>
      </c>
      <c r="U27" s="19">
        <f>Mushrooms!H18</f>
        <v>0.32161711855705055</v>
      </c>
      <c r="V27" s="19" t="str">
        <f>MustardGreens!J18</f>
        <v>NA</v>
      </c>
      <c r="W27" s="19" t="str">
        <f>Okra!J18</f>
        <v>NA</v>
      </c>
      <c r="X27" s="19">
        <f>Onions!K18</f>
        <v>10.725653830040306</v>
      </c>
      <c r="Y27" s="19">
        <f>Potatoes!H18</f>
        <v>56.069589378843403</v>
      </c>
      <c r="Z27" s="19" t="str">
        <f>Pumpkin!K18</f>
        <v>NA</v>
      </c>
      <c r="AA27" s="19">
        <f>Radishes!H18</f>
        <v>0.56438137156230583</v>
      </c>
      <c r="AB27" s="19">
        <f>SnapBeans!H18</f>
        <v>1.5125613379498317</v>
      </c>
      <c r="AC27" s="19">
        <f>Spinach!H18</f>
        <v>0.30482372713220102</v>
      </c>
      <c r="AD27" s="19">
        <f>Squash!H18</f>
        <v>1.39433499790524</v>
      </c>
      <c r="AE27" s="19">
        <f>SweetPotatoes!L18</f>
        <v>4.9262499939805737</v>
      </c>
      <c r="AF27" s="19">
        <f>Tomatoes!H18</f>
        <v>11.343046599987478</v>
      </c>
      <c r="AG27" s="19" t="str">
        <f>TurnipGreens!J18</f>
        <v>NA</v>
      </c>
      <c r="AH27" s="19">
        <f t="shared" si="0"/>
        <v>148.05040576929071</v>
      </c>
    </row>
    <row r="28" spans="1:34" ht="12" customHeight="1" x14ac:dyDescent="0.2">
      <c r="A28" s="3">
        <v>1972</v>
      </c>
      <c r="B28" s="19">
        <f>+Artichokes!H19</f>
        <v>0.56123032358882496</v>
      </c>
      <c r="C28" s="19">
        <f>+Asparagus!H19</f>
        <v>0.40315203719937498</v>
      </c>
      <c r="D28" s="19">
        <f>Peppers!H19</f>
        <v>2.4035712924495942</v>
      </c>
      <c r="E28" s="19">
        <f>Broccoli!H19</f>
        <v>0.7022525441170866</v>
      </c>
      <c r="F28" s="19">
        <f>BrusselsSprouts!J19</f>
        <v>0.27904786179822388</v>
      </c>
      <c r="G28" s="19">
        <f>Cabbage!I19</f>
        <v>8.372241491024127</v>
      </c>
      <c r="H28" s="19">
        <f>Carrots!H19</f>
        <v>6.5408583298395397</v>
      </c>
      <c r="I28" s="19">
        <f>Cauliflower!H19</f>
        <v>0.83469908907268364</v>
      </c>
      <c r="J28" s="19">
        <f>Celery!H19</f>
        <v>7.1324131951061487</v>
      </c>
      <c r="K28" s="19" t="str">
        <f>Collards!J19</f>
        <v>NA</v>
      </c>
      <c r="L28" s="19">
        <f>SweetCorn!H19</f>
        <v>7.7709151198688886</v>
      </c>
      <c r="M28" s="19">
        <f>Cucumbers!H19</f>
        <v>2.9671837481419376</v>
      </c>
      <c r="N28" s="19">
        <f>Eggplant!H19</f>
        <v>0.38685825361131232</v>
      </c>
      <c r="O28" s="19">
        <f>Escarole!H19</f>
        <v>0.57075885200289667</v>
      </c>
      <c r="P28" s="19">
        <f>Garlic!I19</f>
        <v>0.38578152990052222</v>
      </c>
      <c r="Q28" s="19" t="str">
        <f>Kale!J19</f>
        <v>NA</v>
      </c>
      <c r="R28" s="19">
        <f>HeadLettuce!H19</f>
        <v>22.439207988718223</v>
      </c>
      <c r="S28" s="19" t="str">
        <f>Romaine!H19</f>
        <v>NA</v>
      </c>
      <c r="T28" s="19" t="str">
        <f>LimaBeans!H19</f>
        <v>NA</v>
      </c>
      <c r="U28" s="19">
        <f>Mushrooms!H19</f>
        <v>0.36837117132641189</v>
      </c>
      <c r="V28" s="19" t="str">
        <f>MustardGreens!J19</f>
        <v>NA</v>
      </c>
      <c r="W28" s="19" t="str">
        <f>Okra!J19</f>
        <v>NA</v>
      </c>
      <c r="X28" s="19">
        <f>Onions!K19</f>
        <v>10.697678850478335</v>
      </c>
      <c r="Y28" s="19">
        <f>Potatoes!H19</f>
        <v>57.854232572321543</v>
      </c>
      <c r="Z28" s="19" t="str">
        <f>Pumpkin!K19</f>
        <v>NA</v>
      </c>
      <c r="AA28" s="19">
        <f>Radishes!H19</f>
        <v>0.50358272668369097</v>
      </c>
      <c r="AB28" s="19">
        <f>SnapBeans!H19</f>
        <v>1.5274231047756983</v>
      </c>
      <c r="AC28" s="19">
        <f>Spinach!H19</f>
        <v>0.28299729389793044</v>
      </c>
      <c r="AD28" s="19">
        <f>Squash!H19</f>
        <v>1.4734868696878456</v>
      </c>
      <c r="AE28" s="19">
        <f>SweetPotatoes!L19</f>
        <v>4.8553092960323214</v>
      </c>
      <c r="AF28" s="19">
        <f>Tomatoes!H19</f>
        <v>12.094318614933112</v>
      </c>
      <c r="AG28" s="19" t="str">
        <f>TurnipGreens!J19</f>
        <v>NA</v>
      </c>
      <c r="AH28" s="19">
        <f t="shared" si="0"/>
        <v>151.40757215657624</v>
      </c>
    </row>
    <row r="29" spans="1:34" ht="12" customHeight="1" x14ac:dyDescent="0.2">
      <c r="A29" s="3">
        <v>1973</v>
      </c>
      <c r="B29" s="19">
        <f>+Artichokes!H20</f>
        <v>0.4884171979481759</v>
      </c>
      <c r="C29" s="19">
        <f>+Asparagus!H20</f>
        <v>0.40034165608822658</v>
      </c>
      <c r="D29" s="19">
        <f>Peppers!H20</f>
        <v>2.5341066212383621</v>
      </c>
      <c r="E29" s="19">
        <f>Broccoli!H20</f>
        <v>0.75834438367412427</v>
      </c>
      <c r="F29" s="19">
        <f>BrusselsSprouts!J20</f>
        <v>0.26756768235421802</v>
      </c>
      <c r="G29" s="19">
        <f>Cabbage!I20</f>
        <v>8.8604070615216912</v>
      </c>
      <c r="H29" s="19">
        <f>Carrots!H20</f>
        <v>6.7028771784114882</v>
      </c>
      <c r="I29" s="19">
        <f>Cauliflower!H20</f>
        <v>0.75740058232543217</v>
      </c>
      <c r="J29" s="19">
        <f>Celery!H20</f>
        <v>7.5648849270205618</v>
      </c>
      <c r="K29" s="19" t="str">
        <f>Collards!J20</f>
        <v>NA</v>
      </c>
      <c r="L29" s="19">
        <f>SweetCorn!H20</f>
        <v>7.9098952852403626</v>
      </c>
      <c r="M29" s="19">
        <f>Cucumbers!H20</f>
        <v>2.7450462226710526</v>
      </c>
      <c r="N29" s="19">
        <f>Eggplant!H20</f>
        <v>0.43367671972403254</v>
      </c>
      <c r="O29" s="19">
        <f>Escarole!H20</f>
        <v>0.57666262405088975</v>
      </c>
      <c r="P29" s="19">
        <f>Garlic!I20</f>
        <v>0.52242236054155322</v>
      </c>
      <c r="Q29" s="19" t="str">
        <f>Kale!J20</f>
        <v>NA</v>
      </c>
      <c r="R29" s="19">
        <f>HeadLettuce!H20</f>
        <v>23.122661142282773</v>
      </c>
      <c r="S29" s="19" t="str">
        <f>Romaine!H20</f>
        <v>NA</v>
      </c>
      <c r="T29" s="19" t="str">
        <f>LimaBeans!H20</f>
        <v>NA</v>
      </c>
      <c r="U29" s="19">
        <f>Mushrooms!H20</f>
        <v>0.4848377846766358</v>
      </c>
      <c r="V29" s="19" t="str">
        <f>MustardGreens!J20</f>
        <v>NA</v>
      </c>
      <c r="W29" s="19" t="str">
        <f>Okra!J20</f>
        <v>NA</v>
      </c>
      <c r="X29" s="19">
        <f>Onions!K20</f>
        <v>10.24071653398393</v>
      </c>
      <c r="Y29" s="19">
        <f>Potatoes!H20</f>
        <v>52.418835443515853</v>
      </c>
      <c r="Z29" s="19" t="str">
        <f>Pumpkin!K20</f>
        <v>NA</v>
      </c>
      <c r="AA29" s="19">
        <f>Radishes!H20</f>
        <v>0.55967419977443145</v>
      </c>
      <c r="AB29" s="19">
        <f>SnapBeans!H20</f>
        <v>1.4279714405711885</v>
      </c>
      <c r="AC29" s="19">
        <f>Spinach!H20</f>
        <v>0.29635362348932798</v>
      </c>
      <c r="AD29" s="19">
        <f>Squash!H20</f>
        <v>1.5187556923018846</v>
      </c>
      <c r="AE29" s="19">
        <f>SweetPotatoes!L20</f>
        <v>5.032395981293857</v>
      </c>
      <c r="AF29" s="19">
        <f>Tomatoes!H20</f>
        <v>12.484319684392828</v>
      </c>
      <c r="AG29" s="19" t="str">
        <f>TurnipGreens!J20</f>
        <v>NA</v>
      </c>
      <c r="AH29" s="19">
        <f t="shared" si="0"/>
        <v>148.10857202909287</v>
      </c>
    </row>
    <row r="30" spans="1:34" ht="12" customHeight="1" x14ac:dyDescent="0.2">
      <c r="A30" s="3">
        <v>1974</v>
      </c>
      <c r="B30" s="19">
        <f>+Artichokes!H21</f>
        <v>0.50501744180609198</v>
      </c>
      <c r="C30" s="19">
        <f>+Asparagus!H21</f>
        <v>0.38874652800508758</v>
      </c>
      <c r="D30" s="19">
        <f>Peppers!H21</f>
        <v>2.7247561420408317</v>
      </c>
      <c r="E30" s="19">
        <f>Broccoli!H21</f>
        <v>0.78651790473874694</v>
      </c>
      <c r="F30" s="19">
        <f>BrusselsSprouts!J21</f>
        <v>0.33340503334050331</v>
      </c>
      <c r="G30" s="19">
        <f>Cabbage!I21</f>
        <v>8.825179795561457</v>
      </c>
      <c r="H30" s="19">
        <f>Carrots!H21</f>
        <v>6.9117248216072635</v>
      </c>
      <c r="I30" s="19">
        <f>Cauliflower!H21</f>
        <v>0.78792073096598614</v>
      </c>
      <c r="J30" s="19">
        <f>Celery!H21</f>
        <v>7.3517974880058352</v>
      </c>
      <c r="K30" s="19" t="str">
        <f>Collards!J21</f>
        <v>NA</v>
      </c>
      <c r="L30" s="19">
        <f>SweetCorn!H21</f>
        <v>7.7325932645636746</v>
      </c>
      <c r="M30" s="19">
        <f>Cucumbers!H21</f>
        <v>2.956690078277703</v>
      </c>
      <c r="N30" s="19">
        <f>Eggplant!H21</f>
        <v>0.40635199715693887</v>
      </c>
      <c r="O30" s="19">
        <f>Escarole!H21</f>
        <v>0.53400918383570095</v>
      </c>
      <c r="P30" s="19">
        <f>Garlic!I21</f>
        <v>0.65352997839647597</v>
      </c>
      <c r="Q30" s="19" t="str">
        <f>Kale!J21</f>
        <v>NA</v>
      </c>
      <c r="R30" s="19">
        <f>HeadLettuce!H21</f>
        <v>23.501080176194975</v>
      </c>
      <c r="S30" s="19" t="str">
        <f>Romaine!H21</f>
        <v>NA</v>
      </c>
      <c r="T30" s="19" t="str">
        <f>LimaBeans!H21</f>
        <v>NA</v>
      </c>
      <c r="U30" s="19">
        <f>Mushrooms!H21</f>
        <v>0.59359795615501665</v>
      </c>
      <c r="V30" s="19" t="str">
        <f>MustardGreens!J21</f>
        <v>NA</v>
      </c>
      <c r="W30" s="19">
        <f>Okra!J21</f>
        <v>0.16541917850496138</v>
      </c>
      <c r="X30" s="19">
        <f>Onions!K21</f>
        <v>11.185668727262524</v>
      </c>
      <c r="Y30" s="19">
        <f>Potatoes!H21</f>
        <v>49.350472752438577</v>
      </c>
      <c r="Z30" s="19" t="str">
        <f>Pumpkin!K21</f>
        <v>NA</v>
      </c>
      <c r="AA30" s="19">
        <f>Radishes!H21</f>
        <v>0.50642026803333107</v>
      </c>
      <c r="AB30" s="19">
        <f>SnapBeans!H21</f>
        <v>1.3612090491643829</v>
      </c>
      <c r="AC30" s="19">
        <f>Spinach!H21</f>
        <v>0.28383850664472021</v>
      </c>
      <c r="AD30" s="19">
        <f>Squash!H21</f>
        <v>1.5859090781561249</v>
      </c>
      <c r="AE30" s="19">
        <f>SweetPotatoes!L21</f>
        <v>4.8970325549206475</v>
      </c>
      <c r="AF30" s="19">
        <f>Tomatoes!H21</f>
        <v>11.84303777343421</v>
      </c>
      <c r="AG30" s="19" t="str">
        <f>TurnipGreens!J21</f>
        <v>NA</v>
      </c>
      <c r="AH30" s="19">
        <f t="shared" si="0"/>
        <v>146.17192640921181</v>
      </c>
    </row>
    <row r="31" spans="1:34" ht="12" customHeight="1" x14ac:dyDescent="0.2">
      <c r="A31" s="3">
        <v>1975</v>
      </c>
      <c r="B31" s="19">
        <f>+Artichokes!H22</f>
        <v>0.48987604932097994</v>
      </c>
      <c r="C31" s="19">
        <f>+Asparagus!H22</f>
        <v>0.41175517310034121</v>
      </c>
      <c r="D31" s="19">
        <f>Peppers!H22</f>
        <v>2.4845698304880703</v>
      </c>
      <c r="E31" s="19">
        <f>Broccoli!H22</f>
        <v>0.99040157797502459</v>
      </c>
      <c r="F31" s="19">
        <f>BrusselsSprouts!J22</f>
        <v>0.30883490065887853</v>
      </c>
      <c r="G31" s="19">
        <f>Cabbage!I22</f>
        <v>8.9122251392535166</v>
      </c>
      <c r="H31" s="19">
        <f>Carrots!H22</f>
        <v>6.4438610381853287</v>
      </c>
      <c r="I31" s="19">
        <f>Cauliflower!H22</f>
        <v>0.91770730600584338</v>
      </c>
      <c r="J31" s="19">
        <f>Celery!H22</f>
        <v>6.9441633907942206</v>
      </c>
      <c r="K31" s="19" t="str">
        <f>Collards!J22</f>
        <v>NA</v>
      </c>
      <c r="L31" s="19">
        <f>SweetCorn!H22</f>
        <v>7.7749116787746617</v>
      </c>
      <c r="M31" s="19">
        <f>Cucumbers!H22</f>
        <v>2.8049802521611493</v>
      </c>
      <c r="N31" s="19">
        <f>Eggplant!H22</f>
        <v>0.44542604862644858</v>
      </c>
      <c r="O31" s="19">
        <f>Escarole!H22</f>
        <v>0.51302709134938163</v>
      </c>
      <c r="P31" s="19">
        <f>Garlic!I22</f>
        <v>0.72227546961888744</v>
      </c>
      <c r="Q31" s="19" t="str">
        <f>Kale!J22</f>
        <v>NA</v>
      </c>
      <c r="R31" s="19">
        <f>HeadLettuce!H22</f>
        <v>23.537201409435436</v>
      </c>
      <c r="S31" s="19" t="str">
        <f>Romaine!H22</f>
        <v>NA</v>
      </c>
      <c r="T31" s="19" t="str">
        <f>LimaBeans!H22</f>
        <v>NA</v>
      </c>
      <c r="U31" s="19">
        <f>Mushrooms!H22</f>
        <v>0.66124011892188661</v>
      </c>
      <c r="V31" s="19" t="str">
        <f>MustardGreens!J22</f>
        <v>NA</v>
      </c>
      <c r="W31" s="19">
        <f>Okra!J22</f>
        <v>0.18309955411093048</v>
      </c>
      <c r="X31" s="19">
        <f>Onions!K22</f>
        <v>10.503627768285851</v>
      </c>
      <c r="Y31" s="19">
        <f>Potatoes!H22</f>
        <v>52.644205525690708</v>
      </c>
      <c r="Z31" s="19" t="str">
        <f>Pumpkin!K22</f>
        <v>NA</v>
      </c>
      <c r="AA31" s="19">
        <f>Radishes!H22</f>
        <v>0.63387553073763847</v>
      </c>
      <c r="AB31" s="19">
        <f>SnapBeans!H22</f>
        <v>1.4464771059345378</v>
      </c>
      <c r="AC31" s="19">
        <f>Spinach!H22</f>
        <v>0.29124010871729333</v>
      </c>
      <c r="AD31" s="19">
        <f>Squash!H22</f>
        <v>1.6676667916822938</v>
      </c>
      <c r="AE31" s="19">
        <f>SweetPotatoes!L22</f>
        <v>5.3654855005023769</v>
      </c>
      <c r="AF31" s="19">
        <f>Tomatoes!H22</f>
        <v>11.996531973904146</v>
      </c>
      <c r="AG31" s="19" t="str">
        <f>TurnipGreens!J22</f>
        <v>NA</v>
      </c>
      <c r="AH31" s="19">
        <f t="shared" si="0"/>
        <v>149.09466633423585</v>
      </c>
    </row>
    <row r="32" spans="1:34" ht="12" customHeight="1" x14ac:dyDescent="0.2">
      <c r="A32" s="2">
        <v>1976</v>
      </c>
      <c r="B32" s="18">
        <f>+Artichokes!H23</f>
        <v>0.5453252918109478</v>
      </c>
      <c r="C32" s="18">
        <f>+Asparagus!H23</f>
        <v>0.43121562317136836</v>
      </c>
      <c r="D32" s="18">
        <f>Peppers!H23</f>
        <v>2.6670030041048456</v>
      </c>
      <c r="E32" s="18">
        <f>Broccoli!H23</f>
        <v>1.0768913247873049</v>
      </c>
      <c r="F32" s="18">
        <f>BrusselsSprouts!J23</f>
        <v>0.34627468067053457</v>
      </c>
      <c r="G32" s="18">
        <f>Cabbage!I23</f>
        <v>8.3647120875088863</v>
      </c>
      <c r="H32" s="18">
        <f>Carrots!H23</f>
        <v>6.4104386910358429</v>
      </c>
      <c r="I32" s="18">
        <f>Cauliflower!H23</f>
        <v>1.0319444125943082</v>
      </c>
      <c r="J32" s="18">
        <f>Celery!H23</f>
        <v>7.3591560987914795</v>
      </c>
      <c r="K32" s="18" t="str">
        <f>Collards!J23</f>
        <v>NA</v>
      </c>
      <c r="L32" s="18">
        <f>SweetCorn!H23</f>
        <v>8.0127731786181116</v>
      </c>
      <c r="M32" s="18">
        <f>Cucumbers!H23</f>
        <v>3.0829912628706397</v>
      </c>
      <c r="N32" s="18">
        <f>Eggplant!H23</f>
        <v>0.45910060311417888</v>
      </c>
      <c r="O32" s="18">
        <f>Escarole!H23</f>
        <v>0.51734813218061315</v>
      </c>
      <c r="P32" s="18">
        <f>Garlic!I23</f>
        <v>0.47997798518586471</v>
      </c>
      <c r="Q32" s="18" t="str">
        <f>Kale!J23</f>
        <v>NA</v>
      </c>
      <c r="R32" s="18">
        <f>HeadLettuce!H23</f>
        <v>24.226385672025135</v>
      </c>
      <c r="S32" s="18" t="str">
        <f>Romaine!H23</f>
        <v>NA</v>
      </c>
      <c r="T32" s="18" t="str">
        <f>LimaBeans!H23</f>
        <v>NA</v>
      </c>
      <c r="U32" s="18">
        <f>Mushrooms!H23</f>
        <v>0.69668578272185</v>
      </c>
      <c r="V32" s="18" t="str">
        <f>MustardGreens!J23</f>
        <v>NA</v>
      </c>
      <c r="W32" s="18">
        <f>Okra!J23</f>
        <v>0.12058953837686615</v>
      </c>
      <c r="X32" s="18">
        <f>Onions!K23</f>
        <v>11.006031141789162</v>
      </c>
      <c r="Y32" s="18">
        <f>Potatoes!H23</f>
        <v>49.447166739284974</v>
      </c>
      <c r="Z32" s="18" t="str">
        <f>Pumpkin!K23</f>
        <v>NA</v>
      </c>
      <c r="AA32" s="18">
        <f>Radishes!H23</f>
        <v>0.60127961107161687</v>
      </c>
      <c r="AB32" s="18">
        <f>SnapBeans!H23</f>
        <v>1.4479326713601026</v>
      </c>
      <c r="AC32" s="18">
        <f>Spinach!H23</f>
        <v>0.31416974338982273</v>
      </c>
      <c r="AD32" s="18">
        <f>Squash!H23</f>
        <v>1.7726236613387758</v>
      </c>
      <c r="AE32" s="18">
        <f>SweetPotatoes!L23</f>
        <v>5.3831724264452943</v>
      </c>
      <c r="AF32" s="18">
        <f>Tomatoes!H23</f>
        <v>12.555901116793176</v>
      </c>
      <c r="AG32" s="18" t="str">
        <f>TurnipGreens!J23</f>
        <v>NA</v>
      </c>
      <c r="AH32" s="18">
        <f t="shared" si="0"/>
        <v>148.35709048104167</v>
      </c>
    </row>
    <row r="33" spans="1:34" ht="12" customHeight="1" x14ac:dyDescent="0.2">
      <c r="A33" s="2">
        <v>1977</v>
      </c>
      <c r="B33" s="18">
        <f>+Artichokes!H24</f>
        <v>0.4631332325337475</v>
      </c>
      <c r="C33" s="18">
        <f>+Asparagus!H24</f>
        <v>0.33601931698020204</v>
      </c>
      <c r="D33" s="18">
        <f>Peppers!H24</f>
        <v>2.799231743696621</v>
      </c>
      <c r="E33" s="18">
        <f>Broccoli!H24</f>
        <v>1.2273030662144309</v>
      </c>
      <c r="F33" s="18">
        <f>BrusselsSprouts!J24</f>
        <v>0.34871208096658635</v>
      </c>
      <c r="G33" s="18">
        <f>Cabbage!I24</f>
        <v>8.2823659751451846</v>
      </c>
      <c r="H33" s="18">
        <f>Carrots!H24</f>
        <v>5.3101403475315445</v>
      </c>
      <c r="I33" s="18">
        <f>Cauliflower!H24</f>
        <v>1.0879090442655481</v>
      </c>
      <c r="J33" s="18">
        <f>Celery!H24</f>
        <v>7.0457462120696164</v>
      </c>
      <c r="K33" s="18" t="str">
        <f>Collards!J24</f>
        <v>NA</v>
      </c>
      <c r="L33" s="18">
        <f>SweetCorn!H24</f>
        <v>7.5564409573236357</v>
      </c>
      <c r="M33" s="18">
        <f>Cucumbers!H24</f>
        <v>3.4952937490635181</v>
      </c>
      <c r="N33" s="18">
        <f>Eggplant!H24</f>
        <v>0.4377063099632672</v>
      </c>
      <c r="O33" s="18">
        <f>Escarole!H24</f>
        <v>0.47176022412016044</v>
      </c>
      <c r="P33" s="18">
        <f>Garlic!I24</f>
        <v>0.59531690572514406</v>
      </c>
      <c r="Q33" s="18" t="str">
        <f>Kale!J24</f>
        <v>NA</v>
      </c>
      <c r="R33" s="18">
        <f>HeadLettuce!H24</f>
        <v>25.824218235644008</v>
      </c>
      <c r="S33" s="18" t="str">
        <f>Romaine!H24</f>
        <v>NA</v>
      </c>
      <c r="T33" s="18" t="str">
        <f>LimaBeans!H24</f>
        <v>NA</v>
      </c>
      <c r="U33" s="18">
        <f>Mushrooms!H24</f>
        <v>0.87179884934231844</v>
      </c>
      <c r="V33" s="18" t="str">
        <f>MustardGreens!J24</f>
        <v>NA</v>
      </c>
      <c r="W33" s="18">
        <f>Okra!J24</f>
        <v>0.17182544871707561</v>
      </c>
      <c r="X33" s="18">
        <f>Onions!K24</f>
        <v>11.067522100990288</v>
      </c>
      <c r="Y33" s="18">
        <f>Potatoes!H24</f>
        <v>50.076907359731926</v>
      </c>
      <c r="Z33" s="18" t="str">
        <f>Pumpkin!K24</f>
        <v>NA</v>
      </c>
      <c r="AA33" s="18">
        <f>Radishes!H24</f>
        <v>0.66064593464372801</v>
      </c>
      <c r="AB33" s="18">
        <f>SnapBeans!H24</f>
        <v>1.344902583102902</v>
      </c>
      <c r="AC33" s="18">
        <f>Spinach!H24</f>
        <v>0.37958762980216948</v>
      </c>
      <c r="AD33" s="18">
        <f>Squash!H24</f>
        <v>1.9139979749272384</v>
      </c>
      <c r="AE33" s="18">
        <f>SweetPotatoes!L24</f>
        <v>4.7152865750389346</v>
      </c>
      <c r="AF33" s="18">
        <f>Tomatoes!H24</f>
        <v>12.356947679566291</v>
      </c>
      <c r="AG33" s="18" t="str">
        <f>TurnipGreens!J24</f>
        <v>NA</v>
      </c>
      <c r="AH33" s="18">
        <f t="shared" si="0"/>
        <v>148.84071953710608</v>
      </c>
    </row>
    <row r="34" spans="1:34" ht="12" customHeight="1" x14ac:dyDescent="0.2">
      <c r="A34" s="2">
        <v>1978</v>
      </c>
      <c r="B34" s="18">
        <f>+Artichokes!H25</f>
        <v>0.48386009838937932</v>
      </c>
      <c r="C34" s="18">
        <f>+Asparagus!H25</f>
        <v>0.28815059415504191</v>
      </c>
      <c r="D34" s="18">
        <f>Peppers!H25</f>
        <v>2.7661342857784668</v>
      </c>
      <c r="E34" s="18">
        <f>Broccoli!H25</f>
        <v>0.98732169732911013</v>
      </c>
      <c r="F34" s="18">
        <f>BrusselsSprouts!J25</f>
        <v>0.3526742592717389</v>
      </c>
      <c r="G34" s="18">
        <f>Cabbage!I25</f>
        <v>8.5478042096277829</v>
      </c>
      <c r="H34" s="18">
        <f>Carrots!H25</f>
        <v>5.3103308848305133</v>
      </c>
      <c r="I34" s="18">
        <f>Cauliflower!H25</f>
        <v>0.78756430127816346</v>
      </c>
      <c r="J34" s="18">
        <f>Celery!H25</f>
        <v>7.0703371745625274</v>
      </c>
      <c r="K34" s="18" t="str">
        <f>Collards!J25</f>
        <v>NA</v>
      </c>
      <c r="L34" s="18">
        <f>SweetCorn!H25</f>
        <v>6.5899049801199538</v>
      </c>
      <c r="M34" s="18">
        <f>Cucumbers!H25</f>
        <v>3.8070849338454971</v>
      </c>
      <c r="N34" s="18">
        <f>Eggplant!H25</f>
        <v>0.48880203068490691</v>
      </c>
      <c r="O34" s="18">
        <f>Escarole!H25</f>
        <v>0.47936743266617249</v>
      </c>
      <c r="P34" s="18">
        <f>Garlic!I25</f>
        <v>0.62394141563896943</v>
      </c>
      <c r="Q34" s="18" t="str">
        <f>Kale!J25</f>
        <v>NA</v>
      </c>
      <c r="R34" s="18">
        <f>HeadLettuce!H25</f>
        <v>25.069074735494304</v>
      </c>
      <c r="S34" s="18" t="str">
        <f>Romaine!H25</f>
        <v>NA</v>
      </c>
      <c r="T34" s="18" t="str">
        <f>LimaBeans!H25</f>
        <v>NA</v>
      </c>
      <c r="U34" s="18">
        <f>Mushrooms!H25</f>
        <v>1.0355050501857983</v>
      </c>
      <c r="V34" s="18" t="str">
        <f>MustardGreens!J25</f>
        <v>NA</v>
      </c>
      <c r="W34" s="18">
        <f>Okra!J25</f>
        <v>0.35071530426578601</v>
      </c>
      <c r="X34" s="18">
        <f>Onions!K25</f>
        <v>10.917177707392682</v>
      </c>
      <c r="Y34" s="18">
        <f>Potatoes!H25</f>
        <v>45.965905159826576</v>
      </c>
      <c r="Z34" s="18" t="str">
        <f>Pumpkin!K25</f>
        <v>NA</v>
      </c>
      <c r="AA34" s="18">
        <f>Radishes!H25</f>
        <v>0.54718643130004274</v>
      </c>
      <c r="AB34" s="18">
        <f>SnapBeans!H25</f>
        <v>1.2893950625603705</v>
      </c>
      <c r="AC34" s="18">
        <f>Spinach!H25</f>
        <v>0.33862600902208145</v>
      </c>
      <c r="AD34" s="18">
        <f>Squash!H25</f>
        <v>1.9799941595345596</v>
      </c>
      <c r="AE34" s="18">
        <f>SweetPotatoes!L25</f>
        <v>4.9028355169665518</v>
      </c>
      <c r="AF34" s="18">
        <f>Tomatoes!H25</f>
        <v>12.916449895545522</v>
      </c>
      <c r="AG34" s="18" t="str">
        <f>TurnipGreens!J25</f>
        <v>NA</v>
      </c>
      <c r="AH34" s="18">
        <f t="shared" si="0"/>
        <v>143.89614333027251</v>
      </c>
    </row>
    <row r="35" spans="1:34" ht="12" customHeight="1" x14ac:dyDescent="0.2">
      <c r="A35" s="2">
        <v>1979</v>
      </c>
      <c r="B35" s="18">
        <f>+Artichokes!H26</f>
        <v>0.61007309324387371</v>
      </c>
      <c r="C35" s="18">
        <f>+Asparagus!H26</f>
        <v>0.25060540756703914</v>
      </c>
      <c r="D35" s="18">
        <f>Peppers!H26</f>
        <v>2.9375041656483964</v>
      </c>
      <c r="E35" s="18">
        <f>Broccoli!H26</f>
        <v>1.1996889649196862</v>
      </c>
      <c r="F35" s="18">
        <f>BrusselsSprouts!J26</f>
        <v>0.36835440225722604</v>
      </c>
      <c r="G35" s="18">
        <f>Cabbage!I26</f>
        <v>8.0528270867121368</v>
      </c>
      <c r="H35" s="18">
        <f>Carrots!H26</f>
        <v>5.8878940703383611</v>
      </c>
      <c r="I35" s="18">
        <f>Cauliflower!H26</f>
        <v>1.0859567661238365</v>
      </c>
      <c r="J35" s="18">
        <f>Celery!H26</f>
        <v>7.0684943680433676</v>
      </c>
      <c r="K35" s="18" t="str">
        <f>Collards!J26</f>
        <v>NA</v>
      </c>
      <c r="L35" s="18">
        <f>SweetCorn!H26</f>
        <v>6.482708671213703</v>
      </c>
      <c r="M35" s="18">
        <f>Cucumbers!H26</f>
        <v>3.8337295327808758</v>
      </c>
      <c r="N35" s="18">
        <f>Eggplant!H26</f>
        <v>0.47588367287996264</v>
      </c>
      <c r="O35" s="18">
        <f>Escarole!H26</f>
        <v>0.49276843438270646</v>
      </c>
      <c r="P35" s="18">
        <f>Garlic!I26</f>
        <v>0.92114372042389647</v>
      </c>
      <c r="Q35" s="18" t="str">
        <f>Kale!J26</f>
        <v>NA</v>
      </c>
      <c r="R35" s="18">
        <f>HeadLettuce!H26</f>
        <v>25.098309302170577</v>
      </c>
      <c r="S35" s="18" t="str">
        <f>Romaine!H26</f>
        <v>NA</v>
      </c>
      <c r="T35" s="18" t="str">
        <f>LimaBeans!H26</f>
        <v>NA</v>
      </c>
      <c r="U35" s="18">
        <f>Mushrooms!H26</f>
        <v>1.1433965380921538</v>
      </c>
      <c r="V35" s="18" t="str">
        <f>MustardGreens!J26</f>
        <v>NA</v>
      </c>
      <c r="W35" s="18">
        <f>Okra!J26</f>
        <v>0.38301121059296606</v>
      </c>
      <c r="X35" s="18">
        <f>Onions!K26</f>
        <v>11.443869276399102</v>
      </c>
      <c r="Y35" s="18">
        <f>Potatoes!H26</f>
        <v>49.3455688609451</v>
      </c>
      <c r="Z35" s="18" t="str">
        <f>Pumpkin!K26</f>
        <v>NA</v>
      </c>
      <c r="AA35" s="18">
        <f>Radishes!H26</f>
        <v>0.59284213950003328</v>
      </c>
      <c r="AB35" s="18">
        <f>SnapBeans!H26</f>
        <v>1.3067916731465641</v>
      </c>
      <c r="AC35" s="18">
        <f>Spinach!H26</f>
        <v>0.39893808023647553</v>
      </c>
      <c r="AD35" s="18">
        <f>Squash!H26</f>
        <v>2.1554417808980029</v>
      </c>
      <c r="AE35" s="18">
        <f>SweetPotatoes!L26</f>
        <v>5.0666367930003782</v>
      </c>
      <c r="AF35" s="18">
        <f>Tomatoes!H26</f>
        <v>12.41815111861545</v>
      </c>
      <c r="AG35" s="18" t="str">
        <f>TurnipGreens!J26</f>
        <v>NA</v>
      </c>
      <c r="AH35" s="18">
        <f t="shared" si="0"/>
        <v>149.02058913013187</v>
      </c>
    </row>
    <row r="36" spans="1:34" ht="12" customHeight="1" x14ac:dyDescent="0.2">
      <c r="A36" s="2">
        <v>1980</v>
      </c>
      <c r="B36" s="18">
        <f>+Artichokes!H27</f>
        <v>0.58710906967144727</v>
      </c>
      <c r="C36" s="18">
        <f>+Asparagus!H27</f>
        <v>0.29395852910954395</v>
      </c>
      <c r="D36" s="18">
        <f>Peppers!H27</f>
        <v>2.8854851883403736</v>
      </c>
      <c r="E36" s="18">
        <f>Broccoli!H27</f>
        <v>1.4009577299034803</v>
      </c>
      <c r="F36" s="18">
        <f>BrusselsSprouts!J27</f>
        <v>0.28543073693825044</v>
      </c>
      <c r="G36" s="18">
        <f>Cabbage!I27</f>
        <v>7.9971896050516857</v>
      </c>
      <c r="H36" s="18">
        <f>Carrots!H27</f>
        <v>6.1508128189139581</v>
      </c>
      <c r="I36" s="18">
        <f>Cauliflower!H27</f>
        <v>1.1342578361715396</v>
      </c>
      <c r="J36" s="18">
        <f>Celery!H27</f>
        <v>7.3716439932199229</v>
      </c>
      <c r="K36" s="18" t="str">
        <f>Collards!J27</f>
        <v>NA</v>
      </c>
      <c r="L36" s="18">
        <f>SweetCorn!H27</f>
        <v>6.4982874155783703</v>
      </c>
      <c r="M36" s="18">
        <f>Cucumbers!H27</f>
        <v>3.8620974328798643</v>
      </c>
      <c r="N36" s="18">
        <f>Eggplant!H27</f>
        <v>0.47732801700288946</v>
      </c>
      <c r="O36" s="18">
        <f>Escarole!H27</f>
        <v>0.45141968857310977</v>
      </c>
      <c r="P36" s="18">
        <f>Garlic!I27</f>
        <v>0.86089423254261699</v>
      </c>
      <c r="Q36" s="18" t="str">
        <f>Kale!J27</f>
        <v>NA</v>
      </c>
      <c r="R36" s="18">
        <f>HeadLettuce!H27</f>
        <v>25.63124105284421</v>
      </c>
      <c r="S36" s="18" t="str">
        <f>Romaine!H27</f>
        <v>NA</v>
      </c>
      <c r="T36" s="18" t="str">
        <f>LimaBeans!H27</f>
        <v>NA</v>
      </c>
      <c r="U36" s="18">
        <f>Mushrooms!H27</f>
        <v>1.2101056387474556</v>
      </c>
      <c r="V36" s="18" t="str">
        <f>MustardGreens!J27</f>
        <v>NA</v>
      </c>
      <c r="W36" s="18">
        <f>Okra!J27</f>
        <v>0.31082629124474148</v>
      </c>
      <c r="X36" s="18">
        <f>Onions!K27</f>
        <v>11.382582577307815</v>
      </c>
      <c r="Y36" s="18">
        <f>Potatoes!H27</f>
        <v>51.121584711451483</v>
      </c>
      <c r="Z36" s="18" t="str">
        <f>Pumpkin!K27</f>
        <v>NA</v>
      </c>
      <c r="AA36" s="18">
        <f>Radishes!H27</f>
        <v>0.56509848709484201</v>
      </c>
      <c r="AB36" s="18">
        <f>SnapBeans!H27</f>
        <v>1.3145710195585925</v>
      </c>
      <c r="AC36" s="18">
        <f>Spinach!H27</f>
        <v>0.44424566790116199</v>
      </c>
      <c r="AD36" s="18">
        <f>Squash!H27</f>
        <v>2.3079529785795212</v>
      </c>
      <c r="AE36" s="18">
        <f>SweetPotatoes!L27</f>
        <v>4.3867076521838531</v>
      </c>
      <c r="AF36" s="18">
        <f>Tomatoes!H27</f>
        <v>12.829136769626656</v>
      </c>
      <c r="AG36" s="18" t="str">
        <f>TurnipGreens!J27</f>
        <v>NA</v>
      </c>
      <c r="AH36" s="18">
        <f t="shared" si="0"/>
        <v>151.76092514043737</v>
      </c>
    </row>
    <row r="37" spans="1:34" ht="12" customHeight="1" x14ac:dyDescent="0.2">
      <c r="A37" s="3">
        <v>1981</v>
      </c>
      <c r="B37" s="19">
        <f>+Artichokes!H28</f>
        <v>0.74750180461459514</v>
      </c>
      <c r="C37" s="19">
        <f>+Asparagus!H28</f>
        <v>0.31042849812580992</v>
      </c>
      <c r="D37" s="19">
        <f>Peppers!H28</f>
        <v>2.7860640268561441</v>
      </c>
      <c r="E37" s="19">
        <f>Broccoli!H28</f>
        <v>1.6565179200403539</v>
      </c>
      <c r="F37" s="19">
        <f>BrusselsSprouts!J28</f>
        <v>0.36353200038266514</v>
      </c>
      <c r="G37" s="19">
        <f>Cabbage!I28</f>
        <v>8.1520442152318164</v>
      </c>
      <c r="H37" s="19">
        <f>Carrots!H28</f>
        <v>6.1187305949575155</v>
      </c>
      <c r="I37" s="19">
        <f>Cauliflower!H28</f>
        <v>1.3680283172295034</v>
      </c>
      <c r="J37" s="19">
        <f>Celery!H28</f>
        <v>7.2720054268891925</v>
      </c>
      <c r="K37" s="19" t="str">
        <f>Collards!J28</f>
        <v>NA</v>
      </c>
      <c r="L37" s="19">
        <f>SweetCorn!H28</f>
        <v>6.2330083577572335</v>
      </c>
      <c r="M37" s="19">
        <f>Cucumbers!H28</f>
        <v>3.9997216979901378</v>
      </c>
      <c r="N37" s="19">
        <f>Eggplant!H28</f>
        <v>0.45832862249202055</v>
      </c>
      <c r="O37" s="19">
        <f>Escarole!H28</f>
        <v>0.44310898132767446</v>
      </c>
      <c r="P37" s="19">
        <f>Garlic!I28</f>
        <v>0.65922788586138814</v>
      </c>
      <c r="Q37" s="19" t="str">
        <f>Kale!J28</f>
        <v>NA</v>
      </c>
      <c r="R37" s="19">
        <f>HeadLettuce!H28</f>
        <v>24.910638964020766</v>
      </c>
      <c r="S37" s="19" t="str">
        <f>Romaine!H28</f>
        <v>NA</v>
      </c>
      <c r="T37" s="19" t="str">
        <f>LimaBeans!H28</f>
        <v>NA</v>
      </c>
      <c r="U37" s="19">
        <f>Mushrooms!H28</f>
        <v>1.3918252707076619</v>
      </c>
      <c r="V37" s="19" t="str">
        <f>MustardGreens!J28</f>
        <v>NA</v>
      </c>
      <c r="W37" s="19">
        <f>Okra!J28</f>
        <v>0.34366900759242669</v>
      </c>
      <c r="X37" s="19">
        <f>Onions!K28</f>
        <v>10.734069384169834</v>
      </c>
      <c r="Y37" s="19">
        <f>Potatoes!H28</f>
        <v>45.844972735099972</v>
      </c>
      <c r="Z37" s="19" t="str">
        <f>Pumpkin!K28</f>
        <v>NA</v>
      </c>
      <c r="AA37" s="19">
        <f>Radishes!H28</f>
        <v>0.5745082421135298</v>
      </c>
      <c r="AB37" s="19">
        <f>SnapBeans!H28</f>
        <v>1.2570510423279966</v>
      </c>
      <c r="AC37" s="19">
        <f>Spinach!H28</f>
        <v>0.526848700545124</v>
      </c>
      <c r="AD37" s="19">
        <f>Squash!H28</f>
        <v>2.3248560656792745</v>
      </c>
      <c r="AE37" s="19">
        <f>SweetPotatoes!L28</f>
        <v>4.6715367724180963</v>
      </c>
      <c r="AF37" s="19">
        <f>Tomatoes!H28</f>
        <v>12.312185279563066</v>
      </c>
      <c r="AG37" s="19" t="str">
        <f>TurnipGreens!J28</f>
        <v>NA</v>
      </c>
      <c r="AH37" s="19">
        <f t="shared" si="0"/>
        <v>145.46040981399381</v>
      </c>
    </row>
    <row r="38" spans="1:34" ht="12" customHeight="1" x14ac:dyDescent="0.2">
      <c r="A38" s="3">
        <v>1982</v>
      </c>
      <c r="B38" s="19">
        <f>+Artichokes!H29</f>
        <v>0.82303995038503286</v>
      </c>
      <c r="C38" s="19">
        <f>+Asparagus!H29</f>
        <v>0.37743552638379252</v>
      </c>
      <c r="D38" s="19">
        <f>Peppers!H29</f>
        <v>2.9721604906368979</v>
      </c>
      <c r="E38" s="19">
        <f>Broccoli!H29</f>
        <v>1.98706565369442</v>
      </c>
      <c r="F38" s="19">
        <f>BrusselsSprouts!J29</f>
        <v>0.31956862542422509</v>
      </c>
      <c r="G38" s="19">
        <f>Cabbage!I29</f>
        <v>8.5569150860509584</v>
      </c>
      <c r="H38" s="19">
        <f>Carrots!H29</f>
        <v>6.6032697641566314</v>
      </c>
      <c r="I38" s="19">
        <f>Cauliflower!H29</f>
        <v>1.3265112753458406</v>
      </c>
      <c r="J38" s="19">
        <f>Celery!H29</f>
        <v>7.411937740107156</v>
      </c>
      <c r="K38" s="19" t="str">
        <f>Collards!J29</f>
        <v>NA</v>
      </c>
      <c r="L38" s="19">
        <f>SweetCorn!H29</f>
        <v>6.0175073647216912</v>
      </c>
      <c r="M38" s="19">
        <f>Cucumbers!H29</f>
        <v>4.1858321704825414</v>
      </c>
      <c r="N38" s="19">
        <f>Eggplant!H29</f>
        <v>0.51380777645700904</v>
      </c>
      <c r="O38" s="19">
        <f>Escarole!H29</f>
        <v>0.37728047961134942</v>
      </c>
      <c r="P38" s="19">
        <f>Garlic!I29</f>
        <v>0.75717952693506985</v>
      </c>
      <c r="Q38" s="19" t="str">
        <f>Kale!J29</f>
        <v>NA</v>
      </c>
      <c r="R38" s="19">
        <f>HeadLettuce!H29</f>
        <v>24.936258549106757</v>
      </c>
      <c r="S38" s="19" t="str">
        <f>Romaine!H29</f>
        <v>NA</v>
      </c>
      <c r="T38" s="19" t="str">
        <f>LimaBeans!H29</f>
        <v>NA</v>
      </c>
      <c r="U38" s="19">
        <f>Mushrooms!H29</f>
        <v>1.455793257396488</v>
      </c>
      <c r="V38" s="19" t="str">
        <f>MustardGreens!J29</f>
        <v>NA</v>
      </c>
      <c r="W38" s="19">
        <f>Okra!J29</f>
        <v>0.31576150360914423</v>
      </c>
      <c r="X38" s="19">
        <f>Onions!K29</f>
        <v>12.244086688373212</v>
      </c>
      <c r="Y38" s="19">
        <f>Potatoes!H29</f>
        <v>47.111237445518285</v>
      </c>
      <c r="Z38" s="19" t="str">
        <f>Pumpkin!K29</f>
        <v>NA</v>
      </c>
      <c r="AA38" s="19">
        <f>Radishes!H29</f>
        <v>0.50078348660189165</v>
      </c>
      <c r="AB38" s="19">
        <f>SnapBeans!H29</f>
        <v>1.2598325494857616</v>
      </c>
      <c r="AC38" s="19">
        <f>Spinach!H29</f>
        <v>0.54997687083492686</v>
      </c>
      <c r="AD38" s="19">
        <f>Squash!H29</f>
        <v>2.4567936327458786</v>
      </c>
      <c r="AE38" s="19">
        <f>SweetPotatoes!L29</f>
        <v>5.3925603171590266</v>
      </c>
      <c r="AF38" s="19">
        <f>Tomatoes!H29</f>
        <v>12.88340913397764</v>
      </c>
      <c r="AG38" s="19" t="str">
        <f>TurnipGreens!J29</f>
        <v>NA</v>
      </c>
      <c r="AH38" s="19">
        <f t="shared" si="0"/>
        <v>151.33600486520163</v>
      </c>
    </row>
    <row r="39" spans="1:34" ht="12" customHeight="1" x14ac:dyDescent="0.2">
      <c r="A39" s="3">
        <v>1983</v>
      </c>
      <c r="B39" s="19">
        <f>+Artichokes!H30</f>
        <v>0.73450643813458427</v>
      </c>
      <c r="C39" s="19">
        <f>+Asparagus!H30</f>
        <v>0.43228328645751091</v>
      </c>
      <c r="D39" s="19">
        <f>Peppers!H30</f>
        <v>3.3255515200143404</v>
      </c>
      <c r="E39" s="19">
        <f>Broccoli!H30</f>
        <v>2.0306862364333971</v>
      </c>
      <c r="F39" s="19">
        <f>BrusselsSprouts!J30</f>
        <v>0.29363185905670763</v>
      </c>
      <c r="G39" s="19">
        <f>Cabbage!I30</f>
        <v>8.2061824870789177</v>
      </c>
      <c r="H39" s="19">
        <f>Carrots!H30</f>
        <v>6.4897762337446183</v>
      </c>
      <c r="I39" s="19">
        <f>Cauliflower!H30</f>
        <v>1.4148104836816655</v>
      </c>
      <c r="J39" s="19">
        <f>Celery!H30</f>
        <v>7.0013145147178708</v>
      </c>
      <c r="K39" s="19" t="str">
        <f>Collards!J30</f>
        <v>NA</v>
      </c>
      <c r="L39" s="19">
        <f>SweetCorn!H30</f>
        <v>6.1449295155501131</v>
      </c>
      <c r="M39" s="19">
        <f>Cucumbers!H30</f>
        <v>4.5367829386232597</v>
      </c>
      <c r="N39" s="19">
        <f>Eggplant!H30</f>
        <v>0.51257538187079343</v>
      </c>
      <c r="O39" s="19">
        <f>Escarole!H30</f>
        <v>0.3947812058538584</v>
      </c>
      <c r="P39" s="19">
        <f>Garlic!I30</f>
        <v>0.99746059656775088</v>
      </c>
      <c r="Q39" s="19" t="str">
        <f>Kale!J30</f>
        <v>NA</v>
      </c>
      <c r="R39" s="19">
        <f>HeadLettuce!H30</f>
        <v>22.442778064675831</v>
      </c>
      <c r="S39" s="19" t="str">
        <f>Romaine!H30</f>
        <v>NA</v>
      </c>
      <c r="T39" s="19" t="str">
        <f>LimaBeans!H30</f>
        <v>NA</v>
      </c>
      <c r="U39" s="19">
        <f>Mushrooms!H30</f>
        <v>1.6612988702308398</v>
      </c>
      <c r="V39" s="19" t="str">
        <f>MustardGreens!J30</f>
        <v>NA</v>
      </c>
      <c r="W39" s="19">
        <f>Okra!J30</f>
        <v>0.45284079434246527</v>
      </c>
      <c r="X39" s="19">
        <f>Onions!K30</f>
        <v>12.165419727110157</v>
      </c>
      <c r="Y39" s="19">
        <f>Potatoes!H30</f>
        <v>49.792362157340591</v>
      </c>
      <c r="Z39" s="19" t="str">
        <f>Pumpkin!K30</f>
        <v>NA</v>
      </c>
      <c r="AA39" s="19">
        <f>Radishes!H30</f>
        <v>0.5465946308722317</v>
      </c>
      <c r="AB39" s="19">
        <f>SnapBeans!H30</f>
        <v>1.2389045141630426</v>
      </c>
      <c r="AC39" s="19">
        <f>Spinach!H30</f>
        <v>0.51294246154318912</v>
      </c>
      <c r="AD39" s="19">
        <f>Squash!H30</f>
        <v>2.5561191086907349</v>
      </c>
      <c r="AE39" s="19">
        <f>SweetPotatoes!L30</f>
        <v>4.4851945736436392</v>
      </c>
      <c r="AF39" s="19">
        <f>Tomatoes!H30</f>
        <v>13.469781099156233</v>
      </c>
      <c r="AG39" s="19" t="str">
        <f>TurnipGreens!J30</f>
        <v>NA</v>
      </c>
      <c r="AH39" s="19">
        <f t="shared" si="0"/>
        <v>151.8395086995543</v>
      </c>
    </row>
    <row r="40" spans="1:34" ht="12" customHeight="1" x14ac:dyDescent="0.2">
      <c r="A40" s="3">
        <v>1984</v>
      </c>
      <c r="B40" s="19">
        <f>+Artichokes!H31</f>
        <v>0.95452468394062984</v>
      </c>
      <c r="C40" s="19">
        <f>+Asparagus!H31</f>
        <v>0.40617225447221894</v>
      </c>
      <c r="D40" s="19">
        <f>Peppers!H31</f>
        <v>3.6247397904784466</v>
      </c>
      <c r="E40" s="19">
        <f>Broccoli!H31</f>
        <v>2.457739011965407</v>
      </c>
      <c r="F40" s="19">
        <f>BrusselsSprouts!J31</f>
        <v>0.30675106199333191</v>
      </c>
      <c r="G40" s="19">
        <f>Cabbage!I31</f>
        <v>8.5675317751789741</v>
      </c>
      <c r="H40" s="19">
        <f>Carrots!H31</f>
        <v>6.6842114170629747</v>
      </c>
      <c r="I40" s="19">
        <f>Cauliflower!H31</f>
        <v>1.8244283852624095</v>
      </c>
      <c r="J40" s="19">
        <f>Celery!H31</f>
        <v>7.1150464569194583</v>
      </c>
      <c r="K40" s="19" t="str">
        <f>Collards!J31</f>
        <v>NA</v>
      </c>
      <c r="L40" s="19">
        <f>SweetCorn!H31</f>
        <v>6.4364115626110658</v>
      </c>
      <c r="M40" s="19">
        <f>Cucumbers!H31</f>
        <v>4.6528847292974769</v>
      </c>
      <c r="N40" s="19">
        <f>Eggplant!H31</f>
        <v>0.46880024370842999</v>
      </c>
      <c r="O40" s="19">
        <f>Escarole!H31</f>
        <v>0.38714099548123948</v>
      </c>
      <c r="P40" s="19">
        <f>Garlic!I31</f>
        <v>0.76888317227139646</v>
      </c>
      <c r="Q40" s="19" t="str">
        <f>Kale!J31</f>
        <v>NA</v>
      </c>
      <c r="R40" s="19">
        <f>HeadLettuce!H31</f>
        <v>24.940765312166807</v>
      </c>
      <c r="S40" s="19" t="str">
        <f>Romaine!H31</f>
        <v>NA</v>
      </c>
      <c r="T40" s="19" t="str">
        <f>LimaBeans!H31</f>
        <v>NA</v>
      </c>
      <c r="U40" s="19">
        <f>Mushrooms!H31</f>
        <v>1.7801438239480003</v>
      </c>
      <c r="V40" s="19" t="str">
        <f>MustardGreens!J31</f>
        <v>NA</v>
      </c>
      <c r="W40" s="19">
        <f>Okra!J31</f>
        <v>0.44552063482661158</v>
      </c>
      <c r="X40" s="19">
        <f>Onions!K31</f>
        <v>13.076552371926143</v>
      </c>
      <c r="Y40" s="19">
        <f>Potatoes!H31</f>
        <v>48.296892717518226</v>
      </c>
      <c r="Z40" s="19" t="str">
        <f>Pumpkin!K31</f>
        <v>NA</v>
      </c>
      <c r="AA40" s="19">
        <f>Radishes!H31</f>
        <v>0.4950474365462792</v>
      </c>
      <c r="AB40" s="19">
        <f>SnapBeans!H31</f>
        <v>1.342643051771117</v>
      </c>
      <c r="AC40" s="19">
        <f>Spinach!H31</f>
        <v>0.53026672212787918</v>
      </c>
      <c r="AD40" s="19">
        <f>Squash!H31</f>
        <v>2.624969113341344</v>
      </c>
      <c r="AE40" s="19">
        <f>SweetPotatoes!L31</f>
        <v>4.8320821740412443</v>
      </c>
      <c r="AF40" s="19">
        <f>Tomatoes!H31</f>
        <v>14.19725151048454</v>
      </c>
      <c r="AG40" s="19" t="str">
        <f>TurnipGreens!J31</f>
        <v>NA</v>
      </c>
      <c r="AH40" s="19">
        <f t="shared" si="0"/>
        <v>157.21740040934162</v>
      </c>
    </row>
    <row r="41" spans="1:34" ht="12" customHeight="1" x14ac:dyDescent="0.2">
      <c r="A41" s="3">
        <v>1985</v>
      </c>
      <c r="B41" s="19">
        <f>+Artichokes!H32</f>
        <v>1.0227873155921601</v>
      </c>
      <c r="C41" s="19">
        <f>+Asparagus!H32</f>
        <v>0.46536193838953988</v>
      </c>
      <c r="D41" s="19">
        <f>Peppers!H32</f>
        <v>3.8001224493219161</v>
      </c>
      <c r="E41" s="19">
        <f>Broccoli!H32</f>
        <v>2.5787693004453462</v>
      </c>
      <c r="F41" s="19">
        <f>BrusselsSprouts!J32</f>
        <v>0.32876804240436786</v>
      </c>
      <c r="G41" s="19">
        <f>Cabbage!I32</f>
        <v>8.7372413677421505</v>
      </c>
      <c r="H41" s="19">
        <f>Carrots!H32</f>
        <v>6.4910721025219518</v>
      </c>
      <c r="I41" s="19">
        <f>Cauliflower!H32</f>
        <v>1.8392559106958644</v>
      </c>
      <c r="J41" s="19">
        <f>Celery!H32</f>
        <v>6.8803519159964104</v>
      </c>
      <c r="K41" s="19" t="str">
        <f>Collards!J32</f>
        <v>NA</v>
      </c>
      <c r="L41" s="19">
        <f>SweetCorn!H32</f>
        <v>6.4132245267669186</v>
      </c>
      <c r="M41" s="19">
        <f>Cucumbers!H32</f>
        <v>4.393917791215519</v>
      </c>
      <c r="N41" s="19">
        <f>Eggplant!H32</f>
        <v>0.45792691620608389</v>
      </c>
      <c r="O41" s="19">
        <f>Escarole!H32</f>
        <v>0.38915400937659872</v>
      </c>
      <c r="P41" s="19">
        <f>Garlic!I32</f>
        <v>1.0616188471312471</v>
      </c>
      <c r="Q41" s="19" t="str">
        <f>Kale!J32</f>
        <v>NA</v>
      </c>
      <c r="R41" s="19">
        <f>HeadLettuce!H32</f>
        <v>23.672137747100216</v>
      </c>
      <c r="S41" s="19">
        <f>Romaine!H32</f>
        <v>3.2654550334219552</v>
      </c>
      <c r="T41" s="19" t="str">
        <f>LimaBeans!H32</f>
        <v>NA</v>
      </c>
      <c r="U41" s="19">
        <f>Mushrooms!H32</f>
        <v>1.7928632152542658</v>
      </c>
      <c r="V41" s="19" t="str">
        <f>MustardGreens!J32</f>
        <v>NA</v>
      </c>
      <c r="W41" s="19">
        <f>Okra!J32</f>
        <v>0.38268725864483827</v>
      </c>
      <c r="X41" s="19">
        <f>Onions!K32</f>
        <v>13.623879295161574</v>
      </c>
      <c r="Y41" s="19">
        <f>Potatoes!H32</f>
        <v>46.303066265211804</v>
      </c>
      <c r="Z41" s="19" t="str">
        <f>Pumpkin!K32</f>
        <v>NA</v>
      </c>
      <c r="AA41" s="19">
        <f>Radishes!H32</f>
        <v>0.51205496680298235</v>
      </c>
      <c r="AB41" s="19">
        <f>SnapBeans!H32</f>
        <v>1.2598693314770242</v>
      </c>
      <c r="AC41" s="19">
        <f>Spinach!H32</f>
        <v>0.67369353336416926</v>
      </c>
      <c r="AD41" s="19">
        <f>Squash!H32</f>
        <v>2.6724220643613763</v>
      </c>
      <c r="AE41" s="19">
        <f>SweetPotatoes!L32</f>
        <v>5.2604072504107737</v>
      </c>
      <c r="AF41" s="19">
        <f>Tomatoes!H32</f>
        <v>14.851576325346171</v>
      </c>
      <c r="AG41" s="19" t="str">
        <f>TurnipGreens!J32</f>
        <v>NA</v>
      </c>
      <c r="AH41" s="19">
        <f t="shared" si="0"/>
        <v>159.12968472036323</v>
      </c>
    </row>
    <row r="42" spans="1:34" ht="12" customHeight="1" x14ac:dyDescent="0.2">
      <c r="A42" s="2">
        <v>1986</v>
      </c>
      <c r="B42" s="18">
        <f>+Artichokes!H33</f>
        <v>0.93537944990878896</v>
      </c>
      <c r="C42" s="18">
        <f>+Asparagus!H33</f>
        <v>0.60314314089698351</v>
      </c>
      <c r="D42" s="18">
        <f>Peppers!H33</f>
        <v>3.9654935986137598</v>
      </c>
      <c r="E42" s="18">
        <f>Broccoli!H33</f>
        <v>3.0466359998504058</v>
      </c>
      <c r="F42" s="18">
        <f>BrusselsSprouts!J33</f>
        <v>0.3266140593639752</v>
      </c>
      <c r="G42" s="18">
        <f>Cabbage!I33</f>
        <v>8.6409489260381207</v>
      </c>
      <c r="H42" s="18">
        <f>Carrots!H33</f>
        <v>6.4840786034547957</v>
      </c>
      <c r="I42" s="18">
        <f>Cauliflower!H33</f>
        <v>2.1853223132253761</v>
      </c>
      <c r="J42" s="18">
        <f>Celery!H33</f>
        <v>6.4927633793335575</v>
      </c>
      <c r="K42" s="18" t="str">
        <f>Collards!J33</f>
        <v>NA</v>
      </c>
      <c r="L42" s="18">
        <f>SweetCorn!H33</f>
        <v>6.0606168268571503</v>
      </c>
      <c r="M42" s="18">
        <f>Cucumbers!H33</f>
        <v>4.6249548100776652</v>
      </c>
      <c r="N42" s="18">
        <f>Eggplant!H33</f>
        <v>0.4666508761650689</v>
      </c>
      <c r="O42" s="18">
        <f>Escarole!H33</f>
        <v>0.36609031335834885</v>
      </c>
      <c r="P42" s="18">
        <f>Garlic!I33</f>
        <v>0.76604709724871278</v>
      </c>
      <c r="Q42" s="18" t="str">
        <f>Kale!J33</f>
        <v>NA</v>
      </c>
      <c r="R42" s="18">
        <f>HeadLettuce!H33</f>
        <v>21.937162114431271</v>
      </c>
      <c r="S42" s="18">
        <f>Romaine!H33</f>
        <v>2.3735617138511786</v>
      </c>
      <c r="T42" s="18" t="str">
        <f>LimaBeans!H33</f>
        <v>NA</v>
      </c>
      <c r="U42" s="18">
        <f>Mushrooms!H33</f>
        <v>1.9004418706549044</v>
      </c>
      <c r="V42" s="18" t="str">
        <f>MustardGreens!J33</f>
        <v>NA</v>
      </c>
      <c r="W42" s="18">
        <f>Okra!J33</f>
        <v>0.28527348982551493</v>
      </c>
      <c r="X42" s="18">
        <f>Onions!K33</f>
        <v>13.736020211842046</v>
      </c>
      <c r="Y42" s="18">
        <f>Potatoes!H33</f>
        <v>48.820329024188553</v>
      </c>
      <c r="Z42" s="18" t="str">
        <f>Pumpkin!K33</f>
        <v>NA</v>
      </c>
      <c r="AA42" s="18">
        <f>Radishes!H33</f>
        <v>0.46356455047998968</v>
      </c>
      <c r="AB42" s="18">
        <f>SnapBeans!H33</f>
        <v>1.2562632193508443</v>
      </c>
      <c r="AC42" s="18">
        <f>Spinach!H33</f>
        <v>0.58476025111036312</v>
      </c>
      <c r="AD42" s="18">
        <f>Squash!H33</f>
        <v>2.7752820474463018</v>
      </c>
      <c r="AE42" s="18">
        <f>SweetPotatoes!L33</f>
        <v>4.2620808674291499</v>
      </c>
      <c r="AF42" s="18">
        <f>Tomatoes!H33</f>
        <v>15.795267835994864</v>
      </c>
      <c r="AG42" s="18" t="str">
        <f>TurnipGreens!J33</f>
        <v>NA</v>
      </c>
      <c r="AH42" s="18">
        <f t="shared" si="0"/>
        <v>159.15474659099766</v>
      </c>
    </row>
    <row r="43" spans="1:34" ht="12" customHeight="1" x14ac:dyDescent="0.2">
      <c r="A43" s="2">
        <v>1987</v>
      </c>
      <c r="B43" s="18">
        <f>+Artichokes!H34</f>
        <v>0.99298199370685813</v>
      </c>
      <c r="C43" s="18">
        <f>+Asparagus!H34</f>
        <v>0.56613976705490854</v>
      </c>
      <c r="D43" s="18">
        <f>Peppers!H34</f>
        <v>4.2293372432085139</v>
      </c>
      <c r="E43" s="18">
        <f>Broccoli!H34</f>
        <v>3.0875150327012735</v>
      </c>
      <c r="F43" s="18">
        <f>BrusselsSprouts!J34</f>
        <v>0.25864483286931028</v>
      </c>
      <c r="G43" s="18">
        <f>Cabbage!I34</f>
        <v>9.0775275530880872</v>
      </c>
      <c r="H43" s="18">
        <f>Carrots!H34</f>
        <v>8.2959918288001848</v>
      </c>
      <c r="I43" s="18">
        <f>Cauliflower!H34</f>
        <v>2.1317605970247602</v>
      </c>
      <c r="J43" s="18">
        <f>Celery!H34</f>
        <v>6.5935734172418909</v>
      </c>
      <c r="K43" s="18" t="str">
        <f>Collards!J34</f>
        <v>NA</v>
      </c>
      <c r="L43" s="18">
        <f>SweetCorn!H34</f>
        <v>6.2618531819904124</v>
      </c>
      <c r="M43" s="18">
        <f>Cucumbers!H34</f>
        <v>5.0666381113984942</v>
      </c>
      <c r="N43" s="18">
        <f>Eggplant!H34</f>
        <v>0.47280934416236964</v>
      </c>
      <c r="O43" s="18">
        <f>Escarole!H34</f>
        <v>0.3414276535806659</v>
      </c>
      <c r="P43" s="18">
        <f>Garlic!I34</f>
        <v>1.1875010296370734</v>
      </c>
      <c r="Q43" s="18" t="str">
        <f>Kale!J34</f>
        <v>NA</v>
      </c>
      <c r="R43" s="18">
        <f>HeadLettuce!H34</f>
        <v>25.708802161414145</v>
      </c>
      <c r="S43" s="18">
        <f>Romaine!H34</f>
        <v>2.5246701042816428</v>
      </c>
      <c r="T43" s="18" t="str">
        <f>LimaBeans!H34</f>
        <v>NA</v>
      </c>
      <c r="U43" s="18">
        <f>Mushrooms!H34</f>
        <v>1.9430602149025578</v>
      </c>
      <c r="V43" s="18" t="str">
        <f>MustardGreens!J34</f>
        <v>NA</v>
      </c>
      <c r="W43" s="18">
        <f>Okra!J34</f>
        <v>0.21370763842440815</v>
      </c>
      <c r="X43" s="18">
        <f>Onions!K34</f>
        <v>13.4111093721685</v>
      </c>
      <c r="Y43" s="18">
        <f>Potatoes!H34</f>
        <v>47.93893428444342</v>
      </c>
      <c r="Z43" s="18">
        <f>Pumpkin!K34</f>
        <v>3.0136900545295795</v>
      </c>
      <c r="AA43" s="18">
        <f>Radishes!H34</f>
        <v>0.51295693100121909</v>
      </c>
      <c r="AB43" s="18">
        <f>SnapBeans!H34</f>
        <v>1.2165244394655772</v>
      </c>
      <c r="AC43" s="18">
        <f>Spinach!H34</f>
        <v>0.58322259045781777</v>
      </c>
      <c r="AD43" s="18">
        <f>Squash!H34</f>
        <v>2.8793512462727135</v>
      </c>
      <c r="AE43" s="18">
        <f>SweetPotatoes!L34</f>
        <v>4.3022852539053336</v>
      </c>
      <c r="AF43" s="18">
        <f>Tomatoes!H34</f>
        <v>15.84982537355233</v>
      </c>
      <c r="AG43" s="18" t="str">
        <f>TurnipGreens!J34</f>
        <v>NA</v>
      </c>
      <c r="AH43" s="18">
        <f t="shared" si="0"/>
        <v>168.66184125128402</v>
      </c>
    </row>
    <row r="44" spans="1:34" ht="12" customHeight="1" x14ac:dyDescent="0.2">
      <c r="A44" s="2">
        <v>1988</v>
      </c>
      <c r="B44" s="18">
        <f>+Artichokes!H35</f>
        <v>0.9146154819382829</v>
      </c>
      <c r="C44" s="18">
        <f>+Asparagus!H35</f>
        <v>0.58213785757139169</v>
      </c>
      <c r="D44" s="18">
        <f>Peppers!H35</f>
        <v>4.4755347500826463</v>
      </c>
      <c r="E44" s="18">
        <f>Broccoli!H35</f>
        <v>3.7743377098289534</v>
      </c>
      <c r="F44" s="18">
        <f>BrusselsSprouts!J35</f>
        <v>0.2558964333669359</v>
      </c>
      <c r="G44" s="18">
        <f>Cabbage!I35</f>
        <v>9.0072279518898366</v>
      </c>
      <c r="H44" s="18">
        <f>Carrots!H35</f>
        <v>7.0944939413356414</v>
      </c>
      <c r="I44" s="18">
        <f>Cauliflower!H35</f>
        <v>2.1940976487729626</v>
      </c>
      <c r="J44" s="18">
        <f>Celery!H35</f>
        <v>7.1528562857877489</v>
      </c>
      <c r="K44" s="18" t="str">
        <f>Collards!J35</f>
        <v>NA</v>
      </c>
      <c r="L44" s="18">
        <f>SweetCorn!H35</f>
        <v>5.8193950722591126</v>
      </c>
      <c r="M44" s="18">
        <f>Cucumbers!H35</f>
        <v>4.8244844319466491</v>
      </c>
      <c r="N44" s="18">
        <f>Eggplant!H35</f>
        <v>0.39017063843507299</v>
      </c>
      <c r="O44" s="18">
        <f>Escarole!H35</f>
        <v>0.35752037580452289</v>
      </c>
      <c r="P44" s="18">
        <f>Garlic!I35</f>
        <v>1.0862824002840572</v>
      </c>
      <c r="Q44" s="18" t="str">
        <f>Kale!J35</f>
        <v>NA</v>
      </c>
      <c r="R44" s="18">
        <f>HeadLettuce!H35</f>
        <v>27.040131254055776</v>
      </c>
      <c r="S44" s="18">
        <f>Romaine!H35</f>
        <v>3.2005419943596674</v>
      </c>
      <c r="T44" s="18" t="str">
        <f>LimaBeans!H35</f>
        <v>NA</v>
      </c>
      <c r="U44" s="18">
        <f>Mushrooms!H35</f>
        <v>2.0008904592980601</v>
      </c>
      <c r="V44" s="18" t="str">
        <f>MustardGreens!J35</f>
        <v>NA</v>
      </c>
      <c r="W44" s="18">
        <f>Okra!J35</f>
        <v>0.41480809391848056</v>
      </c>
      <c r="X44" s="18">
        <f>Onions!K35</f>
        <v>14.548695826072052</v>
      </c>
      <c r="Y44" s="18">
        <f>Potatoes!H35</f>
        <v>49.6145554870807</v>
      </c>
      <c r="Z44" s="18">
        <f>Pumpkin!K35</f>
        <v>3.8059172601205624</v>
      </c>
      <c r="AA44" s="18">
        <f>Radishes!H35</f>
        <v>0.54979864818011526</v>
      </c>
      <c r="AB44" s="18">
        <f>SnapBeans!H35</f>
        <v>1.189506205590541</v>
      </c>
      <c r="AC44" s="18">
        <f>Spinach!H35</f>
        <v>0.59566588711498203</v>
      </c>
      <c r="AD44" s="18">
        <f>Squash!H35</f>
        <v>3.0774864195313874</v>
      </c>
      <c r="AE44" s="18">
        <f>SweetPotatoes!L35</f>
        <v>3.9309917428954901</v>
      </c>
      <c r="AF44" s="18">
        <f>Tomatoes!H35</f>
        <v>16.833246946180122</v>
      </c>
      <c r="AG44" s="18" t="str">
        <f>TurnipGreens!J35</f>
        <v>NA</v>
      </c>
      <c r="AH44" s="18">
        <f t="shared" si="0"/>
        <v>174.73128720370175</v>
      </c>
    </row>
    <row r="45" spans="1:34" ht="12" customHeight="1" x14ac:dyDescent="0.2">
      <c r="A45" s="2">
        <v>1989</v>
      </c>
      <c r="B45" s="18">
        <f>+Artichokes!H36</f>
        <v>0.97436828047804247</v>
      </c>
      <c r="C45" s="18">
        <f>+Asparagus!H36</f>
        <v>0.57034592992698352</v>
      </c>
      <c r="D45" s="18">
        <f>Peppers!H36</f>
        <v>4.6885731092980567</v>
      </c>
      <c r="E45" s="18">
        <f>Broccoli!H36</f>
        <v>3.8043012064267292</v>
      </c>
      <c r="F45" s="18">
        <f>BrusselsSprouts!J36</f>
        <v>0.33678065189090411</v>
      </c>
      <c r="G45" s="18">
        <f>Cabbage!I36</f>
        <v>8.6028456347890767</v>
      </c>
      <c r="H45" s="18">
        <f>Carrots!H36</f>
        <v>8.085565734893386</v>
      </c>
      <c r="I45" s="18">
        <f>Cauliflower!H36</f>
        <v>2.311374534045977</v>
      </c>
      <c r="J45" s="18">
        <f>Celery!H36</f>
        <v>7.4742664003687187</v>
      </c>
      <c r="K45" s="18" t="str">
        <f>Collards!J36</f>
        <v>NA</v>
      </c>
      <c r="L45" s="18">
        <f>SweetCorn!H36</f>
        <v>6.5276297596041104</v>
      </c>
      <c r="M45" s="18">
        <f>Cucumbers!H36</f>
        <v>4.7836598717565151</v>
      </c>
      <c r="N45" s="18">
        <f>Eggplant!H36</f>
        <v>0.39904262114804601</v>
      </c>
      <c r="O45" s="18">
        <f>Escarole!H36</f>
        <v>0.33022532170031776</v>
      </c>
      <c r="P45" s="18">
        <f>Garlic!I36</f>
        <v>1.0146194338203782</v>
      </c>
      <c r="Q45" s="18" t="str">
        <f>Kale!J36</f>
        <v>NA</v>
      </c>
      <c r="R45" s="18">
        <f>HeadLettuce!H36</f>
        <v>28.685382991970631</v>
      </c>
      <c r="S45" s="18">
        <f>Romaine!H36</f>
        <v>3.5634869937172011</v>
      </c>
      <c r="T45" s="20">
        <f>LimaBeans!H36</f>
        <v>6.439828253996491E-4</v>
      </c>
      <c r="U45" s="18">
        <f>Mushrooms!H36</f>
        <v>2.0636068904331015</v>
      </c>
      <c r="V45" s="18" t="str">
        <f>MustardGreens!J36</f>
        <v>NA</v>
      </c>
      <c r="W45" s="18">
        <f>Okra!J36</f>
        <v>0.43835043810998536</v>
      </c>
      <c r="X45" s="18">
        <f>Onions!K36</f>
        <v>14.762959788471024</v>
      </c>
      <c r="Y45" s="18">
        <f>Potatoes!H36</f>
        <v>50.033223484689216</v>
      </c>
      <c r="Z45" s="18">
        <f>Pumpkin!K36</f>
        <v>4.8200063054737967</v>
      </c>
      <c r="AA45" s="18">
        <f>Radishes!H36</f>
        <v>0.70787500154619931</v>
      </c>
      <c r="AB45" s="18">
        <f>SnapBeans!H36</f>
        <v>1.1939496729225121</v>
      </c>
      <c r="AC45" s="18">
        <f>Spinach!H36</f>
        <v>0.64170502932546836</v>
      </c>
      <c r="AD45" s="18">
        <f>Squash!H36</f>
        <v>3.4519138480322793</v>
      </c>
      <c r="AE45" s="18">
        <f>SweetPotatoes!L36</f>
        <v>3.9246786057057257</v>
      </c>
      <c r="AF45" s="18">
        <f>Tomatoes!H36</f>
        <v>16.84340566907359</v>
      </c>
      <c r="AG45" s="18" t="str">
        <f>TurnipGreens!J36</f>
        <v>NA</v>
      </c>
      <c r="AH45" s="18">
        <f t="shared" si="0"/>
        <v>181.03478719244339</v>
      </c>
    </row>
    <row r="46" spans="1:34" ht="12" customHeight="1" x14ac:dyDescent="0.2">
      <c r="A46" s="2">
        <v>1990</v>
      </c>
      <c r="B46" s="18">
        <f>+Artichokes!H37</f>
        <v>0.84581544044744372</v>
      </c>
      <c r="C46" s="18">
        <f>+Asparagus!H37</f>
        <v>0.58686713415316716</v>
      </c>
      <c r="D46" s="18">
        <f>Peppers!H37</f>
        <v>5.8810651218704528</v>
      </c>
      <c r="E46" s="18">
        <f>Broccoli!H37</f>
        <v>3.3680018949994399</v>
      </c>
      <c r="F46" s="18">
        <f>BrusselsSprouts!J37</f>
        <v>0.31703260678361816</v>
      </c>
      <c r="G46" s="18">
        <f>Cabbage!I37</f>
        <v>8.3368027961236475</v>
      </c>
      <c r="H46" s="18">
        <f>Carrots!H37</f>
        <v>8.2914765163993387</v>
      </c>
      <c r="I46" s="18">
        <f>Cauliflower!H37</f>
        <v>2.1908432347720401</v>
      </c>
      <c r="J46" s="18">
        <f>Celery!H37</f>
        <v>7.194457326531591</v>
      </c>
      <c r="K46" s="18" t="str">
        <f>Collards!J37</f>
        <v>NA</v>
      </c>
      <c r="L46" s="18">
        <f>SweetCorn!H37</f>
        <v>6.7423600339020995</v>
      </c>
      <c r="M46" s="18">
        <f>Cucumbers!H37</f>
        <v>4.6741952888874678</v>
      </c>
      <c r="N46" s="18">
        <f>Eggplant!H37</f>
        <v>0.39938912254329717</v>
      </c>
      <c r="O46" s="18">
        <f>Escarole!H37</f>
        <v>0.2623284671293557</v>
      </c>
      <c r="P46" s="18">
        <f>Garlic!I37</f>
        <v>1.4071458699446693</v>
      </c>
      <c r="Q46" s="18" t="str">
        <f>Kale!J37</f>
        <v>NA</v>
      </c>
      <c r="R46" s="18">
        <f>HeadLettuce!H37</f>
        <v>27.746878624086484</v>
      </c>
      <c r="S46" s="18">
        <f>Romaine!H37</f>
        <v>3.7702632490045245</v>
      </c>
      <c r="T46" s="20">
        <f>LimaBeans!H37</f>
        <v>1.0184902371547823E-3</v>
      </c>
      <c r="U46" s="18">
        <f>Mushrooms!H37</f>
        <v>2.0173063871406223</v>
      </c>
      <c r="V46" s="18" t="str">
        <f>MustardGreens!J37</f>
        <v>NA</v>
      </c>
      <c r="W46" s="18">
        <f>Okra!J37</f>
        <v>0.24350829057777496</v>
      </c>
      <c r="X46" s="18">
        <f>Onions!K37</f>
        <v>15.060257612913185</v>
      </c>
      <c r="Y46" s="18">
        <f>Potatoes!H37</f>
        <v>46.740782644403765</v>
      </c>
      <c r="Z46" s="18">
        <f>Pumpkin!K37</f>
        <v>4.4334634349783313</v>
      </c>
      <c r="AA46" s="18">
        <f>Radishes!H37</f>
        <v>0.65856476140597764</v>
      </c>
      <c r="AB46" s="18">
        <f>SnapBeans!H37</f>
        <v>1.0688002414725024</v>
      </c>
      <c r="AC46" s="18">
        <f>Spinach!H37</f>
        <v>0.75589595093790485</v>
      </c>
      <c r="AD46" s="18">
        <f>Squash!H37</f>
        <v>3.5056748077854896</v>
      </c>
      <c r="AE46" s="18">
        <f>SweetPotatoes!L37</f>
        <v>4.3992863277789338</v>
      </c>
      <c r="AF46" s="18">
        <f>Tomatoes!H37</f>
        <v>15.523006360641581</v>
      </c>
      <c r="AG46" s="18" t="str">
        <f>TurnipGreens!J37</f>
        <v>NA</v>
      </c>
      <c r="AH46" s="18">
        <f t="shared" si="0"/>
        <v>176.42248803785185</v>
      </c>
    </row>
    <row r="47" spans="1:34" ht="12" customHeight="1" x14ac:dyDescent="0.2">
      <c r="A47" s="3">
        <v>1991</v>
      </c>
      <c r="B47" s="19">
        <f>+Artichokes!H38</f>
        <v>0.82685570378669249</v>
      </c>
      <c r="C47" s="19">
        <f>+Asparagus!H38</f>
        <v>0.600607306710639</v>
      </c>
      <c r="D47" s="19">
        <f>Peppers!H38</f>
        <v>6.3012046415206733</v>
      </c>
      <c r="E47" s="19">
        <f>Broccoli!H38</f>
        <v>3.0428097935643192</v>
      </c>
      <c r="F47" s="19">
        <f>BrusselsSprouts!J38</f>
        <v>0.29902206372562551</v>
      </c>
      <c r="G47" s="19">
        <f>Cabbage!I38</f>
        <v>8.2038904703482949</v>
      </c>
      <c r="H47" s="19">
        <f>Carrots!H38</f>
        <v>7.713142303732254</v>
      </c>
      <c r="I47" s="19">
        <f>Cauliflower!H38</f>
        <v>1.9515331784309629</v>
      </c>
      <c r="J47" s="19">
        <f>Celery!H38</f>
        <v>6.7326987332983563</v>
      </c>
      <c r="K47" s="19" t="str">
        <f>Collards!J38</f>
        <v>NA</v>
      </c>
      <c r="L47" s="19">
        <f>SweetCorn!H38</f>
        <v>5.9081211552192769</v>
      </c>
      <c r="M47" s="19">
        <f>Cucumbers!H38</f>
        <v>4.5578881744269077</v>
      </c>
      <c r="N47" s="19">
        <f>Eggplant!H38</f>
        <v>0.41145120378077499</v>
      </c>
      <c r="O47" s="19">
        <f>Escarole!H38</f>
        <v>0.24675195307168252</v>
      </c>
      <c r="P47" s="19">
        <f>Garlic!I38</f>
        <v>1.4871593541636259</v>
      </c>
      <c r="Q47" s="19" t="str">
        <f>Kale!J38</f>
        <v>NA</v>
      </c>
      <c r="R47" s="19">
        <f>HeadLettuce!H38</f>
        <v>26.04484363276304</v>
      </c>
      <c r="S47" s="19">
        <f>Romaine!H38</f>
        <v>3.9967136725668952</v>
      </c>
      <c r="T47" s="21">
        <f>LimaBeans!H38</f>
        <v>8.3386917981956106E-5</v>
      </c>
      <c r="U47" s="19">
        <f>Mushrooms!H38</f>
        <v>1.9504654588330572</v>
      </c>
      <c r="V47" s="19" t="str">
        <f>MustardGreens!J38</f>
        <v>NA</v>
      </c>
      <c r="W47" s="19">
        <f>Okra!J38</f>
        <v>0.24635167259135365</v>
      </c>
      <c r="X47" s="19">
        <f>Onions!K38</f>
        <v>15.686790773659627</v>
      </c>
      <c r="Y47" s="19">
        <f>Potatoes!H38</f>
        <v>50.205166934234867</v>
      </c>
      <c r="Z47" s="19">
        <f>Pumpkin!K38</f>
        <v>4.4291907455196</v>
      </c>
      <c r="AA47" s="19">
        <f>Radishes!H38</f>
        <v>0.54758980997502882</v>
      </c>
      <c r="AB47" s="19">
        <f>SnapBeans!H38</f>
        <v>1.1234703640731696</v>
      </c>
      <c r="AC47" s="19">
        <f>Spinach!H38</f>
        <v>0.80388930266318981</v>
      </c>
      <c r="AD47" s="19">
        <f>Squash!H38</f>
        <v>3.6718586409052714</v>
      </c>
      <c r="AE47" s="19">
        <f>SweetPotatoes!L38</f>
        <v>3.8666558004757525</v>
      </c>
      <c r="AF47" s="19">
        <f>Tomatoes!H38</f>
        <v>15.361408741069773</v>
      </c>
      <c r="AG47" s="19" t="str">
        <f>TurnipGreens!J38</f>
        <v>NA</v>
      </c>
      <c r="AH47" s="19">
        <f t="shared" si="0"/>
        <v>176.21761497202866</v>
      </c>
    </row>
    <row r="48" spans="1:34" ht="12" customHeight="1" x14ac:dyDescent="0.2">
      <c r="A48" s="3">
        <v>1992</v>
      </c>
      <c r="B48" s="19">
        <f>+Artichokes!H39</f>
        <v>0.87886862931792886</v>
      </c>
      <c r="C48" s="19">
        <f>+Asparagus!H39</f>
        <v>0.59565344071873993</v>
      </c>
      <c r="D48" s="19">
        <f>Peppers!H39</f>
        <v>7.1018734673355546</v>
      </c>
      <c r="E48" s="19">
        <f>Broccoli!H39</f>
        <v>3.415728082399744</v>
      </c>
      <c r="F48" s="19">
        <f>BrusselsSprouts!J39</f>
        <v>0.2822175683355781</v>
      </c>
      <c r="G48" s="19">
        <f>Cabbage!I39</f>
        <v>8.6633597787414267</v>
      </c>
      <c r="H48" s="19">
        <f>Carrots!H39</f>
        <v>8.2899398234291191</v>
      </c>
      <c r="I48" s="19">
        <f>Cauliflower!H39</f>
        <v>1.8073602341821922</v>
      </c>
      <c r="J48" s="19">
        <f>Celery!H39</f>
        <v>7.3233585992666219</v>
      </c>
      <c r="K48" s="19" t="str">
        <f>Collards!J39</f>
        <v>NA</v>
      </c>
      <c r="L48" s="19">
        <f>SweetCorn!H39</f>
        <v>6.8686966063823984</v>
      </c>
      <c r="M48" s="19">
        <f>Cucumbers!H39</f>
        <v>4.9278545509042644</v>
      </c>
      <c r="N48" s="19">
        <f>Eggplant!H39</f>
        <v>0.46984359307730039</v>
      </c>
      <c r="O48" s="19">
        <f>Escarole!H39</f>
        <v>0.32000232722445837</v>
      </c>
      <c r="P48" s="19">
        <f>Garlic!I39</f>
        <v>1.4605521219257747</v>
      </c>
      <c r="Q48" s="19" t="str">
        <f>Kale!J39</f>
        <v>NA</v>
      </c>
      <c r="R48" s="19">
        <f>HeadLettuce!H39</f>
        <v>25.790597725131764</v>
      </c>
      <c r="S48" s="19">
        <f>Romaine!H39</f>
        <v>4.6696133385754441</v>
      </c>
      <c r="T48" s="21">
        <f>LimaBeans!H39</f>
        <v>4.7879670214173942E-2</v>
      </c>
      <c r="U48" s="19">
        <f>Mushrooms!H39</f>
        <v>2.0113934631720829</v>
      </c>
      <c r="V48" s="19" t="str">
        <f>MustardGreens!J39</f>
        <v>NA</v>
      </c>
      <c r="W48" s="19">
        <f>Okra!J39</f>
        <v>0.28337808636869677</v>
      </c>
      <c r="X48" s="19">
        <f>Onions!K39</f>
        <v>16.10070764867066</v>
      </c>
      <c r="Y48" s="19">
        <f>Potatoes!H39</f>
        <v>48.32912149330074</v>
      </c>
      <c r="Z48" s="19">
        <f>Pumpkin!K39</f>
        <v>4.0575383415805746</v>
      </c>
      <c r="AA48" s="19">
        <f>Radishes!H39</f>
        <v>0.4763765989084992</v>
      </c>
      <c r="AB48" s="19">
        <f>SnapBeans!H39</f>
        <v>1.4472934984857566</v>
      </c>
      <c r="AC48" s="19">
        <f>Spinach!H39</f>
        <v>0.81693436203258929</v>
      </c>
      <c r="AD48" s="19">
        <f>Squash!H39</f>
        <v>3.8059270519513886</v>
      </c>
      <c r="AE48" s="19">
        <f>SweetPotatoes!L39</f>
        <v>4.0755862615449701</v>
      </c>
      <c r="AF48" s="19">
        <f>Tomatoes!H39</f>
        <v>15.446005885696044</v>
      </c>
      <c r="AG48" s="19" t="str">
        <f>TurnipGreens!J39</f>
        <v>NA</v>
      </c>
      <c r="AH48" s="19">
        <f t="shared" si="0"/>
        <v>179.76366224887448</v>
      </c>
    </row>
    <row r="49" spans="1:34" ht="12" customHeight="1" x14ac:dyDescent="0.2">
      <c r="A49" s="3">
        <v>1993</v>
      </c>
      <c r="B49" s="19">
        <f>+Artichokes!H40</f>
        <v>0.86383357522429938</v>
      </c>
      <c r="C49" s="19">
        <f>+Asparagus!H40</f>
        <v>0.56734919213847956</v>
      </c>
      <c r="D49" s="19">
        <f>Peppers!H40</f>
        <v>7.6309871641224953</v>
      </c>
      <c r="E49" s="19">
        <f>Broccoli!H40</f>
        <v>3.3329914929588287</v>
      </c>
      <c r="F49" s="19">
        <f>BrusselsSprouts!J40</f>
        <v>0.34773587443084669</v>
      </c>
      <c r="G49" s="19">
        <f>Cabbage!I40</f>
        <v>9.3225637470941969</v>
      </c>
      <c r="H49" s="19">
        <f>Carrots!H40</f>
        <v>10.846695736873453</v>
      </c>
      <c r="I49" s="19">
        <f>Cauliflower!H40</f>
        <v>2.0906418704731902</v>
      </c>
      <c r="J49" s="19">
        <f>Celery!H40</f>
        <v>7.2613996964515568</v>
      </c>
      <c r="K49" s="19" t="str">
        <f>Collards!J40</f>
        <v>NA</v>
      </c>
      <c r="L49" s="19">
        <f>SweetCorn!H40</f>
        <v>6.9767139075137852</v>
      </c>
      <c r="M49" s="19">
        <f>Cucumbers!H40</f>
        <v>5.2117828130103163</v>
      </c>
      <c r="N49" s="19">
        <f>Eggplant!H40</f>
        <v>0.47146068279187714</v>
      </c>
      <c r="O49" s="19">
        <f>Escarole!H40</f>
        <v>0.30049784695779141</v>
      </c>
      <c r="P49" s="19">
        <f>Garlic!I40</f>
        <v>1.7456096953949012</v>
      </c>
      <c r="Q49" s="19" t="str">
        <f>Kale!J40</f>
        <v>NA</v>
      </c>
      <c r="R49" s="19">
        <f>HeadLettuce!H40</f>
        <v>24.400035469059191</v>
      </c>
      <c r="S49" s="19">
        <f>Romaine!H40</f>
        <v>5.0417060690476649</v>
      </c>
      <c r="T49" s="21">
        <f>LimaBeans!H40</f>
        <v>3.7655376457704941E-2</v>
      </c>
      <c r="U49" s="19">
        <f>Mushrooms!H40</f>
        <v>1.9981806140815457</v>
      </c>
      <c r="V49" s="19" t="str">
        <f>MustardGreens!J40</f>
        <v>NA</v>
      </c>
      <c r="W49" s="19">
        <f>Okra!J40</f>
        <v>0.38361429749438053</v>
      </c>
      <c r="X49" s="19">
        <f>Onions!K40</f>
        <v>17.173518245197592</v>
      </c>
      <c r="Y49" s="19">
        <f>Potatoes!H40</f>
        <v>50.132139115482893</v>
      </c>
      <c r="Z49" s="19">
        <f>Pumpkin!K40</f>
        <v>5.125577905784712</v>
      </c>
      <c r="AA49" s="19">
        <f>Radishes!H40</f>
        <v>0.5168008572361722</v>
      </c>
      <c r="AB49" s="19">
        <f>SnapBeans!H40</f>
        <v>1.5151860598259399</v>
      </c>
      <c r="AC49" s="19">
        <f>Spinach!H40</f>
        <v>0.66484345353595509</v>
      </c>
      <c r="AD49" s="19">
        <f>Squash!H40</f>
        <v>3.7846050602024937</v>
      </c>
      <c r="AE49" s="19">
        <f>SweetPotatoes!L40</f>
        <v>3.6597011606992291</v>
      </c>
      <c r="AF49" s="19">
        <f>Tomatoes!H40</f>
        <v>16.302736493054887</v>
      </c>
      <c r="AG49" s="19" t="str">
        <f>TurnipGreens!J40</f>
        <v>NA</v>
      </c>
      <c r="AH49" s="19">
        <f t="shared" si="0"/>
        <v>187.70656347259637</v>
      </c>
    </row>
    <row r="50" spans="1:34" ht="12" customHeight="1" x14ac:dyDescent="0.2">
      <c r="A50" s="3">
        <v>1994</v>
      </c>
      <c r="B50" s="19">
        <f>+Artichokes!H41</f>
        <v>1.2662966350840432</v>
      </c>
      <c r="C50" s="19">
        <f>+Asparagus!H41</f>
        <v>0.55943744590716526</v>
      </c>
      <c r="D50" s="19">
        <f>Peppers!H41</f>
        <v>7.0592418499202845</v>
      </c>
      <c r="E50" s="19">
        <f>Broccoli!H41</f>
        <v>4.4302944624121237</v>
      </c>
      <c r="F50" s="19">
        <f>BrusselsSprouts!J41</f>
        <v>0.32379781047389117</v>
      </c>
      <c r="G50" s="19">
        <f>Cabbage!I41</f>
        <v>9.082278864695791</v>
      </c>
      <c r="H50" s="19">
        <f>Carrots!H41</f>
        <v>12.676987708589564</v>
      </c>
      <c r="I50" s="19">
        <f>Cauliflower!H41</f>
        <v>2.021363822712158</v>
      </c>
      <c r="J50" s="19">
        <f>Celery!H41</f>
        <v>7.2366346702804503</v>
      </c>
      <c r="K50" s="19" t="str">
        <f>Collards!J41</f>
        <v>NA</v>
      </c>
      <c r="L50" s="19">
        <f>SweetCorn!H41</f>
        <v>8.154861241440047</v>
      </c>
      <c r="M50" s="19">
        <f>Cucumbers!H41</f>
        <v>5.3626922174645841</v>
      </c>
      <c r="N50" s="19">
        <f>Eggplant!H41</f>
        <v>0.51625442232648544</v>
      </c>
      <c r="O50" s="19">
        <f>Escarole!H41</f>
        <v>0.32882629803823327</v>
      </c>
      <c r="P50" s="19">
        <f>Garlic!I41</f>
        <v>1.7971355618746112</v>
      </c>
      <c r="Q50" s="19" t="str">
        <f>Kale!J41</f>
        <v>NA</v>
      </c>
      <c r="R50" s="19">
        <f>HeadLettuce!H41</f>
        <v>25.006619900089589</v>
      </c>
      <c r="S50" s="19">
        <f>Romaine!H41</f>
        <v>5.6782245061419099</v>
      </c>
      <c r="T50" s="21">
        <f>LimaBeans!H41</f>
        <v>5.7319424831837718E-2</v>
      </c>
      <c r="U50" s="19">
        <f>Mushrooms!H41</f>
        <v>2.0447909219644238</v>
      </c>
      <c r="V50" s="19" t="str">
        <f>MustardGreens!J41</f>
        <v>NA</v>
      </c>
      <c r="W50" s="19">
        <f>Okra!J41</f>
        <v>0.24312568282315247</v>
      </c>
      <c r="X50" s="19">
        <f>Onions!K41</f>
        <v>16.917775880190639</v>
      </c>
      <c r="Y50" s="19">
        <f>Potatoes!H41</f>
        <v>49.62886262545743</v>
      </c>
      <c r="Z50" s="19">
        <f>Pumpkin!K41</f>
        <v>5.4914157852988961</v>
      </c>
      <c r="AA50" s="19">
        <f>Radishes!H41</f>
        <v>0.43575459428475988</v>
      </c>
      <c r="AB50" s="19">
        <f>SnapBeans!H41</f>
        <v>1.5386694832900591</v>
      </c>
      <c r="AC50" s="19">
        <f>Spinach!H41</f>
        <v>0.75246318270851376</v>
      </c>
      <c r="AD50" s="19">
        <f>Squash!H41</f>
        <v>3.929753138291654</v>
      </c>
      <c r="AE50" s="19">
        <f>SweetPotatoes!L41</f>
        <v>4.4625730002311332</v>
      </c>
      <c r="AF50" s="19">
        <f>Tomatoes!H41</f>
        <v>16.212377298470976</v>
      </c>
      <c r="AG50" s="19" t="str">
        <f>TurnipGreens!J41</f>
        <v>NA</v>
      </c>
      <c r="AH50" s="19">
        <f t="shared" si="0"/>
        <v>193.21582843529441</v>
      </c>
    </row>
    <row r="51" spans="1:34" ht="12" customHeight="1" x14ac:dyDescent="0.2">
      <c r="A51" s="3">
        <v>1995</v>
      </c>
      <c r="B51" s="19">
        <f>+Artichokes!H42</f>
        <v>0.9247836217394404</v>
      </c>
      <c r="C51" s="19">
        <f>+Asparagus!H42</f>
        <v>0.55675454780778599</v>
      </c>
      <c r="D51" s="19">
        <f>Peppers!H42</f>
        <v>7.0105233974733352</v>
      </c>
      <c r="E51" s="19">
        <f>Broccoli!H42</f>
        <v>4.3070230532306404</v>
      </c>
      <c r="F51" s="19">
        <f>BrusselsSprouts!J42</f>
        <v>0.33501277400330887</v>
      </c>
      <c r="G51" s="19">
        <f>Cabbage!I42</f>
        <v>8.123049572886849</v>
      </c>
      <c r="H51" s="19">
        <f>Carrots!H42</f>
        <v>11.191086082901592</v>
      </c>
      <c r="I51" s="19">
        <f>Cauliflower!H42</f>
        <v>1.6371732875144902</v>
      </c>
      <c r="J51" s="19">
        <f>Celery!H42</f>
        <v>6.9344657015197493</v>
      </c>
      <c r="K51" s="19" t="str">
        <f>Collards!J42</f>
        <v>NA</v>
      </c>
      <c r="L51" s="19">
        <f>SweetCorn!H42</f>
        <v>7.8228102207032633</v>
      </c>
      <c r="M51" s="19">
        <f>Cucumbers!H42</f>
        <v>5.6089460678203906</v>
      </c>
      <c r="N51" s="19">
        <f>Eggplant!H42</f>
        <v>0.47269439557017823</v>
      </c>
      <c r="O51" s="19">
        <f>Escarole!H42</f>
        <v>0.30408033730121514</v>
      </c>
      <c r="P51" s="19">
        <f>Garlic!I42</f>
        <v>1.8497980983767075</v>
      </c>
      <c r="Q51" s="19" t="str">
        <f>Kale!J42</f>
        <v>NA</v>
      </c>
      <c r="R51" s="19">
        <f>HeadLettuce!H42</f>
        <v>22.16710316367606</v>
      </c>
      <c r="S51" s="19">
        <f>Romaine!H42</f>
        <v>5.8945453317676897</v>
      </c>
      <c r="T51" s="21">
        <f>LimaBeans!H42</f>
        <v>6.2650765127158531E-2</v>
      </c>
      <c r="U51" s="19">
        <f>Mushrooms!H42</f>
        <v>2.0474166455003702</v>
      </c>
      <c r="V51" s="19" t="str">
        <f>MustardGreens!J42</f>
        <v>NA</v>
      </c>
      <c r="W51" s="19">
        <f>Okra!J42</f>
        <v>0.38204529250179137</v>
      </c>
      <c r="X51" s="19">
        <f>Onions!K42</f>
        <v>17.781475840543294</v>
      </c>
      <c r="Y51" s="19">
        <f>Potatoes!H42</f>
        <v>49.221960960995212</v>
      </c>
      <c r="Z51" s="19">
        <f>Pumpkin!K42</f>
        <v>5.896322927869087</v>
      </c>
      <c r="AA51" s="19">
        <f>Radishes!H42</f>
        <v>0.41383617650258658</v>
      </c>
      <c r="AB51" s="19">
        <f>SnapBeans!H42</f>
        <v>1.6355258837697002</v>
      </c>
      <c r="AC51" s="19">
        <f>Spinach!H42</f>
        <v>0.67105799885202788</v>
      </c>
      <c r="AD51" s="19">
        <f>Squash!H42</f>
        <v>3.7457672845620267</v>
      </c>
      <c r="AE51" s="19">
        <f>SweetPotatoes!L42</f>
        <v>4.2075965822828891</v>
      </c>
      <c r="AF51" s="19">
        <f>Tomatoes!H42</f>
        <v>16.842481503018114</v>
      </c>
      <c r="AG51" s="19" t="str">
        <f>TurnipGreens!J42</f>
        <v>NA</v>
      </c>
      <c r="AH51" s="19">
        <f t="shared" si="0"/>
        <v>188.04798751581697</v>
      </c>
    </row>
    <row r="52" spans="1:34" ht="12" customHeight="1" x14ac:dyDescent="0.2">
      <c r="A52" s="2">
        <v>1996</v>
      </c>
      <c r="B52" s="18">
        <f>+Artichokes!H43</f>
        <v>0.98941364627485029</v>
      </c>
      <c r="C52" s="18">
        <f>+Asparagus!H43</f>
        <v>0.57789818183166652</v>
      </c>
      <c r="D52" s="18">
        <f>Peppers!H43</f>
        <v>8.0689195436475369</v>
      </c>
      <c r="E52" s="18">
        <f>Broccoli!H43</f>
        <v>4.5160619245217255</v>
      </c>
      <c r="F52" s="18">
        <f>BrusselsSprouts!J43</f>
        <v>0.33040750258652346</v>
      </c>
      <c r="G52" s="18">
        <f>Cabbage!I43</f>
        <v>8.2580029406638573</v>
      </c>
      <c r="H52" s="18">
        <f>Carrots!H43</f>
        <v>12.370076275554666</v>
      </c>
      <c r="I52" s="18">
        <f>Cauliflower!H43</f>
        <v>1.7210114697015209</v>
      </c>
      <c r="J52" s="18">
        <f>Celery!H43</f>
        <v>7.0272565571612402</v>
      </c>
      <c r="K52" s="18" t="str">
        <f>Collards!J43</f>
        <v>NA</v>
      </c>
      <c r="L52" s="18">
        <f>SweetCorn!H43</f>
        <v>8.3260931815906289</v>
      </c>
      <c r="M52" s="18">
        <f>Cucumbers!H43</f>
        <v>5.9303379093474549</v>
      </c>
      <c r="N52" s="18">
        <f>Eggplant!H43</f>
        <v>0.59888677517085898</v>
      </c>
      <c r="O52" s="18">
        <f>Escarole!H43</f>
        <v>0.31911182046746545</v>
      </c>
      <c r="P52" s="18">
        <f>Garlic!I43</f>
        <v>2.2946340680172219</v>
      </c>
      <c r="Q52" s="18" t="str">
        <f>Kale!J43</f>
        <v>NA</v>
      </c>
      <c r="R52" s="18">
        <f>HeadLettuce!H43</f>
        <v>21.574936265838978</v>
      </c>
      <c r="S52" s="18">
        <f>Romaine!H43</f>
        <v>5.8176096074046892</v>
      </c>
      <c r="T52" s="20">
        <f>LimaBeans!H43</f>
        <v>3.7082772456399932E-2</v>
      </c>
      <c r="U52" s="18">
        <f>Mushrooms!H43</f>
        <v>2.103559019507665</v>
      </c>
      <c r="V52" s="18" t="str">
        <f>MustardGreens!J43</f>
        <v>NA</v>
      </c>
      <c r="W52" s="18">
        <f>Okra!J43</f>
        <v>0.33671025391835119</v>
      </c>
      <c r="X52" s="18">
        <f>Onions!K43</f>
        <v>18.322877123751891</v>
      </c>
      <c r="Y52" s="18">
        <f>Potatoes!H43</f>
        <v>49.942441688823628</v>
      </c>
      <c r="Z52" s="18">
        <f>Pumpkin!K43</f>
        <v>5.7748517827172057</v>
      </c>
      <c r="AA52" s="18">
        <f>Radishes!H43</f>
        <v>0.40701950479665666</v>
      </c>
      <c r="AB52" s="18">
        <f>SnapBeans!H43</f>
        <v>1.451637126530128</v>
      </c>
      <c r="AC52" s="18">
        <f>Spinach!H43</f>
        <v>0.62800119035699598</v>
      </c>
      <c r="AD52" s="18">
        <f>Squash!H43</f>
        <v>3.6895980004969093</v>
      </c>
      <c r="AE52" s="18">
        <f>SweetPotatoes!L43</f>
        <v>4.28738263270135</v>
      </c>
      <c r="AF52" s="18">
        <f>Tomatoes!H43</f>
        <v>17.403302539799089</v>
      </c>
      <c r="AG52" s="18" t="str">
        <f>TurnipGreens!J43</f>
        <v>NA</v>
      </c>
      <c r="AH52" s="18">
        <f t="shared" si="0"/>
        <v>193.10512130563717</v>
      </c>
    </row>
    <row r="53" spans="1:34" ht="12" customHeight="1" x14ac:dyDescent="0.2">
      <c r="A53" s="2">
        <v>1997</v>
      </c>
      <c r="B53" s="18">
        <f>+Artichokes!H44</f>
        <v>1.0097107653016359</v>
      </c>
      <c r="C53" s="18">
        <f>+Asparagus!H44</f>
        <v>0.65879647651990392</v>
      </c>
      <c r="D53" s="18">
        <f>Peppers!H44</f>
        <v>7.3339579825361296</v>
      </c>
      <c r="E53" s="18">
        <f>Broccoli!H44</f>
        <v>4.9652750337105012</v>
      </c>
      <c r="F53" s="18">
        <f>BrusselsSprouts!J44</f>
        <v>0.24769889195051895</v>
      </c>
      <c r="G53" s="18">
        <f>Cabbage!I44</f>
        <v>9.0134148223603212</v>
      </c>
      <c r="H53" s="18">
        <f>Carrots!H44</f>
        <v>14.113750527642612</v>
      </c>
      <c r="I53" s="18">
        <f>Cauliflower!H44</f>
        <v>1.7654042328662718</v>
      </c>
      <c r="J53" s="18">
        <f>Celery!H44</f>
        <v>6.5491763718707867</v>
      </c>
      <c r="K53" s="18">
        <f>Collards!J44</f>
        <v>0.79496687576947889</v>
      </c>
      <c r="L53" s="18">
        <f>SweetCorn!H44</f>
        <v>8.290438929032069</v>
      </c>
      <c r="M53" s="18">
        <f>Cucumbers!H44</f>
        <v>6.4228596983643085</v>
      </c>
      <c r="N53" s="18">
        <f>Eggplant!H44</f>
        <v>0.65016378906020988</v>
      </c>
      <c r="O53" s="18">
        <f>Escarole!H44</f>
        <v>0.2994323739520432</v>
      </c>
      <c r="P53" s="18">
        <f>Garlic!I44</f>
        <v>1.9951143018372224</v>
      </c>
      <c r="Q53" s="18">
        <f>Kale!J44</f>
        <v>0.42355411268101084</v>
      </c>
      <c r="R53" s="18">
        <f>HeadLettuce!H44</f>
        <v>23.90161923257314</v>
      </c>
      <c r="S53" s="18">
        <f>Romaine!H44</f>
        <v>6.5947437965351483</v>
      </c>
      <c r="T53" s="20">
        <f>LimaBeans!H44</f>
        <v>2.9313478337339511E-2</v>
      </c>
      <c r="U53" s="18">
        <f>Mushrooms!H44</f>
        <v>2.3412297835347875</v>
      </c>
      <c r="V53" s="18">
        <f>MustardGreens!J44</f>
        <v>0.68184323151785198</v>
      </c>
      <c r="W53" s="18">
        <f>Okra!J44</f>
        <v>0.23038353932183275</v>
      </c>
      <c r="X53" s="18">
        <f>Onions!K44</f>
        <v>18.83941270448716</v>
      </c>
      <c r="Y53" s="18">
        <f>Potatoes!H44</f>
        <v>47.306765085741922</v>
      </c>
      <c r="Z53" s="18">
        <f>Pumpkin!K44</f>
        <v>5.6483838802104724</v>
      </c>
      <c r="AA53" s="18">
        <f>Radishes!H44</f>
        <v>0.50624525561353118</v>
      </c>
      <c r="AB53" s="18">
        <f>SnapBeans!H44</f>
        <v>1.3497453867913467</v>
      </c>
      <c r="AC53" s="18">
        <f>Spinach!H44</f>
        <v>1.1074073840651935</v>
      </c>
      <c r="AD53" s="18">
        <f>Squash!H44</f>
        <v>3.8504536113399195</v>
      </c>
      <c r="AE53" s="18">
        <f>SweetPotatoes!L44</f>
        <v>4.2609369714694409</v>
      </c>
      <c r="AF53" s="18">
        <f>Tomatoes!H44</f>
        <v>17.294979308348481</v>
      </c>
      <c r="AG53" s="18">
        <f>TurnipGreens!J44</f>
        <v>0.52824353637802657</v>
      </c>
      <c r="AH53" s="18">
        <f t="shared" si="0"/>
        <v>199.00542137172064</v>
      </c>
    </row>
    <row r="54" spans="1:34" ht="12" customHeight="1" x14ac:dyDescent="0.2">
      <c r="A54" s="2">
        <v>1998</v>
      </c>
      <c r="B54" s="18">
        <f>+Artichokes!H45</f>
        <v>1.1799160499791754</v>
      </c>
      <c r="C54" s="18">
        <f>+Asparagus!H45</f>
        <v>0.73104280100682684</v>
      </c>
      <c r="D54" s="18">
        <f>Peppers!H45</f>
        <v>7.7627908617753478</v>
      </c>
      <c r="E54" s="18">
        <f>Broccoli!H45</f>
        <v>5.0449792115604009</v>
      </c>
      <c r="F54" s="18">
        <f>BrusselsSprouts!J45</f>
        <v>0.2814044872607428</v>
      </c>
      <c r="G54" s="18">
        <f>Cabbage!I45</f>
        <v>8.4282451080165863</v>
      </c>
      <c r="H54" s="18">
        <f>Carrots!H45</f>
        <v>9.5266696159209019</v>
      </c>
      <c r="I54" s="18">
        <f>Cauliflower!H45</f>
        <v>1.4588124513336833</v>
      </c>
      <c r="J54" s="18">
        <f>Celery!H45</f>
        <v>6.4673903989279831</v>
      </c>
      <c r="K54" s="18">
        <f>Collards!J45</f>
        <v>0.7873458522716984</v>
      </c>
      <c r="L54" s="18">
        <f>SweetCorn!H45</f>
        <v>9.3335118193506315</v>
      </c>
      <c r="M54" s="18">
        <f>Cucumbers!H45</f>
        <v>6.4903032721873126</v>
      </c>
      <c r="N54" s="18">
        <f>Eggplant!H45</f>
        <v>0.6997519149629684</v>
      </c>
      <c r="O54" s="18">
        <f>Escarole!H45</f>
        <v>0.30421735472538614</v>
      </c>
      <c r="P54" s="18">
        <f>Garlic!I45</f>
        <v>2.5842584823099073</v>
      </c>
      <c r="Q54" s="18">
        <f>Kale!J45</f>
        <v>0.40420875359904396</v>
      </c>
      <c r="R54" s="18">
        <f>HeadLettuce!H45</f>
        <v>22.324952411133044</v>
      </c>
      <c r="S54" s="18">
        <f>Romaine!H45</f>
        <v>6.614551013164804</v>
      </c>
      <c r="T54" s="20">
        <f>LimaBeans!H45</f>
        <v>1.5935389239990584E-2</v>
      </c>
      <c r="U54" s="18">
        <f>Mushrooms!H45</f>
        <v>2.4770060348619571</v>
      </c>
      <c r="V54" s="18">
        <f>MustardGreens!J45</f>
        <v>0.68503167158611444</v>
      </c>
      <c r="W54" s="18">
        <f>Okra!J45</f>
        <v>0.28518903999517115</v>
      </c>
      <c r="X54" s="18">
        <f>Onions!K45</f>
        <v>18.400136140383168</v>
      </c>
      <c r="Y54" s="18">
        <f>Potatoes!H45</f>
        <v>46.864080633033332</v>
      </c>
      <c r="Z54" s="18">
        <f>Pumpkin!K45</f>
        <v>6.3565421205512207</v>
      </c>
      <c r="AA54" s="18">
        <f>Radishes!H45</f>
        <v>0.44469635115803202</v>
      </c>
      <c r="AB54" s="18">
        <f>SnapBeans!H45</f>
        <v>1.6405745540807273</v>
      </c>
      <c r="AC54" s="18">
        <f>Spinach!H45</f>
        <v>0.96985820763087838</v>
      </c>
      <c r="AD54" s="18">
        <f>Squash!H45</f>
        <v>4.1602632110618156</v>
      </c>
      <c r="AE54" s="18">
        <f>SweetPotatoes!L45</f>
        <v>3.8476933083652236</v>
      </c>
      <c r="AF54" s="18">
        <f>Tomatoes!H45</f>
        <v>18.496974880031868</v>
      </c>
      <c r="AG54" s="18">
        <f>TurnipGreens!J45</f>
        <v>0.51479130072614676</v>
      </c>
      <c r="AH54" s="18">
        <f t="shared" si="0"/>
        <v>195.58312470219209</v>
      </c>
    </row>
    <row r="55" spans="1:34" ht="12" customHeight="1" x14ac:dyDescent="0.2">
      <c r="A55" s="2">
        <v>1999</v>
      </c>
      <c r="B55" s="18">
        <f>+Artichokes!H46</f>
        <v>1.3208194212928983</v>
      </c>
      <c r="C55" s="18">
        <f>+Asparagus!H46</f>
        <v>0.89411600637318944</v>
      </c>
      <c r="D55" s="18">
        <f>Peppers!H46</f>
        <v>7.7191553656671266</v>
      </c>
      <c r="E55" s="18">
        <f>Broccoli!H46</f>
        <v>6.1592557976333255</v>
      </c>
      <c r="F55" s="18">
        <f>BrusselsSprouts!J46</f>
        <v>0.25779194042141818</v>
      </c>
      <c r="G55" s="18">
        <f>Cabbage!I46</f>
        <v>7.5535821443276818</v>
      </c>
      <c r="H55" s="18">
        <f>Carrots!H46</f>
        <v>9.252603687856924</v>
      </c>
      <c r="I55" s="18">
        <f>Cauliflower!H46</f>
        <v>1.764442614439929</v>
      </c>
      <c r="J55" s="18">
        <f>Celery!H46</f>
        <v>6.5317240874344327</v>
      </c>
      <c r="K55" s="18">
        <f>Collards!J46</f>
        <v>0.77996383751946874</v>
      </c>
      <c r="L55" s="18">
        <f>SweetCorn!H46</f>
        <v>9.0949297087309109</v>
      </c>
      <c r="M55" s="18">
        <f>Cucumbers!H46</f>
        <v>6.7292078125279717</v>
      </c>
      <c r="N55" s="18">
        <f>Eggplant!H46</f>
        <v>0.66601979985320181</v>
      </c>
      <c r="O55" s="18">
        <f>Escarole!H46</f>
        <v>0.22510255955172842</v>
      </c>
      <c r="P55" s="18">
        <f>Garlic!I46</f>
        <v>3.2924124016792278</v>
      </c>
      <c r="Q55" s="18">
        <f>Kale!J46</f>
        <v>0.3853387994772553</v>
      </c>
      <c r="R55" s="18">
        <f>HeadLettuce!H46</f>
        <v>24.909063681770171</v>
      </c>
      <c r="S55" s="18">
        <f>Romaine!H46</f>
        <v>7.5915764943876543</v>
      </c>
      <c r="T55" s="20">
        <f>LimaBeans!H46</f>
        <v>2.4490073220071965E-2</v>
      </c>
      <c r="U55" s="18">
        <f>Mushrooms!H46</f>
        <v>2.5051204677634185</v>
      </c>
      <c r="V55" s="18">
        <f>MustardGreens!J46</f>
        <v>0.68820365563293284</v>
      </c>
      <c r="W55" s="18">
        <f>Okra!J46</f>
        <v>0.27126851721895007</v>
      </c>
      <c r="X55" s="18">
        <f>Onions!K46</f>
        <v>18.478304830125492</v>
      </c>
      <c r="Y55" s="18">
        <f>Potatoes!H46</f>
        <v>47.707186654075436</v>
      </c>
      <c r="Z55" s="18">
        <f>Pumpkin!K46</f>
        <v>5.9205161398592896</v>
      </c>
      <c r="AA55" s="18">
        <f>Radishes!H46</f>
        <v>0.39181832900696395</v>
      </c>
      <c r="AB55" s="18">
        <f>SnapBeans!H46</f>
        <v>1.8951818471508617</v>
      </c>
      <c r="AC55" s="18">
        <f>Spinach!H46</f>
        <v>0.97163350937181092</v>
      </c>
      <c r="AD55" s="18">
        <f>Squash!H46</f>
        <v>4.0979395762067581</v>
      </c>
      <c r="AE55" s="18">
        <f>SweetPotatoes!L46</f>
        <v>3.7182721872930053</v>
      </c>
      <c r="AF55" s="18">
        <f>Tomatoes!H46</f>
        <v>19.068020641257455</v>
      </c>
      <c r="AG55" s="18">
        <f>TurnipGreens!J46</f>
        <v>0.51393229925231143</v>
      </c>
      <c r="AH55" s="18">
        <f t="shared" ref="AH55:AH65" si="1">SUM(B55:AG55)</f>
        <v>201.37899488837925</v>
      </c>
    </row>
    <row r="56" spans="1:34" ht="12" customHeight="1" x14ac:dyDescent="0.2">
      <c r="A56" s="2">
        <v>2000</v>
      </c>
      <c r="B56" s="18">
        <f>+Artichokes!H47</f>
        <v>1.241738369106008</v>
      </c>
      <c r="C56" s="18">
        <f>+Asparagus!H47</f>
        <v>0.95665188497972653</v>
      </c>
      <c r="D56" s="18">
        <f>Peppers!H47</f>
        <v>8.1856459950758715</v>
      </c>
      <c r="E56" s="18">
        <f>Broccoli!H47</f>
        <v>5.8884478752412477</v>
      </c>
      <c r="F56" s="18">
        <f>BrusselsSprouts!J47</f>
        <v>0.28310628657258702</v>
      </c>
      <c r="G56" s="18">
        <f>Cabbage!I47</f>
        <v>8.8998361598526845</v>
      </c>
      <c r="H56" s="18">
        <f>Carrots!H47</f>
        <v>9.2038453777644005</v>
      </c>
      <c r="I56" s="18">
        <f>Cauliflower!H47</f>
        <v>1.7370173654407988</v>
      </c>
      <c r="J56" s="18">
        <f>Celery!H47</f>
        <v>6.2689722258618561</v>
      </c>
      <c r="K56" s="18">
        <f>Collards!J47</f>
        <v>0.77299431627034032</v>
      </c>
      <c r="L56" s="18">
        <f>SweetCorn!H47</f>
        <v>9.0396684207730598</v>
      </c>
      <c r="M56" s="18">
        <f>Cucumbers!H47</f>
        <v>6.3513134125396178</v>
      </c>
      <c r="N56" s="18">
        <f>Eggplant!H47</f>
        <v>0.80699103705933395</v>
      </c>
      <c r="O56" s="18">
        <f>Escarole!H47</f>
        <v>0.34464439414274833</v>
      </c>
      <c r="P56" s="18">
        <f>Garlic!I47</f>
        <v>2.2202978063530288</v>
      </c>
      <c r="Q56" s="18">
        <f>Kale!J47</f>
        <v>0.3847169644279973</v>
      </c>
      <c r="R56" s="18">
        <f>HeadLettuce!H47</f>
        <v>23.460628120402998</v>
      </c>
      <c r="S56" s="18">
        <f>Romaine!H47</f>
        <v>8.3850039006321175</v>
      </c>
      <c r="T56" s="20">
        <f>LimaBeans!H47</f>
        <v>4.9089844243937981E-2</v>
      </c>
      <c r="U56" s="18">
        <f>Mushrooms!H47</f>
        <v>2.6040477984240646</v>
      </c>
      <c r="V56" s="18">
        <f>MustardGreens!J47</f>
        <v>0.7349308213963206</v>
      </c>
      <c r="W56" s="18">
        <f>Okra!J47</f>
        <v>0.21457901268622628</v>
      </c>
      <c r="X56" s="18">
        <f>Onions!K47</f>
        <v>18.873766607341754</v>
      </c>
      <c r="Y56" s="18">
        <f>Potatoes!H47</f>
        <v>47.147202587779098</v>
      </c>
      <c r="Z56" s="18">
        <f>Pumpkin!K47</f>
        <v>4.5988847977194256</v>
      </c>
      <c r="AA56" s="18">
        <f>Radishes!H47</f>
        <v>0.48062190383696018</v>
      </c>
      <c r="AB56" s="18">
        <f>SnapBeans!H47</f>
        <v>2.0160333384917752</v>
      </c>
      <c r="AC56" s="18">
        <f>Spinach!H47</f>
        <v>1.3747403828107017</v>
      </c>
      <c r="AD56" s="18">
        <f>Squash!H47</f>
        <v>4.4308291201586485</v>
      </c>
      <c r="AE56" s="18">
        <f>SweetPotatoes!L47</f>
        <v>4.2046179053774102</v>
      </c>
      <c r="AF56" s="18">
        <f>Tomatoes!H47</f>
        <v>18.984834828337199</v>
      </c>
      <c r="AG56" s="18">
        <f>TurnipGreens!J47</f>
        <v>0.51525399720240095</v>
      </c>
      <c r="AH56" s="18">
        <f t="shared" si="1"/>
        <v>200.66095285830232</v>
      </c>
    </row>
    <row r="57" spans="1:34" ht="12" customHeight="1" x14ac:dyDescent="0.2">
      <c r="A57" s="3">
        <v>2001</v>
      </c>
      <c r="B57" s="19">
        <f>+Artichokes!H48</f>
        <v>1.229625983712769</v>
      </c>
      <c r="C57" s="19">
        <f>+Asparagus!H48</f>
        <v>0.91983304761915008</v>
      </c>
      <c r="D57" s="19">
        <f>Peppers!H48</f>
        <v>8.1194560001452345</v>
      </c>
      <c r="E57" s="19">
        <f>Broccoli!H48</f>
        <v>5.39869385492507</v>
      </c>
      <c r="F57" s="19">
        <f>BrusselsSprouts!J48</f>
        <v>0.2298523337918035</v>
      </c>
      <c r="G57" s="19">
        <f>Cabbage!I48</f>
        <v>8.8280183459605244</v>
      </c>
      <c r="H57" s="19">
        <f>Carrots!H48</f>
        <v>9.380094517797211</v>
      </c>
      <c r="I57" s="19">
        <f>Cauliflower!H48</f>
        <v>1.5193312972345965</v>
      </c>
      <c r="J57" s="19">
        <f>Celery!H48</f>
        <v>6.4123286933316335</v>
      </c>
      <c r="K57" s="19">
        <f>Collards!J48</f>
        <v>0.7666214014776731</v>
      </c>
      <c r="L57" s="19">
        <f>SweetCorn!H48</f>
        <v>9.1731927549055161</v>
      </c>
      <c r="M57" s="19">
        <f>Cucumbers!H48</f>
        <v>6.2677319815115977</v>
      </c>
      <c r="N57" s="19">
        <f>Eggplant!H48</f>
        <v>0.83239202122804279</v>
      </c>
      <c r="O57" s="19">
        <f>Escarole!H48</f>
        <v>0.35020843445541416</v>
      </c>
      <c r="P57" s="19">
        <f>Garlic!I48</f>
        <v>2.4156995048095555</v>
      </c>
      <c r="Q57" s="19">
        <f>Kale!J48</f>
        <v>0.36680719160861869</v>
      </c>
      <c r="R57" s="19">
        <f>HeadLettuce!H48</f>
        <v>22.988083123478127</v>
      </c>
      <c r="S57" s="19">
        <f>Romaine!H48</f>
        <v>8.0272374820019294</v>
      </c>
      <c r="T57" s="21">
        <f>LimaBeans!H48</f>
        <v>5.3372655562634007E-2</v>
      </c>
      <c r="U57" s="19">
        <f>Mushrooms!H48</f>
        <v>2.5942735318471404</v>
      </c>
      <c r="V57" s="19">
        <f>MustardGreens!J48</f>
        <v>0.781100579228447</v>
      </c>
      <c r="W57" s="19">
        <f>Okra!J48</f>
        <v>0.27470433886143641</v>
      </c>
      <c r="X57" s="19">
        <f>Onions!K48</f>
        <v>18.467651748980558</v>
      </c>
      <c r="Y57" s="19">
        <f>Potatoes!H48</f>
        <v>46.570394503476955</v>
      </c>
      <c r="Z57" s="19">
        <f>Pumpkin!K48</f>
        <v>4.1023443952607757</v>
      </c>
      <c r="AA57" s="19">
        <f>Radishes!H48</f>
        <v>0.50753860068475443</v>
      </c>
      <c r="AB57" s="19">
        <f>SnapBeans!H48</f>
        <v>2.1654365314683583</v>
      </c>
      <c r="AC57" s="19">
        <f>Spinach!H48</f>
        <v>1.0729158933458043</v>
      </c>
      <c r="AD57" s="19">
        <f>Squash!H48</f>
        <v>4.1968830716529153</v>
      </c>
      <c r="AE57" s="19">
        <f>SweetPotatoes!L48</f>
        <v>4.3690054768300195</v>
      </c>
      <c r="AF57" s="19">
        <f>Tomatoes!H48</f>
        <v>19.203053458327584</v>
      </c>
      <c r="AG57" s="19">
        <f>TurnipGreens!J48</f>
        <v>0.41498863378027323</v>
      </c>
      <c r="AH57" s="19">
        <f t="shared" si="1"/>
        <v>197.99887138930211</v>
      </c>
    </row>
    <row r="58" spans="1:34" ht="12" customHeight="1" x14ac:dyDescent="0.2">
      <c r="A58" s="3">
        <v>2002</v>
      </c>
      <c r="B58" s="19">
        <f>+Artichokes!H49</f>
        <v>1.3238015987986707</v>
      </c>
      <c r="C58" s="19">
        <f>+Asparagus!H49</f>
        <v>0.9635836925156871</v>
      </c>
      <c r="D58" s="19">
        <f>Peppers!H49</f>
        <v>8.2645699497177425</v>
      </c>
      <c r="E58" s="19">
        <f>Broccoli!H49</f>
        <v>5.3513382375993448</v>
      </c>
      <c r="F58" s="19">
        <f>BrusselsSprouts!J49</f>
        <v>0.20080839194261579</v>
      </c>
      <c r="G58" s="19">
        <f>Cabbage!I49</f>
        <v>8.2950776060954308</v>
      </c>
      <c r="H58" s="19">
        <f>Carrots!H49</f>
        <v>8.4173659463063899</v>
      </c>
      <c r="I58" s="19">
        <f>Cauliflower!H49</f>
        <v>1.4253419549547413</v>
      </c>
      <c r="J58" s="19">
        <f>Celery!H49</f>
        <v>6.3019612813278254</v>
      </c>
      <c r="K58" s="19">
        <f>Collards!J49</f>
        <v>0.76034595621838341</v>
      </c>
      <c r="L58" s="19">
        <f>SweetCorn!H49</f>
        <v>8.9739509632220038</v>
      </c>
      <c r="M58" s="19">
        <f>Cucumbers!H49</f>
        <v>6.6233857810736083</v>
      </c>
      <c r="N58" s="19">
        <f>Eggplant!H49</f>
        <v>0.71906531948382746</v>
      </c>
      <c r="O58" s="19">
        <f>Escarole!H49</f>
        <v>0.30973659958022637</v>
      </c>
      <c r="P58" s="19">
        <f>Garlic!I49</f>
        <v>2.4999251154348969</v>
      </c>
      <c r="Q58" s="19">
        <f>Kale!J49</f>
        <v>0.34571387602873521</v>
      </c>
      <c r="R58" s="19">
        <f>HeadLettuce!H49</f>
        <v>22.5425641716967</v>
      </c>
      <c r="S58" s="19">
        <f>Romaine!H49</f>
        <v>9.5939436213107694</v>
      </c>
      <c r="T58" s="21">
        <f>LimaBeans!H49</f>
        <v>6.9084446897378859E-2</v>
      </c>
      <c r="U58" s="19">
        <f>Mushrooms!H49</f>
        <v>2.6319975297743046</v>
      </c>
      <c r="V58" s="19">
        <f>MustardGreens!J49</f>
        <v>0.69869755990451132</v>
      </c>
      <c r="W58" s="19">
        <f>Okra!J49</f>
        <v>0.22404751488675212</v>
      </c>
      <c r="X58" s="19">
        <f>Onions!K49</f>
        <v>19.323332153133183</v>
      </c>
      <c r="Y58" s="19">
        <f>Potatoes!H49</f>
        <v>44.266453451673968</v>
      </c>
      <c r="Z58" s="19">
        <f>Pumpkin!K49</f>
        <v>4.0127416203015382</v>
      </c>
      <c r="AA58" s="19">
        <f>Radishes!H49</f>
        <v>0.51293276490086326</v>
      </c>
      <c r="AB58" s="19">
        <f>SnapBeans!H49</f>
        <v>2.0933349515175412</v>
      </c>
      <c r="AC58" s="19">
        <f>Spinach!H49</f>
        <v>1.4314035317521137</v>
      </c>
      <c r="AD58" s="19">
        <f>Squash!H49</f>
        <v>4.6079797185238327</v>
      </c>
      <c r="AE58" s="19">
        <f>SweetPotatoes!L49</f>
        <v>3.7559500474233647</v>
      </c>
      <c r="AF58" s="19">
        <f>Tomatoes!H49</f>
        <v>20.311476255839636</v>
      </c>
      <c r="AG58" s="19">
        <f>TurnipGreens!J49</f>
        <v>0.45786113858047317</v>
      </c>
      <c r="AH58" s="19">
        <f t="shared" si="1"/>
        <v>197.30977274841706</v>
      </c>
    </row>
    <row r="59" spans="1:34" ht="12" customHeight="1" x14ac:dyDescent="0.2">
      <c r="A59" s="3">
        <v>2003</v>
      </c>
      <c r="B59" s="19">
        <f>+Artichokes!H50</f>
        <v>1.4360411423941206</v>
      </c>
      <c r="C59" s="19">
        <f>+Asparagus!H50</f>
        <v>1.0432084258451406</v>
      </c>
      <c r="D59" s="19">
        <f>Peppers!H50</f>
        <v>8.4142154158381217</v>
      </c>
      <c r="E59" s="19">
        <f>Broccoli!H50</f>
        <v>5.3472684241119701</v>
      </c>
      <c r="F59" s="19">
        <f>BrusselsSprouts!J50</f>
        <v>0.23743906002852608</v>
      </c>
      <c r="G59" s="19">
        <f>Cabbage!I50</f>
        <v>7.396751998525656</v>
      </c>
      <c r="H59" s="19">
        <f>Carrots!H50</f>
        <v>8.7787992505347834</v>
      </c>
      <c r="I59" s="19">
        <f>Cauliflower!H50</f>
        <v>1.5592271237092605</v>
      </c>
      <c r="J59" s="19">
        <f>Celery!H50</f>
        <v>6.2685696832972413</v>
      </c>
      <c r="K59" s="19">
        <f>Collards!J50</f>
        <v>0.86956129952797434</v>
      </c>
      <c r="L59" s="19">
        <f>SweetCorn!H50</f>
        <v>9.1655909449359942</v>
      </c>
      <c r="M59" s="19">
        <f>Cucumbers!H50</f>
        <v>6.1576521171194374</v>
      </c>
      <c r="N59" s="19">
        <f>Eggplant!H50</f>
        <v>0.72546446778074136</v>
      </c>
      <c r="O59" s="19">
        <f>Escarole!H50</f>
        <v>0.3236611243379805</v>
      </c>
      <c r="P59" s="19">
        <f>Garlic!I50</f>
        <v>2.8271752917101871</v>
      </c>
      <c r="Q59" s="19">
        <f>Kale!J50</f>
        <v>0.30920214050380568</v>
      </c>
      <c r="R59" s="19">
        <f>HeadLettuce!H50</f>
        <v>22.231501450001826</v>
      </c>
      <c r="S59" s="19">
        <f>Romaine!H50</f>
        <v>10.820557091135051</v>
      </c>
      <c r="T59" s="21">
        <f>LimaBeans!H50</f>
        <v>6.0206198860269122E-2</v>
      </c>
      <c r="U59" s="19">
        <f>Mushrooms!H50</f>
        <v>2.6560345150852855</v>
      </c>
      <c r="V59" s="19">
        <f>MustardGreens!J50</f>
        <v>0.79904156749561051</v>
      </c>
      <c r="W59" s="19">
        <f>Okra!J50</f>
        <v>0.3349853382725872</v>
      </c>
      <c r="X59" s="19">
        <f>Onions!K50</f>
        <v>19.50712921718889</v>
      </c>
      <c r="Y59" s="19">
        <f>Potatoes!H50</f>
        <v>46.778397799407166</v>
      </c>
      <c r="Z59" s="19">
        <f>Pumpkin!K50</f>
        <v>3.7609234254955708</v>
      </c>
      <c r="AA59" s="19">
        <f>Radishes!H50</f>
        <v>0.35002240313493538</v>
      </c>
      <c r="AB59" s="19">
        <f>SnapBeans!H50</f>
        <v>1.966898241505936</v>
      </c>
      <c r="AC59" s="19">
        <f>Spinach!H50</f>
        <v>1.6067355789327482</v>
      </c>
      <c r="AD59" s="19">
        <f>Squash!H50</f>
        <v>4.2856275035096152</v>
      </c>
      <c r="AE59" s="19">
        <f>SweetPotatoes!L50</f>
        <v>4.6957125118656871</v>
      </c>
      <c r="AF59" s="19">
        <f>Tomatoes!H50</f>
        <v>19.411739903365675</v>
      </c>
      <c r="AG59" s="19">
        <f>TurnipGreens!J50</f>
        <v>0.52254796386399338</v>
      </c>
      <c r="AH59" s="19">
        <f t="shared" si="1"/>
        <v>200.64788861932178</v>
      </c>
    </row>
    <row r="60" spans="1:34" ht="12" customHeight="1" x14ac:dyDescent="0.2">
      <c r="A60" s="3">
        <v>2004</v>
      </c>
      <c r="B60" s="19">
        <f>+Artichokes!H51</f>
        <v>1.3633074772223983</v>
      </c>
      <c r="C60" s="19">
        <f>+Asparagus!H51</f>
        <v>1.1247170986711672</v>
      </c>
      <c r="D60" s="19">
        <f>Peppers!H51</f>
        <v>8.6367858256714545</v>
      </c>
      <c r="E60" s="19">
        <f>Broccoli!H51</f>
        <v>5.3137156388798816</v>
      </c>
      <c r="F60" s="19">
        <f>BrusselsSprouts!J51</f>
        <v>0.24517408322785025</v>
      </c>
      <c r="G60" s="19">
        <f>Cabbage!I51</f>
        <v>8.0429742944758136</v>
      </c>
      <c r="H60" s="19">
        <f>Carrots!H51</f>
        <v>8.721080087098489</v>
      </c>
      <c r="I60" s="19">
        <f>Cauliflower!H51</f>
        <v>1.559213112779376</v>
      </c>
      <c r="J60" s="19">
        <f>Celery!H51</f>
        <v>6.2303707124285461</v>
      </c>
      <c r="K60" s="19">
        <f>Collards!J51</f>
        <v>0.84885581560367362</v>
      </c>
      <c r="L60" s="19">
        <f>SweetCorn!H51</f>
        <v>8.9623187998862619</v>
      </c>
      <c r="M60" s="19">
        <f>Cucumbers!H51</f>
        <v>6.4298870981039746</v>
      </c>
      <c r="N60" s="19">
        <f>Eggplant!H51</f>
        <v>0.72473673316126519</v>
      </c>
      <c r="O60" s="19">
        <f>Escarole!H51</f>
        <v>0.31173439632640804</v>
      </c>
      <c r="P60" s="19">
        <f>Garlic!I51</f>
        <v>2.5670262212686064</v>
      </c>
      <c r="Q60" s="19">
        <f>Kale!J51</f>
        <v>0.32169488880408176</v>
      </c>
      <c r="R60" s="19">
        <f>HeadLettuce!H51</f>
        <v>21.258023252865602</v>
      </c>
      <c r="S60" s="19">
        <f>Romaine!H51</f>
        <v>11.98333284115348</v>
      </c>
      <c r="T60" s="21">
        <f>LimaBeans!H51</f>
        <v>6.6134540862425373E-2</v>
      </c>
      <c r="U60" s="19">
        <f>Mushrooms!H51</f>
        <v>2.6197138140281715</v>
      </c>
      <c r="V60" s="19">
        <f>MustardGreens!J51</f>
        <v>0.77998415221819162</v>
      </c>
      <c r="W60" s="19">
        <f>Okra!J51</f>
        <v>0.39059313165090886</v>
      </c>
      <c r="X60" s="19">
        <f>Onions!K51</f>
        <v>21.917224943427868</v>
      </c>
      <c r="Y60" s="19">
        <f>Potatoes!H51</f>
        <v>45.838528479986344</v>
      </c>
      <c r="Z60" s="19">
        <f>Pumpkin!K51</f>
        <v>4.5124711112049729</v>
      </c>
      <c r="AA60" s="19">
        <f>Radishes!H51</f>
        <v>0.48506881562019633</v>
      </c>
      <c r="AB60" s="19">
        <f>SnapBeans!H51</f>
        <v>1.882187011975625</v>
      </c>
      <c r="AC60" s="19">
        <f>Spinach!H51</f>
        <v>1.8452428675167551</v>
      </c>
      <c r="AD60" s="19">
        <f>Squash!H51</f>
        <v>4.2593103440249243</v>
      </c>
      <c r="AE60" s="19">
        <f>SweetPotatoes!L51</f>
        <v>4.7031067203881127</v>
      </c>
      <c r="AF60" s="19">
        <f>Tomatoes!H51</f>
        <v>19.949802337216507</v>
      </c>
      <c r="AG60" s="19">
        <f>TurnipGreens!J51</f>
        <v>0.50803449836818237</v>
      </c>
      <c r="AH60" s="19">
        <f t="shared" si="1"/>
        <v>204.40235114611752</v>
      </c>
    </row>
    <row r="61" spans="1:34" ht="12" customHeight="1" x14ac:dyDescent="0.2">
      <c r="A61" s="3">
        <v>2005</v>
      </c>
      <c r="B61" s="19">
        <f>+Artichokes!H52</f>
        <v>1.3951785640828065</v>
      </c>
      <c r="C61" s="19">
        <f>+Asparagus!H52</f>
        <v>1.1162937170580551</v>
      </c>
      <c r="D61" s="19">
        <f>Peppers!H52</f>
        <v>9.2056334577420031</v>
      </c>
      <c r="E61" s="19">
        <f>Broccoli!H52</f>
        <v>5.3416230037524768</v>
      </c>
      <c r="F61" s="19">
        <f>BrusselsSprouts!J52</f>
        <v>0.28764681578733559</v>
      </c>
      <c r="G61" s="19">
        <f>Cabbage!I52</f>
        <v>7.7573974137945712</v>
      </c>
      <c r="H61" s="19">
        <f>Carrots!H52</f>
        <v>8.6647132761910832</v>
      </c>
      <c r="I61" s="19">
        <f>Cauliflower!H52</f>
        <v>1.7506484070143222</v>
      </c>
      <c r="J61" s="19">
        <f>Celery!H52</f>
        <v>5.9227595689328085</v>
      </c>
      <c r="K61" s="19">
        <f>Collards!J52</f>
        <v>0.74105869709072558</v>
      </c>
      <c r="L61" s="19">
        <f>SweetCorn!H52</f>
        <v>8.6515481868339208</v>
      </c>
      <c r="M61" s="19">
        <f>Cucumbers!H52</f>
        <v>6.1934731392091527</v>
      </c>
      <c r="N61" s="19">
        <f>Eggplant!H52</f>
        <v>0.84986249042564899</v>
      </c>
      <c r="O61" s="19">
        <f>Escarole!H52</f>
        <v>0.25282499598158209</v>
      </c>
      <c r="P61" s="19">
        <f>Garlic!I52</f>
        <v>2.4365965830091163</v>
      </c>
      <c r="Q61" s="19">
        <f>Kale!J52</f>
        <v>0.35131376043959234</v>
      </c>
      <c r="R61" s="19">
        <f>HeadLettuce!H52</f>
        <v>20.913060281171223</v>
      </c>
      <c r="S61" s="19">
        <f>Romaine!H52</f>
        <v>9.6658879916613003</v>
      </c>
      <c r="T61" s="21">
        <f>LimaBeans!H52</f>
        <v>3.3755365577174595E-2</v>
      </c>
      <c r="U61" s="19">
        <f>Mushrooms!H52</f>
        <v>2.6493091293011659</v>
      </c>
      <c r="V61" s="19">
        <f>MustardGreens!J52</f>
        <v>0.68092963746173885</v>
      </c>
      <c r="W61" s="19">
        <f>Okra!J52</f>
        <v>0.44304866524713626</v>
      </c>
      <c r="X61" s="19">
        <f>Onions!K52</f>
        <v>20.897450263443563</v>
      </c>
      <c r="Y61" s="19">
        <f>Potatoes!H52</f>
        <v>41.270996486885807</v>
      </c>
      <c r="Z61" s="19">
        <f>Pumpkin!K52</f>
        <v>4.7908426437187446</v>
      </c>
      <c r="AA61" s="19">
        <f>Radishes!H52</f>
        <v>0.50152865849715766</v>
      </c>
      <c r="AB61" s="19">
        <f>SnapBeans!H52</f>
        <v>1.8008910228624551</v>
      </c>
      <c r="AC61" s="19">
        <f>Spinach!H52</f>
        <v>2.3291890362649421</v>
      </c>
      <c r="AD61" s="19">
        <f>Squash!H52</f>
        <v>4.416919851928558</v>
      </c>
      <c r="AE61" s="19">
        <f>SweetPotatoes!L52</f>
        <v>4.540353077774558</v>
      </c>
      <c r="AF61" s="19">
        <f>Tomatoes!H52</f>
        <v>20.151197610087301</v>
      </c>
      <c r="AG61" s="19">
        <f>TurnipGreens!J52</f>
        <v>0.4432867486807972</v>
      </c>
      <c r="AH61" s="19">
        <f t="shared" si="1"/>
        <v>196.4472185479089</v>
      </c>
    </row>
    <row r="62" spans="1:34" ht="12" customHeight="1" x14ac:dyDescent="0.2">
      <c r="A62" s="2">
        <v>2006</v>
      </c>
      <c r="B62" s="18">
        <f>+Artichokes!H53</f>
        <v>1.6776827269745322</v>
      </c>
      <c r="C62" s="18">
        <f>+Asparagus!H53</f>
        <v>1.1338796319313154</v>
      </c>
      <c r="D62" s="18">
        <f>Peppers!H53</f>
        <v>9.4574366313860736</v>
      </c>
      <c r="E62" s="18">
        <f>Broccoli!H53</f>
        <v>5.761133951017543</v>
      </c>
      <c r="F62" s="18">
        <f>BrusselsSprouts!J53</f>
        <v>0.28227196268777327</v>
      </c>
      <c r="G62" s="18">
        <f>Cabbage!I53</f>
        <v>7.7513071302918695</v>
      </c>
      <c r="H62" s="18">
        <f>Carrots!H53</f>
        <v>8.1082438592579003</v>
      </c>
      <c r="I62" s="18">
        <f>Cauliflower!H53</f>
        <v>1.6973812319620178</v>
      </c>
      <c r="J62" s="18">
        <f>Celery!H53</f>
        <v>6.0832415402455862</v>
      </c>
      <c r="K62" s="18">
        <f>Collards!J53</f>
        <v>0.64688876290734487</v>
      </c>
      <c r="L62" s="18">
        <f>SweetCorn!H53</f>
        <v>8.3262357994463638</v>
      </c>
      <c r="M62" s="18">
        <f>Cucumbers!H53</f>
        <v>6.1404214891629332</v>
      </c>
      <c r="N62" s="18">
        <f>Eggplant!H53</f>
        <v>0.85108398836471622</v>
      </c>
      <c r="O62" s="18">
        <f>Escarole!H53</f>
        <v>0.3125439489330662</v>
      </c>
      <c r="P62" s="18">
        <f>Garlic!I53</f>
        <v>2.6943021960958817</v>
      </c>
      <c r="Q62" s="18">
        <f>Kale!J53</f>
        <v>0.31477841538422829</v>
      </c>
      <c r="R62" s="18">
        <f>HeadLettuce!H53</f>
        <v>20.053725716036332</v>
      </c>
      <c r="S62" s="18">
        <f>Romaine!H53</f>
        <v>11.980200978425032</v>
      </c>
      <c r="T62" s="20">
        <f>LimaBeans!H53</f>
        <v>3.5411210173252418E-2</v>
      </c>
      <c r="U62" s="18">
        <f>Mushrooms!H53</f>
        <v>2.5808625184265108</v>
      </c>
      <c r="V62" s="18">
        <f>MustardGreens!J53</f>
        <v>0.51084660630294776</v>
      </c>
      <c r="W62" s="18">
        <f>Okra!J53</f>
        <v>0.40713879671597414</v>
      </c>
      <c r="X62" s="18">
        <f>Onions!K53</f>
        <v>19.915758397388579</v>
      </c>
      <c r="Y62" s="18">
        <f>Potatoes!H53</f>
        <v>38.577940163545762</v>
      </c>
      <c r="Z62" s="18">
        <f>Pumpkin!K53</f>
        <v>4.6777262417765781</v>
      </c>
      <c r="AA62" s="18">
        <f>Radishes!H53</f>
        <v>0.52358320687450288</v>
      </c>
      <c r="AB62" s="18">
        <f>SnapBeans!H53</f>
        <v>2.0804760968819545</v>
      </c>
      <c r="AC62" s="18">
        <f>Spinach!H53</f>
        <v>1.962141792448105</v>
      </c>
      <c r="AD62" s="18">
        <f>Squash!H53</f>
        <v>4.5765957300474014</v>
      </c>
      <c r="AE62" s="18">
        <f>SweetPotatoes!L53</f>
        <v>4.6544869528529365</v>
      </c>
      <c r="AF62" s="18">
        <f>Tomatoes!H53</f>
        <v>19.770286983104192</v>
      </c>
      <c r="AG62" s="18">
        <f>TurnipGreens!J53</f>
        <v>0.52963727838005747</v>
      </c>
      <c r="AH62" s="18">
        <f t="shared" si="1"/>
        <v>194.07565193542928</v>
      </c>
    </row>
    <row r="63" spans="1:34" ht="12" customHeight="1" x14ac:dyDescent="0.2">
      <c r="A63" s="2">
        <v>2007</v>
      </c>
      <c r="B63" s="18">
        <f>+Artichokes!H54</f>
        <v>1.5485782060237321</v>
      </c>
      <c r="C63" s="18">
        <f>+Asparagus!H54</f>
        <v>1.1606203932778791</v>
      </c>
      <c r="D63" s="18">
        <f>Peppers!H54</f>
        <v>9.3643227189003646</v>
      </c>
      <c r="E63" s="18">
        <f>Broccoli!H54</f>
        <v>5.636014653412591</v>
      </c>
      <c r="F63" s="18">
        <f>BrusselsSprouts!J54</f>
        <v>0.30096193041198205</v>
      </c>
      <c r="G63" s="18">
        <f>Cabbage!I54</f>
        <v>7.950856226808475</v>
      </c>
      <c r="H63" s="18">
        <f>Carrots!H54</f>
        <v>8.0496962196685686</v>
      </c>
      <c r="I63" s="18">
        <f>Cauliflower!H54</f>
        <v>1.6802089723227003</v>
      </c>
      <c r="J63" s="18">
        <f>Celery!H54</f>
        <v>6.2879438017355245</v>
      </c>
      <c r="K63" s="18">
        <f>Collards!J54</f>
        <v>0.67908147915401595</v>
      </c>
      <c r="L63" s="18">
        <f>SweetCorn!H54</f>
        <v>9.224536442022373</v>
      </c>
      <c r="M63" s="18">
        <f>Cucumbers!H54</f>
        <v>6.4229744973804426</v>
      </c>
      <c r="N63" s="18">
        <f>Eggplant!H54</f>
        <v>0.85513085306035685</v>
      </c>
      <c r="O63" s="18">
        <f>Escarole!H54</f>
        <v>0.26642274102502583</v>
      </c>
      <c r="P63" s="18">
        <f>Garlic!I54</f>
        <v>2.7199912352626865</v>
      </c>
      <c r="Q63" s="18">
        <f>Kale!J54</f>
        <v>0.33710207363524586</v>
      </c>
      <c r="R63" s="18">
        <f>HeadLettuce!H54</f>
        <v>18.375639519205308</v>
      </c>
      <c r="S63" s="18">
        <f>Romaine!H54</f>
        <v>11.54250450688691</v>
      </c>
      <c r="T63" s="20">
        <f>LimaBeans!H54</f>
        <v>2.7899184499650051E-2</v>
      </c>
      <c r="U63" s="18">
        <f>Mushrooms!H54</f>
        <v>2.481341113851911</v>
      </c>
      <c r="V63" s="18">
        <f>MustardGreens!J54</f>
        <v>0.39518092299003749</v>
      </c>
      <c r="W63" s="18">
        <f>Okra!J54</f>
        <v>0.45139365739683435</v>
      </c>
      <c r="X63" s="18">
        <f>Onions!K54</f>
        <v>21.612288184464251</v>
      </c>
      <c r="Y63" s="18">
        <f>Potatoes!H54</f>
        <v>38.711299472980009</v>
      </c>
      <c r="Z63" s="18">
        <f>Pumpkin!K54</f>
        <v>4.9667031621435402</v>
      </c>
      <c r="AA63" s="18">
        <f>Radishes!H54</f>
        <v>0.51905351010634615</v>
      </c>
      <c r="AB63" s="18">
        <f>SnapBeans!H54</f>
        <v>2.1979002938230106</v>
      </c>
      <c r="AC63" s="18">
        <f>Spinach!H54</f>
        <v>1.6144363054734816</v>
      </c>
      <c r="AD63" s="18">
        <f>Squash!H54</f>
        <v>4.1253599037491959</v>
      </c>
      <c r="AE63" s="18">
        <f>SweetPotatoes!L54</f>
        <v>5.090030918638714</v>
      </c>
      <c r="AF63" s="18">
        <f>Tomatoes!H54</f>
        <v>19.208305361151989</v>
      </c>
      <c r="AG63" s="18">
        <f>TurnipGreens!J54</f>
        <v>0.45799935767058286</v>
      </c>
      <c r="AH63" s="18">
        <f t="shared" si="1"/>
        <v>194.26177781913373</v>
      </c>
    </row>
    <row r="64" spans="1:34" ht="12" customHeight="1" x14ac:dyDescent="0.2">
      <c r="A64" s="2">
        <v>2008</v>
      </c>
      <c r="B64" s="18">
        <f>+Artichokes!H55</f>
        <v>1.5368830055152538</v>
      </c>
      <c r="C64" s="18">
        <f>+Asparagus!H55</f>
        <v>1.1846333346261033</v>
      </c>
      <c r="D64" s="18">
        <f>Peppers!H55</f>
        <v>9.4790542252590253</v>
      </c>
      <c r="E64" s="18">
        <f>Broccoli!H55</f>
        <v>6.0348707897496672</v>
      </c>
      <c r="F64" s="18">
        <f>BrusselsSprouts!J55</f>
        <v>0.32334531450741205</v>
      </c>
      <c r="G64" s="18">
        <f>Cabbage!I55</f>
        <v>8.0513855152630214</v>
      </c>
      <c r="H64" s="18">
        <f>Carrots!H55</f>
        <v>8.0670399314383427</v>
      </c>
      <c r="I64" s="18">
        <f>Cauliflower!H55</f>
        <v>1.5722572238050661</v>
      </c>
      <c r="J64" s="18">
        <f>Celery!H55</f>
        <v>6.2226889061694912</v>
      </c>
      <c r="K64" s="18">
        <f>Collards!J55</f>
        <v>0.69863613816594483</v>
      </c>
      <c r="L64" s="18">
        <f>SweetCorn!H55</f>
        <v>9.1424374570783016</v>
      </c>
      <c r="M64" s="18">
        <f>Cucumbers!H55</f>
        <v>6.3877553254073938</v>
      </c>
      <c r="N64" s="18">
        <f>Eggplant!H55</f>
        <v>0.77653372688211086</v>
      </c>
      <c r="O64" s="18">
        <f>Escarole!H55</f>
        <v>0.21427060690241212</v>
      </c>
      <c r="P64" s="18">
        <f>Garlic!I55</f>
        <v>2.7649057587007673</v>
      </c>
      <c r="Q64" s="18">
        <f>Kale!J55</f>
        <v>0.37461108077715399</v>
      </c>
      <c r="R64" s="18">
        <f>HeadLettuce!H55</f>
        <v>16.849552196218397</v>
      </c>
      <c r="S64" s="18">
        <f>Romaine!H55</f>
        <v>10.406753457089865</v>
      </c>
      <c r="T64" s="20">
        <f>LimaBeans!H55</f>
        <v>2.0823309131854154E-2</v>
      </c>
      <c r="U64" s="18">
        <f>Mushrooms!H55</f>
        <v>2.462283793990566</v>
      </c>
      <c r="V64" s="18">
        <f>MustardGreens!J55</f>
        <v>0.32413672050125947</v>
      </c>
      <c r="W64" s="18">
        <f>Okra!J55</f>
        <v>0.44916992735783257</v>
      </c>
      <c r="X64" s="18">
        <f>Onions!K55</f>
        <v>20.184822719904261</v>
      </c>
      <c r="Y64" s="18">
        <f>Potatoes!H55</f>
        <v>37.832526016022804</v>
      </c>
      <c r="Z64" s="18">
        <f>Pumpkin!K55</f>
        <v>4.6774003271091189</v>
      </c>
      <c r="AA64" s="18">
        <f>Radishes!H55</f>
        <v>0.51007164793104642</v>
      </c>
      <c r="AB64" s="18">
        <f>SnapBeans!H55</f>
        <v>1.9787763554837925</v>
      </c>
      <c r="AC64" s="18">
        <f>Spinach!H55</f>
        <v>1.7077717345830503</v>
      </c>
      <c r="AD64" s="18">
        <f>Squash!H55</f>
        <v>4.1458613165960898</v>
      </c>
      <c r="AE64" s="18">
        <f>SweetPotatoes!L55</f>
        <v>5.0688895098543725</v>
      </c>
      <c r="AF64" s="18">
        <f>Tomatoes!H55</f>
        <v>18.513589858686661</v>
      </c>
      <c r="AG64" s="18">
        <f>TurnipGreens!J55</f>
        <v>0.36959982786750195</v>
      </c>
      <c r="AH64" s="18">
        <f t="shared" si="1"/>
        <v>188.33333705857598</v>
      </c>
    </row>
    <row r="65" spans="1:34" ht="12" customHeight="1" x14ac:dyDescent="0.2">
      <c r="A65" s="2">
        <v>2009</v>
      </c>
      <c r="B65" s="18">
        <f>+Artichokes!H56</f>
        <v>1.5182328188599219</v>
      </c>
      <c r="C65" s="18">
        <f>+Asparagus!H56</f>
        <v>1.2943572627121196</v>
      </c>
      <c r="D65" s="18">
        <f>Peppers!H56</f>
        <v>9.800546893603677</v>
      </c>
      <c r="E65" s="18">
        <f>Broccoli!H56</f>
        <v>6.20726925617336</v>
      </c>
      <c r="F65" s="18">
        <f>BrusselsSprouts!J56</f>
        <v>0.28089641717236469</v>
      </c>
      <c r="G65" s="18">
        <f>Cabbage!I56</f>
        <v>7.2512525996748751</v>
      </c>
      <c r="H65" s="18">
        <f>Carrots!H56</f>
        <v>7.386188164831414</v>
      </c>
      <c r="I65" s="18">
        <f>Cauliflower!H56</f>
        <v>1.7329623929120523</v>
      </c>
      <c r="J65" s="18">
        <f>Celery!H56</f>
        <v>6.1739802021345307</v>
      </c>
      <c r="K65" s="18">
        <f>Collards!J56</f>
        <v>0.70768770611012677</v>
      </c>
      <c r="L65" s="18">
        <f>SweetCorn!H56</f>
        <v>9.1741352408155521</v>
      </c>
      <c r="M65" s="18">
        <f>Cucumbers!H56</f>
        <v>6.8037164142842501</v>
      </c>
      <c r="N65" s="18">
        <f>Eggplant!H56</f>
        <v>0.80524447686931078</v>
      </c>
      <c r="O65" s="18">
        <f>Escarole!H56</f>
        <v>0.17922306941155958</v>
      </c>
      <c r="P65" s="18">
        <f>Garlic!I56</f>
        <v>2.4464704813767435</v>
      </c>
      <c r="Q65" s="18">
        <f>Kale!J56</f>
        <v>0.40596115385416787</v>
      </c>
      <c r="R65" s="18">
        <f>HeadLettuce!H56</f>
        <v>16.106266566231913</v>
      </c>
      <c r="S65" s="18">
        <f>Romaine!H56</f>
        <v>9.9957733232154364</v>
      </c>
      <c r="T65" s="20">
        <f>LimaBeans!H56</f>
        <v>1.8196590582796011E-2</v>
      </c>
      <c r="U65" s="18">
        <f>Mushrooms!H56</f>
        <v>2.4362095622742941</v>
      </c>
      <c r="V65" s="18">
        <f>MustardGreens!J56</f>
        <v>0.30945401969713665</v>
      </c>
      <c r="W65" s="18">
        <f>Okra!J56</f>
        <v>0.45293134406068947</v>
      </c>
      <c r="X65" s="18">
        <f>Onions!K56</f>
        <v>19.5815748116155</v>
      </c>
      <c r="Y65" s="18">
        <f>Potatoes!H56</f>
        <v>36.646658066337793</v>
      </c>
      <c r="Z65" s="18">
        <f>Pumpkin!K56</f>
        <v>4.0084369123002599</v>
      </c>
      <c r="AA65" s="18">
        <f>Radishes!H56</f>
        <v>0.45761846980167681</v>
      </c>
      <c r="AB65" s="18">
        <f>SnapBeans!H56</f>
        <v>1.7493667774214345</v>
      </c>
      <c r="AC65" s="18">
        <f>Spinach!H56</f>
        <v>2.0259684277427987</v>
      </c>
      <c r="AD65" s="18">
        <f>Squash!H56</f>
        <v>4.3909432839035603</v>
      </c>
      <c r="AE65" s="18">
        <f>SweetPotatoes!L56</f>
        <v>5.2521518628291908</v>
      </c>
      <c r="AF65" s="18">
        <f>Tomatoes!H56</f>
        <v>19.589326086585007</v>
      </c>
      <c r="AG65" s="18">
        <f>TurnipGreens!J56</f>
        <v>0.34339579747952026</v>
      </c>
      <c r="AH65" s="18">
        <f t="shared" si="1"/>
        <v>185.53239645287505</v>
      </c>
    </row>
    <row r="66" spans="1:34" ht="12" customHeight="1" x14ac:dyDescent="0.2">
      <c r="A66" s="2">
        <v>2010</v>
      </c>
      <c r="B66" s="18">
        <f>+Artichokes!H57</f>
        <v>1.4675045804397933</v>
      </c>
      <c r="C66" s="18">
        <f>+Asparagus!H57</f>
        <v>1.3662979840478418</v>
      </c>
      <c r="D66" s="18">
        <f>Peppers!H57</f>
        <v>10.331163247511153</v>
      </c>
      <c r="E66" s="18">
        <f>Broccoli!H57</f>
        <v>5.9538703016606966</v>
      </c>
      <c r="F66" s="18">
        <f>BrusselsSprouts!J57</f>
        <v>0.27798343920443358</v>
      </c>
      <c r="G66" s="18">
        <f>Cabbage!I57</f>
        <v>7.4604229223628913</v>
      </c>
      <c r="H66" s="18">
        <f>Carrots!H57</f>
        <v>7.7576430780892451</v>
      </c>
      <c r="I66" s="18">
        <f>Cauliflower!H57</f>
        <v>1.334243190780587</v>
      </c>
      <c r="J66" s="18">
        <f>Celery!H57</f>
        <v>6.1304398728729339</v>
      </c>
      <c r="K66" s="18">
        <f>Collards!J57</f>
        <v>0.93162485499174696</v>
      </c>
      <c r="L66" s="18">
        <f>SweetCorn!H57</f>
        <v>9.2483539050751435</v>
      </c>
      <c r="M66" s="18">
        <f>Cucumbers!H57</f>
        <v>6.7314380520787465</v>
      </c>
      <c r="N66" s="18">
        <f>Eggplant!H57</f>
        <v>0.74210862898711205</v>
      </c>
      <c r="O66" s="18">
        <f>Escarole!H57</f>
        <v>0.1777564345710656</v>
      </c>
      <c r="P66" s="18">
        <f>Garlic!I57</f>
        <v>2.3436969997985835</v>
      </c>
      <c r="Q66" s="18">
        <f>Kale!J57</f>
        <v>0.45695588844434681</v>
      </c>
      <c r="R66" s="18">
        <f>HeadLettuce!H57</f>
        <v>15.926641771486581</v>
      </c>
      <c r="S66" s="18">
        <f>Romaine!H57</f>
        <v>12.010989303567381</v>
      </c>
      <c r="T66" s="20">
        <f>LimaBeans!H57</f>
        <v>1.1785908608263989E-2</v>
      </c>
      <c r="U66" s="18">
        <f>Mushrooms!H57</f>
        <v>2.601842819453736</v>
      </c>
      <c r="V66" s="18">
        <f>MustardGreens!J57</f>
        <v>0.30923240726120116</v>
      </c>
      <c r="W66" s="18">
        <f>Okra!J57</f>
        <v>0.41191432394840727</v>
      </c>
      <c r="X66" s="18">
        <f>Onions!K57</f>
        <v>19.582980944471359</v>
      </c>
      <c r="Y66" s="18">
        <f>Potatoes!H57</f>
        <v>36.812283897247873</v>
      </c>
      <c r="Z66" s="18">
        <f>Pumpkin!K57</f>
        <v>4.3705261631477708</v>
      </c>
      <c r="AA66" s="18">
        <f>Radishes!H57</f>
        <v>0.49620254200498126</v>
      </c>
      <c r="AB66" s="18">
        <f>SnapBeans!H57</f>
        <v>1.8762963111475366</v>
      </c>
      <c r="AC66" s="18">
        <f>Spinach!H57</f>
        <v>1.6801952629711325</v>
      </c>
      <c r="AD66" s="18">
        <f>Squash!H57</f>
        <v>4.3141660274563529</v>
      </c>
      <c r="AE66" s="18">
        <f>SweetPotatoes!L57</f>
        <v>6.3391482487895328</v>
      </c>
      <c r="AF66" s="18">
        <f>Tomatoes!H57</f>
        <v>20.553096701194676</v>
      </c>
      <c r="AG66" s="18">
        <f>TurnipGreens!J57</f>
        <v>0.33694934151802219</v>
      </c>
      <c r="AH66" s="18">
        <f t="shared" ref="AH66:AH71" si="2">SUM(B66:AG66)</f>
        <v>190.34575535519116</v>
      </c>
    </row>
    <row r="67" spans="1:34" ht="12" customHeight="1" x14ac:dyDescent="0.2">
      <c r="A67" s="33">
        <v>2011</v>
      </c>
      <c r="B67" s="32">
        <f>+Artichokes!H58</f>
        <v>1.6987215852588886</v>
      </c>
      <c r="C67" s="32">
        <f>+Asparagus!H58</f>
        <v>1.3819439574215815</v>
      </c>
      <c r="D67" s="32">
        <f>Peppers!H58</f>
        <v>10.56727870341496</v>
      </c>
      <c r="E67" s="32">
        <f>Broccoli!H58</f>
        <v>5.9432542869493892</v>
      </c>
      <c r="F67" s="32">
        <f>BrusselsSprouts!J58</f>
        <v>0.35336325876271824</v>
      </c>
      <c r="G67" s="32">
        <f>Cabbage!I58</f>
        <v>6.5627720940399525</v>
      </c>
      <c r="H67" s="32">
        <f>Carrots!H58</f>
        <v>7.5047675410968502</v>
      </c>
      <c r="I67" s="32">
        <f>Cauliflower!H58</f>
        <v>1.2472418505335676</v>
      </c>
      <c r="J67" s="32">
        <f>Celery!H58</f>
        <v>5.9781132460168447</v>
      </c>
      <c r="K67" s="32">
        <f>Collards!J58</f>
        <v>0.87472032891399576</v>
      </c>
      <c r="L67" s="32">
        <f>SweetCorn!H58</f>
        <v>8.169059935955735</v>
      </c>
      <c r="M67" s="32">
        <f>Cucumbers!H58</f>
        <v>6.3818219323716932</v>
      </c>
      <c r="N67" s="32">
        <f>Eggplant!H58</f>
        <v>0.71232756988067747</v>
      </c>
      <c r="O67" s="32">
        <f>Escarole!H58</f>
        <v>0.27714772688296291</v>
      </c>
      <c r="P67" s="32">
        <f>Garlic!I58</f>
        <v>2.3202215607411332</v>
      </c>
      <c r="Q67" s="32">
        <f>Kale!J58</f>
        <v>0.5132970529922789</v>
      </c>
      <c r="R67" s="32">
        <f>HeadLettuce!H58</f>
        <v>15.794521171928178</v>
      </c>
      <c r="S67" s="32">
        <f>Romaine!H58</f>
        <v>11.731270175158491</v>
      </c>
      <c r="T67" s="31">
        <f>LimaBeans!H58</f>
        <v>4.9237215083915839E-3</v>
      </c>
      <c r="U67" s="32">
        <f>Mushrooms!H58</f>
        <v>2.7642003693909056</v>
      </c>
      <c r="V67" s="32">
        <f>MustardGreens!J58</f>
        <v>0.29792148155908532</v>
      </c>
      <c r="W67" s="32">
        <f>Okra!J58</f>
        <v>0.46290811182102992</v>
      </c>
      <c r="X67" s="32">
        <f>Onions!K58</f>
        <v>19.125308748068061</v>
      </c>
      <c r="Y67" s="32">
        <f>Potatoes!H58</f>
        <v>34.065011267658939</v>
      </c>
      <c r="Z67" s="32">
        <f>Pumpkin!K58</f>
        <v>4.3647392019563673</v>
      </c>
      <c r="AA67" s="32">
        <f>Radishes!H58</f>
        <v>0.41492519820202278</v>
      </c>
      <c r="AB67" s="32">
        <f>SnapBeans!H58</f>
        <v>1.7273672943873124</v>
      </c>
      <c r="AC67" s="32">
        <f>Spinach!H58</f>
        <v>1.7891967837667992</v>
      </c>
      <c r="AD67" s="32">
        <f>Squash!H58</f>
        <v>4.3947796330238047</v>
      </c>
      <c r="AE67" s="32">
        <f>SweetPotatoes!L58</f>
        <v>7.109339215361449</v>
      </c>
      <c r="AF67" s="32">
        <f>Tomatoes!H58</f>
        <v>20.971903327231523</v>
      </c>
      <c r="AG67" s="32">
        <f>TurnipGreens!J58</f>
        <v>0.3182713539312137</v>
      </c>
      <c r="AH67" s="32">
        <f t="shared" si="2"/>
        <v>185.82263968618679</v>
      </c>
    </row>
    <row r="68" spans="1:34" s="29" customFormat="1" ht="12" customHeight="1" x14ac:dyDescent="0.2">
      <c r="A68" s="3">
        <v>2012</v>
      </c>
      <c r="B68" s="19">
        <f>+Artichokes!H59</f>
        <v>1.4606726409957966</v>
      </c>
      <c r="C68" s="19">
        <f>+Asparagus!H59</f>
        <v>1.4484829931928236</v>
      </c>
      <c r="D68" s="19">
        <f>Peppers!H59</f>
        <v>10.750201218551078</v>
      </c>
      <c r="E68" s="19">
        <f>Broccoli!H59</f>
        <v>6.3053524106775534</v>
      </c>
      <c r="F68" s="19">
        <f>BrusselsSprouts!J59</f>
        <v>0.40828701405832118</v>
      </c>
      <c r="G68" s="19">
        <f>Cabbage!I59</f>
        <v>6.2604616803920283</v>
      </c>
      <c r="H68" s="19">
        <f>Carrots!H59</f>
        <v>7.9491582737214381</v>
      </c>
      <c r="I68" s="19">
        <f>Cauliflower!H59</f>
        <v>1.1759382023234879</v>
      </c>
      <c r="J68" s="19">
        <f>Celery!H59</f>
        <v>5.9574994842291771</v>
      </c>
      <c r="K68" s="19">
        <f>Collards!J59</f>
        <v>1.1032985610394144</v>
      </c>
      <c r="L68" s="19">
        <f>SweetCorn!H59</f>
        <v>8.6809773792266611</v>
      </c>
      <c r="M68" s="19">
        <f>Cucumbers!H59</f>
        <v>7.1238741988234846</v>
      </c>
      <c r="N68" s="19">
        <f>Eggplant!H59</f>
        <v>0.80610884196631361</v>
      </c>
      <c r="O68" s="19">
        <f>Escarole!H59</f>
        <v>0.25749145127569328</v>
      </c>
      <c r="P68" s="19">
        <f>Garlic!I59</f>
        <v>2.2962351142413375</v>
      </c>
      <c r="Q68" s="19">
        <f>Kale!J59</f>
        <v>0.46432683118308066</v>
      </c>
      <c r="R68" s="19">
        <f>HeadLettuce!H59</f>
        <v>15.948869914085213</v>
      </c>
      <c r="S68" s="19">
        <f>Romaine!H59</f>
        <v>11.930382728559582</v>
      </c>
      <c r="T68" s="21">
        <f>LimaBeans!H59</f>
        <v>2.8388986092315609E-3</v>
      </c>
      <c r="U68" s="19">
        <f>Mushrooms!H59</f>
        <v>2.7421543375685871</v>
      </c>
      <c r="V68" s="19">
        <f>MustardGreens!J59</f>
        <v>0.2380025077785615</v>
      </c>
      <c r="W68" s="19">
        <f>Okra!J59</f>
        <v>0.42276275697307886</v>
      </c>
      <c r="X68" s="19">
        <f>Onions!K59</f>
        <v>19.305222280306289</v>
      </c>
      <c r="Y68" s="19">
        <f>Potatoes!H59</f>
        <v>34.5576619570204</v>
      </c>
      <c r="Z68" s="19">
        <f>Pumpkin!K59</f>
        <v>5.0393081430566085</v>
      </c>
      <c r="AA68" s="19">
        <f>Radishes!H59</f>
        <v>0.32608651276471046</v>
      </c>
      <c r="AB68" s="19">
        <f>SnapBeans!H59</f>
        <v>1.6325047244877526</v>
      </c>
      <c r="AC68" s="19">
        <f>Spinach!H59</f>
        <v>1.5553975442401984</v>
      </c>
      <c r="AD68" s="19">
        <f>Squash!H59</f>
        <v>4.6454962711961478</v>
      </c>
      <c r="AE68" s="19">
        <f>SweetPotatoes!L59</f>
        <v>6.8933212620890663</v>
      </c>
      <c r="AF68" s="19">
        <f>Tomatoes!H59</f>
        <v>20.791485097971002</v>
      </c>
      <c r="AG68" s="19">
        <f>TurnipGreens!J59</f>
        <v>0.25149127587514941</v>
      </c>
      <c r="AH68" s="19">
        <f t="shared" si="2"/>
        <v>188.73135250847926</v>
      </c>
    </row>
    <row r="69" spans="1:34" s="93" customFormat="1" ht="12" customHeight="1" x14ac:dyDescent="0.2">
      <c r="A69" s="3">
        <v>2013</v>
      </c>
      <c r="B69" s="19">
        <f>+Artichokes!H60</f>
        <v>1.2832727974490736</v>
      </c>
      <c r="C69" s="19">
        <f>+Asparagus!H60</f>
        <v>1.4153406520389276</v>
      </c>
      <c r="D69" s="19">
        <f>Peppers!H60</f>
        <v>10.030882972043962</v>
      </c>
      <c r="E69" s="19">
        <f>Broccoli!H60</f>
        <v>6.9303936140138971</v>
      </c>
      <c r="F69" s="19">
        <f>BrusselsSprouts!J60</f>
        <v>0.43244722314700401</v>
      </c>
      <c r="G69" s="19">
        <f>Cabbage!I60</f>
        <v>6.9323986274847185</v>
      </c>
      <c r="H69" s="19">
        <f>Carrots!H60</f>
        <v>8.0182204064425147</v>
      </c>
      <c r="I69" s="19">
        <f>Cauliflower!H60</f>
        <v>1.3309032964307099</v>
      </c>
      <c r="J69" s="19">
        <f>Celery!H60</f>
        <v>5.4799511308285132</v>
      </c>
      <c r="K69" s="19">
        <f>Collards!J60</f>
        <v>1.2717669230521929</v>
      </c>
      <c r="L69" s="19">
        <f>SweetCorn!H60</f>
        <v>8.8755284985367098</v>
      </c>
      <c r="M69" s="19">
        <f>Cucumbers!H60</f>
        <v>7.3243487339921396</v>
      </c>
      <c r="N69" s="19">
        <f>Eggplant!H60</f>
        <v>0.84852396698453947</v>
      </c>
      <c r="O69" s="19">
        <f>Escarole!H60</f>
        <v>0.19124081090054693</v>
      </c>
      <c r="P69" s="19">
        <f>Garlic!I60</f>
        <v>2.2598883770064031</v>
      </c>
      <c r="Q69" s="19">
        <f>Kale!J60</f>
        <v>0.55799222846872321</v>
      </c>
      <c r="R69" s="19">
        <f>HeadLettuce!H60</f>
        <v>14.09683705119477</v>
      </c>
      <c r="S69" s="19">
        <f>Romaine!H60</f>
        <v>11.425794058813734</v>
      </c>
      <c r="T69" s="21">
        <f>LimaBeans!H60</f>
        <v>2.3359358907546661E-3</v>
      </c>
      <c r="U69" s="19">
        <f>Mushrooms!H60</f>
        <v>2.7511723364336964</v>
      </c>
      <c r="V69" s="19">
        <f>MustardGreens!J60</f>
        <v>0.26523851277808796</v>
      </c>
      <c r="W69" s="19">
        <f>Okra!J60</f>
        <v>0.30860530198865294</v>
      </c>
      <c r="X69" s="19">
        <f>Onions!K60</f>
        <v>18.489500264679481</v>
      </c>
      <c r="Y69" s="19">
        <f>Potatoes!H60</f>
        <v>34.571754171199288</v>
      </c>
      <c r="Z69" s="19">
        <f>Pumpkin!K60</f>
        <v>4.6822846174457435</v>
      </c>
      <c r="AA69" s="19">
        <f>Radishes!H60</f>
        <v>0.47287199049349832</v>
      </c>
      <c r="AB69" s="19">
        <f>SnapBeans!H60</f>
        <v>1.6225593516975871</v>
      </c>
      <c r="AC69" s="19">
        <f>Spinach!H60</f>
        <v>1.5918449092706135</v>
      </c>
      <c r="AD69" s="19">
        <f>Squash!H60</f>
        <v>4.436908285586048</v>
      </c>
      <c r="AE69" s="19">
        <f>SweetPotatoes!L60</f>
        <v>6.2880713246453164</v>
      </c>
      <c r="AF69" s="19">
        <f>Tomatoes!H60</f>
        <v>20.24071876174202</v>
      </c>
      <c r="AG69" s="19">
        <f>TurnipGreens!J60</f>
        <v>0.23121172988363653</v>
      </c>
      <c r="AH69" s="19">
        <f t="shared" si="2"/>
        <v>184.66080886256347</v>
      </c>
    </row>
    <row r="70" spans="1:34" s="93" customFormat="1" ht="12" customHeight="1" x14ac:dyDescent="0.2">
      <c r="A70" s="3">
        <v>2014</v>
      </c>
      <c r="B70" s="19">
        <f>+Artichokes!H61</f>
        <v>1.4369005072611105</v>
      </c>
      <c r="C70" s="19">
        <f>+Asparagus!H61</f>
        <v>1.6521297866975344</v>
      </c>
      <c r="D70" s="19">
        <f>Peppers!H61</f>
        <v>10.716382050350525</v>
      </c>
      <c r="E70" s="19">
        <f>Broccoli!H61</f>
        <v>6.6497285281697174</v>
      </c>
      <c r="F70" s="19">
        <f>BrusselsSprouts!J61</f>
        <v>0.46197173952351389</v>
      </c>
      <c r="G70" s="19">
        <f>Cabbage!I61</f>
        <v>6.6951541599436784</v>
      </c>
      <c r="H70" s="19">
        <f>Carrots!H61</f>
        <v>8.4867282429356514</v>
      </c>
      <c r="I70" s="19">
        <f>Cauliflower!H61</f>
        <v>1.2918761876366105</v>
      </c>
      <c r="J70" s="19">
        <f>Celery!H61</f>
        <v>5.5419239058637499</v>
      </c>
      <c r="K70" s="19">
        <f>Collards!J61</f>
        <v>1.5381021660318566</v>
      </c>
      <c r="L70" s="19">
        <f>SweetCorn!H61</f>
        <v>7.6465407871672957</v>
      </c>
      <c r="M70" s="19">
        <f>Cucumbers!H61</f>
        <v>7.4325497186559524</v>
      </c>
      <c r="N70" s="19">
        <f>Eggplant!H61</f>
        <v>0.84715997725558445</v>
      </c>
      <c r="O70" s="19">
        <f>Escarole!H61</f>
        <v>0.17285050754666834</v>
      </c>
      <c r="P70" s="19">
        <f>Garlic!I61</f>
        <v>2.2409841955803174</v>
      </c>
      <c r="Q70" s="19">
        <f>Kale!J61</f>
        <v>0.51553089059230073</v>
      </c>
      <c r="R70" s="19">
        <f>HeadLettuce!H61</f>
        <v>14.489312563533229</v>
      </c>
      <c r="S70" s="19">
        <f>Romaine!H61</f>
        <v>10.799519540168497</v>
      </c>
      <c r="T70" s="21">
        <f>LimaBeans!H61</f>
        <v>2.0301705442851057E-3</v>
      </c>
      <c r="U70" s="19">
        <f>Mushrooms!H61</f>
        <v>2.9166873954390025</v>
      </c>
      <c r="V70" s="19">
        <f>MustardGreens!J61</f>
        <v>0.55308091363147516</v>
      </c>
      <c r="W70" s="19">
        <f>Okra!J61</f>
        <v>0.41169627327675673</v>
      </c>
      <c r="X70" s="19">
        <f>Onions!K61</f>
        <v>18.368122917711368</v>
      </c>
      <c r="Y70" s="19">
        <f>Potatoes!H61</f>
        <v>33.619563656171991</v>
      </c>
      <c r="Z70" s="19">
        <f>Pumpkin!K61</f>
        <v>5.3331211672999137</v>
      </c>
      <c r="AA70" s="19">
        <f>Radishes!H61</f>
        <v>0.49928443637424352</v>
      </c>
      <c r="AB70" s="19">
        <f>SnapBeans!H61</f>
        <v>1.4722585211531074</v>
      </c>
      <c r="AC70" s="19">
        <f>Spinach!H61</f>
        <v>1.6716531839682502</v>
      </c>
      <c r="AD70" s="19">
        <f>Squash!H61</f>
        <v>4.5970214998674228</v>
      </c>
      <c r="AE70" s="19">
        <f>SweetPotatoes!L61</f>
        <v>7.4925324723817512</v>
      </c>
      <c r="AF70" s="19">
        <f>Tomatoes!H61</f>
        <v>20.633706898463714</v>
      </c>
      <c r="AG70" s="19">
        <f>TurnipGreens!J61</f>
        <v>0.39376357276062235</v>
      </c>
      <c r="AH70" s="19">
        <f t="shared" si="2"/>
        <v>186.57986853395769</v>
      </c>
    </row>
    <row r="71" spans="1:34" s="93" customFormat="1" ht="12" customHeight="1" x14ac:dyDescent="0.2">
      <c r="A71" s="33">
        <v>2015</v>
      </c>
      <c r="B71" s="32">
        <f>+Artichokes!H62</f>
        <v>1.413985458822397</v>
      </c>
      <c r="C71" s="32">
        <f>+Asparagus!H62</f>
        <v>1.4565680321121746</v>
      </c>
      <c r="D71" s="32">
        <f>Peppers!H62</f>
        <v>10.73352043558152</v>
      </c>
      <c r="E71" s="32">
        <f>Broccoli!H62</f>
        <v>7.4102234911031442</v>
      </c>
      <c r="F71" s="32">
        <f>BrusselsSprouts!J62</f>
        <v>0.69551821504645395</v>
      </c>
      <c r="G71" s="32">
        <f>Cabbage!I62</f>
        <v>6.2895480830002111</v>
      </c>
      <c r="H71" s="32">
        <f>Carrots!H62</f>
        <v>8.7972527919469172</v>
      </c>
      <c r="I71" s="32">
        <f>Cauliflower!H62</f>
        <v>1.578898047534804</v>
      </c>
      <c r="J71" s="32">
        <f>Celery!H62</f>
        <v>5.1454332528162912</v>
      </c>
      <c r="K71" s="32">
        <f>Collards!J62</f>
        <v>1.3039689082074488</v>
      </c>
      <c r="L71" s="32">
        <f>SweetCorn!H62</f>
        <v>8.6163548765719504</v>
      </c>
      <c r="M71" s="32">
        <f>Cucumbers!H62</f>
        <v>7.5634930244004259</v>
      </c>
      <c r="N71" s="32">
        <f>Eggplant!H62</f>
        <v>0.84738844138681002</v>
      </c>
      <c r="O71" s="32">
        <f>Escarole!H62</f>
        <v>8.5504855447888245E-2</v>
      </c>
      <c r="P71" s="32">
        <f>Garlic!I62</f>
        <v>2.3820175528307241</v>
      </c>
      <c r="Q71" s="32">
        <f>Kale!J62</f>
        <v>0.58119478320420737</v>
      </c>
      <c r="R71" s="32">
        <f>HeadLettuce!H62</f>
        <v>13.565084536009882</v>
      </c>
      <c r="S71" s="32">
        <f>Romaine!H62</f>
        <v>11.893887648987763</v>
      </c>
      <c r="T71" s="31">
        <f>LimaBeans!H62</f>
        <v>1.0766804052079046E-3</v>
      </c>
      <c r="U71" s="32">
        <f>Mushrooms!H62</f>
        <v>2.9874260859421309</v>
      </c>
      <c r="V71" s="32">
        <f>MustardGreens!J62</f>
        <v>0.45226518130159948</v>
      </c>
      <c r="W71" s="32">
        <f>Okra!J62</f>
        <v>0.39445488980662441</v>
      </c>
      <c r="X71" s="32">
        <f>Onions!K62</f>
        <v>18.264002344755461</v>
      </c>
      <c r="Y71" s="32">
        <f>Potatoes!H62</f>
        <v>34.155908596413369</v>
      </c>
      <c r="Z71" s="32">
        <f>Pumpkin!K62</f>
        <v>3.1298155032042363</v>
      </c>
      <c r="AA71" s="32">
        <f>Radishes!H62</f>
        <v>0.49040873586245293</v>
      </c>
      <c r="AB71" s="32">
        <f>SnapBeans!H62</f>
        <v>1.591918637027077</v>
      </c>
      <c r="AC71" s="32">
        <f>Spinach!H62</f>
        <v>1.7271688745632849</v>
      </c>
      <c r="AD71" s="32">
        <f>Squash!H62</f>
        <v>4.6433540817856347</v>
      </c>
      <c r="AE71" s="32">
        <f>SweetPotatoes!L62</f>
        <v>7.5645331772156217</v>
      </c>
      <c r="AF71" s="32">
        <f>Tomatoes!H62</f>
        <v>20.559017652562218</v>
      </c>
      <c r="AG71" s="32">
        <f>TurnipGreens!J62</f>
        <v>0.27414575147423165</v>
      </c>
      <c r="AH71" s="32">
        <f t="shared" si="2"/>
        <v>186.59533862733019</v>
      </c>
    </row>
    <row r="72" spans="1:34" s="93" customFormat="1" ht="12" customHeight="1" x14ac:dyDescent="0.2">
      <c r="A72" s="128">
        <v>2016</v>
      </c>
      <c r="B72" s="140">
        <f>+Artichokes!H63</f>
        <v>1.394435005555358</v>
      </c>
      <c r="C72" s="140">
        <f>+Asparagus!H63</f>
        <v>1.5641501395059074</v>
      </c>
      <c r="D72" s="140">
        <f>Peppers!H63</f>
        <v>11.07667924684282</v>
      </c>
      <c r="E72" s="140">
        <f>Broccoli!H63</f>
        <v>7.4536788948646411</v>
      </c>
      <c r="F72" s="140">
        <f>BrusselsSprouts!J63</f>
        <v>0.83206231891426097</v>
      </c>
      <c r="G72" s="140">
        <f>Cabbage!I63</f>
        <v>5.9072115361866482</v>
      </c>
      <c r="H72" s="140">
        <f>Carrots!H63</f>
        <v>7.8218454759663461</v>
      </c>
      <c r="I72" s="140">
        <f>Cauliflower!H63</f>
        <v>1.6584868844832275</v>
      </c>
      <c r="J72" s="140">
        <f>Celery!H63</f>
        <v>5.0381291631618268</v>
      </c>
      <c r="K72" s="140">
        <f>Collards!J63</f>
        <v>1.0947542670403805</v>
      </c>
      <c r="L72" s="140">
        <f>SweetCorn!H63</f>
        <v>7.0971553476388891</v>
      </c>
      <c r="M72" s="140">
        <f>Cucumbers!H63</f>
        <v>8.1198497306112234</v>
      </c>
      <c r="N72" s="140">
        <f>Eggplant!H63</f>
        <v>0.86430112216420396</v>
      </c>
      <c r="O72" s="140">
        <f>Escarole!H63</f>
        <v>3.8200199706137493E-2</v>
      </c>
      <c r="P72" s="140">
        <f>Garlic!I63</f>
        <v>2.8943507101809129</v>
      </c>
      <c r="Q72" s="140">
        <f>Kale!J63</f>
        <v>0.53444939041032191</v>
      </c>
      <c r="R72" s="140">
        <f>HeadLettuce!H63</f>
        <v>16.741939614713917</v>
      </c>
      <c r="S72" s="140">
        <f>Romaine!H63</f>
        <v>14.533751916131676</v>
      </c>
      <c r="T72" s="129">
        <f>LimaBeans!H63</f>
        <v>3.568863048033243E-3</v>
      </c>
      <c r="U72" s="140">
        <f>Mushrooms!H63</f>
        <v>2.9612089904392693</v>
      </c>
      <c r="V72" s="140">
        <f>MustardGreens!J63</f>
        <v>0.44581229922360077</v>
      </c>
      <c r="W72" s="140">
        <f>Okra!J63</f>
        <v>0.54961354719339717</v>
      </c>
      <c r="X72" s="140">
        <f>Onions!K63</f>
        <v>22.744705991689433</v>
      </c>
      <c r="Y72" s="140">
        <f>Potatoes!H63</f>
        <v>33.729318883371363</v>
      </c>
      <c r="Z72" s="140">
        <f>Pumpkin!K63</f>
        <v>7.0228487111841984</v>
      </c>
      <c r="AA72" s="140">
        <f>Radishes!H63</f>
        <v>0.51571210514689181</v>
      </c>
      <c r="AB72" s="140">
        <f>SnapBeans!H63</f>
        <v>1.6992273504955089</v>
      </c>
      <c r="AC72" s="140">
        <f>Spinach!H63</f>
        <v>1.9729317598862199</v>
      </c>
      <c r="AD72" s="140">
        <f>Squash!H63</f>
        <v>5.7326791485199804</v>
      </c>
      <c r="AE72" s="140">
        <f>SweetPotatoes!L63</f>
        <v>7.2232437923645447</v>
      </c>
      <c r="AF72" s="140">
        <f>Tomatoes!H63</f>
        <v>20.310503320672556</v>
      </c>
      <c r="AG72" s="140">
        <f>TurnipGreens!J63</f>
        <v>0.25435338175742994</v>
      </c>
      <c r="AH72" s="140">
        <f t="shared" ref="AH72" si="3">SUM(B72:AG72)</f>
        <v>199.83115910907114</v>
      </c>
    </row>
    <row r="73" spans="1:34" s="93" customFormat="1" ht="12" customHeight="1" x14ac:dyDescent="0.2">
      <c r="A73" s="125">
        <v>2017</v>
      </c>
      <c r="B73" s="159">
        <f>+Artichokes!H64</f>
        <v>1.4263703950655526</v>
      </c>
      <c r="C73" s="159">
        <f>+Asparagus!H64</f>
        <v>1.6186674437628361</v>
      </c>
      <c r="D73" s="159">
        <f>Peppers!H64</f>
        <v>11.304526014718373</v>
      </c>
      <c r="E73" s="159">
        <f>Broccoli!H64</f>
        <v>7.1171773455016201</v>
      </c>
      <c r="F73" s="159">
        <f>BrusselsSprouts!J64</f>
        <v>0.84887658103352281</v>
      </c>
      <c r="G73" s="159">
        <f>Cabbage!I64</f>
        <v>6.2005779077338143</v>
      </c>
      <c r="H73" s="159">
        <f>Carrots!H64</f>
        <v>7.3539207145448691</v>
      </c>
      <c r="I73" s="159">
        <f>Cauliflower!H64</f>
        <v>2.370915976732781</v>
      </c>
      <c r="J73" s="159">
        <f>Celery!H64</f>
        <v>4.7413538849146803</v>
      </c>
      <c r="K73" s="159">
        <f>Collards!J64</f>
        <v>1.0981499246288065</v>
      </c>
      <c r="L73" s="159">
        <f>SweetCorn!H64</f>
        <v>7.2201055910934375</v>
      </c>
      <c r="M73" s="159">
        <f>Cucumbers!H64</f>
        <v>7.4295991758367457</v>
      </c>
      <c r="N73" s="159">
        <f>Eggplant!H64</f>
        <v>0.97022097506679073</v>
      </c>
      <c r="O73" s="159">
        <f>Escarole!H64</f>
        <v>0.18931203711577499</v>
      </c>
      <c r="P73" s="159">
        <f>Garlic!I64</f>
        <v>2.9690459778553131</v>
      </c>
      <c r="Q73" s="159">
        <f>Kale!J64</f>
        <v>1.0323404314899491</v>
      </c>
      <c r="R73" s="159">
        <f>HeadLettuce!H64</f>
        <v>15.210194756405594</v>
      </c>
      <c r="S73" s="159">
        <f>Romaine!H64</f>
        <v>15.081545785402751</v>
      </c>
      <c r="T73" s="126">
        <f>LimaBeans!H64</f>
        <v>4.5139720895132499E-3</v>
      </c>
      <c r="U73" s="159">
        <f>Mushrooms!H64</f>
        <v>2.9648830590178044</v>
      </c>
      <c r="V73" s="159">
        <f>MustardGreens!J64</f>
        <v>0.72945828628495391</v>
      </c>
      <c r="W73" s="159">
        <f>Okra!J64</f>
        <v>0.48300501069736218</v>
      </c>
      <c r="X73" s="159">
        <f>Onions!K64</f>
        <v>25.064768319100565</v>
      </c>
      <c r="Y73" s="159">
        <f>Potatoes!H64</f>
        <v>34.856281079768969</v>
      </c>
      <c r="Z73" s="159">
        <f>Pumpkin!K64</f>
        <v>6.6662143384133019</v>
      </c>
      <c r="AA73" s="159">
        <f>Radishes!H64</f>
        <v>0.53486886327451477</v>
      </c>
      <c r="AB73" s="159">
        <f>SnapBeans!H64</f>
        <v>1.5537175882262086</v>
      </c>
      <c r="AC73" s="159">
        <f>Spinach!H64</f>
        <v>1.8561999528653268</v>
      </c>
      <c r="AD73" s="159">
        <f>Squash!H64</f>
        <v>5.6867968167075347</v>
      </c>
      <c r="AE73" s="159">
        <f>SweetPotatoes!L64</f>
        <v>8.0095801736825099</v>
      </c>
      <c r="AF73" s="159">
        <f>Tomatoes!H64</f>
        <v>20.134229818287022</v>
      </c>
      <c r="AG73" s="159">
        <f>TurnipGreens!J64</f>
        <v>0.35454053542611125</v>
      </c>
      <c r="AH73" s="159">
        <f t="shared" ref="AH73:AH76" si="4">SUM(B73:AG73)</f>
        <v>203.08195873274494</v>
      </c>
    </row>
    <row r="74" spans="1:34" s="93" customFormat="1" ht="12" customHeight="1" x14ac:dyDescent="0.2">
      <c r="A74" s="128">
        <v>2018</v>
      </c>
      <c r="B74" s="140">
        <f>+Artichokes!H65</f>
        <v>1.3528406158110595</v>
      </c>
      <c r="C74" s="140">
        <f>+Asparagus!H65</f>
        <v>1.7582048237180379</v>
      </c>
      <c r="D74" s="140">
        <f>Peppers!H65</f>
        <v>11.16730501695791</v>
      </c>
      <c r="E74" s="140">
        <f>Broccoli!H65</f>
        <v>5.9419776843472007</v>
      </c>
      <c r="F74" s="140">
        <f>BrusselsSprouts!J65</f>
        <v>0.83810896930737533</v>
      </c>
      <c r="G74" s="140">
        <f>Cabbage!I65</f>
        <v>5.6853971929888072</v>
      </c>
      <c r="H74" s="140">
        <f>Carrots!H65</f>
        <v>12.20925719231972</v>
      </c>
      <c r="I74" s="140">
        <f>Cauliflower!H65</f>
        <v>2.5055660564791982</v>
      </c>
      <c r="J74" s="140">
        <f>Celery!H65</f>
        <v>4.8968024390515179</v>
      </c>
      <c r="K74" s="140">
        <f>Collards!J65</f>
        <v>1.2251243512206651</v>
      </c>
      <c r="L74" s="140">
        <f>SweetCorn!H65</f>
        <v>6.80764523092739</v>
      </c>
      <c r="M74" s="140">
        <f>Cucumbers!H65</f>
        <v>7.9944050454751006</v>
      </c>
      <c r="N74" s="140">
        <f>Eggplant!H65</f>
        <v>0.80919177774590634</v>
      </c>
      <c r="O74" s="140">
        <f>Escarole!H65</f>
        <v>0.17337408961209733</v>
      </c>
      <c r="P74" s="140">
        <f>Garlic!I65</f>
        <v>2.3775628844958256</v>
      </c>
      <c r="Q74" s="140">
        <f>Kale!J65</f>
        <v>0.94945163628745999</v>
      </c>
      <c r="R74" s="140">
        <f>HeadLettuce!H65</f>
        <v>12.264152429161573</v>
      </c>
      <c r="S74" s="140">
        <f>Romaine!H65</f>
        <v>12.128431401030618</v>
      </c>
      <c r="T74" s="129">
        <f>LimaBeans!H65</f>
        <v>3.5999999999999999E-3</v>
      </c>
      <c r="U74" s="140">
        <f>Mushrooms!H65</f>
        <v>2.7890253991602973</v>
      </c>
      <c r="V74" s="140">
        <f>MustardGreens!J65</f>
        <v>0.73601041238859843</v>
      </c>
      <c r="W74" s="140">
        <f>Okra!J65</f>
        <v>0.53576008130028774</v>
      </c>
      <c r="X74" s="140">
        <f>Onions!K65</f>
        <v>20.556969378611157</v>
      </c>
      <c r="Y74" s="140">
        <f>Potatoes!H65</f>
        <v>33.045721057087988</v>
      </c>
      <c r="Z74" s="140">
        <f>Pumpkin!K65</f>
        <v>6.5001204911202608</v>
      </c>
      <c r="AA74" s="140">
        <f>Radishes!H65</f>
        <v>0.54384402444342184</v>
      </c>
      <c r="AB74" s="140">
        <f>SnapBeans!H65</f>
        <v>1.6324603087460925</v>
      </c>
      <c r="AC74" s="140">
        <f>Spinach!H65</f>
        <v>1.870084883038863</v>
      </c>
      <c r="AD74" s="140">
        <f>Squash!H65</f>
        <v>5.6465252111133886</v>
      </c>
      <c r="AE74" s="140">
        <f>SweetPotatoes!L65</f>
        <v>5.5593016383723421</v>
      </c>
      <c r="AF74" s="140">
        <f>Tomatoes!H65</f>
        <v>20.297649485414411</v>
      </c>
      <c r="AG74" s="140">
        <f>TurnipGreens!J65</f>
        <v>0.36423400886596752</v>
      </c>
      <c r="AH74" s="140">
        <f t="shared" si="4"/>
        <v>191.16610521660053</v>
      </c>
    </row>
    <row r="75" spans="1:34" s="93" customFormat="1" ht="12" customHeight="1" x14ac:dyDescent="0.2">
      <c r="A75" s="128">
        <v>2019</v>
      </c>
      <c r="B75" s="140">
        <f>+Artichokes!H66</f>
        <v>1.3653443606433613</v>
      </c>
      <c r="C75" s="140">
        <f>+Asparagus!H66</f>
        <v>1.7590189689274645</v>
      </c>
      <c r="D75" s="140">
        <f>Peppers!H66</f>
        <v>10.881574049593759</v>
      </c>
      <c r="E75" s="140">
        <f>Broccoli!H66</f>
        <v>5.9145873604873254</v>
      </c>
      <c r="F75" s="140">
        <f>BrusselsSprouts!J66</f>
        <v>0.85656937167092406</v>
      </c>
      <c r="G75" s="140">
        <f>Cabbage!I66</f>
        <v>6.3523479429488789</v>
      </c>
      <c r="H75" s="140">
        <f>Carrots!H66</f>
        <v>8.471211576698277</v>
      </c>
      <c r="I75" s="140">
        <f>Cauliflower!H66</f>
        <v>3.0274764070397007</v>
      </c>
      <c r="J75" s="140">
        <f>Celery!H66</f>
        <v>5.178496070791633</v>
      </c>
      <c r="K75" s="140">
        <f>Collards!J66</f>
        <v>1.2266585420285046</v>
      </c>
      <c r="L75" s="140">
        <f>SweetCorn!H66</f>
        <v>5.1080913778530022</v>
      </c>
      <c r="M75" s="140">
        <f>Cucumbers!H66</f>
        <v>7.8316520711737976</v>
      </c>
      <c r="N75" s="140">
        <f>Eggplant!H66</f>
        <v>0.80411983562665057</v>
      </c>
      <c r="O75" s="140">
        <f>Escarole!H66</f>
        <v>0.17159406084457524</v>
      </c>
      <c r="P75" s="140">
        <f>Garlic!I66</f>
        <v>1.815999005848969</v>
      </c>
      <c r="Q75" s="140">
        <f>Kale!J66</f>
        <v>0.77343002699393582</v>
      </c>
      <c r="R75" s="140">
        <f>HeadLettuce!H66</f>
        <v>12.840690062061523</v>
      </c>
      <c r="S75" s="140">
        <f>Romaine!H66</f>
        <v>12.352992785497344</v>
      </c>
      <c r="T75" s="129">
        <f>LimaBeans!H66</f>
        <v>3.0000000000000001E-3</v>
      </c>
      <c r="U75" s="140">
        <f>Mushrooms!H66</f>
        <v>2.8071408316557958</v>
      </c>
      <c r="V75" s="140">
        <f>MustardGreens!J66</f>
        <v>0.74528020765766889</v>
      </c>
      <c r="W75" s="140">
        <f>Okra!J66</f>
        <v>0.5563139435298462</v>
      </c>
      <c r="X75" s="140">
        <f>Onions!K66</f>
        <v>19.380081786205821</v>
      </c>
      <c r="Y75" s="140">
        <f>Potatoes!H66</f>
        <v>30.073388076829225</v>
      </c>
      <c r="Z75" s="140">
        <f>Pumpkin!K66</f>
        <v>5.7451840109312409</v>
      </c>
      <c r="AA75" s="140">
        <f>Radishes!H66</f>
        <v>0.53777536000946446</v>
      </c>
      <c r="AB75" s="140">
        <f>SnapBeans!H66</f>
        <v>1.3844545778636768</v>
      </c>
      <c r="AC75" s="140">
        <f>Spinach!H66</f>
        <v>2.4321167016668901</v>
      </c>
      <c r="AD75" s="140">
        <f>Squash!H66</f>
        <v>5.7695266061315396</v>
      </c>
      <c r="AE75" s="140">
        <f>SweetPotatoes!L66</f>
        <v>7.0961374800359076</v>
      </c>
      <c r="AF75" s="140">
        <f>Tomatoes!H66</f>
        <v>18.335115366293156</v>
      </c>
      <c r="AG75" s="140">
        <f>TurnipGreens!J66</f>
        <v>0.37245256501207119</v>
      </c>
      <c r="AH75" s="140">
        <f t="shared" si="4"/>
        <v>181.96982139055197</v>
      </c>
    </row>
    <row r="76" spans="1:34" s="93" customFormat="1" ht="12" customHeight="1" thickBot="1" x14ac:dyDescent="0.25">
      <c r="A76" s="148">
        <v>2020</v>
      </c>
      <c r="B76" s="160">
        <f>+Artichokes!H67</f>
        <v>1.2011002987513584</v>
      </c>
      <c r="C76" s="160">
        <f>+Asparagus!H67</f>
        <v>1.8254958772766303</v>
      </c>
      <c r="D76" s="160">
        <f>Peppers!H67</f>
        <v>11.004986823036091</v>
      </c>
      <c r="E76" s="160">
        <f>Broccoli!H67</f>
        <v>5.8604486258671624</v>
      </c>
      <c r="F76" s="160">
        <f>BrusselsSprouts!J67</f>
        <v>0.94298555283649743</v>
      </c>
      <c r="G76" s="160">
        <f>Cabbage!I67</f>
        <v>6.2501542424886694</v>
      </c>
      <c r="H76" s="160">
        <f>Carrots!H67</f>
        <v>7.7127900491174586</v>
      </c>
      <c r="I76" s="160">
        <f>Cauliflower!H67</f>
        <v>2.605895980580768</v>
      </c>
      <c r="J76" s="160">
        <f>Celery!H67</f>
        <v>5.6639912713689169</v>
      </c>
      <c r="K76" s="160">
        <f>Collards!J67</f>
        <v>1.2644110256104566</v>
      </c>
      <c r="L76" s="160">
        <f>SweetCorn!H67</f>
        <v>4.6672517627208636</v>
      </c>
      <c r="M76" s="160">
        <f>Cucumbers!H67</f>
        <v>7.5055519217006195</v>
      </c>
      <c r="N76" s="160">
        <f>Eggplant!H67</f>
        <v>0.96258049851775251</v>
      </c>
      <c r="O76" s="160">
        <f>Escarole!H67</f>
        <v>0.20725477408837517</v>
      </c>
      <c r="P76" s="160">
        <f>Garlic!I67</f>
        <v>1.7066200505557321</v>
      </c>
      <c r="Q76" s="160">
        <f>Kale!J67</f>
        <v>0.92479275276081208</v>
      </c>
      <c r="R76" s="160">
        <f>HeadLettuce!H67</f>
        <v>12.323438799638295</v>
      </c>
      <c r="S76" s="160">
        <f>Romaine!H67</f>
        <v>14.415250937588706</v>
      </c>
      <c r="T76" s="149">
        <f>LimaBeans!H67</f>
        <v>2.5000000000000001E-3</v>
      </c>
      <c r="U76" s="160" t="s">
        <v>3</v>
      </c>
      <c r="V76" s="160">
        <f>MustardGreens!J67</f>
        <v>0.55578282281537494</v>
      </c>
      <c r="W76" s="160">
        <f>Okra!J67</f>
        <v>0.58571257715437297</v>
      </c>
      <c r="X76" s="160">
        <f>Onions!K67</f>
        <v>20.436572504067382</v>
      </c>
      <c r="Y76" s="160">
        <f>Potatoes!H67</f>
        <v>31.473710416626407</v>
      </c>
      <c r="Z76" s="160">
        <f>Pumpkin!K67</f>
        <v>5.9622977327650952</v>
      </c>
      <c r="AA76" s="160">
        <f>Radishes!H67</f>
        <v>0.75638995134217446</v>
      </c>
      <c r="AB76" s="160">
        <f>SnapBeans!H67</f>
        <v>1.3014010322468015</v>
      </c>
      <c r="AC76" s="160">
        <f>Spinach!H67</f>
        <v>1.7887617173516854</v>
      </c>
      <c r="AD76" s="160">
        <f>Squash!H67</f>
        <v>5.7186405652372878</v>
      </c>
      <c r="AE76" s="160">
        <f>SweetPotatoes!L67</f>
        <v>6.6852889629212315</v>
      </c>
      <c r="AF76" s="160">
        <f>Tomatoes!H67</f>
        <v>19.31656741440182</v>
      </c>
      <c r="AG76" s="160">
        <f>TurnipGreens!J67</f>
        <v>0.28522616996838757</v>
      </c>
      <c r="AH76" s="160">
        <f t="shared" si="4"/>
        <v>181.9138531114032</v>
      </c>
    </row>
    <row r="77" spans="1:34" ht="12" customHeight="1" thickTop="1" x14ac:dyDescent="0.2">
      <c r="A77" s="208" t="s">
        <v>8</v>
      </c>
      <c r="B77" s="209"/>
      <c r="C77" s="209"/>
      <c r="D77" s="209"/>
      <c r="E77" s="209"/>
      <c r="F77" s="209"/>
      <c r="G77" s="209"/>
      <c r="H77" s="209"/>
      <c r="I77" s="209"/>
      <c r="J77" s="209"/>
      <c r="K77" s="209"/>
      <c r="L77" s="209"/>
      <c r="M77" s="210"/>
      <c r="N77" s="28"/>
      <c r="O77" s="28"/>
      <c r="P77" s="28"/>
      <c r="Q77" s="28"/>
      <c r="R77" s="28"/>
      <c r="S77" s="28"/>
      <c r="T77" s="28"/>
      <c r="U77" s="28"/>
      <c r="V77" s="28"/>
      <c r="W77" s="28"/>
      <c r="X77" s="28"/>
      <c r="Y77" s="28"/>
      <c r="Z77" s="28"/>
      <c r="AA77" s="28"/>
      <c r="AB77" s="28"/>
      <c r="AC77" s="28"/>
      <c r="AD77" s="28"/>
      <c r="AE77" s="28"/>
      <c r="AF77" s="28"/>
      <c r="AG77" s="28"/>
      <c r="AH77" s="28"/>
    </row>
    <row r="78" spans="1:34" ht="12" customHeight="1" x14ac:dyDescent="0.2">
      <c r="A78" s="211"/>
      <c r="B78" s="212"/>
      <c r="C78" s="212"/>
      <c r="D78" s="212"/>
      <c r="E78" s="212"/>
      <c r="F78" s="212"/>
      <c r="G78" s="212"/>
      <c r="H78" s="212"/>
      <c r="I78" s="212"/>
      <c r="J78" s="212"/>
      <c r="K78" s="212"/>
      <c r="L78" s="212"/>
      <c r="M78" s="213"/>
      <c r="N78" s="26"/>
      <c r="O78" s="26"/>
      <c r="P78" s="26"/>
      <c r="Q78" s="26"/>
      <c r="R78" s="26"/>
      <c r="S78" s="26"/>
      <c r="T78" s="26"/>
      <c r="U78" s="26"/>
      <c r="V78" s="26"/>
      <c r="W78" s="26"/>
      <c r="X78" s="26"/>
      <c r="Y78" s="26"/>
      <c r="Z78" s="26"/>
      <c r="AA78" s="26"/>
      <c r="AB78" s="26"/>
      <c r="AC78" s="26"/>
      <c r="AD78" s="26"/>
      <c r="AE78" s="26"/>
      <c r="AF78" s="26"/>
      <c r="AG78" s="26"/>
      <c r="AH78" s="26"/>
    </row>
    <row r="79" spans="1:34" ht="12" customHeight="1" x14ac:dyDescent="0.2">
      <c r="A79" s="211" t="s">
        <v>196</v>
      </c>
      <c r="B79" s="212"/>
      <c r="C79" s="212"/>
      <c r="D79" s="212"/>
      <c r="E79" s="212"/>
      <c r="F79" s="212"/>
      <c r="G79" s="212"/>
      <c r="H79" s="212"/>
      <c r="I79" s="212"/>
      <c r="J79" s="212"/>
      <c r="K79" s="212"/>
      <c r="L79" s="212"/>
      <c r="M79" s="213"/>
      <c r="N79" s="26"/>
      <c r="O79" s="26"/>
      <c r="P79" s="26"/>
      <c r="Q79" s="26"/>
      <c r="R79" s="26"/>
      <c r="S79" s="26"/>
      <c r="T79" s="26"/>
      <c r="U79" s="26"/>
      <c r="V79" s="26"/>
      <c r="W79" s="26"/>
      <c r="X79" s="26"/>
      <c r="Y79" s="26"/>
      <c r="Z79" s="26"/>
      <c r="AA79" s="26"/>
      <c r="AB79" s="26"/>
      <c r="AC79" s="26"/>
      <c r="AD79" s="26"/>
      <c r="AE79" s="26"/>
      <c r="AF79" s="26"/>
      <c r="AG79" s="26"/>
      <c r="AH79" s="26"/>
    </row>
    <row r="80" spans="1:34" ht="12" customHeight="1" x14ac:dyDescent="0.2">
      <c r="A80" s="211"/>
      <c r="B80" s="212"/>
      <c r="C80" s="212"/>
      <c r="D80" s="212"/>
      <c r="E80" s="212"/>
      <c r="F80" s="212"/>
      <c r="G80" s="212"/>
      <c r="H80" s="212"/>
      <c r="I80" s="212"/>
      <c r="J80" s="212"/>
      <c r="K80" s="212"/>
      <c r="L80" s="212"/>
      <c r="M80" s="213"/>
      <c r="N80" s="26"/>
      <c r="O80" s="26"/>
      <c r="P80" s="26"/>
      <c r="Q80" s="26"/>
      <c r="R80" s="26"/>
      <c r="S80" s="26"/>
      <c r="T80" s="26"/>
      <c r="U80" s="26"/>
      <c r="V80" s="26"/>
      <c r="W80" s="26"/>
      <c r="X80" s="26"/>
      <c r="Y80" s="26"/>
      <c r="Z80" s="26"/>
      <c r="AA80" s="26"/>
      <c r="AB80" s="26"/>
      <c r="AC80" s="26"/>
      <c r="AD80" s="26"/>
      <c r="AE80" s="26"/>
      <c r="AF80" s="26"/>
      <c r="AG80" s="26"/>
      <c r="AH80" s="26"/>
    </row>
    <row r="81" spans="1:34" ht="12" customHeight="1" x14ac:dyDescent="0.2">
      <c r="A81" s="211" t="s">
        <v>198</v>
      </c>
      <c r="B81" s="212"/>
      <c r="C81" s="212"/>
      <c r="D81" s="212"/>
      <c r="E81" s="212"/>
      <c r="F81" s="212"/>
      <c r="G81" s="212"/>
      <c r="H81" s="212"/>
      <c r="I81" s="212"/>
      <c r="J81" s="212"/>
      <c r="K81" s="212"/>
      <c r="L81" s="212"/>
      <c r="M81" s="213"/>
      <c r="N81" s="26"/>
      <c r="O81" s="26"/>
      <c r="P81" s="26"/>
      <c r="Q81" s="26"/>
      <c r="R81" s="26"/>
      <c r="S81" s="26"/>
      <c r="T81" s="26"/>
      <c r="U81" s="26"/>
      <c r="V81" s="26"/>
      <c r="W81" s="26"/>
      <c r="X81" s="26"/>
      <c r="Y81" s="26"/>
      <c r="Z81" s="26"/>
      <c r="AA81" s="26"/>
      <c r="AB81" s="26"/>
      <c r="AC81" s="26"/>
      <c r="AD81" s="26"/>
      <c r="AE81" s="26"/>
      <c r="AF81" s="26"/>
      <c r="AG81" s="26"/>
      <c r="AH81" s="26"/>
    </row>
  </sheetData>
  <mergeCells count="45">
    <mergeCell ref="A77:M77"/>
    <mergeCell ref="A78:M78"/>
    <mergeCell ref="A79:M79"/>
    <mergeCell ref="A80:M80"/>
    <mergeCell ref="A81:M81"/>
    <mergeCell ref="AG1:AH1"/>
    <mergeCell ref="Q1:R1"/>
    <mergeCell ref="A1:P1"/>
    <mergeCell ref="S1:AF1"/>
    <mergeCell ref="B5:R5"/>
    <mergeCell ref="S5:AH5"/>
    <mergeCell ref="A2:A4"/>
    <mergeCell ref="B2:B4"/>
    <mergeCell ref="C2:C4"/>
    <mergeCell ref="D2:D4"/>
    <mergeCell ref="E2:E4"/>
    <mergeCell ref="F2:F4"/>
    <mergeCell ref="G2:G4"/>
    <mergeCell ref="H2:H4"/>
    <mergeCell ref="I2:I4"/>
    <mergeCell ref="J2:J4"/>
    <mergeCell ref="K2:K4"/>
    <mergeCell ref="L2:L4"/>
    <mergeCell ref="M2:M4"/>
    <mergeCell ref="N2:N4"/>
    <mergeCell ref="O2:O4"/>
    <mergeCell ref="P2:P4"/>
    <mergeCell ref="Q2:Q4"/>
    <mergeCell ref="S2:S4"/>
    <mergeCell ref="T2:T4"/>
    <mergeCell ref="U2:U4"/>
    <mergeCell ref="R2:R4"/>
    <mergeCell ref="V2:V4"/>
    <mergeCell ref="W2:W4"/>
    <mergeCell ref="X2:X4"/>
    <mergeCell ref="Y2:Y4"/>
    <mergeCell ref="Z2:Z4"/>
    <mergeCell ref="AF2:AF4"/>
    <mergeCell ref="AG2:AG4"/>
    <mergeCell ref="AH2:AH4"/>
    <mergeCell ref="AA2:AA4"/>
    <mergeCell ref="AB2:AB4"/>
    <mergeCell ref="AC2:AC4"/>
    <mergeCell ref="AD2:AD4"/>
    <mergeCell ref="AE2:AE4"/>
  </mergeCells>
  <phoneticPr fontId="7" type="noConversion"/>
  <printOptions horizontalCentered="1"/>
  <pageMargins left="0.45" right="0.45" top="0.75" bottom="0.75" header="0" footer="0"/>
  <pageSetup scale="57" fitToWidth="2"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pageSetUpPr autoPageBreaks="0" fitToPage="1"/>
  </sheetPr>
  <dimension ref="A1:K75"/>
  <sheetViews>
    <sheetView showOutlineSymbols="0" zoomScaleNormal="100" workbookViewId="0">
      <pane ySplit="6" topLeftCell="A7" activePane="bottomLeft" state="frozen"/>
      <selection sqref="A1:G1"/>
      <selection pane="bottomLeft" sqref="A1:H1"/>
    </sheetView>
  </sheetViews>
  <sheetFormatPr defaultColWidth="12.7109375" defaultRowHeight="12" customHeight="1" x14ac:dyDescent="0.2"/>
  <cols>
    <col min="1" max="1" width="12.7109375" style="13" customWidth="1"/>
    <col min="2" max="16384" width="12.7109375" style="13"/>
  </cols>
  <sheetData>
    <row r="1" spans="1:11" s="1" customFormat="1" ht="12" customHeight="1" thickBot="1" x14ac:dyDescent="0.25">
      <c r="A1" s="201" t="s">
        <v>162</v>
      </c>
      <c r="B1" s="201"/>
      <c r="C1" s="201"/>
      <c r="D1" s="201"/>
      <c r="E1" s="201"/>
      <c r="F1" s="201"/>
      <c r="G1" s="201"/>
      <c r="H1" s="201"/>
      <c r="I1" s="200" t="s">
        <v>19</v>
      </c>
      <c r="J1" s="200"/>
    </row>
    <row r="2" spans="1:11" ht="12" customHeight="1" thickTop="1" x14ac:dyDescent="0.2">
      <c r="A2" s="257" t="s">
        <v>1</v>
      </c>
      <c r="B2" s="258" t="s">
        <v>85</v>
      </c>
      <c r="C2" s="218" t="s">
        <v>2</v>
      </c>
      <c r="D2" s="218"/>
      <c r="E2" s="218"/>
      <c r="F2" s="244" t="s">
        <v>146</v>
      </c>
      <c r="G2" s="246"/>
      <c r="H2" s="244" t="s">
        <v>147</v>
      </c>
      <c r="I2" s="245"/>
      <c r="J2" s="245"/>
    </row>
    <row r="3" spans="1:11" ht="12" customHeight="1" x14ac:dyDescent="0.2">
      <c r="A3" s="217"/>
      <c r="B3" s="259"/>
      <c r="C3" s="217" t="s">
        <v>86</v>
      </c>
      <c r="D3" s="217" t="s">
        <v>87</v>
      </c>
      <c r="E3" s="217" t="s">
        <v>88</v>
      </c>
      <c r="F3" s="217" t="s">
        <v>95</v>
      </c>
      <c r="G3" s="217" t="s">
        <v>97</v>
      </c>
      <c r="H3" s="217" t="s">
        <v>137</v>
      </c>
      <c r="I3" s="226" t="s">
        <v>28</v>
      </c>
      <c r="J3" s="227"/>
    </row>
    <row r="4" spans="1:11" ht="12" customHeight="1" x14ac:dyDescent="0.2">
      <c r="A4" s="217"/>
      <c r="B4" s="259"/>
      <c r="C4" s="217"/>
      <c r="D4" s="217"/>
      <c r="E4" s="217"/>
      <c r="F4" s="217"/>
      <c r="G4" s="217"/>
      <c r="H4" s="217"/>
      <c r="I4" s="217" t="s">
        <v>4</v>
      </c>
      <c r="J4" s="14" t="s">
        <v>96</v>
      </c>
      <c r="K4" s="4"/>
    </row>
    <row r="5" spans="1:11" ht="12" customHeight="1" x14ac:dyDescent="0.2">
      <c r="A5" s="217"/>
      <c r="B5" s="259"/>
      <c r="C5" s="217"/>
      <c r="D5" s="217"/>
      <c r="E5" s="217"/>
      <c r="F5" s="217"/>
      <c r="G5" s="217"/>
      <c r="H5" s="217"/>
      <c r="I5" s="217"/>
      <c r="J5" s="14" t="s">
        <v>193</v>
      </c>
    </row>
    <row r="6" spans="1:11" ht="12" customHeight="1" x14ac:dyDescent="0.2">
      <c r="A6" s="69"/>
      <c r="B6" s="70" t="s">
        <v>124</v>
      </c>
      <c r="C6" s="273" t="s">
        <v>127</v>
      </c>
      <c r="D6" s="273"/>
      <c r="E6" s="273"/>
      <c r="F6" s="273"/>
      <c r="G6" s="273"/>
      <c r="H6" s="273"/>
      <c r="I6" s="273" t="s">
        <v>128</v>
      </c>
      <c r="J6" s="274"/>
      <c r="K6" s="69"/>
    </row>
    <row r="7" spans="1:11" ht="12" customHeight="1" x14ac:dyDescent="0.2">
      <c r="A7" s="2">
        <v>1960</v>
      </c>
      <c r="B7" s="20">
        <v>180.67099999999999</v>
      </c>
      <c r="C7" s="168">
        <v>45.9</v>
      </c>
      <c r="D7" s="170" t="s">
        <v>3</v>
      </c>
      <c r="E7" s="170">
        <f t="shared" ref="E7:E38" si="0">SUM(C7,D7)</f>
        <v>45.9</v>
      </c>
      <c r="F7" s="170" t="s">
        <v>3</v>
      </c>
      <c r="G7" s="170">
        <v>0.91800000000000004</v>
      </c>
      <c r="H7" s="8">
        <f t="shared" ref="H7:H38" si="1">E7-SUM(F7,G7)</f>
        <v>44.981999999999999</v>
      </c>
      <c r="I7" s="142">
        <f t="shared" ref="I7:I38" si="2">IF(H7=0,0,IF(B7=0,0,H7/B7))</f>
        <v>0.24897188812814453</v>
      </c>
      <c r="J7" s="142">
        <f t="shared" ref="J7:J16" si="3">I7*0.81</f>
        <v>0.20166722938379708</v>
      </c>
    </row>
    <row r="8" spans="1:11" ht="12" customHeight="1" x14ac:dyDescent="0.2">
      <c r="A8" s="3">
        <v>1961</v>
      </c>
      <c r="B8" s="21">
        <v>183.691</v>
      </c>
      <c r="C8" s="171">
        <v>28.8</v>
      </c>
      <c r="D8" s="172" t="s">
        <v>3</v>
      </c>
      <c r="E8" s="172">
        <f t="shared" si="0"/>
        <v>28.8</v>
      </c>
      <c r="F8" s="172" t="s">
        <v>3</v>
      </c>
      <c r="G8" s="172">
        <v>0.57600000000000007</v>
      </c>
      <c r="H8" s="171">
        <f t="shared" si="1"/>
        <v>28.224</v>
      </c>
      <c r="I8" s="144">
        <f t="shared" si="2"/>
        <v>0.15364933502457931</v>
      </c>
      <c r="J8" s="143">
        <f t="shared" si="3"/>
        <v>0.12445596136990925</v>
      </c>
    </row>
    <row r="9" spans="1:11" ht="12" customHeight="1" x14ac:dyDescent="0.2">
      <c r="A9" s="3">
        <v>1962</v>
      </c>
      <c r="B9" s="21">
        <v>186.53800000000001</v>
      </c>
      <c r="C9" s="171">
        <v>28.4</v>
      </c>
      <c r="D9" s="172" t="s">
        <v>3</v>
      </c>
      <c r="E9" s="172">
        <f t="shared" si="0"/>
        <v>28.4</v>
      </c>
      <c r="F9" s="172" t="s">
        <v>3</v>
      </c>
      <c r="G9" s="172">
        <v>0.56799999999999995</v>
      </c>
      <c r="H9" s="171">
        <f t="shared" si="1"/>
        <v>27.831999999999997</v>
      </c>
      <c r="I9" s="144">
        <f t="shared" si="2"/>
        <v>0.14920284338847847</v>
      </c>
      <c r="J9" s="143">
        <f t="shared" si="3"/>
        <v>0.12085430314466757</v>
      </c>
    </row>
    <row r="10" spans="1:11" ht="12" customHeight="1" x14ac:dyDescent="0.2">
      <c r="A10" s="3">
        <v>1963</v>
      </c>
      <c r="B10" s="21">
        <v>189.24199999999999</v>
      </c>
      <c r="C10" s="171">
        <v>41</v>
      </c>
      <c r="D10" s="172" t="s">
        <v>3</v>
      </c>
      <c r="E10" s="172">
        <f t="shared" si="0"/>
        <v>41</v>
      </c>
      <c r="F10" s="172" t="s">
        <v>3</v>
      </c>
      <c r="G10" s="172">
        <v>0.82</v>
      </c>
      <c r="H10" s="171">
        <f t="shared" si="1"/>
        <v>40.18</v>
      </c>
      <c r="I10" s="144">
        <f t="shared" si="2"/>
        <v>0.21232073218418746</v>
      </c>
      <c r="J10" s="143">
        <f t="shared" si="3"/>
        <v>0.17197979306919184</v>
      </c>
    </row>
    <row r="11" spans="1:11" ht="12" customHeight="1" x14ac:dyDescent="0.2">
      <c r="A11" s="3">
        <v>1964</v>
      </c>
      <c r="B11" s="21">
        <v>191.88900000000001</v>
      </c>
      <c r="C11" s="171">
        <v>50.6</v>
      </c>
      <c r="D11" s="172" t="s">
        <v>3</v>
      </c>
      <c r="E11" s="172">
        <f t="shared" si="0"/>
        <v>50.6</v>
      </c>
      <c r="F11" s="172" t="s">
        <v>3</v>
      </c>
      <c r="G11" s="172">
        <v>1.012</v>
      </c>
      <c r="H11" s="171">
        <f t="shared" si="1"/>
        <v>49.588000000000001</v>
      </c>
      <c r="I11" s="144">
        <f t="shared" si="2"/>
        <v>0.25842023253026486</v>
      </c>
      <c r="J11" s="143">
        <f t="shared" si="3"/>
        <v>0.20932038834951455</v>
      </c>
    </row>
    <row r="12" spans="1:11" ht="12" customHeight="1" x14ac:dyDescent="0.2">
      <c r="A12" s="3">
        <v>1965</v>
      </c>
      <c r="B12" s="21">
        <v>194.303</v>
      </c>
      <c r="C12" s="171">
        <v>55.2</v>
      </c>
      <c r="D12" s="172" t="s">
        <v>3</v>
      </c>
      <c r="E12" s="172">
        <f t="shared" si="0"/>
        <v>55.2</v>
      </c>
      <c r="F12" s="172" t="s">
        <v>3</v>
      </c>
      <c r="G12" s="172">
        <v>1.1040000000000001</v>
      </c>
      <c r="H12" s="171">
        <f t="shared" si="1"/>
        <v>54.096000000000004</v>
      </c>
      <c r="I12" s="144">
        <f t="shared" si="2"/>
        <v>0.27841052376957642</v>
      </c>
      <c r="J12" s="143">
        <f t="shared" si="3"/>
        <v>0.22551252425335691</v>
      </c>
    </row>
    <row r="13" spans="1:11" ht="12" customHeight="1" x14ac:dyDescent="0.2">
      <c r="A13" s="2">
        <v>1966</v>
      </c>
      <c r="B13" s="20">
        <v>196.56</v>
      </c>
      <c r="C13" s="168">
        <v>35</v>
      </c>
      <c r="D13" s="170" t="s">
        <v>3</v>
      </c>
      <c r="E13" s="170">
        <f t="shared" si="0"/>
        <v>35</v>
      </c>
      <c r="F13" s="170" t="s">
        <v>3</v>
      </c>
      <c r="G13" s="170">
        <v>0.7</v>
      </c>
      <c r="H13" s="8">
        <f t="shared" si="1"/>
        <v>34.299999999999997</v>
      </c>
      <c r="I13" s="142">
        <f t="shared" si="2"/>
        <v>0.17450142450142447</v>
      </c>
      <c r="J13" s="142">
        <f t="shared" si="3"/>
        <v>0.14134615384615384</v>
      </c>
    </row>
    <row r="14" spans="1:11" ht="12" customHeight="1" x14ac:dyDescent="0.2">
      <c r="A14" s="2">
        <v>1967</v>
      </c>
      <c r="B14" s="20">
        <v>198.71199999999999</v>
      </c>
      <c r="C14" s="168">
        <v>50.6</v>
      </c>
      <c r="D14" s="170" t="s">
        <v>3</v>
      </c>
      <c r="E14" s="170">
        <f t="shared" si="0"/>
        <v>50.6</v>
      </c>
      <c r="F14" s="170" t="s">
        <v>3</v>
      </c>
      <c r="G14" s="170">
        <v>1.012</v>
      </c>
      <c r="H14" s="8">
        <f t="shared" si="1"/>
        <v>49.588000000000001</v>
      </c>
      <c r="I14" s="142">
        <f t="shared" si="2"/>
        <v>0.24954708321591049</v>
      </c>
      <c r="J14" s="142">
        <f t="shared" si="3"/>
        <v>0.2021331374048875</v>
      </c>
    </row>
    <row r="15" spans="1:11" ht="12" customHeight="1" x14ac:dyDescent="0.2">
      <c r="A15" s="2">
        <v>1968</v>
      </c>
      <c r="B15" s="20">
        <v>200.70599999999999</v>
      </c>
      <c r="C15" s="168">
        <v>80</v>
      </c>
      <c r="D15" s="170" t="s">
        <v>3</v>
      </c>
      <c r="E15" s="170">
        <f t="shared" si="0"/>
        <v>80</v>
      </c>
      <c r="F15" s="170" t="s">
        <v>3</v>
      </c>
      <c r="G15" s="170">
        <v>1.6</v>
      </c>
      <c r="H15" s="8">
        <f t="shared" si="1"/>
        <v>78.400000000000006</v>
      </c>
      <c r="I15" s="142">
        <f t="shared" si="2"/>
        <v>0.39062110749055839</v>
      </c>
      <c r="J15" s="142">
        <f t="shared" si="3"/>
        <v>0.31640309706735231</v>
      </c>
    </row>
    <row r="16" spans="1:11" ht="12" customHeight="1" x14ac:dyDescent="0.2">
      <c r="A16" s="2">
        <v>1969</v>
      </c>
      <c r="B16" s="20">
        <v>202.67699999999999</v>
      </c>
      <c r="C16" s="168">
        <v>87.6</v>
      </c>
      <c r="D16" s="170">
        <v>18.010000000000002</v>
      </c>
      <c r="E16" s="170">
        <f t="shared" si="0"/>
        <v>105.61</v>
      </c>
      <c r="F16" s="170" t="s">
        <v>3</v>
      </c>
      <c r="G16" s="170">
        <v>1.752</v>
      </c>
      <c r="H16" s="8">
        <f t="shared" si="1"/>
        <v>103.858</v>
      </c>
      <c r="I16" s="142">
        <f t="shared" si="2"/>
        <v>0.5124311095980304</v>
      </c>
      <c r="J16" s="142">
        <f t="shared" si="3"/>
        <v>0.41506919877440462</v>
      </c>
    </row>
    <row r="17" spans="1:10" ht="12" customHeight="1" x14ac:dyDescent="0.2">
      <c r="A17" s="2">
        <v>1970</v>
      </c>
      <c r="B17" s="20">
        <v>205.05199999999999</v>
      </c>
      <c r="C17" s="168">
        <v>72.8</v>
      </c>
      <c r="D17" s="170">
        <v>19.399999999999999</v>
      </c>
      <c r="E17" s="170">
        <f t="shared" si="0"/>
        <v>92.199999999999989</v>
      </c>
      <c r="F17" s="170" t="s">
        <v>3</v>
      </c>
      <c r="G17" s="170">
        <v>1.456</v>
      </c>
      <c r="H17" s="8">
        <f t="shared" si="1"/>
        <v>90.743999999999986</v>
      </c>
      <c r="I17" s="142">
        <f t="shared" si="2"/>
        <v>0.44254140413163484</v>
      </c>
      <c r="J17" s="142">
        <f t="shared" ref="J17:J47" si="4">I17*0.81</f>
        <v>0.35845853734662425</v>
      </c>
    </row>
    <row r="18" spans="1:10" ht="12" customHeight="1" x14ac:dyDescent="0.2">
      <c r="A18" s="3">
        <v>1971</v>
      </c>
      <c r="B18" s="21">
        <v>207.661</v>
      </c>
      <c r="C18" s="171">
        <v>48.1</v>
      </c>
      <c r="D18" s="172">
        <v>15</v>
      </c>
      <c r="E18" s="172">
        <f t="shared" si="0"/>
        <v>63.1</v>
      </c>
      <c r="F18" s="172" t="s">
        <v>3</v>
      </c>
      <c r="G18" s="172">
        <v>0.96200000000000008</v>
      </c>
      <c r="H18" s="171">
        <f t="shared" si="1"/>
        <v>62.137999999999998</v>
      </c>
      <c r="I18" s="144">
        <f t="shared" si="2"/>
        <v>0.29922806882370784</v>
      </c>
      <c r="J18" s="143">
        <f t="shared" si="4"/>
        <v>0.24237473574720336</v>
      </c>
    </row>
    <row r="19" spans="1:10" ht="12" customHeight="1" x14ac:dyDescent="0.2">
      <c r="A19" s="3">
        <v>1972</v>
      </c>
      <c r="B19" s="21">
        <v>209.89599999999999</v>
      </c>
      <c r="C19" s="171">
        <v>66.3</v>
      </c>
      <c r="D19" s="172">
        <v>17.7</v>
      </c>
      <c r="E19" s="172">
        <f t="shared" si="0"/>
        <v>84</v>
      </c>
      <c r="F19" s="172">
        <v>1.7</v>
      </c>
      <c r="G19" s="172">
        <v>1.3260000000000001</v>
      </c>
      <c r="H19" s="171">
        <f t="shared" si="1"/>
        <v>80.974000000000004</v>
      </c>
      <c r="I19" s="144">
        <f t="shared" si="2"/>
        <v>0.38578152990052222</v>
      </c>
      <c r="J19" s="143">
        <f t="shared" si="4"/>
        <v>0.312483039219423</v>
      </c>
    </row>
    <row r="20" spans="1:10" ht="12" customHeight="1" x14ac:dyDescent="0.2">
      <c r="A20" s="3">
        <v>1973</v>
      </c>
      <c r="B20" s="21">
        <v>211.90899999999999</v>
      </c>
      <c r="C20" s="171">
        <v>89.7</v>
      </c>
      <c r="D20" s="172">
        <v>24.2</v>
      </c>
      <c r="E20" s="172">
        <f t="shared" si="0"/>
        <v>113.9</v>
      </c>
      <c r="F20" s="172">
        <v>1.4</v>
      </c>
      <c r="G20" s="172">
        <v>1.794</v>
      </c>
      <c r="H20" s="171">
        <f t="shared" si="1"/>
        <v>110.706</v>
      </c>
      <c r="I20" s="144">
        <f t="shared" si="2"/>
        <v>0.52242236054155322</v>
      </c>
      <c r="J20" s="143">
        <f t="shared" si="4"/>
        <v>0.42316211203865811</v>
      </c>
    </row>
    <row r="21" spans="1:10" ht="12" customHeight="1" x14ac:dyDescent="0.2">
      <c r="A21" s="3">
        <v>1974</v>
      </c>
      <c r="B21" s="21">
        <v>213.85400000000001</v>
      </c>
      <c r="C21" s="171">
        <v>117</v>
      </c>
      <c r="D21" s="172">
        <v>26.5</v>
      </c>
      <c r="E21" s="172">
        <f t="shared" si="0"/>
        <v>143.5</v>
      </c>
      <c r="F21" s="172">
        <v>1.4</v>
      </c>
      <c r="G21" s="172">
        <v>2.34</v>
      </c>
      <c r="H21" s="171">
        <f t="shared" si="1"/>
        <v>139.76</v>
      </c>
      <c r="I21" s="144">
        <f t="shared" si="2"/>
        <v>0.65352997839647597</v>
      </c>
      <c r="J21" s="143">
        <f t="shared" si="4"/>
        <v>0.52935928250114561</v>
      </c>
    </row>
    <row r="22" spans="1:10" ht="12" customHeight="1" x14ac:dyDescent="0.2">
      <c r="A22" s="3">
        <v>1975</v>
      </c>
      <c r="B22" s="21">
        <v>215.97300000000001</v>
      </c>
      <c r="C22" s="171">
        <v>140.4</v>
      </c>
      <c r="D22" s="172">
        <v>22.1</v>
      </c>
      <c r="E22" s="172">
        <f t="shared" si="0"/>
        <v>162.5</v>
      </c>
      <c r="F22" s="172">
        <v>3.7</v>
      </c>
      <c r="G22" s="172">
        <v>2.8080000000000003</v>
      </c>
      <c r="H22" s="171">
        <f t="shared" si="1"/>
        <v>155.99199999999999</v>
      </c>
      <c r="I22" s="144">
        <f t="shared" si="2"/>
        <v>0.72227546961888744</v>
      </c>
      <c r="J22" s="143">
        <f t="shared" si="4"/>
        <v>0.58504313039129885</v>
      </c>
    </row>
    <row r="23" spans="1:10" ht="12" customHeight="1" x14ac:dyDescent="0.2">
      <c r="A23" s="2">
        <v>1976</v>
      </c>
      <c r="B23" s="20">
        <v>218.035</v>
      </c>
      <c r="C23" s="168">
        <v>92.4</v>
      </c>
      <c r="D23" s="170">
        <v>19.2</v>
      </c>
      <c r="E23" s="170">
        <f t="shared" si="0"/>
        <v>111.60000000000001</v>
      </c>
      <c r="F23" s="170">
        <v>5.0999999999999996</v>
      </c>
      <c r="G23" s="170">
        <v>1.8480000000000001</v>
      </c>
      <c r="H23" s="8">
        <f t="shared" si="1"/>
        <v>104.65200000000002</v>
      </c>
      <c r="I23" s="142">
        <f t="shared" si="2"/>
        <v>0.47997798518586471</v>
      </c>
      <c r="J23" s="142">
        <f t="shared" si="4"/>
        <v>0.38878216800055043</v>
      </c>
    </row>
    <row r="24" spans="1:10" ht="12" customHeight="1" x14ac:dyDescent="0.2">
      <c r="A24" s="2">
        <v>1977</v>
      </c>
      <c r="B24" s="20">
        <v>220.23899999999998</v>
      </c>
      <c r="C24" s="168">
        <v>114.4</v>
      </c>
      <c r="D24" s="170">
        <v>25.6</v>
      </c>
      <c r="E24" s="170">
        <f t="shared" si="0"/>
        <v>140</v>
      </c>
      <c r="F24" s="170">
        <v>6.6</v>
      </c>
      <c r="G24" s="170">
        <v>2.2880000000000003</v>
      </c>
      <c r="H24" s="8">
        <f t="shared" si="1"/>
        <v>131.11199999999999</v>
      </c>
      <c r="I24" s="142">
        <f t="shared" si="2"/>
        <v>0.59531690572514406</v>
      </c>
      <c r="J24" s="142">
        <f t="shared" si="4"/>
        <v>0.48220669363736673</v>
      </c>
    </row>
    <row r="25" spans="1:10" ht="12" customHeight="1" x14ac:dyDescent="0.2">
      <c r="A25" s="2">
        <v>1978</v>
      </c>
      <c r="B25" s="20">
        <v>222.58500000000001</v>
      </c>
      <c r="C25" s="168">
        <v>156</v>
      </c>
      <c r="D25" s="170">
        <v>28.8</v>
      </c>
      <c r="E25" s="170">
        <f t="shared" si="0"/>
        <v>184.8</v>
      </c>
      <c r="F25" s="170">
        <v>42.8</v>
      </c>
      <c r="G25" s="170">
        <v>3.12</v>
      </c>
      <c r="H25" s="8">
        <f t="shared" si="1"/>
        <v>138.88000000000002</v>
      </c>
      <c r="I25" s="142">
        <f t="shared" si="2"/>
        <v>0.62394141563896943</v>
      </c>
      <c r="J25" s="142">
        <f t="shared" si="4"/>
        <v>0.50539254666756528</v>
      </c>
    </row>
    <row r="26" spans="1:10" ht="12" customHeight="1" x14ac:dyDescent="0.2">
      <c r="A26" s="2">
        <v>1979</v>
      </c>
      <c r="B26" s="20">
        <v>225.05500000000001</v>
      </c>
      <c r="C26" s="168">
        <v>184.6</v>
      </c>
      <c r="D26" s="170">
        <v>49.2</v>
      </c>
      <c r="E26" s="170">
        <f t="shared" si="0"/>
        <v>233.8</v>
      </c>
      <c r="F26" s="170">
        <v>22.8</v>
      </c>
      <c r="G26" s="170">
        <v>3.6920000000000002</v>
      </c>
      <c r="H26" s="8">
        <f t="shared" si="1"/>
        <v>207.30800000000002</v>
      </c>
      <c r="I26" s="142">
        <f t="shared" si="2"/>
        <v>0.92114372042389647</v>
      </c>
      <c r="J26" s="142">
        <f t="shared" si="4"/>
        <v>0.74612641354335618</v>
      </c>
    </row>
    <row r="27" spans="1:10" ht="12" customHeight="1" x14ac:dyDescent="0.2">
      <c r="A27" s="2">
        <v>1980</v>
      </c>
      <c r="B27" s="20">
        <v>227.726</v>
      </c>
      <c r="C27" s="168">
        <v>197.6</v>
      </c>
      <c r="D27" s="170">
        <v>24.5</v>
      </c>
      <c r="E27" s="170">
        <f t="shared" si="0"/>
        <v>222.1</v>
      </c>
      <c r="F27" s="170">
        <v>22.1</v>
      </c>
      <c r="G27" s="170">
        <v>3.952</v>
      </c>
      <c r="H27" s="8">
        <f t="shared" si="1"/>
        <v>196.048</v>
      </c>
      <c r="I27" s="142">
        <f t="shared" si="2"/>
        <v>0.86089423254261699</v>
      </c>
      <c r="J27" s="142">
        <f t="shared" si="4"/>
        <v>0.69732432835951985</v>
      </c>
    </row>
    <row r="28" spans="1:10" ht="12" customHeight="1" x14ac:dyDescent="0.2">
      <c r="A28" s="3">
        <v>1981</v>
      </c>
      <c r="B28" s="21">
        <v>229.96600000000001</v>
      </c>
      <c r="C28" s="171">
        <v>165</v>
      </c>
      <c r="D28" s="172">
        <v>20</v>
      </c>
      <c r="E28" s="172">
        <f t="shared" si="0"/>
        <v>185</v>
      </c>
      <c r="F28" s="172">
        <v>30.1</v>
      </c>
      <c r="G28" s="172">
        <v>3.3000000000000003</v>
      </c>
      <c r="H28" s="171">
        <f t="shared" si="1"/>
        <v>151.6</v>
      </c>
      <c r="I28" s="144">
        <f t="shared" si="2"/>
        <v>0.65922788586138814</v>
      </c>
      <c r="J28" s="143">
        <f t="shared" si="4"/>
        <v>0.53397458754772442</v>
      </c>
    </row>
    <row r="29" spans="1:10" ht="12" customHeight="1" x14ac:dyDescent="0.2">
      <c r="A29" s="3">
        <v>1982</v>
      </c>
      <c r="B29" s="21">
        <v>232.18799999999999</v>
      </c>
      <c r="C29" s="171">
        <v>169.6</v>
      </c>
      <c r="D29" s="172">
        <v>34.5</v>
      </c>
      <c r="E29" s="172">
        <f t="shared" si="0"/>
        <v>204.1</v>
      </c>
      <c r="F29" s="172">
        <v>24.9</v>
      </c>
      <c r="G29" s="172">
        <v>3.3919999999999999</v>
      </c>
      <c r="H29" s="171">
        <f t="shared" si="1"/>
        <v>175.80799999999999</v>
      </c>
      <c r="I29" s="144">
        <f t="shared" si="2"/>
        <v>0.75717952693506985</v>
      </c>
      <c r="J29" s="143">
        <f t="shared" si="4"/>
        <v>0.61331541681740664</v>
      </c>
    </row>
    <row r="30" spans="1:10" ht="12" customHeight="1" x14ac:dyDescent="0.2">
      <c r="A30" s="3">
        <v>1983</v>
      </c>
      <c r="B30" s="21">
        <v>234.30699999999999</v>
      </c>
      <c r="C30" s="171">
        <v>234.4</v>
      </c>
      <c r="D30" s="172">
        <v>30.3</v>
      </c>
      <c r="E30" s="172">
        <f t="shared" si="0"/>
        <v>264.7</v>
      </c>
      <c r="F30" s="172">
        <v>26.3</v>
      </c>
      <c r="G30" s="172">
        <v>4.6880000000000006</v>
      </c>
      <c r="H30" s="171">
        <f t="shared" si="1"/>
        <v>233.71199999999999</v>
      </c>
      <c r="I30" s="144">
        <f t="shared" si="2"/>
        <v>0.99746059656775088</v>
      </c>
      <c r="J30" s="143">
        <f t="shared" si="4"/>
        <v>0.80794308321987829</v>
      </c>
    </row>
    <row r="31" spans="1:10" ht="12" customHeight="1" x14ac:dyDescent="0.2">
      <c r="A31" s="3">
        <v>1984</v>
      </c>
      <c r="B31" s="21">
        <v>236.34800000000001</v>
      </c>
      <c r="C31" s="171">
        <v>173.8</v>
      </c>
      <c r="D31" s="172">
        <v>39.1</v>
      </c>
      <c r="E31" s="172">
        <f t="shared" si="0"/>
        <v>212.9</v>
      </c>
      <c r="F31" s="172">
        <v>27.7</v>
      </c>
      <c r="G31" s="172">
        <v>3.4760000000000004</v>
      </c>
      <c r="H31" s="171">
        <f t="shared" si="1"/>
        <v>181.72400000000002</v>
      </c>
      <c r="I31" s="144">
        <f t="shared" si="2"/>
        <v>0.76888317227139646</v>
      </c>
      <c r="J31" s="143">
        <f t="shared" si="4"/>
        <v>0.62279536953983117</v>
      </c>
    </row>
    <row r="32" spans="1:10" ht="12" customHeight="1" x14ac:dyDescent="0.2">
      <c r="A32" s="3">
        <v>1985</v>
      </c>
      <c r="B32" s="21">
        <v>238.46600000000001</v>
      </c>
      <c r="C32" s="171">
        <v>242</v>
      </c>
      <c r="D32" s="172">
        <v>36</v>
      </c>
      <c r="E32" s="172">
        <f t="shared" si="0"/>
        <v>278</v>
      </c>
      <c r="F32" s="172">
        <v>20</v>
      </c>
      <c r="G32" s="172">
        <v>4.84</v>
      </c>
      <c r="H32" s="171">
        <f t="shared" si="1"/>
        <v>253.16</v>
      </c>
      <c r="I32" s="144">
        <f t="shared" si="2"/>
        <v>1.0616188471312471</v>
      </c>
      <c r="J32" s="143">
        <f t="shared" si="4"/>
        <v>0.8599112661763102</v>
      </c>
    </row>
    <row r="33" spans="1:10" ht="12" customHeight="1" x14ac:dyDescent="0.2">
      <c r="A33" s="2">
        <v>1986</v>
      </c>
      <c r="B33" s="20">
        <v>240.65100000000001</v>
      </c>
      <c r="C33" s="168">
        <v>177.5</v>
      </c>
      <c r="D33" s="170">
        <v>46.1</v>
      </c>
      <c r="E33" s="170">
        <f t="shared" si="0"/>
        <v>223.6</v>
      </c>
      <c r="F33" s="170">
        <v>35.700000000000003</v>
      </c>
      <c r="G33" s="170">
        <v>3.5500000000000003</v>
      </c>
      <c r="H33" s="8">
        <f t="shared" si="1"/>
        <v>184.35</v>
      </c>
      <c r="I33" s="142">
        <f t="shared" si="2"/>
        <v>0.76604709724871278</v>
      </c>
      <c r="J33" s="142">
        <f t="shared" si="4"/>
        <v>0.62049814877145737</v>
      </c>
    </row>
    <row r="34" spans="1:10" ht="12" customHeight="1" x14ac:dyDescent="0.2">
      <c r="A34" s="2">
        <v>1987</v>
      </c>
      <c r="B34" s="20">
        <v>242.804</v>
      </c>
      <c r="C34" s="168">
        <v>268.5</v>
      </c>
      <c r="D34" s="170">
        <v>50.2</v>
      </c>
      <c r="E34" s="170">
        <f t="shared" si="0"/>
        <v>318.7</v>
      </c>
      <c r="F34" s="170">
        <v>25</v>
      </c>
      <c r="G34" s="170">
        <v>5.37</v>
      </c>
      <c r="H34" s="8">
        <f t="shared" si="1"/>
        <v>288.33</v>
      </c>
      <c r="I34" s="142">
        <f t="shared" si="2"/>
        <v>1.1875010296370734</v>
      </c>
      <c r="J34" s="142">
        <f t="shared" si="4"/>
        <v>0.9618758340060295</v>
      </c>
    </row>
    <row r="35" spans="1:10" ht="12" customHeight="1" x14ac:dyDescent="0.2">
      <c r="A35" s="2">
        <v>1988</v>
      </c>
      <c r="B35" s="20">
        <v>245.02099999999999</v>
      </c>
      <c r="C35" s="168">
        <v>261.89999999999998</v>
      </c>
      <c r="D35" s="170">
        <v>41.9</v>
      </c>
      <c r="E35" s="170">
        <f t="shared" si="0"/>
        <v>303.79999999999995</v>
      </c>
      <c r="F35" s="170">
        <v>32.4</v>
      </c>
      <c r="G35" s="170">
        <v>5.2379999999999995</v>
      </c>
      <c r="H35" s="8">
        <f t="shared" si="1"/>
        <v>266.16199999999998</v>
      </c>
      <c r="I35" s="142">
        <f t="shared" si="2"/>
        <v>1.0862824002840572</v>
      </c>
      <c r="J35" s="142">
        <f t="shared" si="4"/>
        <v>0.87988874423008634</v>
      </c>
    </row>
    <row r="36" spans="1:10" ht="12" customHeight="1" x14ac:dyDescent="0.2">
      <c r="A36" s="2">
        <v>1989</v>
      </c>
      <c r="B36" s="20">
        <v>247.34200000000001</v>
      </c>
      <c r="C36" s="168">
        <v>262.10000000000002</v>
      </c>
      <c r="D36" s="170">
        <v>44.5</v>
      </c>
      <c r="E36" s="170">
        <f t="shared" si="0"/>
        <v>306.60000000000002</v>
      </c>
      <c r="F36" s="170">
        <v>50.4</v>
      </c>
      <c r="G36" s="170">
        <v>5.2420000000000009</v>
      </c>
      <c r="H36" s="8">
        <f t="shared" si="1"/>
        <v>250.95800000000003</v>
      </c>
      <c r="I36" s="142">
        <f t="shared" si="2"/>
        <v>1.0146194338203782</v>
      </c>
      <c r="J36" s="142">
        <f t="shared" si="4"/>
        <v>0.82184174139450639</v>
      </c>
    </row>
    <row r="37" spans="1:10" ht="12" customHeight="1" x14ac:dyDescent="0.2">
      <c r="A37" s="2">
        <v>1990</v>
      </c>
      <c r="B37" s="20">
        <v>250.13200000000001</v>
      </c>
      <c r="C37" s="168">
        <v>341.3</v>
      </c>
      <c r="D37" s="170">
        <v>80.598210741000003</v>
      </c>
      <c r="E37" s="170">
        <f t="shared" si="0"/>
        <v>421.89821074100001</v>
      </c>
      <c r="F37" s="170">
        <v>63.1</v>
      </c>
      <c r="G37" s="170">
        <v>6.8260000000000005</v>
      </c>
      <c r="H37" s="8">
        <f t="shared" si="1"/>
        <v>351.97221074100003</v>
      </c>
      <c r="I37" s="142">
        <f t="shared" si="2"/>
        <v>1.4071458699446693</v>
      </c>
      <c r="J37" s="142">
        <f t="shared" si="4"/>
        <v>1.1397881546551822</v>
      </c>
    </row>
    <row r="38" spans="1:10" ht="12" customHeight="1" x14ac:dyDescent="0.2">
      <c r="A38" s="3">
        <v>1991</v>
      </c>
      <c r="B38" s="21">
        <v>253.49299999999999</v>
      </c>
      <c r="C38" s="171">
        <v>376.6</v>
      </c>
      <c r="D38" s="172">
        <v>73.316486165000001</v>
      </c>
      <c r="E38" s="172">
        <f t="shared" si="0"/>
        <v>449.91648616500004</v>
      </c>
      <c r="F38" s="172">
        <v>65.400000000000006</v>
      </c>
      <c r="G38" s="172">
        <v>7.5320000000000009</v>
      </c>
      <c r="H38" s="171">
        <f t="shared" si="1"/>
        <v>376.98448616500002</v>
      </c>
      <c r="I38" s="144">
        <f t="shared" si="2"/>
        <v>1.4871593541636259</v>
      </c>
      <c r="J38" s="143">
        <f t="shared" si="4"/>
        <v>1.204599076872537</v>
      </c>
    </row>
    <row r="39" spans="1:10" ht="12" customHeight="1" x14ac:dyDescent="0.2">
      <c r="A39" s="3">
        <v>1992</v>
      </c>
      <c r="B39" s="21">
        <v>256.89400000000001</v>
      </c>
      <c r="C39" s="171">
        <v>379.5</v>
      </c>
      <c r="D39" s="172">
        <v>64.997076809999996</v>
      </c>
      <c r="E39" s="172">
        <f t="shared" ref="E39:E67" si="5">SUM(C39,D39)</f>
        <v>444.49707681000001</v>
      </c>
      <c r="F39" s="172">
        <v>61.7</v>
      </c>
      <c r="G39" s="172">
        <v>7.59</v>
      </c>
      <c r="H39" s="171">
        <f t="shared" ref="H39:H59" si="6">E39-SUM(F39,G39)</f>
        <v>375.20707680999999</v>
      </c>
      <c r="I39" s="144">
        <f t="shared" ref="I39:I59" si="7">IF(H39=0,0,IF(B39=0,0,H39/B39))</f>
        <v>1.4605521219257747</v>
      </c>
      <c r="J39" s="143">
        <f t="shared" si="4"/>
        <v>1.1830472187598775</v>
      </c>
    </row>
    <row r="40" spans="1:10" ht="12" customHeight="1" x14ac:dyDescent="0.2">
      <c r="A40" s="3">
        <v>1993</v>
      </c>
      <c r="B40" s="21">
        <v>260.255</v>
      </c>
      <c r="C40" s="171">
        <v>416</v>
      </c>
      <c r="D40" s="172">
        <v>118.42365127500001</v>
      </c>
      <c r="E40" s="172">
        <f t="shared" si="5"/>
        <v>534.423651275</v>
      </c>
      <c r="F40" s="172">
        <v>71.8</v>
      </c>
      <c r="G40" s="172">
        <v>8.32</v>
      </c>
      <c r="H40" s="171">
        <f t="shared" si="6"/>
        <v>454.30365127499999</v>
      </c>
      <c r="I40" s="144">
        <f t="shared" si="7"/>
        <v>1.7456096953949012</v>
      </c>
      <c r="J40" s="143">
        <f t="shared" si="4"/>
        <v>1.41394385326987</v>
      </c>
    </row>
    <row r="41" spans="1:10" ht="12" customHeight="1" x14ac:dyDescent="0.2">
      <c r="A41" s="3">
        <v>1994</v>
      </c>
      <c r="B41" s="21">
        <v>263.43599999999998</v>
      </c>
      <c r="C41" s="171">
        <v>459</v>
      </c>
      <c r="D41" s="172">
        <v>97.31020387800001</v>
      </c>
      <c r="E41" s="172">
        <f t="shared" si="5"/>
        <v>556.31020387800004</v>
      </c>
      <c r="F41" s="172">
        <v>73.7</v>
      </c>
      <c r="G41" s="172">
        <v>9.18</v>
      </c>
      <c r="H41" s="171">
        <f t="shared" si="6"/>
        <v>473.43020387800004</v>
      </c>
      <c r="I41" s="144">
        <f t="shared" si="7"/>
        <v>1.7971355618746112</v>
      </c>
      <c r="J41" s="143">
        <f t="shared" si="4"/>
        <v>1.4556798051184352</v>
      </c>
    </row>
    <row r="42" spans="1:10" ht="12" customHeight="1" x14ac:dyDescent="0.2">
      <c r="A42" s="3">
        <v>1995</v>
      </c>
      <c r="B42" s="21">
        <v>266.55700000000002</v>
      </c>
      <c r="C42" s="171">
        <v>470.3</v>
      </c>
      <c r="D42" s="172">
        <v>95.782631709000015</v>
      </c>
      <c r="E42" s="172">
        <f t="shared" si="5"/>
        <v>566.082631709</v>
      </c>
      <c r="F42" s="172">
        <v>63.6</v>
      </c>
      <c r="G42" s="172">
        <v>9.4060000000000006</v>
      </c>
      <c r="H42" s="171">
        <f t="shared" si="6"/>
        <v>493.07663170900003</v>
      </c>
      <c r="I42" s="144">
        <f t="shared" si="7"/>
        <v>1.8497980983767075</v>
      </c>
      <c r="J42" s="143">
        <f t="shared" si="4"/>
        <v>1.4983364596851332</v>
      </c>
    </row>
    <row r="43" spans="1:10" ht="12" customHeight="1" x14ac:dyDescent="0.2">
      <c r="A43" s="2">
        <v>1996</v>
      </c>
      <c r="B43" s="20">
        <v>269.66699999999997</v>
      </c>
      <c r="C43" s="168">
        <v>612.5</v>
      </c>
      <c r="D43" s="170">
        <v>100.33708522000001</v>
      </c>
      <c r="E43" s="170">
        <f t="shared" si="5"/>
        <v>712.83708522000006</v>
      </c>
      <c r="F43" s="170">
        <v>81.8</v>
      </c>
      <c r="G43" s="170">
        <v>12.25</v>
      </c>
      <c r="H43" s="8">
        <f t="shared" si="6"/>
        <v>618.78708522000011</v>
      </c>
      <c r="I43" s="142">
        <f t="shared" si="7"/>
        <v>2.2946340680172219</v>
      </c>
      <c r="J43" s="142">
        <f t="shared" si="4"/>
        <v>1.8586535950939498</v>
      </c>
    </row>
    <row r="44" spans="1:10" ht="12" customHeight="1" x14ac:dyDescent="0.2">
      <c r="A44" s="2">
        <v>1997</v>
      </c>
      <c r="B44" s="20">
        <v>272.91199999999998</v>
      </c>
      <c r="C44" s="168">
        <v>561</v>
      </c>
      <c r="D44" s="170">
        <v>83.410634342999998</v>
      </c>
      <c r="E44" s="170">
        <f t="shared" si="5"/>
        <v>644.41063434299997</v>
      </c>
      <c r="F44" s="170">
        <v>88.7</v>
      </c>
      <c r="G44" s="170">
        <v>11.22</v>
      </c>
      <c r="H44" s="8">
        <f t="shared" si="6"/>
        <v>544.49063434300001</v>
      </c>
      <c r="I44" s="142">
        <f t="shared" si="7"/>
        <v>1.9951143018372224</v>
      </c>
      <c r="J44" s="142">
        <f t="shared" si="4"/>
        <v>1.6160425844881503</v>
      </c>
    </row>
    <row r="45" spans="1:10" ht="12" customHeight="1" x14ac:dyDescent="0.2">
      <c r="A45" s="2">
        <v>1998</v>
      </c>
      <c r="B45" s="20">
        <v>276.11500000000001</v>
      </c>
      <c r="C45" s="168">
        <v>551</v>
      </c>
      <c r="D45" s="170">
        <v>256.07253084300004</v>
      </c>
      <c r="E45" s="170">
        <f t="shared" si="5"/>
        <v>807.0725308430001</v>
      </c>
      <c r="F45" s="170">
        <v>82.5</v>
      </c>
      <c r="G45" s="170">
        <v>11.02</v>
      </c>
      <c r="H45" s="8">
        <f t="shared" si="6"/>
        <v>713.55253084300011</v>
      </c>
      <c r="I45" s="142">
        <f t="shared" si="7"/>
        <v>2.5842584823099073</v>
      </c>
      <c r="J45" s="142">
        <f t="shared" si="4"/>
        <v>2.0932493706710251</v>
      </c>
    </row>
    <row r="46" spans="1:10" ht="12" customHeight="1" x14ac:dyDescent="0.2">
      <c r="A46" s="2">
        <v>1999</v>
      </c>
      <c r="B46" s="20">
        <v>279.29500000000002</v>
      </c>
      <c r="C46" s="168">
        <v>740</v>
      </c>
      <c r="D46" s="170">
        <v>260.95432172699998</v>
      </c>
      <c r="E46" s="170">
        <f t="shared" si="5"/>
        <v>1000.954321727</v>
      </c>
      <c r="F46" s="170">
        <v>66.599999999999994</v>
      </c>
      <c r="G46" s="170">
        <v>14.8</v>
      </c>
      <c r="H46" s="8">
        <f t="shared" si="6"/>
        <v>919.554321727</v>
      </c>
      <c r="I46" s="142">
        <f t="shared" si="7"/>
        <v>3.2924124016792278</v>
      </c>
      <c r="J46" s="142">
        <f t="shared" si="4"/>
        <v>2.6668540453601746</v>
      </c>
    </row>
    <row r="47" spans="1:10" ht="12" customHeight="1" x14ac:dyDescent="0.2">
      <c r="A47" s="2">
        <v>2000</v>
      </c>
      <c r="B47" s="20">
        <v>282.38499999999999</v>
      </c>
      <c r="C47" s="168">
        <v>558.1</v>
      </c>
      <c r="D47" s="170">
        <v>181.99218404699999</v>
      </c>
      <c r="E47" s="170">
        <f t="shared" si="5"/>
        <v>740.09218404700005</v>
      </c>
      <c r="F47" s="170">
        <v>57.303387999999998</v>
      </c>
      <c r="G47" s="170">
        <v>55.81</v>
      </c>
      <c r="H47" s="8">
        <f t="shared" si="6"/>
        <v>626.97879604700006</v>
      </c>
      <c r="I47" s="142">
        <f t="shared" si="7"/>
        <v>2.2202978063530288</v>
      </c>
      <c r="J47" s="142">
        <f t="shared" si="4"/>
        <v>1.7984412231459534</v>
      </c>
    </row>
    <row r="48" spans="1:10" ht="12" customHeight="1" x14ac:dyDescent="0.2">
      <c r="A48" s="3">
        <v>2001</v>
      </c>
      <c r="B48" s="21">
        <v>285.30901899999998</v>
      </c>
      <c r="C48" s="171">
        <v>587.70000000000005</v>
      </c>
      <c r="D48" s="172">
        <v>217.67246581600003</v>
      </c>
      <c r="E48" s="172">
        <f t="shared" si="5"/>
        <v>805.37246581600004</v>
      </c>
      <c r="F48" s="172">
        <v>57.381609900000001</v>
      </c>
      <c r="G48" s="172">
        <v>58.77000000000001</v>
      </c>
      <c r="H48" s="171">
        <f t="shared" si="6"/>
        <v>689.220855916</v>
      </c>
      <c r="I48" s="144">
        <f t="shared" si="7"/>
        <v>2.4156995048095555</v>
      </c>
      <c r="J48" s="143">
        <f t="shared" ref="J48:J53" si="8">I48*0.81</f>
        <v>1.95671659889574</v>
      </c>
    </row>
    <row r="49" spans="1:10" ht="12" customHeight="1" x14ac:dyDescent="0.2">
      <c r="A49" s="3">
        <v>2002</v>
      </c>
      <c r="B49" s="21">
        <v>288.10481800000002</v>
      </c>
      <c r="C49" s="171">
        <v>565</v>
      </c>
      <c r="D49" s="172">
        <v>263.202621196</v>
      </c>
      <c r="E49" s="172">
        <f t="shared" si="5"/>
        <v>828.202621196</v>
      </c>
      <c r="F49" s="172">
        <v>51.462150800000003</v>
      </c>
      <c r="G49" s="172">
        <v>56.5</v>
      </c>
      <c r="H49" s="171">
        <f t="shared" si="6"/>
        <v>720.24047039599998</v>
      </c>
      <c r="I49" s="144">
        <f t="shared" si="7"/>
        <v>2.4999251154348969</v>
      </c>
      <c r="J49" s="143">
        <f t="shared" si="8"/>
        <v>2.0249393435022665</v>
      </c>
    </row>
    <row r="50" spans="1:10" ht="12" customHeight="1" x14ac:dyDescent="0.2">
      <c r="A50" s="3">
        <v>2003</v>
      </c>
      <c r="B50" s="21">
        <v>290.81963400000001</v>
      </c>
      <c r="C50" s="171">
        <v>624.1</v>
      </c>
      <c r="D50" s="172">
        <v>311.47460148899995</v>
      </c>
      <c r="E50" s="172">
        <f t="shared" si="5"/>
        <v>935.57460148899997</v>
      </c>
      <c r="F50" s="172">
        <v>50.966517899999999</v>
      </c>
      <c r="G50" s="172">
        <v>62.410000000000004</v>
      </c>
      <c r="H50" s="171">
        <f t="shared" si="6"/>
        <v>822.19808358899991</v>
      </c>
      <c r="I50" s="144">
        <f t="shared" si="7"/>
        <v>2.8271752917101871</v>
      </c>
      <c r="J50" s="143">
        <f t="shared" si="8"/>
        <v>2.2900119862852515</v>
      </c>
    </row>
    <row r="51" spans="1:10" ht="12" customHeight="1" x14ac:dyDescent="0.2">
      <c r="A51" s="3">
        <v>2004</v>
      </c>
      <c r="B51" s="21">
        <v>293.46318500000001</v>
      </c>
      <c r="C51" s="171">
        <v>522.4</v>
      </c>
      <c r="D51" s="172">
        <v>331.43577927199999</v>
      </c>
      <c r="E51" s="172">
        <f t="shared" si="5"/>
        <v>853.83577927199997</v>
      </c>
      <c r="F51" s="172">
        <v>48.268088400000003</v>
      </c>
      <c r="G51" s="172">
        <v>52.24</v>
      </c>
      <c r="H51" s="171">
        <f t="shared" si="6"/>
        <v>753.32769087199995</v>
      </c>
      <c r="I51" s="144">
        <f t="shared" si="7"/>
        <v>2.5670262212686064</v>
      </c>
      <c r="J51" s="143">
        <f t="shared" si="8"/>
        <v>2.0792912392275711</v>
      </c>
    </row>
    <row r="52" spans="1:10" ht="12" customHeight="1" x14ac:dyDescent="0.2">
      <c r="A52" s="3">
        <v>2005</v>
      </c>
      <c r="B52" s="21">
        <v>296.186216</v>
      </c>
      <c r="C52" s="171">
        <v>477.1</v>
      </c>
      <c r="D52" s="172">
        <v>346.54456954</v>
      </c>
      <c r="E52" s="172">
        <f t="shared" si="5"/>
        <v>823.64456954000002</v>
      </c>
      <c r="F52" s="172">
        <v>54.2482477</v>
      </c>
      <c r="G52" s="172">
        <v>47.710000000000008</v>
      </c>
      <c r="H52" s="171">
        <f t="shared" si="6"/>
        <v>721.68632184000001</v>
      </c>
      <c r="I52" s="144">
        <f t="shared" si="7"/>
        <v>2.4365965830091163</v>
      </c>
      <c r="J52" s="143">
        <f t="shared" si="8"/>
        <v>1.9736432322373842</v>
      </c>
    </row>
    <row r="53" spans="1:10" ht="12" customHeight="1" x14ac:dyDescent="0.2">
      <c r="A53" s="2">
        <v>2006</v>
      </c>
      <c r="B53" s="20">
        <v>298.99582500000002</v>
      </c>
      <c r="C53" s="168">
        <v>431.2</v>
      </c>
      <c r="D53" s="170">
        <v>465.270220591</v>
      </c>
      <c r="E53" s="170">
        <f t="shared" si="5"/>
        <v>896.47022059100004</v>
      </c>
      <c r="F53" s="170">
        <v>47.765112670000001</v>
      </c>
      <c r="G53" s="170">
        <v>43.120000000000005</v>
      </c>
      <c r="H53" s="8">
        <f t="shared" si="6"/>
        <v>805.58510792100003</v>
      </c>
      <c r="I53" s="142">
        <f t="shared" si="7"/>
        <v>2.6943021960958817</v>
      </c>
      <c r="J53" s="142">
        <f t="shared" si="8"/>
        <v>2.1823847788376645</v>
      </c>
    </row>
    <row r="54" spans="1:10" ht="12" customHeight="1" x14ac:dyDescent="0.2">
      <c r="A54" s="2">
        <v>2007</v>
      </c>
      <c r="B54" s="20">
        <v>302.003917</v>
      </c>
      <c r="C54" s="168">
        <v>410.4</v>
      </c>
      <c r="D54" s="170">
        <v>494.95093229499997</v>
      </c>
      <c r="E54" s="170">
        <f t="shared" si="5"/>
        <v>905.35093229499989</v>
      </c>
      <c r="F54" s="170">
        <v>42.862925040000007</v>
      </c>
      <c r="G54" s="170">
        <v>41.04</v>
      </c>
      <c r="H54" s="8">
        <f t="shared" si="6"/>
        <v>821.44800725499988</v>
      </c>
      <c r="I54" s="142">
        <f t="shared" si="7"/>
        <v>2.7199912352626865</v>
      </c>
      <c r="J54" s="142">
        <f t="shared" ref="J54:J59" si="9">I54*0.81</f>
        <v>2.2031929005627764</v>
      </c>
    </row>
    <row r="55" spans="1:10" ht="12" customHeight="1" x14ac:dyDescent="0.2">
      <c r="A55" s="2">
        <v>2008</v>
      </c>
      <c r="B55" s="20">
        <v>304.79776099999998</v>
      </c>
      <c r="C55" s="168">
        <v>428.2</v>
      </c>
      <c r="D55" s="170">
        <v>499.47994747800004</v>
      </c>
      <c r="E55" s="170">
        <f t="shared" si="5"/>
        <v>927.67994747800003</v>
      </c>
      <c r="F55" s="170">
        <v>42.122862850000004</v>
      </c>
      <c r="G55" s="170">
        <v>42.82</v>
      </c>
      <c r="H55" s="8">
        <f t="shared" si="6"/>
        <v>842.73708462800005</v>
      </c>
      <c r="I55" s="142">
        <f t="shared" si="7"/>
        <v>2.7649057587007673</v>
      </c>
      <c r="J55" s="142">
        <f t="shared" si="9"/>
        <v>2.2395736645476219</v>
      </c>
    </row>
    <row r="56" spans="1:10" ht="12" customHeight="1" x14ac:dyDescent="0.2">
      <c r="A56" s="2">
        <v>2009</v>
      </c>
      <c r="B56" s="20">
        <v>307.43940600000002</v>
      </c>
      <c r="C56" s="168">
        <v>387.8</v>
      </c>
      <c r="D56" s="170">
        <v>440.15962159100002</v>
      </c>
      <c r="E56" s="170">
        <f t="shared" si="5"/>
        <v>827.95962159100009</v>
      </c>
      <c r="F56" s="170">
        <v>37.03819</v>
      </c>
      <c r="G56" s="170">
        <v>38.78</v>
      </c>
      <c r="H56" s="8">
        <f t="shared" si="6"/>
        <v>752.14143159100013</v>
      </c>
      <c r="I56" s="142">
        <f t="shared" si="7"/>
        <v>2.4464704813767435</v>
      </c>
      <c r="J56" s="142">
        <f t="shared" si="9"/>
        <v>1.9816410899151624</v>
      </c>
    </row>
    <row r="57" spans="1:10" ht="12" customHeight="1" x14ac:dyDescent="0.2">
      <c r="A57" s="2">
        <v>2010</v>
      </c>
      <c r="B57" s="20">
        <v>309.74127900000002</v>
      </c>
      <c r="C57" s="168">
        <v>375.2</v>
      </c>
      <c r="D57" s="170">
        <v>431.41301777285804</v>
      </c>
      <c r="E57" s="170">
        <f t="shared" si="5"/>
        <v>806.61301777285803</v>
      </c>
      <c r="F57" s="170">
        <v>43.153311466781993</v>
      </c>
      <c r="G57" s="170">
        <v>37.520000000000003</v>
      </c>
      <c r="H57" s="8">
        <f t="shared" si="6"/>
        <v>725.939706306076</v>
      </c>
      <c r="I57" s="142">
        <f t="shared" si="7"/>
        <v>2.3436969997985835</v>
      </c>
      <c r="J57" s="142">
        <f t="shared" si="9"/>
        <v>1.8983945698368527</v>
      </c>
    </row>
    <row r="58" spans="1:10" ht="12" customHeight="1" x14ac:dyDescent="0.2">
      <c r="A58" s="33">
        <v>2011</v>
      </c>
      <c r="B58" s="31">
        <v>311.97391399999998</v>
      </c>
      <c r="C58" s="171">
        <v>420.4</v>
      </c>
      <c r="D58" s="172">
        <v>406.48872803017605</v>
      </c>
      <c r="E58" s="172">
        <f t="shared" si="5"/>
        <v>826.88872803017603</v>
      </c>
      <c r="F58" s="172">
        <v>61.000126378576006</v>
      </c>
      <c r="G58" s="172">
        <v>42.04</v>
      </c>
      <c r="H58" s="171">
        <f t="shared" si="6"/>
        <v>723.84860165160001</v>
      </c>
      <c r="I58" s="144">
        <f t="shared" si="7"/>
        <v>2.3202215607411332</v>
      </c>
      <c r="J58" s="144">
        <f t="shared" si="9"/>
        <v>1.8793794642003181</v>
      </c>
    </row>
    <row r="59" spans="1:10" s="43" customFormat="1" ht="12" customHeight="1" x14ac:dyDescent="0.2">
      <c r="A59" s="33">
        <v>2012</v>
      </c>
      <c r="B59" s="31">
        <v>314.16755799999999</v>
      </c>
      <c r="C59" s="171">
        <v>431.9</v>
      </c>
      <c r="D59" s="172">
        <v>385.40695227689599</v>
      </c>
      <c r="E59" s="172">
        <f t="shared" si="5"/>
        <v>817.30695227689603</v>
      </c>
      <c r="F59" s="172">
        <v>52.714373841844008</v>
      </c>
      <c r="G59" s="172">
        <v>43.19</v>
      </c>
      <c r="H59" s="171">
        <f t="shared" si="6"/>
        <v>721.40257843505196</v>
      </c>
      <c r="I59" s="144">
        <f t="shared" si="7"/>
        <v>2.2962351142413375</v>
      </c>
      <c r="J59" s="144">
        <f t="shared" si="9"/>
        <v>1.8599504425354836</v>
      </c>
    </row>
    <row r="60" spans="1:10" s="93" customFormat="1" ht="12" customHeight="1" x14ac:dyDescent="0.2">
      <c r="A60" s="33">
        <v>2013</v>
      </c>
      <c r="B60" s="31">
        <v>316.29476599999998</v>
      </c>
      <c r="C60" s="171">
        <v>386.7</v>
      </c>
      <c r="D60" s="172">
        <v>418.76698742124398</v>
      </c>
      <c r="E60" s="172">
        <f t="shared" si="5"/>
        <v>805.46698742124397</v>
      </c>
      <c r="F60" s="172">
        <v>52.006122029883997</v>
      </c>
      <c r="G60" s="172">
        <v>38.67</v>
      </c>
      <c r="H60" s="171">
        <f t="shared" ref="H60" si="10">E60-SUM(F60,G60)</f>
        <v>714.79086539135994</v>
      </c>
      <c r="I60" s="144">
        <f t="shared" ref="I60" si="11">IF(H60=0,0,IF(B60=0,0,H60/B60))</f>
        <v>2.2598883770064031</v>
      </c>
      <c r="J60" s="144">
        <f t="shared" ref="J60" si="12">I60*0.81</f>
        <v>1.8305095853751867</v>
      </c>
    </row>
    <row r="61" spans="1:10" s="93" customFormat="1" ht="12" customHeight="1" x14ac:dyDescent="0.2">
      <c r="A61" s="33">
        <v>2014</v>
      </c>
      <c r="B61" s="31">
        <v>318.576955</v>
      </c>
      <c r="C61" s="171">
        <v>386.8</v>
      </c>
      <c r="D61" s="172">
        <v>423.5237496084759</v>
      </c>
      <c r="E61" s="172">
        <f t="shared" si="5"/>
        <v>810.32374960847596</v>
      </c>
      <c r="F61" s="172">
        <v>57.717828377374005</v>
      </c>
      <c r="G61" s="172">
        <v>38.680000000000007</v>
      </c>
      <c r="H61" s="171">
        <f t="shared" ref="H61" si="13">E61-SUM(F61,G61)</f>
        <v>713.92592123110194</v>
      </c>
      <c r="I61" s="144">
        <f t="shared" ref="I61" si="14">IF(H61=0,0,IF(B61=0,0,H61/B61))</f>
        <v>2.2409841955803174</v>
      </c>
      <c r="J61" s="144">
        <f t="shared" ref="J61" si="15">I61*0.81</f>
        <v>1.8151971984200572</v>
      </c>
    </row>
    <row r="62" spans="1:10" s="93" customFormat="1" ht="12" customHeight="1" x14ac:dyDescent="0.2">
      <c r="A62" s="33">
        <v>2015</v>
      </c>
      <c r="B62" s="31">
        <v>320.87070299999999</v>
      </c>
      <c r="C62" s="171">
        <v>408.9</v>
      </c>
      <c r="D62" s="172">
        <v>449.69426804706802</v>
      </c>
      <c r="E62" s="172">
        <f t="shared" si="5"/>
        <v>858.594268047068</v>
      </c>
      <c r="F62" s="172">
        <v>53.384621311933991</v>
      </c>
      <c r="G62" s="172">
        <v>40.89</v>
      </c>
      <c r="H62" s="171">
        <f t="shared" ref="H62" si="16">E62-SUM(F62,G62)</f>
        <v>764.31964673513403</v>
      </c>
      <c r="I62" s="144">
        <f t="shared" ref="I62" si="17">IF(H62=0,0,IF(B62=0,0,H62/B62))</f>
        <v>2.3820175528307241</v>
      </c>
      <c r="J62" s="144">
        <f t="shared" ref="J62" si="18">I62*0.81</f>
        <v>1.9294342177928867</v>
      </c>
    </row>
    <row r="63" spans="1:10" s="93" customFormat="1" ht="12" customHeight="1" x14ac:dyDescent="0.2">
      <c r="A63" s="128">
        <v>2016</v>
      </c>
      <c r="B63" s="129">
        <v>323.16101099999997</v>
      </c>
      <c r="C63" s="168">
        <v>451.5</v>
      </c>
      <c r="D63" s="170">
        <v>651.98796177822999</v>
      </c>
      <c r="E63" s="170">
        <f t="shared" si="5"/>
        <v>1103.4879617782299</v>
      </c>
      <c r="F63" s="170">
        <v>122.99666008759804</v>
      </c>
      <c r="G63" s="170">
        <v>45.150000000000006</v>
      </c>
      <c r="H63" s="8">
        <f t="shared" ref="H63:H64" si="19">E63-SUM(F63,G63)</f>
        <v>935.34130169063178</v>
      </c>
      <c r="I63" s="142">
        <f t="shared" ref="I63:I64" si="20">IF(H63=0,0,IF(B63=0,0,H63/B63))</f>
        <v>2.8943507101809129</v>
      </c>
      <c r="J63" s="142">
        <f t="shared" ref="J63:J64" si="21">I63*0.81</f>
        <v>2.3444240752465397</v>
      </c>
    </row>
    <row r="64" spans="1:10" s="93" customFormat="1" ht="12" customHeight="1" x14ac:dyDescent="0.2">
      <c r="A64" s="125">
        <v>2017</v>
      </c>
      <c r="B64" s="126">
        <v>325.20603</v>
      </c>
      <c r="C64" s="168">
        <v>511.5</v>
      </c>
      <c r="D64" s="170">
        <v>570.71466730396821</v>
      </c>
      <c r="E64" s="170">
        <f t="shared" si="5"/>
        <v>1082.2146673039683</v>
      </c>
      <c r="F64" s="170">
        <v>65.513011958174005</v>
      </c>
      <c r="G64" s="170">
        <v>51.150000000000006</v>
      </c>
      <c r="H64" s="8">
        <f t="shared" si="19"/>
        <v>965.5516553457943</v>
      </c>
      <c r="I64" s="142">
        <f t="shared" si="20"/>
        <v>2.9690459778553131</v>
      </c>
      <c r="J64" s="142">
        <f t="shared" si="21"/>
        <v>2.4049272420628038</v>
      </c>
    </row>
    <row r="65" spans="1:11" s="93" customFormat="1" ht="12" customHeight="1" x14ac:dyDescent="0.2">
      <c r="A65" s="128">
        <v>2018</v>
      </c>
      <c r="B65" s="129">
        <v>326.92397599999998</v>
      </c>
      <c r="C65" s="168">
        <v>523.25</v>
      </c>
      <c r="D65" s="170">
        <v>337.09978775957006</v>
      </c>
      <c r="E65" s="170">
        <f t="shared" si="5"/>
        <v>860.34978775957006</v>
      </c>
      <c r="F65" s="170">
        <v>30.742476370166003</v>
      </c>
      <c r="G65" s="170">
        <v>52.325000000000003</v>
      </c>
      <c r="H65" s="8">
        <f t="shared" ref="H65:H67" si="22">E65-SUM(F65,G65)</f>
        <v>777.28231138940407</v>
      </c>
      <c r="I65" s="142">
        <f t="shared" ref="I65:I66" si="23">IF(H65=0,0,IF(B65=0,0,H65/B65))</f>
        <v>2.3775628844958256</v>
      </c>
      <c r="J65" s="142">
        <f t="shared" ref="J65:J66" si="24">I65*0.81</f>
        <v>1.9258259364416188</v>
      </c>
    </row>
    <row r="66" spans="1:11" s="93" customFormat="1" ht="12" customHeight="1" x14ac:dyDescent="0.2">
      <c r="A66" s="128">
        <v>2019</v>
      </c>
      <c r="B66" s="129">
        <v>328.475998</v>
      </c>
      <c r="C66" s="168">
        <v>382.85</v>
      </c>
      <c r="D66" s="170">
        <v>280.35595719126599</v>
      </c>
      <c r="E66" s="170">
        <f t="shared" si="5"/>
        <v>663.20595719126595</v>
      </c>
      <c r="F66" s="170">
        <v>24.843871378018001</v>
      </c>
      <c r="G66" s="170">
        <v>41.85</v>
      </c>
      <c r="H66" s="8">
        <f t="shared" si="22"/>
        <v>596.51208581324795</v>
      </c>
      <c r="I66" s="142">
        <f t="shared" si="23"/>
        <v>1.815999005848969</v>
      </c>
      <c r="J66" s="142">
        <f t="shared" si="24"/>
        <v>1.470959194737665</v>
      </c>
    </row>
    <row r="67" spans="1:11" s="93" customFormat="1" ht="12" customHeight="1" thickBot="1" x14ac:dyDescent="0.25">
      <c r="A67" s="148">
        <v>2020</v>
      </c>
      <c r="B67" s="149">
        <v>330.11398000000003</v>
      </c>
      <c r="C67" s="168">
        <v>345.8</v>
      </c>
      <c r="D67" s="170">
        <v>280.41726304376402</v>
      </c>
      <c r="E67" s="170">
        <f t="shared" si="5"/>
        <v>626.21726304376398</v>
      </c>
      <c r="F67" s="170">
        <v>28.25812580701</v>
      </c>
      <c r="G67" s="170">
        <v>34.580000000000005</v>
      </c>
      <c r="H67" s="8">
        <f t="shared" si="22"/>
        <v>563.37913723675399</v>
      </c>
      <c r="I67" s="142">
        <f t="shared" ref="I67" si="25">IF(H67=0,0,IF(B67=0,0,H67/B67))</f>
        <v>1.7066200505557321</v>
      </c>
      <c r="J67" s="142">
        <f t="shared" ref="J67" si="26">I67*0.81</f>
        <v>1.382362240950143</v>
      </c>
    </row>
    <row r="68" spans="1:11" ht="12" customHeight="1" thickTop="1" x14ac:dyDescent="0.2">
      <c r="A68" s="254" t="s">
        <v>8</v>
      </c>
      <c r="B68" s="255"/>
      <c r="C68" s="255"/>
      <c r="D68" s="255"/>
      <c r="E68" s="255"/>
      <c r="F68" s="255"/>
      <c r="G68" s="255"/>
      <c r="H68" s="255"/>
      <c r="I68" s="255"/>
      <c r="J68" s="256"/>
      <c r="K68" s="43"/>
    </row>
    <row r="69" spans="1:11" ht="12" customHeight="1" x14ac:dyDescent="0.2">
      <c r="A69" s="248"/>
      <c r="B69" s="249"/>
      <c r="C69" s="249"/>
      <c r="D69" s="249"/>
      <c r="E69" s="249"/>
      <c r="F69" s="249"/>
      <c r="G69" s="249"/>
      <c r="H69" s="249"/>
      <c r="I69" s="249"/>
      <c r="J69" s="250"/>
      <c r="K69" s="43"/>
    </row>
    <row r="70" spans="1:11" ht="12" customHeight="1" x14ac:dyDescent="0.2">
      <c r="A70" s="251" t="s">
        <v>234</v>
      </c>
      <c r="B70" s="252"/>
      <c r="C70" s="252"/>
      <c r="D70" s="252"/>
      <c r="E70" s="252"/>
      <c r="F70" s="252"/>
      <c r="G70" s="252"/>
      <c r="H70" s="252"/>
      <c r="I70" s="252"/>
      <c r="J70" s="253"/>
      <c r="K70" s="43"/>
    </row>
    <row r="71" spans="1:11" ht="12" customHeight="1" x14ac:dyDescent="0.2">
      <c r="A71" s="251"/>
      <c r="B71" s="252"/>
      <c r="C71" s="252"/>
      <c r="D71" s="252"/>
      <c r="E71" s="252"/>
      <c r="F71" s="252"/>
      <c r="G71" s="252"/>
      <c r="H71" s="252"/>
      <c r="I71" s="252"/>
      <c r="J71" s="253"/>
      <c r="K71" s="43"/>
    </row>
    <row r="72" spans="1:11" ht="12" customHeight="1" x14ac:dyDescent="0.2">
      <c r="A72" s="251"/>
      <c r="B72" s="252"/>
      <c r="C72" s="252"/>
      <c r="D72" s="252"/>
      <c r="E72" s="252"/>
      <c r="F72" s="252"/>
      <c r="G72" s="252"/>
      <c r="H72" s="252"/>
      <c r="I72" s="252"/>
      <c r="J72" s="253"/>
      <c r="K72" s="43"/>
    </row>
    <row r="73" spans="1:11" s="93" customFormat="1" ht="24" customHeight="1" x14ac:dyDescent="0.2">
      <c r="A73" s="251"/>
      <c r="B73" s="252"/>
      <c r="C73" s="252"/>
      <c r="D73" s="252"/>
      <c r="E73" s="252"/>
      <c r="F73" s="252"/>
      <c r="G73" s="252"/>
      <c r="H73" s="252"/>
      <c r="I73" s="252"/>
      <c r="J73" s="253"/>
    </row>
    <row r="74" spans="1:11" ht="12" customHeight="1" x14ac:dyDescent="0.2">
      <c r="A74" s="248"/>
      <c r="B74" s="249"/>
      <c r="C74" s="249"/>
      <c r="D74" s="249"/>
      <c r="E74" s="249"/>
      <c r="F74" s="249"/>
      <c r="G74" s="249"/>
      <c r="H74" s="249"/>
      <c r="I74" s="249"/>
      <c r="J74" s="250"/>
      <c r="K74" s="43"/>
    </row>
    <row r="75" spans="1:11" ht="12" customHeight="1" x14ac:dyDescent="0.2">
      <c r="A75" s="223" t="s">
        <v>198</v>
      </c>
      <c r="B75" s="224"/>
      <c r="C75" s="224"/>
      <c r="D75" s="224"/>
      <c r="E75" s="224"/>
      <c r="F75" s="224"/>
      <c r="G75" s="224"/>
      <c r="H75" s="224"/>
      <c r="I75" s="224"/>
      <c r="J75" s="225"/>
      <c r="K75" s="43"/>
    </row>
  </sheetData>
  <mergeCells count="22">
    <mergeCell ref="C6:H6"/>
    <mergeCell ref="I6:J6"/>
    <mergeCell ref="A75:J75"/>
    <mergeCell ref="A70:J73"/>
    <mergeCell ref="A68:J68"/>
    <mergeCell ref="A69:J69"/>
    <mergeCell ref="A74:J74"/>
    <mergeCell ref="I1:J1"/>
    <mergeCell ref="A2:A5"/>
    <mergeCell ref="B2:B5"/>
    <mergeCell ref="E3:E5"/>
    <mergeCell ref="G3:G5"/>
    <mergeCell ref="C3:C5"/>
    <mergeCell ref="D3:D5"/>
    <mergeCell ref="F3:F5"/>
    <mergeCell ref="H3:H5"/>
    <mergeCell ref="I3:J3"/>
    <mergeCell ref="I4:I5"/>
    <mergeCell ref="C2:E2"/>
    <mergeCell ref="A1:H1"/>
    <mergeCell ref="F2:G2"/>
    <mergeCell ref="H2:J2"/>
  </mergeCells>
  <phoneticPr fontId="7" type="noConversion"/>
  <printOptions horizontalCentered="1"/>
  <pageMargins left="0.45" right="0.45" top="0.75" bottom="0.75" header="0" footer="0"/>
  <pageSetup scale="65" fitToWidth="2"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pageSetUpPr autoPageBreaks="0" fitToPage="1"/>
  </sheetPr>
  <dimension ref="A1:J73"/>
  <sheetViews>
    <sheetView showOutlineSymbols="0" zoomScaleNormal="100" workbookViewId="0">
      <pane ySplit="6" topLeftCell="A7" activePane="bottomLeft" state="frozen"/>
      <selection sqref="A1:G1"/>
      <selection pane="bottomLeft" sqref="A1:G1"/>
    </sheetView>
  </sheetViews>
  <sheetFormatPr defaultColWidth="12.7109375" defaultRowHeight="12" customHeight="1" x14ac:dyDescent="0.2"/>
  <cols>
    <col min="1" max="1" width="12.7109375" style="13" customWidth="1"/>
    <col min="2" max="16384" width="12.7109375" style="13"/>
  </cols>
  <sheetData>
    <row r="1" spans="1:10" s="1" customFormat="1" ht="12" customHeight="1" thickBot="1" x14ac:dyDescent="0.25">
      <c r="A1" s="201" t="s">
        <v>163</v>
      </c>
      <c r="B1" s="201"/>
      <c r="C1" s="201"/>
      <c r="D1" s="201"/>
      <c r="E1" s="201"/>
      <c r="F1" s="201"/>
      <c r="G1" s="201"/>
      <c r="H1" s="200" t="s">
        <v>19</v>
      </c>
      <c r="I1" s="200"/>
    </row>
    <row r="2" spans="1:10" ht="12" customHeight="1" thickTop="1" x14ac:dyDescent="0.2">
      <c r="A2" s="257" t="s">
        <v>1</v>
      </c>
      <c r="B2" s="258" t="s">
        <v>85</v>
      </c>
      <c r="C2" s="218" t="s">
        <v>2</v>
      </c>
      <c r="D2" s="218"/>
      <c r="E2" s="218"/>
      <c r="F2" s="117" t="s">
        <v>146</v>
      </c>
      <c r="G2" s="244" t="s">
        <v>147</v>
      </c>
      <c r="H2" s="245"/>
      <c r="I2" s="245"/>
    </row>
    <row r="3" spans="1:10" ht="12" customHeight="1" x14ac:dyDescent="0.2">
      <c r="A3" s="217"/>
      <c r="B3" s="259"/>
      <c r="C3" s="217" t="s">
        <v>86</v>
      </c>
      <c r="D3" s="217" t="s">
        <v>87</v>
      </c>
      <c r="E3" s="217" t="s">
        <v>88</v>
      </c>
      <c r="F3" s="217" t="s">
        <v>95</v>
      </c>
      <c r="G3" s="217" t="s">
        <v>137</v>
      </c>
      <c r="H3" s="226" t="s">
        <v>28</v>
      </c>
      <c r="I3" s="227"/>
    </row>
    <row r="4" spans="1:10" ht="12" customHeight="1" x14ac:dyDescent="0.2">
      <c r="A4" s="217"/>
      <c r="B4" s="259"/>
      <c r="C4" s="217"/>
      <c r="D4" s="217"/>
      <c r="E4" s="217"/>
      <c r="F4" s="217"/>
      <c r="G4" s="217"/>
      <c r="H4" s="217" t="s">
        <v>4</v>
      </c>
      <c r="I4" s="14" t="s">
        <v>139</v>
      </c>
      <c r="J4" s="4"/>
    </row>
    <row r="5" spans="1:10" ht="12" customHeight="1" x14ac:dyDescent="0.2">
      <c r="A5" s="217"/>
      <c r="B5" s="259"/>
      <c r="C5" s="217"/>
      <c r="D5" s="217"/>
      <c r="E5" s="217"/>
      <c r="F5" s="217"/>
      <c r="G5" s="217"/>
      <c r="H5" s="217"/>
      <c r="I5" s="14" t="s">
        <v>188</v>
      </c>
    </row>
    <row r="6" spans="1:10" ht="12" customHeight="1" x14ac:dyDescent="0.2">
      <c r="A6" s="71"/>
      <c r="B6" s="167" t="s">
        <v>121</v>
      </c>
      <c r="C6" s="290" t="s">
        <v>122</v>
      </c>
      <c r="D6" s="291"/>
      <c r="E6" s="291"/>
      <c r="F6" s="291"/>
      <c r="G6" s="292"/>
      <c r="H6" s="214" t="s">
        <v>118</v>
      </c>
      <c r="I6" s="222"/>
      <c r="J6" s="71"/>
    </row>
    <row r="7" spans="1:10" ht="12" customHeight="1" x14ac:dyDescent="0.2">
      <c r="A7" s="2">
        <v>1960</v>
      </c>
      <c r="B7" s="20">
        <v>180.67099999999999</v>
      </c>
      <c r="C7" s="168">
        <v>4011.1</v>
      </c>
      <c r="D7" s="170">
        <v>3.6219999999999999</v>
      </c>
      <c r="E7" s="170">
        <f t="shared" ref="E7:E38" si="0">SUM(C7,D7)</f>
        <v>4014.7219999999998</v>
      </c>
      <c r="F7" s="170">
        <v>145.851</v>
      </c>
      <c r="G7" s="170">
        <f t="shared" ref="G7:G24" si="1">E7-F7</f>
        <v>3868.8709999999996</v>
      </c>
      <c r="H7" s="142">
        <f t="shared" ref="H7:H38" si="2">IF(G7=0,0,IF(B7=0,0,G7/B7))</f>
        <v>21.413901511587358</v>
      </c>
      <c r="I7" s="142">
        <f t="shared" ref="I7:I16" si="3">H7*0.93</f>
        <v>19.914928405776244</v>
      </c>
    </row>
    <row r="8" spans="1:10" ht="12" customHeight="1" x14ac:dyDescent="0.2">
      <c r="A8" s="3">
        <v>1961</v>
      </c>
      <c r="B8" s="21">
        <v>183.691</v>
      </c>
      <c r="C8" s="171">
        <v>3953.4</v>
      </c>
      <c r="D8" s="172">
        <v>3.3029999999999999</v>
      </c>
      <c r="E8" s="172">
        <f t="shared" si="0"/>
        <v>3956.703</v>
      </c>
      <c r="F8" s="172">
        <v>159.21600000000001</v>
      </c>
      <c r="G8" s="172">
        <f t="shared" si="1"/>
        <v>3797.4870000000001</v>
      </c>
      <c r="H8" s="183">
        <f t="shared" si="2"/>
        <v>20.673233854679872</v>
      </c>
      <c r="I8" s="144">
        <f t="shared" si="3"/>
        <v>19.226107484852282</v>
      </c>
    </row>
    <row r="9" spans="1:10" ht="12" customHeight="1" x14ac:dyDescent="0.2">
      <c r="A9" s="3">
        <v>1962</v>
      </c>
      <c r="B9" s="21">
        <v>186.53800000000001</v>
      </c>
      <c r="C9" s="171">
        <v>3904.4</v>
      </c>
      <c r="D9" s="172">
        <v>1.3049999999999999</v>
      </c>
      <c r="E9" s="172">
        <f t="shared" si="0"/>
        <v>3905.7049999999999</v>
      </c>
      <c r="F9" s="172">
        <v>163.387</v>
      </c>
      <c r="G9" s="172">
        <f t="shared" si="1"/>
        <v>3742.3179999999998</v>
      </c>
      <c r="H9" s="183">
        <f t="shared" si="2"/>
        <v>20.061960565675623</v>
      </c>
      <c r="I9" s="144">
        <f t="shared" si="3"/>
        <v>18.65762332607833</v>
      </c>
    </row>
    <row r="10" spans="1:10" ht="12" customHeight="1" x14ac:dyDescent="0.2">
      <c r="A10" s="3">
        <v>1963</v>
      </c>
      <c r="B10" s="21">
        <v>189.24199999999999</v>
      </c>
      <c r="C10" s="171">
        <v>4098.5</v>
      </c>
      <c r="D10" s="172">
        <v>5.46</v>
      </c>
      <c r="E10" s="172">
        <f t="shared" si="0"/>
        <v>4103.96</v>
      </c>
      <c r="F10" s="172">
        <v>164.45</v>
      </c>
      <c r="G10" s="172">
        <f t="shared" si="1"/>
        <v>3939.51</v>
      </c>
      <c r="H10" s="183">
        <f t="shared" si="2"/>
        <v>20.817313281406879</v>
      </c>
      <c r="I10" s="144">
        <f t="shared" si="3"/>
        <v>19.360101351708398</v>
      </c>
    </row>
    <row r="11" spans="1:10" ht="12" customHeight="1" x14ac:dyDescent="0.2">
      <c r="A11" s="3">
        <v>1964</v>
      </c>
      <c r="B11" s="21">
        <v>191.88900000000001</v>
      </c>
      <c r="C11" s="171">
        <v>4087.1</v>
      </c>
      <c r="D11" s="172">
        <v>4.5199999999999996</v>
      </c>
      <c r="E11" s="172">
        <f t="shared" si="0"/>
        <v>4091.62</v>
      </c>
      <c r="F11" s="172">
        <v>175.929</v>
      </c>
      <c r="G11" s="172">
        <f t="shared" si="1"/>
        <v>3915.6909999999998</v>
      </c>
      <c r="H11" s="183">
        <f t="shared" si="2"/>
        <v>20.406021189333416</v>
      </c>
      <c r="I11" s="144">
        <f t="shared" si="3"/>
        <v>18.977599706080078</v>
      </c>
    </row>
    <row r="12" spans="1:10" ht="12" customHeight="1" x14ac:dyDescent="0.2">
      <c r="A12" s="3">
        <v>1965</v>
      </c>
      <c r="B12" s="21">
        <v>194.303</v>
      </c>
      <c r="C12" s="171">
        <v>4258.3999999999996</v>
      </c>
      <c r="D12" s="172">
        <v>4.43</v>
      </c>
      <c r="E12" s="172">
        <f t="shared" si="0"/>
        <v>4262.83</v>
      </c>
      <c r="F12" s="172">
        <v>180.80099999999999</v>
      </c>
      <c r="G12" s="172">
        <f t="shared" si="1"/>
        <v>4082.029</v>
      </c>
      <c r="H12" s="183">
        <f t="shared" si="2"/>
        <v>21.008574237145076</v>
      </c>
      <c r="I12" s="144">
        <f t="shared" si="3"/>
        <v>19.53797404054492</v>
      </c>
    </row>
    <row r="13" spans="1:10" ht="12" customHeight="1" x14ac:dyDescent="0.2">
      <c r="A13" s="2">
        <v>1966</v>
      </c>
      <c r="B13" s="20">
        <v>196.56</v>
      </c>
      <c r="C13" s="168">
        <v>4328.3</v>
      </c>
      <c r="D13" s="170">
        <v>4.74</v>
      </c>
      <c r="E13" s="170">
        <f t="shared" si="0"/>
        <v>4333.04</v>
      </c>
      <c r="F13" s="170">
        <v>219.02699999999999</v>
      </c>
      <c r="G13" s="170">
        <f t="shared" si="1"/>
        <v>4114.0129999999999</v>
      </c>
      <c r="H13" s="142">
        <f t="shared" si="2"/>
        <v>20.930062067562066</v>
      </c>
      <c r="I13" s="142">
        <f t="shared" si="3"/>
        <v>19.464957722832722</v>
      </c>
    </row>
    <row r="14" spans="1:10" ht="12" customHeight="1" x14ac:dyDescent="0.2">
      <c r="A14" s="2">
        <v>1967</v>
      </c>
      <c r="B14" s="20">
        <v>198.71199999999999</v>
      </c>
      <c r="C14" s="168">
        <v>4481.6000000000004</v>
      </c>
      <c r="D14" s="170">
        <v>3.27</v>
      </c>
      <c r="E14" s="170">
        <f t="shared" si="0"/>
        <v>4484.8700000000008</v>
      </c>
      <c r="F14" s="170">
        <v>232.2</v>
      </c>
      <c r="G14" s="170">
        <f t="shared" si="1"/>
        <v>4252.670000000001</v>
      </c>
      <c r="H14" s="142">
        <f t="shared" si="2"/>
        <v>21.401173557711669</v>
      </c>
      <c r="I14" s="142">
        <f t="shared" si="3"/>
        <v>19.903091408671852</v>
      </c>
    </row>
    <row r="15" spans="1:10" ht="12" customHeight="1" x14ac:dyDescent="0.2">
      <c r="A15" s="2">
        <v>1968</v>
      </c>
      <c r="B15" s="20">
        <v>200.70599999999999</v>
      </c>
      <c r="C15" s="168">
        <v>4639.1000000000004</v>
      </c>
      <c r="D15" s="170">
        <v>7.38</v>
      </c>
      <c r="E15" s="170">
        <f t="shared" si="0"/>
        <v>4646.4800000000005</v>
      </c>
      <c r="F15" s="170">
        <v>264.404</v>
      </c>
      <c r="G15" s="170">
        <f t="shared" si="1"/>
        <v>4382.0760000000009</v>
      </c>
      <c r="H15" s="142">
        <f t="shared" si="2"/>
        <v>21.833308421272914</v>
      </c>
      <c r="I15" s="142">
        <f t="shared" si="3"/>
        <v>20.304976831783812</v>
      </c>
    </row>
    <row r="16" spans="1:10" ht="12" customHeight="1" x14ac:dyDescent="0.2">
      <c r="A16" s="2">
        <v>1969</v>
      </c>
      <c r="B16" s="20">
        <v>202.67699999999999</v>
      </c>
      <c r="C16" s="168">
        <v>4698.3999999999996</v>
      </c>
      <c r="D16" s="170">
        <v>6.87</v>
      </c>
      <c r="E16" s="170">
        <f t="shared" si="0"/>
        <v>4705.2699999999995</v>
      </c>
      <c r="F16" s="170">
        <v>279.49400000000003</v>
      </c>
      <c r="G16" s="170">
        <f t="shared" si="1"/>
        <v>4425.7759999999998</v>
      </c>
      <c r="H16" s="142">
        <f t="shared" si="2"/>
        <v>21.836597147184929</v>
      </c>
      <c r="I16" s="142">
        <f t="shared" si="3"/>
        <v>20.308035346881983</v>
      </c>
    </row>
    <row r="17" spans="1:9" ht="12" customHeight="1" x14ac:dyDescent="0.2">
      <c r="A17" s="2">
        <v>1970</v>
      </c>
      <c r="B17" s="20">
        <v>205.05199999999999</v>
      </c>
      <c r="C17" s="168">
        <v>4836.5</v>
      </c>
      <c r="D17" s="170">
        <v>2.2999999999999998</v>
      </c>
      <c r="E17" s="170">
        <f t="shared" si="0"/>
        <v>4838.8</v>
      </c>
      <c r="F17" s="170">
        <v>250.5</v>
      </c>
      <c r="G17" s="170">
        <f t="shared" si="1"/>
        <v>4588.3</v>
      </c>
      <c r="H17" s="142">
        <f t="shared" si="2"/>
        <v>22.37627528626885</v>
      </c>
      <c r="I17" s="142">
        <f t="shared" ref="I17:I47" si="4">H17*0.93</f>
        <v>20.809936016230033</v>
      </c>
    </row>
    <row r="18" spans="1:9" ht="12" customHeight="1" x14ac:dyDescent="0.2">
      <c r="A18" s="3">
        <v>1971</v>
      </c>
      <c r="B18" s="21">
        <v>207.661</v>
      </c>
      <c r="C18" s="171">
        <v>4936.7</v>
      </c>
      <c r="D18" s="172">
        <v>4.5</v>
      </c>
      <c r="E18" s="172">
        <f t="shared" si="0"/>
        <v>4941.2</v>
      </c>
      <c r="F18" s="172">
        <v>292.8</v>
      </c>
      <c r="G18" s="172">
        <f t="shared" si="1"/>
        <v>4648.3999999999996</v>
      </c>
      <c r="H18" s="183">
        <f t="shared" si="2"/>
        <v>22.384559450257871</v>
      </c>
      <c r="I18" s="144">
        <f t="shared" si="4"/>
        <v>20.81764028873982</v>
      </c>
    </row>
    <row r="19" spans="1:9" ht="12" customHeight="1" x14ac:dyDescent="0.2">
      <c r="A19" s="3">
        <v>1972</v>
      </c>
      <c r="B19" s="21">
        <v>209.89599999999999</v>
      </c>
      <c r="C19" s="171">
        <v>5047</v>
      </c>
      <c r="D19" s="172">
        <v>1.2</v>
      </c>
      <c r="E19" s="172">
        <f t="shared" si="0"/>
        <v>5048.2</v>
      </c>
      <c r="F19" s="172">
        <v>338.3</v>
      </c>
      <c r="G19" s="172">
        <f t="shared" si="1"/>
        <v>4709.8999999999996</v>
      </c>
      <c r="H19" s="183">
        <f t="shared" si="2"/>
        <v>22.439207988718223</v>
      </c>
      <c r="I19" s="144">
        <f t="shared" si="4"/>
        <v>20.868463429507948</v>
      </c>
    </row>
    <row r="20" spans="1:9" ht="12" customHeight="1" x14ac:dyDescent="0.2">
      <c r="A20" s="3">
        <v>1973</v>
      </c>
      <c r="B20" s="21">
        <v>211.90899999999999</v>
      </c>
      <c r="C20" s="171">
        <v>5243.5</v>
      </c>
      <c r="D20" s="172">
        <v>1.9</v>
      </c>
      <c r="E20" s="172">
        <f t="shared" si="0"/>
        <v>5245.4</v>
      </c>
      <c r="F20" s="172">
        <v>345.5</v>
      </c>
      <c r="G20" s="172">
        <f t="shared" si="1"/>
        <v>4899.8999999999996</v>
      </c>
      <c r="H20" s="183">
        <f t="shared" si="2"/>
        <v>23.122661142282773</v>
      </c>
      <c r="I20" s="144">
        <f t="shared" si="4"/>
        <v>21.50407486232298</v>
      </c>
    </row>
    <row r="21" spans="1:9" ht="12" customHeight="1" x14ac:dyDescent="0.2">
      <c r="A21" s="3">
        <v>1974</v>
      </c>
      <c r="B21" s="21">
        <v>213.85400000000001</v>
      </c>
      <c r="C21" s="171">
        <v>5323.1</v>
      </c>
      <c r="D21" s="172">
        <v>3.3</v>
      </c>
      <c r="E21" s="172">
        <f t="shared" si="0"/>
        <v>5326.4000000000005</v>
      </c>
      <c r="F21" s="172">
        <v>300.60000000000002</v>
      </c>
      <c r="G21" s="172">
        <f t="shared" si="1"/>
        <v>5025.8</v>
      </c>
      <c r="H21" s="183">
        <f t="shared" si="2"/>
        <v>23.501080176194975</v>
      </c>
      <c r="I21" s="144">
        <f t="shared" si="4"/>
        <v>21.85600456386133</v>
      </c>
    </row>
    <row r="22" spans="1:9" ht="12" customHeight="1" x14ac:dyDescent="0.2">
      <c r="A22" s="3">
        <v>1975</v>
      </c>
      <c r="B22" s="21">
        <v>215.97300000000001</v>
      </c>
      <c r="C22" s="171">
        <v>5410.8</v>
      </c>
      <c r="D22" s="172">
        <v>2.2000000000000002</v>
      </c>
      <c r="E22" s="172">
        <f t="shared" si="0"/>
        <v>5413</v>
      </c>
      <c r="F22" s="172">
        <v>329.6</v>
      </c>
      <c r="G22" s="172">
        <f t="shared" si="1"/>
        <v>5083.3999999999996</v>
      </c>
      <c r="H22" s="183">
        <f t="shared" si="2"/>
        <v>23.537201409435436</v>
      </c>
      <c r="I22" s="144">
        <f t="shared" si="4"/>
        <v>21.889597310774956</v>
      </c>
    </row>
    <row r="23" spans="1:9" ht="12" customHeight="1" x14ac:dyDescent="0.2">
      <c r="A23" s="2">
        <v>1976</v>
      </c>
      <c r="B23" s="20">
        <v>218.035</v>
      </c>
      <c r="C23" s="168">
        <v>5640</v>
      </c>
      <c r="D23" s="170">
        <v>3</v>
      </c>
      <c r="E23" s="170">
        <f t="shared" si="0"/>
        <v>5643</v>
      </c>
      <c r="F23" s="170">
        <v>360.8</v>
      </c>
      <c r="G23" s="170">
        <f t="shared" si="1"/>
        <v>5282.2</v>
      </c>
      <c r="H23" s="142">
        <f t="shared" si="2"/>
        <v>24.226385672025135</v>
      </c>
      <c r="I23" s="142">
        <f t="shared" si="4"/>
        <v>22.530538674983376</v>
      </c>
    </row>
    <row r="24" spans="1:9" ht="12" customHeight="1" x14ac:dyDescent="0.2">
      <c r="A24" s="2">
        <v>1977</v>
      </c>
      <c r="B24" s="20">
        <v>220.23899999999998</v>
      </c>
      <c r="C24" s="168">
        <v>6043.2</v>
      </c>
      <c r="D24" s="170">
        <v>3.8</v>
      </c>
      <c r="E24" s="170">
        <f t="shared" si="0"/>
        <v>6047</v>
      </c>
      <c r="F24" s="170">
        <v>359.5</v>
      </c>
      <c r="G24" s="170">
        <f t="shared" si="1"/>
        <v>5687.5</v>
      </c>
      <c r="H24" s="142">
        <f t="shared" si="2"/>
        <v>25.824218235644008</v>
      </c>
      <c r="I24" s="142">
        <f t="shared" si="4"/>
        <v>24.016522959148929</v>
      </c>
    </row>
    <row r="25" spans="1:9" ht="12" customHeight="1" x14ac:dyDescent="0.2">
      <c r="A25" s="2">
        <v>1978</v>
      </c>
      <c r="B25" s="20">
        <v>222.58500000000001</v>
      </c>
      <c r="C25" s="168">
        <v>6052.8</v>
      </c>
      <c r="D25" s="170">
        <v>5.7</v>
      </c>
      <c r="E25" s="170">
        <f t="shared" si="0"/>
        <v>6058.5</v>
      </c>
      <c r="F25" s="170">
        <v>459.9</v>
      </c>
      <c r="G25" s="170">
        <f>E25-F25-18.6</f>
        <v>5580</v>
      </c>
      <c r="H25" s="142">
        <f t="shared" si="2"/>
        <v>25.069074735494304</v>
      </c>
      <c r="I25" s="142">
        <f t="shared" si="4"/>
        <v>23.314239504009706</v>
      </c>
    </row>
    <row r="26" spans="1:9" ht="12" customHeight="1" x14ac:dyDescent="0.2">
      <c r="A26" s="2">
        <v>1979</v>
      </c>
      <c r="B26" s="20">
        <v>225.05500000000001</v>
      </c>
      <c r="C26" s="168">
        <v>6143.9</v>
      </c>
      <c r="D26" s="170">
        <v>13</v>
      </c>
      <c r="E26" s="170">
        <f t="shared" si="0"/>
        <v>6156.9</v>
      </c>
      <c r="F26" s="170">
        <v>480.6</v>
      </c>
      <c r="G26" s="170">
        <f>E26-F26-27.8</f>
        <v>5648.4999999999991</v>
      </c>
      <c r="H26" s="142">
        <f t="shared" si="2"/>
        <v>25.098309302170577</v>
      </c>
      <c r="I26" s="142">
        <f t="shared" si="4"/>
        <v>23.341427651018638</v>
      </c>
    </row>
    <row r="27" spans="1:9" ht="12" customHeight="1" x14ac:dyDescent="0.2">
      <c r="A27" s="2">
        <v>1980</v>
      </c>
      <c r="B27" s="20">
        <v>227.726</v>
      </c>
      <c r="C27" s="168">
        <v>6336.3</v>
      </c>
      <c r="D27" s="170">
        <v>15.1</v>
      </c>
      <c r="E27" s="170">
        <f t="shared" si="0"/>
        <v>6351.4000000000005</v>
      </c>
      <c r="F27" s="170">
        <v>488.5</v>
      </c>
      <c r="G27" s="170">
        <f>E27-F27-26</f>
        <v>5836.9000000000005</v>
      </c>
      <c r="H27" s="142">
        <f t="shared" si="2"/>
        <v>25.63124105284421</v>
      </c>
      <c r="I27" s="142">
        <f t="shared" si="4"/>
        <v>23.837054179145117</v>
      </c>
    </row>
    <row r="28" spans="1:9" ht="12" customHeight="1" x14ac:dyDescent="0.2">
      <c r="A28" s="3">
        <v>1981</v>
      </c>
      <c r="B28" s="21">
        <v>229.96600000000001</v>
      </c>
      <c r="C28" s="171">
        <v>6268.2</v>
      </c>
      <c r="D28" s="172">
        <v>11.4</v>
      </c>
      <c r="E28" s="172">
        <f t="shared" si="0"/>
        <v>6279.5999999999995</v>
      </c>
      <c r="F28" s="172">
        <v>523.9</v>
      </c>
      <c r="G28" s="172">
        <f>E28-F28-27.1</f>
        <v>5728.5999999999995</v>
      </c>
      <c r="H28" s="183">
        <f t="shared" si="2"/>
        <v>24.910638964020766</v>
      </c>
      <c r="I28" s="144">
        <f t="shared" si="4"/>
        <v>23.166894236539314</v>
      </c>
    </row>
    <row r="29" spans="1:9" ht="12" customHeight="1" x14ac:dyDescent="0.2">
      <c r="A29" s="3">
        <v>1982</v>
      </c>
      <c r="B29" s="21">
        <v>232.18799999999999</v>
      </c>
      <c r="C29" s="171">
        <v>6294.9</v>
      </c>
      <c r="D29" s="172">
        <v>14.6</v>
      </c>
      <c r="E29" s="172">
        <f t="shared" si="0"/>
        <v>6309.5</v>
      </c>
      <c r="F29" s="172">
        <v>499.3</v>
      </c>
      <c r="G29" s="172">
        <f>E29-F29-20.3</f>
        <v>5789.9</v>
      </c>
      <c r="H29" s="183">
        <f t="shared" si="2"/>
        <v>24.936258549106757</v>
      </c>
      <c r="I29" s="144">
        <f t="shared" si="4"/>
        <v>23.190720450669286</v>
      </c>
    </row>
    <row r="30" spans="1:9" ht="12" customHeight="1" x14ac:dyDescent="0.2">
      <c r="A30" s="3">
        <v>1983</v>
      </c>
      <c r="B30" s="21">
        <v>234.30699999999999</v>
      </c>
      <c r="C30" s="171">
        <v>5775.5</v>
      </c>
      <c r="D30" s="172">
        <v>21.4</v>
      </c>
      <c r="E30" s="172">
        <f t="shared" si="0"/>
        <v>5796.9</v>
      </c>
      <c r="F30" s="172">
        <v>519.20000000000005</v>
      </c>
      <c r="G30" s="172">
        <f>E30-F30-19.2</f>
        <v>5258.5</v>
      </c>
      <c r="H30" s="183">
        <f t="shared" si="2"/>
        <v>22.442778064675831</v>
      </c>
      <c r="I30" s="144">
        <f t="shared" si="4"/>
        <v>20.871783600148525</v>
      </c>
    </row>
    <row r="31" spans="1:9" ht="12" customHeight="1" x14ac:dyDescent="0.2">
      <c r="A31" s="3">
        <v>1984</v>
      </c>
      <c r="B31" s="21">
        <v>236.34800000000001</v>
      </c>
      <c r="C31" s="171">
        <v>6397.6</v>
      </c>
      <c r="D31" s="172">
        <v>32.6</v>
      </c>
      <c r="E31" s="172">
        <f t="shared" si="0"/>
        <v>6430.2000000000007</v>
      </c>
      <c r="F31" s="172">
        <v>524.1</v>
      </c>
      <c r="G31" s="172">
        <f>E31-F31-11.4</f>
        <v>5894.7000000000007</v>
      </c>
      <c r="H31" s="183">
        <f t="shared" si="2"/>
        <v>24.940765312166807</v>
      </c>
      <c r="I31" s="144">
        <f t="shared" si="4"/>
        <v>23.194911740315131</v>
      </c>
    </row>
    <row r="32" spans="1:9" ht="12" customHeight="1" x14ac:dyDescent="0.2">
      <c r="A32" s="3">
        <v>1985</v>
      </c>
      <c r="B32" s="21">
        <v>238.46600000000001</v>
      </c>
      <c r="C32" s="171">
        <v>6133.4</v>
      </c>
      <c r="D32" s="172">
        <v>37.799999999999997</v>
      </c>
      <c r="E32" s="172">
        <f t="shared" si="0"/>
        <v>6171.2</v>
      </c>
      <c r="F32" s="172">
        <v>507.4</v>
      </c>
      <c r="G32" s="172">
        <f>E32-F32-18.8</f>
        <v>5645</v>
      </c>
      <c r="H32" s="183">
        <f t="shared" si="2"/>
        <v>23.672137747100216</v>
      </c>
      <c r="I32" s="144">
        <f t="shared" si="4"/>
        <v>22.015088104803201</v>
      </c>
    </row>
    <row r="33" spans="1:9" ht="12" customHeight="1" x14ac:dyDescent="0.2">
      <c r="A33" s="2">
        <v>1986</v>
      </c>
      <c r="B33" s="20">
        <v>240.65100000000001</v>
      </c>
      <c r="C33" s="168">
        <v>5829</v>
      </c>
      <c r="D33" s="170">
        <v>20.8</v>
      </c>
      <c r="E33" s="170">
        <f t="shared" si="0"/>
        <v>5849.8</v>
      </c>
      <c r="F33" s="170">
        <v>553.6</v>
      </c>
      <c r="G33" s="170">
        <f>E33-F33-17</f>
        <v>5279.2</v>
      </c>
      <c r="H33" s="142">
        <f t="shared" si="2"/>
        <v>21.937162114431271</v>
      </c>
      <c r="I33" s="142">
        <f t="shared" si="4"/>
        <v>20.401560766421081</v>
      </c>
    </row>
    <row r="34" spans="1:9" ht="12" customHeight="1" x14ac:dyDescent="0.2">
      <c r="A34" s="2">
        <v>1987</v>
      </c>
      <c r="B34" s="20">
        <v>242.804</v>
      </c>
      <c r="C34" s="168">
        <v>6787.7</v>
      </c>
      <c r="D34" s="170">
        <v>18.3</v>
      </c>
      <c r="E34" s="170">
        <f t="shared" si="0"/>
        <v>6806</v>
      </c>
      <c r="F34" s="170">
        <v>542.5</v>
      </c>
      <c r="G34" s="170">
        <f>E34-F34-21.3</f>
        <v>6242.2</v>
      </c>
      <c r="H34" s="142">
        <f t="shared" si="2"/>
        <v>25.708802161414145</v>
      </c>
      <c r="I34" s="142">
        <f t="shared" si="4"/>
        <v>23.909186010115157</v>
      </c>
    </row>
    <row r="35" spans="1:9" ht="12" customHeight="1" x14ac:dyDescent="0.2">
      <c r="A35" s="2">
        <v>1988</v>
      </c>
      <c r="B35" s="20">
        <v>245.02099999999999</v>
      </c>
      <c r="C35" s="168">
        <v>7050.5</v>
      </c>
      <c r="D35" s="170">
        <v>37.4</v>
      </c>
      <c r="E35" s="170">
        <f t="shared" si="0"/>
        <v>7087.9</v>
      </c>
      <c r="F35" s="170">
        <v>431.3</v>
      </c>
      <c r="G35" s="170">
        <f>E35-F35-31.2</f>
        <v>6625.4</v>
      </c>
      <c r="H35" s="142">
        <f t="shared" si="2"/>
        <v>27.040131254055776</v>
      </c>
      <c r="I35" s="142">
        <f t="shared" si="4"/>
        <v>25.147322066271872</v>
      </c>
    </row>
    <row r="36" spans="1:9" ht="12" customHeight="1" x14ac:dyDescent="0.2">
      <c r="A36" s="2">
        <v>1989</v>
      </c>
      <c r="B36" s="20">
        <v>247.34200000000001</v>
      </c>
      <c r="C36" s="168">
        <v>7523.1</v>
      </c>
      <c r="D36" s="170">
        <v>35.6</v>
      </c>
      <c r="E36" s="170">
        <f t="shared" si="0"/>
        <v>7558.7000000000007</v>
      </c>
      <c r="F36" s="170">
        <v>463.6</v>
      </c>
      <c r="G36" s="170">
        <f t="shared" ref="G36:G59" si="5">E36-F36</f>
        <v>7095.1</v>
      </c>
      <c r="H36" s="142">
        <f t="shared" si="2"/>
        <v>28.685382991970631</v>
      </c>
      <c r="I36" s="142">
        <f t="shared" si="4"/>
        <v>26.677406182532689</v>
      </c>
    </row>
    <row r="37" spans="1:9" ht="12" customHeight="1" x14ac:dyDescent="0.2">
      <c r="A37" s="2">
        <v>1990</v>
      </c>
      <c r="B37" s="20">
        <v>250.13200000000001</v>
      </c>
      <c r="C37" s="168">
        <v>7320.1</v>
      </c>
      <c r="D37" s="170">
        <v>17.2</v>
      </c>
      <c r="E37" s="170">
        <f t="shared" si="0"/>
        <v>7337.3</v>
      </c>
      <c r="F37" s="170">
        <v>396.917756</v>
      </c>
      <c r="G37" s="170">
        <f t="shared" si="5"/>
        <v>6940.3822440000004</v>
      </c>
      <c r="H37" s="142">
        <f t="shared" si="2"/>
        <v>27.746878624086484</v>
      </c>
      <c r="I37" s="142">
        <f t="shared" si="4"/>
        <v>25.80459712040043</v>
      </c>
    </row>
    <row r="38" spans="1:9" ht="12" customHeight="1" x14ac:dyDescent="0.2">
      <c r="A38" s="3">
        <v>1991</v>
      </c>
      <c r="B38" s="21">
        <v>253.49299999999999</v>
      </c>
      <c r="C38" s="171">
        <v>7077.8</v>
      </c>
      <c r="D38" s="172">
        <v>21.1</v>
      </c>
      <c r="E38" s="172">
        <f t="shared" si="0"/>
        <v>7098.9000000000005</v>
      </c>
      <c r="F38" s="172">
        <v>496.71445299999999</v>
      </c>
      <c r="G38" s="172">
        <f t="shared" si="5"/>
        <v>6602.185547000001</v>
      </c>
      <c r="H38" s="183">
        <f t="shared" si="2"/>
        <v>26.04484363276304</v>
      </c>
      <c r="I38" s="144">
        <f t="shared" si="4"/>
        <v>24.22170457846963</v>
      </c>
    </row>
    <row r="39" spans="1:9" ht="12" customHeight="1" x14ac:dyDescent="0.2">
      <c r="A39" s="3">
        <v>1992</v>
      </c>
      <c r="B39" s="21">
        <v>256.89400000000001</v>
      </c>
      <c r="C39" s="171">
        <v>7081</v>
      </c>
      <c r="D39" s="172">
        <v>21.2</v>
      </c>
      <c r="E39" s="172">
        <f t="shared" ref="E39:E67" si="6">SUM(C39,D39)</f>
        <v>7102.2</v>
      </c>
      <c r="F39" s="172">
        <v>476.75018799999998</v>
      </c>
      <c r="G39" s="172">
        <f t="shared" si="5"/>
        <v>6625.4498119999998</v>
      </c>
      <c r="H39" s="183">
        <f t="shared" ref="H39:H59" si="7">IF(G39=0,0,IF(B39=0,0,G39/B39))</f>
        <v>25.790597725131764</v>
      </c>
      <c r="I39" s="144">
        <f t="shared" si="4"/>
        <v>23.985255884372542</v>
      </c>
    </row>
    <row r="40" spans="1:9" ht="12" customHeight="1" x14ac:dyDescent="0.2">
      <c r="A40" s="3">
        <v>1993</v>
      </c>
      <c r="B40" s="21">
        <v>260.255</v>
      </c>
      <c r="C40" s="171">
        <v>6781.1</v>
      </c>
      <c r="D40" s="172">
        <v>32.700000000000003</v>
      </c>
      <c r="E40" s="172">
        <f t="shared" si="6"/>
        <v>6813.8</v>
      </c>
      <c r="F40" s="172">
        <v>463.56876899999997</v>
      </c>
      <c r="G40" s="172">
        <f t="shared" si="5"/>
        <v>6350.2312309999998</v>
      </c>
      <c r="H40" s="183">
        <f t="shared" si="7"/>
        <v>24.400035469059191</v>
      </c>
      <c r="I40" s="144">
        <f t="shared" si="4"/>
        <v>22.692032986225048</v>
      </c>
    </row>
    <row r="41" spans="1:9" ht="12" customHeight="1" x14ac:dyDescent="0.2">
      <c r="A41" s="3">
        <v>1994</v>
      </c>
      <c r="B41" s="21">
        <v>263.43599999999998</v>
      </c>
      <c r="C41" s="171">
        <v>7005.8</v>
      </c>
      <c r="D41" s="172">
        <v>20.6</v>
      </c>
      <c r="E41" s="172">
        <f t="shared" si="6"/>
        <v>7026.4000000000005</v>
      </c>
      <c r="F41" s="172">
        <v>438.75608</v>
      </c>
      <c r="G41" s="172">
        <f t="shared" si="5"/>
        <v>6587.6439200000004</v>
      </c>
      <c r="H41" s="183">
        <f t="shared" si="7"/>
        <v>25.006619900089589</v>
      </c>
      <c r="I41" s="144">
        <f t="shared" si="4"/>
        <v>23.256156507083318</v>
      </c>
    </row>
    <row r="42" spans="1:9" ht="12" customHeight="1" x14ac:dyDescent="0.2">
      <c r="A42" s="3">
        <v>1995</v>
      </c>
      <c r="B42" s="21">
        <v>266.55700000000002</v>
      </c>
      <c r="C42" s="171">
        <v>6234.9</v>
      </c>
      <c r="D42" s="172">
        <v>51.8</v>
      </c>
      <c r="E42" s="172">
        <f t="shared" si="6"/>
        <v>6286.7</v>
      </c>
      <c r="F42" s="172">
        <v>377.903482</v>
      </c>
      <c r="G42" s="172">
        <f t="shared" si="5"/>
        <v>5908.7965180000001</v>
      </c>
      <c r="H42" s="183">
        <f t="shared" si="7"/>
        <v>22.16710316367606</v>
      </c>
      <c r="I42" s="144">
        <f t="shared" si="4"/>
        <v>20.615405942218736</v>
      </c>
    </row>
    <row r="43" spans="1:9" ht="12" customHeight="1" x14ac:dyDescent="0.2">
      <c r="A43" s="2">
        <v>1996</v>
      </c>
      <c r="B43" s="20">
        <v>269.66699999999997</v>
      </c>
      <c r="C43" s="168">
        <v>6207.2</v>
      </c>
      <c r="D43" s="170">
        <v>28.3</v>
      </c>
      <c r="E43" s="170">
        <f t="shared" si="6"/>
        <v>6235.5</v>
      </c>
      <c r="F43" s="170">
        <v>417.451662</v>
      </c>
      <c r="G43" s="170">
        <f t="shared" si="5"/>
        <v>5818.0483379999996</v>
      </c>
      <c r="H43" s="142">
        <f t="shared" si="7"/>
        <v>21.574936265838978</v>
      </c>
      <c r="I43" s="142">
        <f t="shared" si="4"/>
        <v>20.06469072723025</v>
      </c>
    </row>
    <row r="44" spans="1:9" ht="12" customHeight="1" x14ac:dyDescent="0.2">
      <c r="A44" s="2">
        <v>1997</v>
      </c>
      <c r="B44" s="20">
        <v>272.91199999999998</v>
      </c>
      <c r="C44" s="168">
        <v>6879.4</v>
      </c>
      <c r="D44" s="170">
        <v>39.299999999999997</v>
      </c>
      <c r="E44" s="170">
        <f t="shared" si="6"/>
        <v>6918.7</v>
      </c>
      <c r="F44" s="170">
        <v>395.661292</v>
      </c>
      <c r="G44" s="170">
        <f t="shared" si="5"/>
        <v>6523.038708</v>
      </c>
      <c r="H44" s="142">
        <f t="shared" si="7"/>
        <v>23.90161923257314</v>
      </c>
      <c r="I44" s="142">
        <f t="shared" si="4"/>
        <v>22.228505886293021</v>
      </c>
    </row>
    <row r="45" spans="1:9" ht="12" customHeight="1" x14ac:dyDescent="0.2">
      <c r="A45" s="2">
        <v>1998</v>
      </c>
      <c r="B45" s="20">
        <v>276.11500000000001</v>
      </c>
      <c r="C45" s="168">
        <v>6546.1</v>
      </c>
      <c r="D45" s="170">
        <v>22.9</v>
      </c>
      <c r="E45" s="170">
        <f t="shared" si="6"/>
        <v>6569</v>
      </c>
      <c r="F45" s="170">
        <v>404.74576500000001</v>
      </c>
      <c r="G45" s="170">
        <f t="shared" si="5"/>
        <v>6164.2542350000003</v>
      </c>
      <c r="H45" s="142">
        <f t="shared" si="7"/>
        <v>22.324952411133044</v>
      </c>
      <c r="I45" s="142">
        <f t="shared" si="4"/>
        <v>20.762205742353732</v>
      </c>
    </row>
    <row r="46" spans="1:9" ht="12" customHeight="1" x14ac:dyDescent="0.2">
      <c r="A46" s="2">
        <v>1999</v>
      </c>
      <c r="B46" s="20">
        <v>279.29500000000002</v>
      </c>
      <c r="C46" s="168">
        <v>7318.1</v>
      </c>
      <c r="D46" s="170">
        <v>28.9</v>
      </c>
      <c r="E46" s="170">
        <f t="shared" si="6"/>
        <v>7347</v>
      </c>
      <c r="F46" s="170">
        <v>390.02305899999999</v>
      </c>
      <c r="G46" s="170">
        <f t="shared" si="5"/>
        <v>6956.9769409999999</v>
      </c>
      <c r="H46" s="142">
        <f t="shared" si="7"/>
        <v>24.909063681770171</v>
      </c>
      <c r="I46" s="142">
        <f t="shared" si="4"/>
        <v>23.16542922404626</v>
      </c>
    </row>
    <row r="47" spans="1:9" ht="12" customHeight="1" x14ac:dyDescent="0.2">
      <c r="A47" s="2">
        <v>2000</v>
      </c>
      <c r="B47" s="20">
        <v>282.38499999999999</v>
      </c>
      <c r="C47" s="168">
        <v>6967.3</v>
      </c>
      <c r="D47" s="170">
        <v>31.86521372</v>
      </c>
      <c r="E47" s="170">
        <f t="shared" si="6"/>
        <v>6999.1652137199999</v>
      </c>
      <c r="F47" s="170">
        <v>374.23574193999997</v>
      </c>
      <c r="G47" s="170">
        <f t="shared" si="5"/>
        <v>6624.9294717800003</v>
      </c>
      <c r="H47" s="142">
        <f t="shared" si="7"/>
        <v>23.460628120402998</v>
      </c>
      <c r="I47" s="142">
        <f t="shared" si="4"/>
        <v>21.81838415197479</v>
      </c>
    </row>
    <row r="48" spans="1:9" ht="12" customHeight="1" x14ac:dyDescent="0.2">
      <c r="A48" s="3">
        <v>2001</v>
      </c>
      <c r="B48" s="21">
        <v>285.30901899999998</v>
      </c>
      <c r="C48" s="171">
        <v>6891.7</v>
      </c>
      <c r="D48" s="172">
        <v>45.797622860000004</v>
      </c>
      <c r="E48" s="172">
        <f t="shared" si="6"/>
        <v>6937.4976228599999</v>
      </c>
      <c r="F48" s="172">
        <v>378.79017820999997</v>
      </c>
      <c r="G48" s="172">
        <f t="shared" si="5"/>
        <v>6558.7074446500001</v>
      </c>
      <c r="H48" s="183">
        <f t="shared" si="7"/>
        <v>22.988083123478127</v>
      </c>
      <c r="I48" s="144">
        <f t="shared" ref="I48:I53" si="8">H48*0.93</f>
        <v>21.378917304834658</v>
      </c>
    </row>
    <row r="49" spans="1:9" ht="12" customHeight="1" x14ac:dyDescent="0.2">
      <c r="A49" s="3">
        <v>2002</v>
      </c>
      <c r="B49" s="21">
        <v>288.10481800000002</v>
      </c>
      <c r="C49" s="171">
        <v>6814</v>
      </c>
      <c r="D49" s="172">
        <v>106.55013558</v>
      </c>
      <c r="E49" s="172">
        <f t="shared" si="6"/>
        <v>6920.5501355799997</v>
      </c>
      <c r="F49" s="172">
        <v>425.92878764</v>
      </c>
      <c r="G49" s="172">
        <f t="shared" si="5"/>
        <v>6494.6213479399994</v>
      </c>
      <c r="H49" s="183">
        <f t="shared" si="7"/>
        <v>22.5425641716967</v>
      </c>
      <c r="I49" s="144">
        <f t="shared" si="8"/>
        <v>20.964584679677934</v>
      </c>
    </row>
    <row r="50" spans="1:9" ht="12" customHeight="1" x14ac:dyDescent="0.2">
      <c r="A50" s="3">
        <v>2003</v>
      </c>
      <c r="B50" s="21">
        <v>290.81963400000001</v>
      </c>
      <c r="C50" s="171">
        <v>6824.8</v>
      </c>
      <c r="D50" s="172">
        <v>94.136877170000005</v>
      </c>
      <c r="E50" s="172">
        <f t="shared" si="6"/>
        <v>6918.9368771700001</v>
      </c>
      <c r="F50" s="172">
        <v>453.57976221000001</v>
      </c>
      <c r="G50" s="172">
        <f t="shared" si="5"/>
        <v>6465.3571149600002</v>
      </c>
      <c r="H50" s="183">
        <f t="shared" si="7"/>
        <v>22.231501450001826</v>
      </c>
      <c r="I50" s="144">
        <f t="shared" si="8"/>
        <v>20.6752963485017</v>
      </c>
    </row>
    <row r="51" spans="1:9" ht="12" customHeight="1" x14ac:dyDescent="0.2">
      <c r="A51" s="3">
        <v>2004</v>
      </c>
      <c r="B51" s="21">
        <v>293.46318500000001</v>
      </c>
      <c r="C51" s="171">
        <v>6622.8</v>
      </c>
      <c r="D51" s="172">
        <v>92.018803939999998</v>
      </c>
      <c r="E51" s="172">
        <f t="shared" si="6"/>
        <v>6714.8188039400002</v>
      </c>
      <c r="F51" s="172">
        <v>476.37159335000007</v>
      </c>
      <c r="G51" s="172">
        <f t="shared" si="5"/>
        <v>6238.4472105900004</v>
      </c>
      <c r="H51" s="183">
        <f t="shared" si="7"/>
        <v>21.258023252865602</v>
      </c>
      <c r="I51" s="144">
        <f t="shared" si="8"/>
        <v>19.76996162516501</v>
      </c>
    </row>
    <row r="52" spans="1:9" ht="12" customHeight="1" x14ac:dyDescent="0.2">
      <c r="A52" s="3">
        <v>2005</v>
      </c>
      <c r="B52" s="21">
        <v>296.186216</v>
      </c>
      <c r="C52" s="171">
        <v>6525.3</v>
      </c>
      <c r="D52" s="172">
        <v>118.97423411000001</v>
      </c>
      <c r="E52" s="172">
        <f t="shared" si="6"/>
        <v>6644.2742341100002</v>
      </c>
      <c r="F52" s="172">
        <v>450.11404444999999</v>
      </c>
      <c r="G52" s="172">
        <f t="shared" si="5"/>
        <v>6194.1601896600005</v>
      </c>
      <c r="H52" s="183">
        <f t="shared" si="7"/>
        <v>20.913060281171223</v>
      </c>
      <c r="I52" s="144">
        <f t="shared" si="8"/>
        <v>19.449146061489238</v>
      </c>
    </row>
    <row r="53" spans="1:9" ht="12" customHeight="1" x14ac:dyDescent="0.2">
      <c r="A53" s="2">
        <v>2006</v>
      </c>
      <c r="B53" s="20">
        <v>298.99582500000002</v>
      </c>
      <c r="C53" s="168">
        <v>6249.4</v>
      </c>
      <c r="D53" s="170">
        <v>110.48430863</v>
      </c>
      <c r="E53" s="170">
        <f t="shared" si="6"/>
        <v>6359.8843086299994</v>
      </c>
      <c r="F53" s="170">
        <v>363.90404383999999</v>
      </c>
      <c r="G53" s="170">
        <f t="shared" si="5"/>
        <v>5995.9802647899996</v>
      </c>
      <c r="H53" s="142">
        <f t="shared" si="7"/>
        <v>20.053725716036332</v>
      </c>
      <c r="I53" s="142">
        <f t="shared" si="8"/>
        <v>18.649964915913792</v>
      </c>
    </row>
    <row r="54" spans="1:9" ht="12" customHeight="1" x14ac:dyDescent="0.2">
      <c r="A54" s="2">
        <v>2007</v>
      </c>
      <c r="B54" s="20">
        <v>302.003917</v>
      </c>
      <c r="C54" s="168">
        <v>5747.4</v>
      </c>
      <c r="D54" s="170">
        <v>155.28961660000002</v>
      </c>
      <c r="E54" s="170">
        <f t="shared" si="6"/>
        <v>5902.6896165999997</v>
      </c>
      <c r="F54" s="170">
        <v>353.17450442000001</v>
      </c>
      <c r="G54" s="170">
        <f t="shared" si="5"/>
        <v>5549.51511218</v>
      </c>
      <c r="H54" s="142">
        <f t="shared" si="7"/>
        <v>18.375639519205308</v>
      </c>
      <c r="I54" s="142">
        <f t="shared" ref="I54:I59" si="9">H54*0.93</f>
        <v>17.089344752860939</v>
      </c>
    </row>
    <row r="55" spans="1:9" ht="12" customHeight="1" x14ac:dyDescent="0.2">
      <c r="A55" s="2">
        <v>2008</v>
      </c>
      <c r="B55" s="20">
        <v>304.79776099999998</v>
      </c>
      <c r="C55" s="168">
        <v>5295.2</v>
      </c>
      <c r="D55" s="170">
        <v>178.91591625999999</v>
      </c>
      <c r="E55" s="170">
        <f t="shared" si="6"/>
        <v>5474.1159162599997</v>
      </c>
      <c r="F55" s="170">
        <v>338.41013299999997</v>
      </c>
      <c r="G55" s="170">
        <f t="shared" si="5"/>
        <v>5135.7057832599994</v>
      </c>
      <c r="H55" s="142">
        <f t="shared" si="7"/>
        <v>16.849552196218397</v>
      </c>
      <c r="I55" s="142">
        <f t="shared" si="9"/>
        <v>15.670083542483111</v>
      </c>
    </row>
    <row r="56" spans="1:9" ht="12" customHeight="1" x14ac:dyDescent="0.2">
      <c r="A56" s="2">
        <v>2009</v>
      </c>
      <c r="B56" s="20">
        <v>307.43940600000002</v>
      </c>
      <c r="C56" s="168">
        <v>5018</v>
      </c>
      <c r="D56" s="170">
        <v>196.105481</v>
      </c>
      <c r="E56" s="170">
        <f t="shared" si="6"/>
        <v>5214.1054809999996</v>
      </c>
      <c r="F56" s="170">
        <v>262.40445499999998</v>
      </c>
      <c r="G56" s="170">
        <f t="shared" si="5"/>
        <v>4951.7010259999997</v>
      </c>
      <c r="H56" s="142">
        <f t="shared" si="7"/>
        <v>16.106266566231913</v>
      </c>
      <c r="I56" s="142">
        <f t="shared" si="9"/>
        <v>14.978827906595679</v>
      </c>
    </row>
    <row r="57" spans="1:9" ht="12" customHeight="1" x14ac:dyDescent="0.2">
      <c r="A57" s="2">
        <v>2010</v>
      </c>
      <c r="B57" s="20">
        <v>309.74127900000002</v>
      </c>
      <c r="C57" s="168">
        <v>5012</v>
      </c>
      <c r="D57" s="170">
        <v>220.34225386007998</v>
      </c>
      <c r="E57" s="170">
        <f t="shared" si="6"/>
        <v>5232.3422538600798</v>
      </c>
      <c r="F57" s="170">
        <v>299.20386138500004</v>
      </c>
      <c r="G57" s="170">
        <f t="shared" si="5"/>
        <v>4933.1383924750799</v>
      </c>
      <c r="H57" s="142">
        <f t="shared" si="7"/>
        <v>15.926641771486581</v>
      </c>
      <c r="I57" s="142">
        <f t="shared" si="9"/>
        <v>14.811776847482522</v>
      </c>
    </row>
    <row r="58" spans="1:9" ht="12" customHeight="1" x14ac:dyDescent="0.2">
      <c r="A58" s="33">
        <v>2011</v>
      </c>
      <c r="B58" s="31">
        <v>311.97391399999998</v>
      </c>
      <c r="C58" s="171">
        <v>4966.5</v>
      </c>
      <c r="D58" s="172">
        <v>257.36726163829996</v>
      </c>
      <c r="E58" s="172">
        <f t="shared" si="6"/>
        <v>5223.8672616383001</v>
      </c>
      <c r="F58" s="172">
        <v>296.38867187599999</v>
      </c>
      <c r="G58" s="172">
        <f t="shared" si="5"/>
        <v>4927.4785897623005</v>
      </c>
      <c r="H58" s="183">
        <f t="shared" si="7"/>
        <v>15.794521171928178</v>
      </c>
      <c r="I58" s="144">
        <f t="shared" si="9"/>
        <v>14.688904689893207</v>
      </c>
    </row>
    <row r="59" spans="1:9" s="43" customFormat="1" ht="12" customHeight="1" x14ac:dyDescent="0.2">
      <c r="A59" s="33">
        <v>2012</v>
      </c>
      <c r="B59" s="31">
        <v>314.16755799999999</v>
      </c>
      <c r="C59" s="171">
        <v>5097.6000000000004</v>
      </c>
      <c r="D59" s="172">
        <v>223.66229693983999</v>
      </c>
      <c r="E59" s="172">
        <f t="shared" si="6"/>
        <v>5321.2622969398408</v>
      </c>
      <c r="F59" s="172">
        <v>310.64478317202008</v>
      </c>
      <c r="G59" s="172">
        <f t="shared" si="5"/>
        <v>5010.617513767821</v>
      </c>
      <c r="H59" s="183">
        <f t="shared" si="7"/>
        <v>15.948869914085213</v>
      </c>
      <c r="I59" s="144">
        <f t="shared" si="9"/>
        <v>14.832449020099249</v>
      </c>
    </row>
    <row r="60" spans="1:9" s="93" customFormat="1" ht="12" customHeight="1" x14ac:dyDescent="0.2">
      <c r="A60" s="33">
        <v>2013</v>
      </c>
      <c r="B60" s="31">
        <v>316.29476599999998</v>
      </c>
      <c r="C60" s="171">
        <v>4515</v>
      </c>
      <c r="D60" s="172">
        <v>236.42278080013998</v>
      </c>
      <c r="E60" s="172">
        <f t="shared" si="6"/>
        <v>4751.4227808001397</v>
      </c>
      <c r="F60" s="172">
        <v>292.66700435235998</v>
      </c>
      <c r="G60" s="172">
        <f t="shared" ref="G60" si="10">E60-F60</f>
        <v>4458.7557764477797</v>
      </c>
      <c r="H60" s="183">
        <f t="shared" ref="H60" si="11">IF(G60=0,0,IF(B60=0,0,G60/B60))</f>
        <v>14.09683705119477</v>
      </c>
      <c r="I60" s="144">
        <f t="shared" ref="I60" si="12">H60*0.93</f>
        <v>13.110058457611137</v>
      </c>
    </row>
    <row r="61" spans="1:9" s="93" customFormat="1" ht="12" customHeight="1" x14ac:dyDescent="0.2">
      <c r="A61" s="33">
        <v>2014</v>
      </c>
      <c r="B61" s="31">
        <v>318.576955</v>
      </c>
      <c r="C61" s="171">
        <v>4591.8</v>
      </c>
      <c r="D61" s="172">
        <v>292.48353367134001</v>
      </c>
      <c r="E61" s="172">
        <f t="shared" si="6"/>
        <v>4884.2835336713406</v>
      </c>
      <c r="F61" s="172">
        <v>268.32245713768003</v>
      </c>
      <c r="G61" s="172">
        <f t="shared" ref="G61" si="13">E61-F61</f>
        <v>4615.9610765336602</v>
      </c>
      <c r="H61" s="183">
        <f t="shared" ref="H61" si="14">IF(G61=0,0,IF(B61=0,0,G61/B61))</f>
        <v>14.489312563533229</v>
      </c>
      <c r="I61" s="144">
        <f t="shared" ref="I61" si="15">H61*0.93</f>
        <v>13.475060684085904</v>
      </c>
    </row>
    <row r="62" spans="1:9" s="93" customFormat="1" ht="12" customHeight="1" x14ac:dyDescent="0.2">
      <c r="A62" s="33">
        <v>2015</v>
      </c>
      <c r="B62" s="31">
        <v>320.87070299999999</v>
      </c>
      <c r="C62" s="171">
        <v>4310.8</v>
      </c>
      <c r="D62" s="172">
        <v>302.77027956823997</v>
      </c>
      <c r="E62" s="172">
        <f t="shared" si="6"/>
        <v>4613.57027956824</v>
      </c>
      <c r="F62" s="172">
        <v>260.93206824432002</v>
      </c>
      <c r="G62" s="172">
        <f t="shared" ref="G62" si="16">E62-F62</f>
        <v>4352.6382113239197</v>
      </c>
      <c r="H62" s="183">
        <f t="shared" ref="H62" si="17">IF(G62=0,0,IF(B62=0,0,G62/B62))</f>
        <v>13.565084536009882</v>
      </c>
      <c r="I62" s="144">
        <f t="shared" ref="I62" si="18">H62*0.93</f>
        <v>12.615528618489192</v>
      </c>
    </row>
    <row r="63" spans="1:9" s="93" customFormat="1" ht="12" customHeight="1" x14ac:dyDescent="0.2">
      <c r="A63" s="128">
        <v>2016</v>
      </c>
      <c r="B63" s="129">
        <v>323.16101099999997</v>
      </c>
      <c r="C63" s="168">
        <v>5384.1</v>
      </c>
      <c r="D63" s="170">
        <v>295.46294532414004</v>
      </c>
      <c r="E63" s="170">
        <f t="shared" si="6"/>
        <v>5679.5629453241399</v>
      </c>
      <c r="F63" s="170">
        <v>269.22081333224003</v>
      </c>
      <c r="G63" s="170">
        <f t="shared" ref="G63:G64" si="19">E63-F63</f>
        <v>5410.3421319918998</v>
      </c>
      <c r="H63" s="142">
        <f t="shared" ref="H63:H64" si="20">IF(G63=0,0,IF(B63=0,0,G63/B63))</f>
        <v>16.741939614713917</v>
      </c>
      <c r="I63" s="142">
        <f t="shared" ref="I63:I64" si="21">H63*0.93</f>
        <v>15.570003841683944</v>
      </c>
    </row>
    <row r="64" spans="1:9" s="93" customFormat="1" ht="12" customHeight="1" x14ac:dyDescent="0.2">
      <c r="A64" s="125">
        <v>2017</v>
      </c>
      <c r="B64" s="126">
        <v>325.20603</v>
      </c>
      <c r="C64" s="168">
        <v>4939.55</v>
      </c>
      <c r="D64" s="170">
        <v>266.76588298206002</v>
      </c>
      <c r="E64" s="170">
        <f t="shared" si="6"/>
        <v>5206.3158829820604</v>
      </c>
      <c r="F64" s="170">
        <v>259.86883072458005</v>
      </c>
      <c r="G64" s="170">
        <f t="shared" si="19"/>
        <v>4946.4470522574802</v>
      </c>
      <c r="H64" s="142">
        <f t="shared" si="20"/>
        <v>15.210194756405594</v>
      </c>
      <c r="I64" s="142">
        <f t="shared" si="21"/>
        <v>14.145481123457204</v>
      </c>
    </row>
    <row r="65" spans="1:10" s="93" customFormat="1" ht="12" customHeight="1" x14ac:dyDescent="0.2">
      <c r="A65" s="128">
        <v>2018</v>
      </c>
      <c r="B65" s="129">
        <v>326.92397599999998</v>
      </c>
      <c r="C65" s="168">
        <v>4056.1</v>
      </c>
      <c r="D65" s="170">
        <v>211.62810309233998</v>
      </c>
      <c r="E65" s="170">
        <f t="shared" si="6"/>
        <v>4267.7281030923396</v>
      </c>
      <c r="F65" s="170">
        <v>258.28262868078002</v>
      </c>
      <c r="G65" s="170">
        <f t="shared" ref="G65:G67" si="22">E65-F65</f>
        <v>4009.4454744115596</v>
      </c>
      <c r="H65" s="142">
        <f t="shared" ref="H65:H66" si="23">IF(G65=0,0,IF(B65=0,0,G65/B65))</f>
        <v>12.264152429161573</v>
      </c>
      <c r="I65" s="142">
        <f t="shared" ref="I65:I66" si="24">H65*0.93</f>
        <v>11.405661759120264</v>
      </c>
    </row>
    <row r="66" spans="1:10" s="93" customFormat="1" ht="12" customHeight="1" x14ac:dyDescent="0.2">
      <c r="A66" s="128">
        <v>2019</v>
      </c>
      <c r="B66" s="129">
        <v>328.475998</v>
      </c>
      <c r="C66" s="168">
        <v>4200.8</v>
      </c>
      <c r="D66" s="170">
        <v>260.23946041588005</v>
      </c>
      <c r="E66" s="170">
        <f t="shared" si="6"/>
        <v>4461.0394604158801</v>
      </c>
      <c r="F66" s="170">
        <v>243.18097727154003</v>
      </c>
      <c r="G66" s="170">
        <f t="shared" si="22"/>
        <v>4217.8584831443404</v>
      </c>
      <c r="H66" s="142">
        <f t="shared" si="23"/>
        <v>12.840690062061523</v>
      </c>
      <c r="I66" s="142">
        <f t="shared" si="24"/>
        <v>11.941841757717217</v>
      </c>
    </row>
    <row r="67" spans="1:10" s="93" customFormat="1" ht="12" customHeight="1" thickBot="1" x14ac:dyDescent="0.25">
      <c r="A67" s="148">
        <v>2020</v>
      </c>
      <c r="B67" s="149">
        <v>330.11398000000003</v>
      </c>
      <c r="C67" s="168">
        <v>4066.42</v>
      </c>
      <c r="D67" s="170">
        <v>236.79281965327999</v>
      </c>
      <c r="E67" s="170">
        <f t="shared" si="6"/>
        <v>4303.2128196532803</v>
      </c>
      <c r="F67" s="170">
        <v>235.07339021825999</v>
      </c>
      <c r="G67" s="170">
        <f t="shared" si="22"/>
        <v>4068.1394294350202</v>
      </c>
      <c r="H67" s="142">
        <f t="shared" ref="H67" si="25">IF(G67=0,0,IF(B67=0,0,G67/B67))</f>
        <v>12.323438799638295</v>
      </c>
      <c r="I67" s="142">
        <f t="shared" ref="I67" si="26">H67*0.93</f>
        <v>11.460798083663615</v>
      </c>
    </row>
    <row r="68" spans="1:10" ht="12" customHeight="1" thickTop="1" x14ac:dyDescent="0.2">
      <c r="A68" s="270" t="s">
        <v>235</v>
      </c>
      <c r="B68" s="271"/>
      <c r="C68" s="271"/>
      <c r="D68" s="271"/>
      <c r="E68" s="271"/>
      <c r="F68" s="271"/>
      <c r="G68" s="271"/>
      <c r="H68" s="271"/>
      <c r="I68" s="272"/>
      <c r="J68" s="73"/>
    </row>
    <row r="69" spans="1:10" ht="12" customHeight="1" x14ac:dyDescent="0.2">
      <c r="A69" s="251"/>
      <c r="B69" s="252"/>
      <c r="C69" s="252"/>
      <c r="D69" s="252"/>
      <c r="E69" s="252"/>
      <c r="F69" s="252"/>
      <c r="G69" s="252"/>
      <c r="H69" s="252"/>
      <c r="I69" s="253"/>
      <c r="J69" s="73"/>
    </row>
    <row r="70" spans="1:10" ht="15" customHeight="1" x14ac:dyDescent="0.2">
      <c r="A70" s="251"/>
      <c r="B70" s="252"/>
      <c r="C70" s="252"/>
      <c r="D70" s="252"/>
      <c r="E70" s="252"/>
      <c r="F70" s="252"/>
      <c r="G70" s="252"/>
      <c r="H70" s="252"/>
      <c r="I70" s="253"/>
      <c r="J70" s="73"/>
    </row>
    <row r="71" spans="1:10" ht="12" customHeight="1" x14ac:dyDescent="0.2">
      <c r="A71" s="275"/>
      <c r="B71" s="276"/>
      <c r="C71" s="276"/>
      <c r="D71" s="276"/>
      <c r="E71" s="276"/>
      <c r="F71" s="276"/>
      <c r="G71" s="276"/>
      <c r="H71" s="276"/>
      <c r="I71" s="277"/>
      <c r="J71" s="72"/>
    </row>
    <row r="72" spans="1:10" ht="12" customHeight="1" x14ac:dyDescent="0.2">
      <c r="A72" s="223" t="s">
        <v>198</v>
      </c>
      <c r="B72" s="224"/>
      <c r="C72" s="224"/>
      <c r="D72" s="224"/>
      <c r="E72" s="224"/>
      <c r="F72" s="224"/>
      <c r="G72" s="224"/>
      <c r="H72" s="224"/>
      <c r="I72" s="225"/>
      <c r="J72" s="72"/>
    </row>
    <row r="73" spans="1:10" ht="12" customHeight="1" x14ac:dyDescent="0.2">
      <c r="A73" s="223"/>
      <c r="B73" s="224"/>
      <c r="C73" s="224"/>
      <c r="D73" s="224"/>
      <c r="E73" s="224"/>
      <c r="F73" s="224"/>
      <c r="G73" s="224"/>
      <c r="H73" s="224"/>
      <c r="I73" s="225"/>
      <c r="J73" s="72"/>
    </row>
  </sheetData>
  <mergeCells count="18">
    <mergeCell ref="C6:G6"/>
    <mergeCell ref="H6:I6"/>
    <mergeCell ref="A71:I71"/>
    <mergeCell ref="A72:I73"/>
    <mergeCell ref="A68:I70"/>
    <mergeCell ref="H1:I1"/>
    <mergeCell ref="A2:A5"/>
    <mergeCell ref="B2:B5"/>
    <mergeCell ref="E3:E5"/>
    <mergeCell ref="G3:G5"/>
    <mergeCell ref="C3:C5"/>
    <mergeCell ref="D3:D5"/>
    <mergeCell ref="F3:F5"/>
    <mergeCell ref="C2:E2"/>
    <mergeCell ref="H3:I3"/>
    <mergeCell ref="H4:H5"/>
    <mergeCell ref="A1:G1"/>
    <mergeCell ref="G2:I2"/>
  </mergeCells>
  <phoneticPr fontId="7" type="noConversion"/>
  <printOptions horizontalCentered="1"/>
  <pageMargins left="0.45" right="0.45" top="0.75" bottom="0.75" header="0" footer="0"/>
  <pageSetup scale="66" fitToWidth="2"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pageSetUpPr autoPageBreaks="0" fitToPage="1"/>
  </sheetPr>
  <dimension ref="A1:L74"/>
  <sheetViews>
    <sheetView showOutlineSymbols="0" zoomScaleNormal="100" workbookViewId="0">
      <pane ySplit="6" topLeftCell="A7" activePane="bottomLeft" state="frozen"/>
      <selection sqref="A1:G1"/>
      <selection pane="bottomLeft" sqref="A1:I1"/>
    </sheetView>
  </sheetViews>
  <sheetFormatPr defaultColWidth="12.7109375" defaultRowHeight="12" customHeight="1" x14ac:dyDescent="0.2"/>
  <cols>
    <col min="1" max="1" width="12.7109375" style="13" customWidth="1"/>
    <col min="2" max="16384" width="12.7109375" style="13"/>
  </cols>
  <sheetData>
    <row r="1" spans="1:12" s="1" customFormat="1" ht="12" customHeight="1" thickBot="1" x14ac:dyDescent="0.25">
      <c r="A1" s="201" t="s">
        <v>164</v>
      </c>
      <c r="B1" s="201"/>
      <c r="C1" s="201"/>
      <c r="D1" s="201"/>
      <c r="E1" s="201"/>
      <c r="F1" s="201"/>
      <c r="G1" s="201"/>
      <c r="H1" s="201"/>
      <c r="I1" s="201"/>
      <c r="J1" s="200" t="s">
        <v>19</v>
      </c>
      <c r="K1" s="200"/>
    </row>
    <row r="2" spans="1:12" ht="12" customHeight="1" thickTop="1" x14ac:dyDescent="0.2">
      <c r="A2" s="257" t="s">
        <v>1</v>
      </c>
      <c r="B2" s="258" t="s">
        <v>85</v>
      </c>
      <c r="C2" s="218" t="s">
        <v>2</v>
      </c>
      <c r="D2" s="218"/>
      <c r="E2" s="218"/>
      <c r="F2" s="218"/>
      <c r="G2" s="244" t="s">
        <v>146</v>
      </c>
      <c r="H2" s="246"/>
      <c r="I2" s="244" t="s">
        <v>147</v>
      </c>
      <c r="J2" s="245"/>
      <c r="K2" s="245"/>
    </row>
    <row r="3" spans="1:12" ht="12" customHeight="1" x14ac:dyDescent="0.2">
      <c r="A3" s="217"/>
      <c r="B3" s="259"/>
      <c r="C3" s="217" t="s">
        <v>86</v>
      </c>
      <c r="D3" s="217" t="s">
        <v>87</v>
      </c>
      <c r="E3" s="217" t="s">
        <v>89</v>
      </c>
      <c r="F3" s="217" t="s">
        <v>90</v>
      </c>
      <c r="G3" s="217" t="s">
        <v>95</v>
      </c>
      <c r="H3" s="217" t="s">
        <v>91</v>
      </c>
      <c r="I3" s="217" t="s">
        <v>98</v>
      </c>
      <c r="J3" s="226" t="s">
        <v>28</v>
      </c>
      <c r="K3" s="227"/>
    </row>
    <row r="4" spans="1:12" ht="12" customHeight="1" x14ac:dyDescent="0.2">
      <c r="A4" s="217"/>
      <c r="B4" s="259"/>
      <c r="C4" s="217"/>
      <c r="D4" s="217"/>
      <c r="E4" s="217"/>
      <c r="F4" s="217"/>
      <c r="G4" s="217"/>
      <c r="H4" s="217"/>
      <c r="I4" s="217"/>
      <c r="J4" s="217" t="s">
        <v>4</v>
      </c>
      <c r="K4" s="14" t="s">
        <v>96</v>
      </c>
      <c r="L4" s="4"/>
    </row>
    <row r="5" spans="1:12" ht="12" customHeight="1" x14ac:dyDescent="0.2">
      <c r="A5" s="217"/>
      <c r="B5" s="259"/>
      <c r="C5" s="217"/>
      <c r="D5" s="217"/>
      <c r="E5" s="217"/>
      <c r="F5" s="217"/>
      <c r="G5" s="217"/>
      <c r="H5" s="217"/>
      <c r="I5" s="217"/>
      <c r="J5" s="217"/>
      <c r="K5" s="14" t="s">
        <v>183</v>
      </c>
    </row>
    <row r="6" spans="1:12" ht="12" customHeight="1" x14ac:dyDescent="0.2">
      <c r="A6" s="74"/>
      <c r="B6" s="75" t="s">
        <v>124</v>
      </c>
      <c r="C6" s="273" t="s">
        <v>130</v>
      </c>
      <c r="D6" s="273"/>
      <c r="E6" s="273"/>
      <c r="F6" s="273"/>
      <c r="G6" s="273"/>
      <c r="H6" s="273"/>
      <c r="I6" s="273"/>
      <c r="J6" s="273" t="s">
        <v>126</v>
      </c>
      <c r="K6" s="274"/>
      <c r="L6" s="74"/>
    </row>
    <row r="7" spans="1:12" ht="12" customHeight="1" x14ac:dyDescent="0.2">
      <c r="A7" s="2">
        <v>1960</v>
      </c>
      <c r="B7" s="20">
        <v>180.67099999999999</v>
      </c>
      <c r="C7" s="8" t="s">
        <v>3</v>
      </c>
      <c r="D7" s="8" t="s">
        <v>3</v>
      </c>
      <c r="E7" s="8" t="s">
        <v>3</v>
      </c>
      <c r="F7" s="8" t="s">
        <v>3</v>
      </c>
      <c r="G7" s="8" t="s">
        <v>3</v>
      </c>
      <c r="H7" s="8" t="s">
        <v>3</v>
      </c>
      <c r="I7" s="8" t="s">
        <v>3</v>
      </c>
      <c r="J7" s="8" t="s">
        <v>3</v>
      </c>
      <c r="K7" s="8" t="s">
        <v>3</v>
      </c>
    </row>
    <row r="8" spans="1:12" ht="12" customHeight="1" x14ac:dyDescent="0.2">
      <c r="A8" s="3">
        <v>1961</v>
      </c>
      <c r="B8" s="21">
        <v>183.691</v>
      </c>
      <c r="C8" s="9" t="s">
        <v>3</v>
      </c>
      <c r="D8" s="9" t="s">
        <v>3</v>
      </c>
      <c r="E8" s="9" t="s">
        <v>3</v>
      </c>
      <c r="F8" s="9" t="s">
        <v>3</v>
      </c>
      <c r="G8" s="9" t="s">
        <v>3</v>
      </c>
      <c r="H8" s="9" t="s">
        <v>3</v>
      </c>
      <c r="I8" s="9" t="s">
        <v>3</v>
      </c>
      <c r="J8" s="9" t="s">
        <v>3</v>
      </c>
      <c r="K8" s="9" t="s">
        <v>3</v>
      </c>
    </row>
    <row r="9" spans="1:12" ht="12" customHeight="1" x14ac:dyDescent="0.2">
      <c r="A9" s="3">
        <v>1962</v>
      </c>
      <c r="B9" s="21">
        <v>186.53800000000001</v>
      </c>
      <c r="C9" s="9" t="s">
        <v>3</v>
      </c>
      <c r="D9" s="9" t="s">
        <v>3</v>
      </c>
      <c r="E9" s="9" t="s">
        <v>3</v>
      </c>
      <c r="F9" s="9" t="s">
        <v>3</v>
      </c>
      <c r="G9" s="9" t="s">
        <v>3</v>
      </c>
      <c r="H9" s="9" t="s">
        <v>3</v>
      </c>
      <c r="I9" s="9" t="s">
        <v>3</v>
      </c>
      <c r="J9" s="9" t="s">
        <v>3</v>
      </c>
      <c r="K9" s="9" t="s">
        <v>3</v>
      </c>
    </row>
    <row r="10" spans="1:12" ht="12" customHeight="1" x14ac:dyDescent="0.2">
      <c r="A10" s="3">
        <v>1963</v>
      </c>
      <c r="B10" s="21">
        <v>189.24199999999999</v>
      </c>
      <c r="C10" s="9" t="s">
        <v>3</v>
      </c>
      <c r="D10" s="9" t="s">
        <v>3</v>
      </c>
      <c r="E10" s="9" t="s">
        <v>3</v>
      </c>
      <c r="F10" s="9" t="s">
        <v>3</v>
      </c>
      <c r="G10" s="9" t="s">
        <v>3</v>
      </c>
      <c r="H10" s="9" t="s">
        <v>3</v>
      </c>
      <c r="I10" s="9" t="s">
        <v>3</v>
      </c>
      <c r="J10" s="9" t="s">
        <v>3</v>
      </c>
      <c r="K10" s="9" t="s">
        <v>3</v>
      </c>
    </row>
    <row r="11" spans="1:12" ht="12" customHeight="1" x14ac:dyDescent="0.2">
      <c r="A11" s="3">
        <v>1964</v>
      </c>
      <c r="B11" s="21">
        <v>191.88900000000001</v>
      </c>
      <c r="C11" s="9" t="s">
        <v>3</v>
      </c>
      <c r="D11" s="9" t="s">
        <v>3</v>
      </c>
      <c r="E11" s="9" t="s">
        <v>3</v>
      </c>
      <c r="F11" s="9" t="s">
        <v>3</v>
      </c>
      <c r="G11" s="9" t="s">
        <v>3</v>
      </c>
      <c r="H11" s="9" t="s">
        <v>3</v>
      </c>
      <c r="I11" s="9" t="s">
        <v>3</v>
      </c>
      <c r="J11" s="9" t="s">
        <v>3</v>
      </c>
      <c r="K11" s="9" t="s">
        <v>3</v>
      </c>
    </row>
    <row r="12" spans="1:12" ht="12" customHeight="1" x14ac:dyDescent="0.2">
      <c r="A12" s="3">
        <v>1965</v>
      </c>
      <c r="B12" s="21">
        <v>194.303</v>
      </c>
      <c r="C12" s="9" t="s">
        <v>3</v>
      </c>
      <c r="D12" s="9" t="s">
        <v>3</v>
      </c>
      <c r="E12" s="9" t="s">
        <v>3</v>
      </c>
      <c r="F12" s="9" t="s">
        <v>3</v>
      </c>
      <c r="G12" s="9" t="s">
        <v>3</v>
      </c>
      <c r="H12" s="9" t="s">
        <v>3</v>
      </c>
      <c r="I12" s="9" t="s">
        <v>3</v>
      </c>
      <c r="J12" s="9" t="s">
        <v>3</v>
      </c>
      <c r="K12" s="9" t="s">
        <v>3</v>
      </c>
    </row>
    <row r="13" spans="1:12" ht="12" customHeight="1" x14ac:dyDescent="0.2">
      <c r="A13" s="2">
        <v>1966</v>
      </c>
      <c r="B13" s="20">
        <v>196.56</v>
      </c>
      <c r="C13" s="8" t="s">
        <v>3</v>
      </c>
      <c r="D13" s="8" t="s">
        <v>3</v>
      </c>
      <c r="E13" s="8" t="s">
        <v>3</v>
      </c>
      <c r="F13" s="8" t="s">
        <v>3</v>
      </c>
      <c r="G13" s="8" t="s">
        <v>3</v>
      </c>
      <c r="H13" s="8" t="s">
        <v>3</v>
      </c>
      <c r="I13" s="8" t="s">
        <v>3</v>
      </c>
      <c r="J13" s="8" t="s">
        <v>3</v>
      </c>
      <c r="K13" s="8" t="s">
        <v>3</v>
      </c>
    </row>
    <row r="14" spans="1:12" ht="12" customHeight="1" x14ac:dyDescent="0.2">
      <c r="A14" s="2">
        <v>1967</v>
      </c>
      <c r="B14" s="20">
        <v>198.71199999999999</v>
      </c>
      <c r="C14" s="8" t="s">
        <v>3</v>
      </c>
      <c r="D14" s="8" t="s">
        <v>3</v>
      </c>
      <c r="E14" s="8" t="s">
        <v>3</v>
      </c>
      <c r="F14" s="8" t="s">
        <v>3</v>
      </c>
      <c r="G14" s="8" t="s">
        <v>3</v>
      </c>
      <c r="H14" s="8" t="s">
        <v>3</v>
      </c>
      <c r="I14" s="8" t="s">
        <v>3</v>
      </c>
      <c r="J14" s="8" t="s">
        <v>3</v>
      </c>
      <c r="K14" s="8" t="s">
        <v>3</v>
      </c>
    </row>
    <row r="15" spans="1:12" ht="12" customHeight="1" x14ac:dyDescent="0.2">
      <c r="A15" s="2">
        <v>1968</v>
      </c>
      <c r="B15" s="20">
        <v>200.70599999999999</v>
      </c>
      <c r="C15" s="8" t="s">
        <v>3</v>
      </c>
      <c r="D15" s="8" t="s">
        <v>3</v>
      </c>
      <c r="E15" s="8" t="s">
        <v>3</v>
      </c>
      <c r="F15" s="8" t="s">
        <v>3</v>
      </c>
      <c r="G15" s="8" t="s">
        <v>3</v>
      </c>
      <c r="H15" s="8" t="s">
        <v>3</v>
      </c>
      <c r="I15" s="8" t="s">
        <v>3</v>
      </c>
      <c r="J15" s="8" t="s">
        <v>3</v>
      </c>
      <c r="K15" s="8" t="s">
        <v>3</v>
      </c>
    </row>
    <row r="16" spans="1:12" ht="12" customHeight="1" x14ac:dyDescent="0.2">
      <c r="A16" s="2">
        <v>1969</v>
      </c>
      <c r="B16" s="20">
        <v>202.67699999999999</v>
      </c>
      <c r="C16" s="8" t="s">
        <v>3</v>
      </c>
      <c r="D16" s="8" t="s">
        <v>3</v>
      </c>
      <c r="E16" s="8" t="s">
        <v>3</v>
      </c>
      <c r="F16" s="8" t="s">
        <v>3</v>
      </c>
      <c r="G16" s="8" t="s">
        <v>3</v>
      </c>
      <c r="H16" s="8" t="s">
        <v>3</v>
      </c>
      <c r="I16" s="8" t="s">
        <v>3</v>
      </c>
      <c r="J16" s="8" t="s">
        <v>3</v>
      </c>
      <c r="K16" s="8" t="s">
        <v>3</v>
      </c>
    </row>
    <row r="17" spans="1:11" ht="12" customHeight="1" x14ac:dyDescent="0.2">
      <c r="A17" s="2">
        <v>1970</v>
      </c>
      <c r="B17" s="20">
        <v>205.05199999999999</v>
      </c>
      <c r="C17" s="8" t="s">
        <v>3</v>
      </c>
      <c r="D17" s="8" t="s">
        <v>3</v>
      </c>
      <c r="E17" s="8" t="s">
        <v>3</v>
      </c>
      <c r="F17" s="8" t="s">
        <v>3</v>
      </c>
      <c r="G17" s="8" t="s">
        <v>3</v>
      </c>
      <c r="H17" s="8" t="s">
        <v>3</v>
      </c>
      <c r="I17" s="8" t="s">
        <v>3</v>
      </c>
      <c r="J17" s="8" t="s">
        <v>3</v>
      </c>
      <c r="K17" s="8" t="s">
        <v>3</v>
      </c>
    </row>
    <row r="18" spans="1:11" ht="12" customHeight="1" x14ac:dyDescent="0.2">
      <c r="A18" s="3">
        <v>1971</v>
      </c>
      <c r="B18" s="21">
        <v>207.661</v>
      </c>
      <c r="C18" s="9" t="s">
        <v>3</v>
      </c>
      <c r="D18" s="9" t="s">
        <v>3</v>
      </c>
      <c r="E18" s="9" t="s">
        <v>3</v>
      </c>
      <c r="F18" s="9" t="s">
        <v>3</v>
      </c>
      <c r="G18" s="9" t="s">
        <v>3</v>
      </c>
      <c r="H18" s="9" t="s">
        <v>3</v>
      </c>
      <c r="I18" s="9" t="s">
        <v>3</v>
      </c>
      <c r="J18" s="9" t="s">
        <v>3</v>
      </c>
      <c r="K18" s="9" t="s">
        <v>3</v>
      </c>
    </row>
    <row r="19" spans="1:11" ht="12" customHeight="1" x14ac:dyDescent="0.2">
      <c r="A19" s="3">
        <v>1972</v>
      </c>
      <c r="B19" s="21">
        <v>209.89599999999999</v>
      </c>
      <c r="C19" s="9" t="s">
        <v>3</v>
      </c>
      <c r="D19" s="9" t="s">
        <v>3</v>
      </c>
      <c r="E19" s="9" t="s">
        <v>3</v>
      </c>
      <c r="F19" s="9" t="s">
        <v>3</v>
      </c>
      <c r="G19" s="9" t="s">
        <v>3</v>
      </c>
      <c r="H19" s="9" t="s">
        <v>3</v>
      </c>
      <c r="I19" s="9" t="s">
        <v>3</v>
      </c>
      <c r="J19" s="9" t="s">
        <v>3</v>
      </c>
      <c r="K19" s="9" t="s">
        <v>3</v>
      </c>
    </row>
    <row r="20" spans="1:11" ht="12" customHeight="1" x14ac:dyDescent="0.2">
      <c r="A20" s="3">
        <v>1973</v>
      </c>
      <c r="B20" s="21">
        <v>211.90899999999999</v>
      </c>
      <c r="C20" s="9" t="s">
        <v>3</v>
      </c>
      <c r="D20" s="9" t="s">
        <v>3</v>
      </c>
      <c r="E20" s="9" t="s">
        <v>3</v>
      </c>
      <c r="F20" s="9" t="s">
        <v>3</v>
      </c>
      <c r="G20" s="9" t="s">
        <v>3</v>
      </c>
      <c r="H20" s="9" t="s">
        <v>3</v>
      </c>
      <c r="I20" s="9" t="s">
        <v>3</v>
      </c>
      <c r="J20" s="9" t="s">
        <v>3</v>
      </c>
      <c r="K20" s="9" t="s">
        <v>3</v>
      </c>
    </row>
    <row r="21" spans="1:11" ht="12" customHeight="1" x14ac:dyDescent="0.2">
      <c r="A21" s="3">
        <v>1974</v>
      </c>
      <c r="B21" s="21">
        <v>213.85400000000001</v>
      </c>
      <c r="C21" s="9" t="s">
        <v>3</v>
      </c>
      <c r="D21" s="9" t="s">
        <v>3</v>
      </c>
      <c r="E21" s="9" t="s">
        <v>3</v>
      </c>
      <c r="F21" s="9" t="s">
        <v>3</v>
      </c>
      <c r="G21" s="9" t="s">
        <v>3</v>
      </c>
      <c r="H21" s="9" t="s">
        <v>3</v>
      </c>
      <c r="I21" s="9" t="s">
        <v>3</v>
      </c>
      <c r="J21" s="9" t="s">
        <v>3</v>
      </c>
      <c r="K21" s="9" t="s">
        <v>3</v>
      </c>
    </row>
    <row r="22" spans="1:11" ht="12" customHeight="1" x14ac:dyDescent="0.2">
      <c r="A22" s="3">
        <v>1975</v>
      </c>
      <c r="B22" s="21">
        <v>215.97300000000001</v>
      </c>
      <c r="C22" s="9" t="s">
        <v>3</v>
      </c>
      <c r="D22" s="9" t="s">
        <v>3</v>
      </c>
      <c r="E22" s="9" t="s">
        <v>3</v>
      </c>
      <c r="F22" s="9" t="s">
        <v>3</v>
      </c>
      <c r="G22" s="9" t="s">
        <v>3</v>
      </c>
      <c r="H22" s="9" t="s">
        <v>3</v>
      </c>
      <c r="I22" s="9" t="s">
        <v>3</v>
      </c>
      <c r="J22" s="9" t="s">
        <v>3</v>
      </c>
      <c r="K22" s="9" t="s">
        <v>3</v>
      </c>
    </row>
    <row r="23" spans="1:11" ht="12" customHeight="1" x14ac:dyDescent="0.2">
      <c r="A23" s="2">
        <v>1976</v>
      </c>
      <c r="B23" s="20">
        <v>218.035</v>
      </c>
      <c r="C23" s="8" t="s">
        <v>3</v>
      </c>
      <c r="D23" s="8" t="s">
        <v>3</v>
      </c>
      <c r="E23" s="8" t="s">
        <v>3</v>
      </c>
      <c r="F23" s="8" t="s">
        <v>3</v>
      </c>
      <c r="G23" s="8" t="s">
        <v>3</v>
      </c>
      <c r="H23" s="8" t="s">
        <v>3</v>
      </c>
      <c r="I23" s="8" t="s">
        <v>3</v>
      </c>
      <c r="J23" s="8" t="s">
        <v>3</v>
      </c>
      <c r="K23" s="8" t="s">
        <v>3</v>
      </c>
    </row>
    <row r="24" spans="1:11" ht="12" customHeight="1" x14ac:dyDescent="0.2">
      <c r="A24" s="2">
        <v>1977</v>
      </c>
      <c r="B24" s="20">
        <v>220.23899999999998</v>
      </c>
      <c r="C24" s="8" t="s">
        <v>3</v>
      </c>
      <c r="D24" s="8" t="s">
        <v>3</v>
      </c>
      <c r="E24" s="8" t="s">
        <v>3</v>
      </c>
      <c r="F24" s="8" t="s">
        <v>3</v>
      </c>
      <c r="G24" s="8" t="s">
        <v>3</v>
      </c>
      <c r="H24" s="8" t="s">
        <v>3</v>
      </c>
      <c r="I24" s="8" t="s">
        <v>3</v>
      </c>
      <c r="J24" s="8" t="s">
        <v>3</v>
      </c>
      <c r="K24" s="8" t="s">
        <v>3</v>
      </c>
    </row>
    <row r="25" spans="1:11" ht="12" customHeight="1" x14ac:dyDescent="0.2">
      <c r="A25" s="2">
        <v>1978</v>
      </c>
      <c r="B25" s="20">
        <v>222.58500000000001</v>
      </c>
      <c r="C25" s="8" t="s">
        <v>3</v>
      </c>
      <c r="D25" s="8" t="s">
        <v>3</v>
      </c>
      <c r="E25" s="8" t="s">
        <v>3</v>
      </c>
      <c r="F25" s="8" t="s">
        <v>3</v>
      </c>
      <c r="G25" s="8" t="s">
        <v>3</v>
      </c>
      <c r="H25" s="8" t="s">
        <v>3</v>
      </c>
      <c r="I25" s="8" t="s">
        <v>3</v>
      </c>
      <c r="J25" s="8" t="s">
        <v>3</v>
      </c>
      <c r="K25" s="8" t="s">
        <v>3</v>
      </c>
    </row>
    <row r="26" spans="1:11" ht="12" customHeight="1" x14ac:dyDescent="0.2">
      <c r="A26" s="2">
        <v>1979</v>
      </c>
      <c r="B26" s="20">
        <v>225.05500000000001</v>
      </c>
      <c r="C26" s="8" t="s">
        <v>3</v>
      </c>
      <c r="D26" s="8" t="s">
        <v>3</v>
      </c>
      <c r="E26" s="8" t="s">
        <v>3</v>
      </c>
      <c r="F26" s="8" t="s">
        <v>3</v>
      </c>
      <c r="G26" s="8" t="s">
        <v>3</v>
      </c>
      <c r="H26" s="8" t="s">
        <v>3</v>
      </c>
      <c r="I26" s="8" t="s">
        <v>3</v>
      </c>
      <c r="J26" s="8" t="s">
        <v>3</v>
      </c>
      <c r="K26" s="8" t="s">
        <v>3</v>
      </c>
    </row>
    <row r="27" spans="1:11" ht="12" customHeight="1" x14ac:dyDescent="0.2">
      <c r="A27" s="2">
        <v>1980</v>
      </c>
      <c r="B27" s="20">
        <v>227.726</v>
      </c>
      <c r="C27" s="8" t="s">
        <v>3</v>
      </c>
      <c r="D27" s="8" t="s">
        <v>3</v>
      </c>
      <c r="E27" s="8" t="s">
        <v>3</v>
      </c>
      <c r="F27" s="8" t="s">
        <v>3</v>
      </c>
      <c r="G27" s="8" t="s">
        <v>3</v>
      </c>
      <c r="H27" s="8" t="s">
        <v>3</v>
      </c>
      <c r="I27" s="8" t="s">
        <v>3</v>
      </c>
      <c r="J27" s="8" t="s">
        <v>3</v>
      </c>
      <c r="K27" s="8" t="s">
        <v>3</v>
      </c>
    </row>
    <row r="28" spans="1:11" ht="12" customHeight="1" x14ac:dyDescent="0.2">
      <c r="A28" s="3">
        <v>1981</v>
      </c>
      <c r="B28" s="21">
        <v>229.96600000000001</v>
      </c>
      <c r="C28" s="9" t="s">
        <v>3</v>
      </c>
      <c r="D28" s="9" t="s">
        <v>3</v>
      </c>
      <c r="E28" s="9" t="s">
        <v>3</v>
      </c>
      <c r="F28" s="9" t="s">
        <v>3</v>
      </c>
      <c r="G28" s="9" t="s">
        <v>3</v>
      </c>
      <c r="H28" s="9" t="s">
        <v>3</v>
      </c>
      <c r="I28" s="9" t="s">
        <v>3</v>
      </c>
      <c r="J28" s="9" t="s">
        <v>3</v>
      </c>
      <c r="K28" s="9" t="s">
        <v>3</v>
      </c>
    </row>
    <row r="29" spans="1:11" ht="12" customHeight="1" x14ac:dyDescent="0.2">
      <c r="A29" s="3">
        <v>1982</v>
      </c>
      <c r="B29" s="21">
        <v>232.18799999999999</v>
      </c>
      <c r="C29" s="9" t="s">
        <v>3</v>
      </c>
      <c r="D29" s="9" t="s">
        <v>3</v>
      </c>
      <c r="E29" s="9" t="s">
        <v>3</v>
      </c>
      <c r="F29" s="9" t="s">
        <v>3</v>
      </c>
      <c r="G29" s="9" t="s">
        <v>3</v>
      </c>
      <c r="H29" s="9" t="s">
        <v>3</v>
      </c>
      <c r="I29" s="9" t="s">
        <v>3</v>
      </c>
      <c r="J29" s="9" t="s">
        <v>3</v>
      </c>
      <c r="K29" s="9" t="s">
        <v>3</v>
      </c>
    </row>
    <row r="30" spans="1:11" ht="12" customHeight="1" x14ac:dyDescent="0.2">
      <c r="A30" s="3">
        <v>1983</v>
      </c>
      <c r="B30" s="21">
        <v>234.30699999999999</v>
      </c>
      <c r="C30" s="9" t="s">
        <v>3</v>
      </c>
      <c r="D30" s="9" t="s">
        <v>3</v>
      </c>
      <c r="E30" s="9" t="s">
        <v>3</v>
      </c>
      <c r="F30" s="9" t="s">
        <v>3</v>
      </c>
      <c r="G30" s="9" t="s">
        <v>3</v>
      </c>
      <c r="H30" s="9" t="s">
        <v>3</v>
      </c>
      <c r="I30" s="9" t="s">
        <v>3</v>
      </c>
      <c r="J30" s="9" t="s">
        <v>3</v>
      </c>
      <c r="K30" s="9" t="s">
        <v>3</v>
      </c>
    </row>
    <row r="31" spans="1:11" ht="12" customHeight="1" x14ac:dyDescent="0.2">
      <c r="A31" s="3">
        <v>1984</v>
      </c>
      <c r="B31" s="21">
        <v>236.34800000000001</v>
      </c>
      <c r="C31" s="9" t="s">
        <v>3</v>
      </c>
      <c r="D31" s="9" t="s">
        <v>3</v>
      </c>
      <c r="E31" s="9" t="s">
        <v>3</v>
      </c>
      <c r="F31" s="9" t="s">
        <v>3</v>
      </c>
      <c r="G31" s="9" t="s">
        <v>3</v>
      </c>
      <c r="H31" s="9" t="s">
        <v>3</v>
      </c>
      <c r="I31" s="9" t="s">
        <v>3</v>
      </c>
      <c r="J31" s="9" t="s">
        <v>3</v>
      </c>
      <c r="K31" s="9" t="s">
        <v>3</v>
      </c>
    </row>
    <row r="32" spans="1:11" ht="12" customHeight="1" x14ac:dyDescent="0.2">
      <c r="A32" s="3">
        <v>1985</v>
      </c>
      <c r="B32" s="21">
        <v>238.46600000000001</v>
      </c>
      <c r="C32" s="9" t="s">
        <v>3</v>
      </c>
      <c r="D32" s="9" t="s">
        <v>3</v>
      </c>
      <c r="E32" s="9" t="s">
        <v>3</v>
      </c>
      <c r="F32" s="9" t="s">
        <v>3</v>
      </c>
      <c r="G32" s="9" t="s">
        <v>3</v>
      </c>
      <c r="H32" s="9" t="s">
        <v>3</v>
      </c>
      <c r="I32" s="9" t="s">
        <v>3</v>
      </c>
      <c r="J32" s="9" t="s">
        <v>3</v>
      </c>
      <c r="K32" s="9" t="s">
        <v>3</v>
      </c>
    </row>
    <row r="33" spans="1:11" ht="12" customHeight="1" x14ac:dyDescent="0.2">
      <c r="A33" s="2">
        <v>1986</v>
      </c>
      <c r="B33" s="20">
        <v>240.65100000000001</v>
      </c>
      <c r="C33" s="8" t="s">
        <v>3</v>
      </c>
      <c r="D33" s="8" t="s">
        <v>3</v>
      </c>
      <c r="E33" s="8" t="s">
        <v>3</v>
      </c>
      <c r="F33" s="8" t="s">
        <v>3</v>
      </c>
      <c r="G33" s="8" t="s">
        <v>3</v>
      </c>
      <c r="H33" s="8" t="s">
        <v>3</v>
      </c>
      <c r="I33" s="8" t="s">
        <v>3</v>
      </c>
      <c r="J33" s="8" t="s">
        <v>3</v>
      </c>
      <c r="K33" s="8" t="s">
        <v>3</v>
      </c>
    </row>
    <row r="34" spans="1:11" ht="12" customHeight="1" x14ac:dyDescent="0.2">
      <c r="A34" s="2">
        <v>1987</v>
      </c>
      <c r="B34" s="20">
        <v>242.804</v>
      </c>
      <c r="C34" s="8" t="s">
        <v>3</v>
      </c>
      <c r="D34" s="8" t="s">
        <v>3</v>
      </c>
      <c r="E34" s="8" t="s">
        <v>3</v>
      </c>
      <c r="F34" s="8" t="s">
        <v>3</v>
      </c>
      <c r="G34" s="8" t="s">
        <v>3</v>
      </c>
      <c r="H34" s="8" t="s">
        <v>3</v>
      </c>
      <c r="I34" s="8" t="s">
        <v>3</v>
      </c>
      <c r="J34" s="8" t="s">
        <v>3</v>
      </c>
      <c r="K34" s="8" t="s">
        <v>3</v>
      </c>
    </row>
    <row r="35" spans="1:11" ht="12" customHeight="1" x14ac:dyDescent="0.2">
      <c r="A35" s="2">
        <v>1988</v>
      </c>
      <c r="B35" s="20">
        <v>245.02099999999999</v>
      </c>
      <c r="C35" s="8" t="s">
        <v>3</v>
      </c>
      <c r="D35" s="8" t="s">
        <v>3</v>
      </c>
      <c r="E35" s="8" t="s">
        <v>3</v>
      </c>
      <c r="F35" s="8" t="s">
        <v>3</v>
      </c>
      <c r="G35" s="8" t="s">
        <v>3</v>
      </c>
      <c r="H35" s="8" t="s">
        <v>3</v>
      </c>
      <c r="I35" s="8" t="s">
        <v>3</v>
      </c>
      <c r="J35" s="8" t="s">
        <v>3</v>
      </c>
      <c r="K35" s="8" t="s">
        <v>3</v>
      </c>
    </row>
    <row r="36" spans="1:11" ht="12" customHeight="1" x14ac:dyDescent="0.2">
      <c r="A36" s="2">
        <v>1989</v>
      </c>
      <c r="B36" s="20">
        <v>247.34200000000001</v>
      </c>
      <c r="C36" s="8" t="s">
        <v>3</v>
      </c>
      <c r="D36" s="8" t="s">
        <v>3</v>
      </c>
      <c r="E36" s="8" t="s">
        <v>3</v>
      </c>
      <c r="F36" s="8" t="s">
        <v>3</v>
      </c>
      <c r="G36" s="8" t="s">
        <v>3</v>
      </c>
      <c r="H36" s="8" t="s">
        <v>3</v>
      </c>
      <c r="I36" s="8" t="s">
        <v>3</v>
      </c>
      <c r="J36" s="8" t="s">
        <v>3</v>
      </c>
      <c r="K36" s="8" t="s">
        <v>3</v>
      </c>
    </row>
    <row r="37" spans="1:11" ht="12" customHeight="1" x14ac:dyDescent="0.2">
      <c r="A37" s="2">
        <v>1990</v>
      </c>
      <c r="B37" s="20">
        <v>250.13200000000001</v>
      </c>
      <c r="C37" s="8" t="s">
        <v>3</v>
      </c>
      <c r="D37" s="8" t="s">
        <v>3</v>
      </c>
      <c r="E37" s="8" t="s">
        <v>3</v>
      </c>
      <c r="F37" s="8" t="s">
        <v>3</v>
      </c>
      <c r="G37" s="8" t="s">
        <v>3</v>
      </c>
      <c r="H37" s="8" t="s">
        <v>3</v>
      </c>
      <c r="I37" s="8" t="s">
        <v>3</v>
      </c>
      <c r="J37" s="8" t="s">
        <v>3</v>
      </c>
      <c r="K37" s="8" t="s">
        <v>3</v>
      </c>
    </row>
    <row r="38" spans="1:11" ht="12" customHeight="1" x14ac:dyDescent="0.2">
      <c r="A38" s="3">
        <v>1991</v>
      </c>
      <c r="B38" s="21">
        <v>253.49299999999999</v>
      </c>
      <c r="C38" s="9" t="s">
        <v>3</v>
      </c>
      <c r="D38" s="9" t="s">
        <v>3</v>
      </c>
      <c r="E38" s="9" t="s">
        <v>3</v>
      </c>
      <c r="F38" s="9" t="s">
        <v>3</v>
      </c>
      <c r="G38" s="9" t="s">
        <v>3</v>
      </c>
      <c r="H38" s="9" t="s">
        <v>3</v>
      </c>
      <c r="I38" s="9" t="s">
        <v>3</v>
      </c>
      <c r="J38" s="9" t="s">
        <v>3</v>
      </c>
      <c r="K38" s="9" t="s">
        <v>3</v>
      </c>
    </row>
    <row r="39" spans="1:11" ht="12" customHeight="1" x14ac:dyDescent="0.2">
      <c r="A39" s="3">
        <v>1992</v>
      </c>
      <c r="B39" s="21">
        <v>256.89400000000001</v>
      </c>
      <c r="C39" s="9" t="s">
        <v>3</v>
      </c>
      <c r="D39" s="9" t="s">
        <v>3</v>
      </c>
      <c r="E39" s="9" t="s">
        <v>3</v>
      </c>
      <c r="F39" s="9" t="s">
        <v>3</v>
      </c>
      <c r="G39" s="9" t="s">
        <v>3</v>
      </c>
      <c r="H39" s="9" t="s">
        <v>3</v>
      </c>
      <c r="I39" s="9" t="s">
        <v>3</v>
      </c>
      <c r="J39" s="9" t="s">
        <v>3</v>
      </c>
      <c r="K39" s="9" t="s">
        <v>3</v>
      </c>
    </row>
    <row r="40" spans="1:11" ht="12" customHeight="1" x14ac:dyDescent="0.2">
      <c r="A40" s="3">
        <v>1993</v>
      </c>
      <c r="B40" s="21">
        <v>260.255</v>
      </c>
      <c r="C40" s="9" t="s">
        <v>3</v>
      </c>
      <c r="D40" s="9" t="s">
        <v>3</v>
      </c>
      <c r="E40" s="9" t="s">
        <v>3</v>
      </c>
      <c r="F40" s="9" t="s">
        <v>3</v>
      </c>
      <c r="G40" s="9" t="s">
        <v>3</v>
      </c>
      <c r="H40" s="9" t="s">
        <v>3</v>
      </c>
      <c r="I40" s="9" t="s">
        <v>3</v>
      </c>
      <c r="J40" s="9" t="s">
        <v>3</v>
      </c>
      <c r="K40" s="9" t="s">
        <v>3</v>
      </c>
    </row>
    <row r="41" spans="1:11" ht="12" customHeight="1" x14ac:dyDescent="0.2">
      <c r="A41" s="3">
        <v>1994</v>
      </c>
      <c r="B41" s="21">
        <v>263.43599999999998</v>
      </c>
      <c r="C41" s="9" t="s">
        <v>3</v>
      </c>
      <c r="D41" s="9" t="s">
        <v>3</v>
      </c>
      <c r="E41" s="9" t="s">
        <v>3</v>
      </c>
      <c r="F41" s="9" t="s">
        <v>3</v>
      </c>
      <c r="G41" s="9" t="s">
        <v>3</v>
      </c>
      <c r="H41" s="9" t="s">
        <v>3</v>
      </c>
      <c r="I41" s="9" t="s">
        <v>3</v>
      </c>
      <c r="J41" s="9" t="s">
        <v>3</v>
      </c>
      <c r="K41" s="9" t="s">
        <v>3</v>
      </c>
    </row>
    <row r="42" spans="1:11" ht="12" customHeight="1" x14ac:dyDescent="0.2">
      <c r="A42" s="3">
        <v>1995</v>
      </c>
      <c r="B42" s="21">
        <v>266.55700000000002</v>
      </c>
      <c r="C42" s="9" t="s">
        <v>3</v>
      </c>
      <c r="D42" s="9" t="s">
        <v>3</v>
      </c>
      <c r="E42" s="9" t="s">
        <v>3</v>
      </c>
      <c r="F42" s="9" t="s">
        <v>3</v>
      </c>
      <c r="G42" s="9" t="s">
        <v>3</v>
      </c>
      <c r="H42" s="9" t="s">
        <v>3</v>
      </c>
      <c r="I42" s="9" t="s">
        <v>3</v>
      </c>
      <c r="J42" s="9" t="s">
        <v>3</v>
      </c>
      <c r="K42" s="9" t="s">
        <v>3</v>
      </c>
    </row>
    <row r="43" spans="1:11" ht="12" customHeight="1" x14ac:dyDescent="0.2">
      <c r="A43" s="2">
        <v>1996</v>
      </c>
      <c r="B43" s="20">
        <v>269.66699999999997</v>
      </c>
      <c r="C43" s="8" t="s">
        <v>3</v>
      </c>
      <c r="D43" s="8" t="s">
        <v>3</v>
      </c>
      <c r="E43" s="8" t="s">
        <v>3</v>
      </c>
      <c r="F43" s="8" t="s">
        <v>3</v>
      </c>
      <c r="G43" s="8" t="s">
        <v>3</v>
      </c>
      <c r="H43" s="8" t="s">
        <v>3</v>
      </c>
      <c r="I43" s="8" t="s">
        <v>3</v>
      </c>
      <c r="J43" s="8" t="s">
        <v>3</v>
      </c>
      <c r="K43" s="8" t="s">
        <v>3</v>
      </c>
    </row>
    <row r="44" spans="1:11" ht="12" customHeight="1" x14ac:dyDescent="0.2">
      <c r="A44" s="2">
        <v>1997</v>
      </c>
      <c r="B44" s="20">
        <v>272.91199999999998</v>
      </c>
      <c r="C44" s="8">
        <v>110.59300000000002</v>
      </c>
      <c r="D44" s="8">
        <v>5</v>
      </c>
      <c r="E44" s="8" t="s">
        <v>3</v>
      </c>
      <c r="F44" s="8">
        <f t="shared" ref="F44:F61" si="0">SUM(C44,D44,E44)</f>
        <v>115.59300000000002</v>
      </c>
      <c r="G44" s="8" t="s">
        <v>3</v>
      </c>
      <c r="H44" s="8" t="s">
        <v>3</v>
      </c>
      <c r="I44" s="8">
        <f t="shared" ref="I44:I58" si="1">F44-SUM(G44,H44)</f>
        <v>115.59300000000002</v>
      </c>
      <c r="J44" s="142">
        <f t="shared" ref="J44:J58" si="2">IF(I44=0,0,IF(B44=0,0,I44/B44))</f>
        <v>0.42355411268101084</v>
      </c>
      <c r="K44" s="142">
        <f t="shared" ref="K44:K50" si="3">J44*0.88</f>
        <v>0.37272761915928954</v>
      </c>
    </row>
    <row r="45" spans="1:11" ht="12" customHeight="1" x14ac:dyDescent="0.2">
      <c r="A45" s="2">
        <v>1998</v>
      </c>
      <c r="B45" s="20">
        <v>276.11500000000001</v>
      </c>
      <c r="C45" s="8">
        <v>106.60810000000002</v>
      </c>
      <c r="D45" s="8">
        <v>5</v>
      </c>
      <c r="E45" s="8" t="s">
        <v>3</v>
      </c>
      <c r="F45" s="8">
        <f t="shared" si="0"/>
        <v>111.60810000000002</v>
      </c>
      <c r="G45" s="8" t="s">
        <v>3</v>
      </c>
      <c r="H45" s="8" t="s">
        <v>3</v>
      </c>
      <c r="I45" s="8">
        <f t="shared" si="1"/>
        <v>111.60810000000002</v>
      </c>
      <c r="J45" s="142">
        <f t="shared" si="2"/>
        <v>0.40420875359904396</v>
      </c>
      <c r="K45" s="142">
        <f t="shared" si="3"/>
        <v>0.35570370316715866</v>
      </c>
    </row>
    <row r="46" spans="1:11" ht="12" customHeight="1" x14ac:dyDescent="0.2">
      <c r="A46" s="2">
        <v>1999</v>
      </c>
      <c r="B46" s="20">
        <v>279.29500000000002</v>
      </c>
      <c r="C46" s="8">
        <v>102.62320000000003</v>
      </c>
      <c r="D46" s="8">
        <v>5</v>
      </c>
      <c r="E46" s="8" t="s">
        <v>3</v>
      </c>
      <c r="F46" s="8">
        <f t="shared" si="0"/>
        <v>107.62320000000003</v>
      </c>
      <c r="G46" s="8" t="s">
        <v>3</v>
      </c>
      <c r="H46" s="8" t="s">
        <v>3</v>
      </c>
      <c r="I46" s="8">
        <f t="shared" si="1"/>
        <v>107.62320000000003</v>
      </c>
      <c r="J46" s="142">
        <f t="shared" si="2"/>
        <v>0.3853387994772553</v>
      </c>
      <c r="K46" s="142">
        <f t="shared" si="3"/>
        <v>0.33909814353998469</v>
      </c>
    </row>
    <row r="47" spans="1:11" ht="12" customHeight="1" x14ac:dyDescent="0.2">
      <c r="A47" s="2">
        <v>2000</v>
      </c>
      <c r="B47" s="20">
        <v>282.38499999999999</v>
      </c>
      <c r="C47" s="8">
        <v>98.638300000000015</v>
      </c>
      <c r="D47" s="8">
        <v>10</v>
      </c>
      <c r="E47" s="8" t="s">
        <v>3</v>
      </c>
      <c r="F47" s="8">
        <f t="shared" si="0"/>
        <v>108.63830000000002</v>
      </c>
      <c r="G47" s="8" t="s">
        <v>3</v>
      </c>
      <c r="H47" s="8" t="s">
        <v>3</v>
      </c>
      <c r="I47" s="8">
        <f t="shared" si="1"/>
        <v>108.63830000000002</v>
      </c>
      <c r="J47" s="142">
        <f t="shared" si="2"/>
        <v>0.3847169644279973</v>
      </c>
      <c r="K47" s="142">
        <f t="shared" si="3"/>
        <v>0.33855092869663761</v>
      </c>
    </row>
    <row r="48" spans="1:11" ht="12" customHeight="1" x14ac:dyDescent="0.2">
      <c r="A48" s="3">
        <v>2001</v>
      </c>
      <c r="B48" s="21">
        <v>285.30901899999998</v>
      </c>
      <c r="C48" s="9">
        <v>94.653400000000019</v>
      </c>
      <c r="D48" s="9">
        <v>10</v>
      </c>
      <c r="E48" s="9" t="s">
        <v>3</v>
      </c>
      <c r="F48" s="9">
        <f t="shared" si="0"/>
        <v>104.65340000000002</v>
      </c>
      <c r="G48" s="9" t="s">
        <v>3</v>
      </c>
      <c r="H48" s="9" t="s">
        <v>3</v>
      </c>
      <c r="I48" s="9">
        <f t="shared" si="1"/>
        <v>104.65340000000002</v>
      </c>
      <c r="J48" s="143">
        <f t="shared" si="2"/>
        <v>0.36680719160861869</v>
      </c>
      <c r="K48" s="143">
        <f t="shared" si="3"/>
        <v>0.32279032861558443</v>
      </c>
    </row>
    <row r="49" spans="1:12" ht="12" customHeight="1" x14ac:dyDescent="0.2">
      <c r="A49" s="3">
        <v>2002</v>
      </c>
      <c r="B49" s="21">
        <v>288.10481800000002</v>
      </c>
      <c r="C49" s="9">
        <v>90.668499999999995</v>
      </c>
      <c r="D49" s="9">
        <v>8.9333333333333336</v>
      </c>
      <c r="E49" s="9" t="s">
        <v>3</v>
      </c>
      <c r="F49" s="9">
        <f t="shared" si="0"/>
        <v>99.601833333333332</v>
      </c>
      <c r="G49" s="9" t="s">
        <v>3</v>
      </c>
      <c r="H49" s="9" t="s">
        <v>3</v>
      </c>
      <c r="I49" s="9">
        <f t="shared" si="1"/>
        <v>99.601833333333332</v>
      </c>
      <c r="J49" s="143">
        <f t="shared" si="2"/>
        <v>0.34571387602873521</v>
      </c>
      <c r="K49" s="143">
        <f t="shared" si="3"/>
        <v>0.30422821090528701</v>
      </c>
    </row>
    <row r="50" spans="1:12" ht="12" customHeight="1" x14ac:dyDescent="0.2">
      <c r="A50" s="3">
        <v>2003</v>
      </c>
      <c r="B50" s="21">
        <v>290.81963400000001</v>
      </c>
      <c r="C50" s="9">
        <v>80.188720000000004</v>
      </c>
      <c r="D50" s="9">
        <v>9.7333333333333343</v>
      </c>
      <c r="E50" s="9" t="s">
        <v>3</v>
      </c>
      <c r="F50" s="9">
        <f t="shared" si="0"/>
        <v>89.922053333333338</v>
      </c>
      <c r="G50" s="9" t="s">
        <v>3</v>
      </c>
      <c r="H50" s="9" t="s">
        <v>3</v>
      </c>
      <c r="I50" s="9">
        <f t="shared" si="1"/>
        <v>89.922053333333338</v>
      </c>
      <c r="J50" s="143">
        <f t="shared" si="2"/>
        <v>0.30920214050380568</v>
      </c>
      <c r="K50" s="143">
        <f t="shared" si="3"/>
        <v>0.27209788364334903</v>
      </c>
    </row>
    <row r="51" spans="1:12" ht="12" customHeight="1" x14ac:dyDescent="0.2">
      <c r="A51" s="3">
        <v>2004</v>
      </c>
      <c r="B51" s="21">
        <v>293.46318500000001</v>
      </c>
      <c r="C51" s="9">
        <v>85.938940000000002</v>
      </c>
      <c r="D51" s="9">
        <v>8.4666666666666686</v>
      </c>
      <c r="E51" s="9" t="s">
        <v>3</v>
      </c>
      <c r="F51" s="9">
        <f t="shared" si="0"/>
        <v>94.405606666666671</v>
      </c>
      <c r="G51" s="9" t="s">
        <v>3</v>
      </c>
      <c r="H51" s="9" t="s">
        <v>3</v>
      </c>
      <c r="I51" s="9">
        <f t="shared" si="1"/>
        <v>94.405606666666671</v>
      </c>
      <c r="J51" s="143">
        <f t="shared" si="2"/>
        <v>0.32169488880408176</v>
      </c>
      <c r="K51" s="143">
        <f t="shared" ref="K51:K56" si="4">J51*0.88</f>
        <v>0.28309150214759193</v>
      </c>
    </row>
    <row r="52" spans="1:12" ht="12" customHeight="1" x14ac:dyDescent="0.2">
      <c r="A52" s="3">
        <v>2005</v>
      </c>
      <c r="B52" s="21">
        <v>296.186216</v>
      </c>
      <c r="C52" s="9">
        <v>96.720960000000019</v>
      </c>
      <c r="D52" s="9">
        <v>7.3333333333333348</v>
      </c>
      <c r="E52" s="9" t="s">
        <v>3</v>
      </c>
      <c r="F52" s="9">
        <f t="shared" si="0"/>
        <v>104.05429333333335</v>
      </c>
      <c r="G52" s="9" t="s">
        <v>3</v>
      </c>
      <c r="H52" s="9" t="s">
        <v>3</v>
      </c>
      <c r="I52" s="9">
        <f t="shared" si="1"/>
        <v>104.05429333333335</v>
      </c>
      <c r="J52" s="143">
        <f t="shared" si="2"/>
        <v>0.35131376043959234</v>
      </c>
      <c r="K52" s="143">
        <f t="shared" si="4"/>
        <v>0.30915610918684128</v>
      </c>
    </row>
    <row r="53" spans="1:12" ht="12" customHeight="1" x14ac:dyDescent="0.2">
      <c r="A53" s="2">
        <v>2006</v>
      </c>
      <c r="B53" s="20">
        <v>298.99582500000002</v>
      </c>
      <c r="C53" s="8">
        <v>88.017432000000028</v>
      </c>
      <c r="D53" s="8">
        <v>6.1000000000000014</v>
      </c>
      <c r="E53" s="8" t="s">
        <v>3</v>
      </c>
      <c r="F53" s="8">
        <f t="shared" si="0"/>
        <v>94.117432000000036</v>
      </c>
      <c r="G53" s="8" t="s">
        <v>3</v>
      </c>
      <c r="H53" s="8" t="s">
        <v>3</v>
      </c>
      <c r="I53" s="8">
        <f t="shared" si="1"/>
        <v>94.117432000000036</v>
      </c>
      <c r="J53" s="142">
        <f t="shared" si="2"/>
        <v>0.31477841538422829</v>
      </c>
      <c r="K53" s="142">
        <f t="shared" si="4"/>
        <v>0.27700500553812091</v>
      </c>
    </row>
    <row r="54" spans="1:12" ht="12" customHeight="1" x14ac:dyDescent="0.2">
      <c r="A54" s="2">
        <v>2007</v>
      </c>
      <c r="B54" s="20">
        <v>302.003917</v>
      </c>
      <c r="C54" s="8">
        <v>93.539480000000012</v>
      </c>
      <c r="D54" s="8">
        <v>8.2666666666666675</v>
      </c>
      <c r="E54" s="8" t="s">
        <v>3</v>
      </c>
      <c r="F54" s="8">
        <f t="shared" si="0"/>
        <v>101.80614666666668</v>
      </c>
      <c r="G54" s="8" t="s">
        <v>3</v>
      </c>
      <c r="H54" s="8" t="s">
        <v>3</v>
      </c>
      <c r="I54" s="8">
        <f t="shared" si="1"/>
        <v>101.80614666666668</v>
      </c>
      <c r="J54" s="142">
        <f t="shared" si="2"/>
        <v>0.33710207363524586</v>
      </c>
      <c r="K54" s="142">
        <f t="shared" si="4"/>
        <v>0.29664982479901636</v>
      </c>
    </row>
    <row r="55" spans="1:12" ht="12" customHeight="1" x14ac:dyDescent="0.2">
      <c r="A55" s="2">
        <v>2008</v>
      </c>
      <c r="B55" s="20">
        <v>304.79776099999998</v>
      </c>
      <c r="C55" s="8">
        <v>107.513952</v>
      </c>
      <c r="D55" s="8">
        <v>6.666666666666667</v>
      </c>
      <c r="E55" s="8" t="s">
        <v>3</v>
      </c>
      <c r="F55" s="8">
        <f t="shared" si="0"/>
        <v>114.18061866666667</v>
      </c>
      <c r="G55" s="8" t="s">
        <v>3</v>
      </c>
      <c r="H55" s="8" t="s">
        <v>3</v>
      </c>
      <c r="I55" s="8">
        <f t="shared" si="1"/>
        <v>114.18061866666667</v>
      </c>
      <c r="J55" s="142">
        <f t="shared" si="2"/>
        <v>0.37461108077715399</v>
      </c>
      <c r="K55" s="142">
        <f t="shared" si="4"/>
        <v>0.3296577510838955</v>
      </c>
    </row>
    <row r="56" spans="1:12" ht="12" customHeight="1" x14ac:dyDescent="0.2">
      <c r="A56" s="2">
        <v>2009</v>
      </c>
      <c r="B56" s="20">
        <v>307.43940600000002</v>
      </c>
      <c r="C56" s="8">
        <v>120.60845599999999</v>
      </c>
      <c r="D56" s="8">
        <v>4.2</v>
      </c>
      <c r="E56" s="8" t="s">
        <v>3</v>
      </c>
      <c r="F56" s="8">
        <f t="shared" si="0"/>
        <v>124.80845599999999</v>
      </c>
      <c r="G56" s="8" t="s">
        <v>3</v>
      </c>
      <c r="H56" s="8" t="s">
        <v>3</v>
      </c>
      <c r="I56" s="8">
        <f t="shared" si="1"/>
        <v>124.80845599999999</v>
      </c>
      <c r="J56" s="142">
        <f t="shared" si="2"/>
        <v>0.40596115385416787</v>
      </c>
      <c r="K56" s="142">
        <f t="shared" si="4"/>
        <v>0.35724581539166772</v>
      </c>
    </row>
    <row r="57" spans="1:12" ht="12" customHeight="1" x14ac:dyDescent="0.2">
      <c r="A57" s="2">
        <v>2010</v>
      </c>
      <c r="B57" s="20">
        <v>309.74127900000002</v>
      </c>
      <c r="C57" s="8">
        <v>137.20476799999997</v>
      </c>
      <c r="D57" s="8">
        <v>4.3333333333333339</v>
      </c>
      <c r="E57" s="8" t="s">
        <v>3</v>
      </c>
      <c r="F57" s="8">
        <f t="shared" si="0"/>
        <v>141.53810133333332</v>
      </c>
      <c r="G57" s="8" t="s">
        <v>3</v>
      </c>
      <c r="H57" s="8" t="s">
        <v>3</v>
      </c>
      <c r="I57" s="8">
        <f t="shared" si="1"/>
        <v>141.53810133333332</v>
      </c>
      <c r="J57" s="142">
        <f t="shared" si="2"/>
        <v>0.45695588844434681</v>
      </c>
      <c r="K57" s="142">
        <f t="shared" ref="K57:K62" si="5">J57*0.88</f>
        <v>0.40212118183102519</v>
      </c>
    </row>
    <row r="58" spans="1:12" ht="12" customHeight="1" x14ac:dyDescent="0.2">
      <c r="A58" s="33">
        <v>2011</v>
      </c>
      <c r="B58" s="31">
        <v>311.97391399999998</v>
      </c>
      <c r="C58" s="39">
        <v>155.76862399999996</v>
      </c>
      <c r="D58" s="39">
        <v>4.3666666666666671</v>
      </c>
      <c r="E58" s="39" t="s">
        <v>3</v>
      </c>
      <c r="F58" s="39">
        <f t="shared" si="0"/>
        <v>160.13529066666663</v>
      </c>
      <c r="G58" s="39" t="s">
        <v>3</v>
      </c>
      <c r="H58" s="39" t="s">
        <v>3</v>
      </c>
      <c r="I58" s="39">
        <f t="shared" si="1"/>
        <v>160.13529066666663</v>
      </c>
      <c r="J58" s="144">
        <f t="shared" si="2"/>
        <v>0.5132970529922789</v>
      </c>
      <c r="K58" s="144">
        <f t="shared" si="5"/>
        <v>0.45170140663320546</v>
      </c>
    </row>
    <row r="59" spans="1:12" s="43" customFormat="1" ht="12" customHeight="1" x14ac:dyDescent="0.2">
      <c r="A59" s="33">
        <v>2012</v>
      </c>
      <c r="B59" s="31">
        <v>314.16755799999999</v>
      </c>
      <c r="C59" s="39">
        <v>140.50976000000003</v>
      </c>
      <c r="D59" s="39">
        <v>5.3666666666666671</v>
      </c>
      <c r="E59" s="39" t="s">
        <v>3</v>
      </c>
      <c r="F59" s="39">
        <f t="shared" si="0"/>
        <v>145.8764266666667</v>
      </c>
      <c r="G59" s="39" t="s">
        <v>3</v>
      </c>
      <c r="H59" s="39" t="s">
        <v>3</v>
      </c>
      <c r="I59" s="39">
        <f t="shared" ref="I59" si="6">F59-SUM(G59,H59)</f>
        <v>145.8764266666667</v>
      </c>
      <c r="J59" s="144">
        <f t="shared" ref="J59" si="7">IF(I59=0,0,IF(B59=0,0,I59/B59))</f>
        <v>0.46432683118308066</v>
      </c>
      <c r="K59" s="144">
        <f t="shared" si="5"/>
        <v>0.40860761144111096</v>
      </c>
      <c r="L59"/>
    </row>
    <row r="60" spans="1:12" s="93" customFormat="1" ht="12" customHeight="1" x14ac:dyDescent="0.2">
      <c r="A60" s="33">
        <v>2013</v>
      </c>
      <c r="B60" s="31">
        <v>316.29476599999998</v>
      </c>
      <c r="C60" s="39">
        <v>169.85668799999999</v>
      </c>
      <c r="D60" s="39">
        <v>6.6333333333333337</v>
      </c>
      <c r="E60" s="39" t="s">
        <v>3</v>
      </c>
      <c r="F60" s="39">
        <f t="shared" si="0"/>
        <v>176.49002133333332</v>
      </c>
      <c r="G60" s="39" t="s">
        <v>3</v>
      </c>
      <c r="H60" s="39" t="s">
        <v>3</v>
      </c>
      <c r="I60" s="39">
        <f t="shared" ref="I60" si="8">F60-SUM(G60,H60)</f>
        <v>176.49002133333332</v>
      </c>
      <c r="J60" s="144">
        <f t="shared" ref="J60" si="9">IF(I60=0,0,IF(B60=0,0,I60/B60))</f>
        <v>0.55799222846872321</v>
      </c>
      <c r="K60" s="144">
        <f t="shared" si="5"/>
        <v>0.49103316105247641</v>
      </c>
      <c r="L60" s="83"/>
    </row>
    <row r="61" spans="1:12" s="93" customFormat="1" ht="12" customHeight="1" x14ac:dyDescent="0.2">
      <c r="A61" s="33">
        <v>2014</v>
      </c>
      <c r="B61" s="31">
        <v>318.576955</v>
      </c>
      <c r="C61" s="39">
        <v>155.10292799999999</v>
      </c>
      <c r="D61" s="39">
        <v>9.1333333333333329</v>
      </c>
      <c r="E61" s="39" t="s">
        <v>3</v>
      </c>
      <c r="F61" s="39">
        <f t="shared" si="0"/>
        <v>164.23626133333332</v>
      </c>
      <c r="G61" s="39" t="s">
        <v>3</v>
      </c>
      <c r="H61" s="39" t="s">
        <v>3</v>
      </c>
      <c r="I61" s="39">
        <f t="shared" ref="I61" si="10">F61-SUM(G61,H61)</f>
        <v>164.23626133333332</v>
      </c>
      <c r="J61" s="144">
        <f t="shared" ref="J61" si="11">IF(I61=0,0,IF(B61=0,0,I61/B61))</f>
        <v>0.51553089059230073</v>
      </c>
      <c r="K61" s="144">
        <f t="shared" si="5"/>
        <v>0.45366718372122466</v>
      </c>
      <c r="L61" s="83"/>
    </row>
    <row r="62" spans="1:12" s="93" customFormat="1" ht="12" customHeight="1" x14ac:dyDescent="0.2">
      <c r="A62" s="33">
        <v>2015</v>
      </c>
      <c r="B62" s="31">
        <v>320.87070299999999</v>
      </c>
      <c r="C62" s="39">
        <v>176.32171199999996</v>
      </c>
      <c r="D62" s="39">
        <v>10.166666666666666</v>
      </c>
      <c r="E62" s="39" t="s">
        <v>3</v>
      </c>
      <c r="F62" s="39">
        <f t="shared" ref="F62:F64" si="12">SUM(C62,D62,E62)</f>
        <v>186.48837866666662</v>
      </c>
      <c r="G62" s="39" t="s">
        <v>3</v>
      </c>
      <c r="H62" s="39" t="s">
        <v>3</v>
      </c>
      <c r="I62" s="39">
        <f t="shared" ref="I62" si="13">F62-SUM(G62,H62)</f>
        <v>186.48837866666662</v>
      </c>
      <c r="J62" s="144">
        <f t="shared" ref="J62" si="14">IF(I62=0,0,IF(B62=0,0,I62/B62))</f>
        <v>0.58119478320420737</v>
      </c>
      <c r="K62" s="144">
        <f t="shared" si="5"/>
        <v>0.51145140921970245</v>
      </c>
      <c r="L62" s="83"/>
    </row>
    <row r="63" spans="1:12" s="93" customFormat="1" ht="12" customHeight="1" x14ac:dyDescent="0.2">
      <c r="A63" s="128">
        <v>2016</v>
      </c>
      <c r="B63" s="129">
        <v>323.16101099999997</v>
      </c>
      <c r="C63" s="130">
        <v>162.27987199999998</v>
      </c>
      <c r="D63" s="130">
        <v>10.433333333333332</v>
      </c>
      <c r="E63" s="130" t="s">
        <v>3</v>
      </c>
      <c r="F63" s="130">
        <f t="shared" si="12"/>
        <v>172.71320533333332</v>
      </c>
      <c r="G63" s="130" t="s">
        <v>3</v>
      </c>
      <c r="H63" s="130" t="s">
        <v>3</v>
      </c>
      <c r="I63" s="130">
        <f t="shared" ref="I63:I64" si="15">F63-SUM(G63,H63)</f>
        <v>172.71320533333332</v>
      </c>
      <c r="J63" s="145">
        <f t="shared" ref="J63:J64" si="16">IF(I63=0,0,IF(B63=0,0,I63/B63))</f>
        <v>0.53444939041032191</v>
      </c>
      <c r="K63" s="145">
        <f t="shared" ref="K63:K64" si="17">J63*0.88</f>
        <v>0.47031546356108328</v>
      </c>
      <c r="L63" s="83"/>
    </row>
    <row r="64" spans="1:12" s="93" customFormat="1" ht="12" customHeight="1" x14ac:dyDescent="0.2">
      <c r="A64" s="125">
        <v>2017</v>
      </c>
      <c r="B64" s="126">
        <v>325.20603</v>
      </c>
      <c r="C64" s="127">
        <v>324.89000000000004</v>
      </c>
      <c r="D64" s="127">
        <v>10.833333333333332</v>
      </c>
      <c r="E64" s="127" t="s">
        <v>3</v>
      </c>
      <c r="F64" s="127">
        <f t="shared" si="12"/>
        <v>335.72333333333336</v>
      </c>
      <c r="G64" s="127" t="s">
        <v>3</v>
      </c>
      <c r="H64" s="127" t="s">
        <v>3</v>
      </c>
      <c r="I64" s="127">
        <f t="shared" si="15"/>
        <v>335.72333333333336</v>
      </c>
      <c r="J64" s="146">
        <f t="shared" si="16"/>
        <v>1.0323404314899491</v>
      </c>
      <c r="K64" s="146">
        <f t="shared" si="17"/>
        <v>0.90845957971115521</v>
      </c>
      <c r="L64" s="83"/>
    </row>
    <row r="65" spans="1:12" s="93" customFormat="1" ht="12" customHeight="1" x14ac:dyDescent="0.2">
      <c r="A65" s="128">
        <v>2018</v>
      </c>
      <c r="B65" s="129">
        <v>326.92397599999998</v>
      </c>
      <c r="C65" s="130">
        <v>298.4776</v>
      </c>
      <c r="D65" s="130">
        <v>11.92090395480226</v>
      </c>
      <c r="E65" s="130" t="s">
        <v>3</v>
      </c>
      <c r="F65" s="130">
        <f t="shared" ref="F65:F67" si="18">SUM(C65,D65,E65)</f>
        <v>310.39850395480227</v>
      </c>
      <c r="G65" s="130" t="s">
        <v>3</v>
      </c>
      <c r="H65" s="130" t="s">
        <v>3</v>
      </c>
      <c r="I65" s="130">
        <f t="shared" ref="I65:I67" si="19">F65-SUM(G65,H65)</f>
        <v>310.39850395480227</v>
      </c>
      <c r="J65" s="145">
        <f t="shared" ref="J65:J67" si="20">IF(I65=0,0,IF(B65=0,0,I65/B65))</f>
        <v>0.94945163628745999</v>
      </c>
      <c r="K65" s="145">
        <f t="shared" ref="K65:K67" si="21">J65*0.88</f>
        <v>0.83551743993296479</v>
      </c>
      <c r="L65" s="83"/>
    </row>
    <row r="66" spans="1:12" s="93" customFormat="1" ht="12" customHeight="1" x14ac:dyDescent="0.2">
      <c r="A66" s="163">
        <v>2019</v>
      </c>
      <c r="B66" s="164">
        <v>328.475998</v>
      </c>
      <c r="C66" s="161">
        <v>242.95320000000001</v>
      </c>
      <c r="D66" s="147">
        <v>11.099999999999998</v>
      </c>
      <c r="E66" s="161" t="s">
        <v>3</v>
      </c>
      <c r="F66" s="161">
        <f t="shared" si="18"/>
        <v>254.0532</v>
      </c>
      <c r="G66" s="161" t="s">
        <v>3</v>
      </c>
      <c r="H66" s="161" t="s">
        <v>3</v>
      </c>
      <c r="I66" s="161">
        <f t="shared" si="19"/>
        <v>254.0532</v>
      </c>
      <c r="J66" s="175">
        <f t="shared" si="20"/>
        <v>0.77343002699393582</v>
      </c>
      <c r="K66" s="175">
        <f t="shared" si="21"/>
        <v>0.68061842375466353</v>
      </c>
      <c r="L66" s="83"/>
    </row>
    <row r="67" spans="1:12" s="93" customFormat="1" ht="12" customHeight="1" thickBot="1" x14ac:dyDescent="0.25">
      <c r="A67" s="122">
        <v>2020</v>
      </c>
      <c r="B67" s="123">
        <v>330.11398000000003</v>
      </c>
      <c r="C67" s="151">
        <v>294.00227052631584</v>
      </c>
      <c r="D67" s="124">
        <v>11.284745762711863</v>
      </c>
      <c r="E67" s="124" t="s">
        <v>3</v>
      </c>
      <c r="F67" s="124">
        <f t="shared" si="18"/>
        <v>305.28701628902769</v>
      </c>
      <c r="G67" s="124" t="s">
        <v>3</v>
      </c>
      <c r="H67" s="124" t="s">
        <v>3</v>
      </c>
      <c r="I67" s="124">
        <f t="shared" si="19"/>
        <v>305.28701628902769</v>
      </c>
      <c r="J67" s="189">
        <f t="shared" si="20"/>
        <v>0.92479275276081208</v>
      </c>
      <c r="K67" s="189">
        <f t="shared" si="21"/>
        <v>0.81381762242951461</v>
      </c>
      <c r="L67" s="83"/>
    </row>
    <row r="68" spans="1:12" ht="12" customHeight="1" thickTop="1" x14ac:dyDescent="0.2">
      <c r="A68" s="254" t="s">
        <v>8</v>
      </c>
      <c r="B68" s="255"/>
      <c r="C68" s="255"/>
      <c r="D68" s="255"/>
      <c r="E68" s="255"/>
      <c r="F68" s="255"/>
      <c r="G68" s="255"/>
      <c r="H68" s="255"/>
      <c r="I68" s="255"/>
      <c r="J68" s="255"/>
      <c r="K68" s="256"/>
      <c r="L68" s="44"/>
    </row>
    <row r="69" spans="1:12" ht="12" customHeight="1" x14ac:dyDescent="0.2">
      <c r="A69" s="248"/>
      <c r="B69" s="249"/>
      <c r="C69" s="249"/>
      <c r="D69" s="249"/>
      <c r="E69" s="249"/>
      <c r="F69" s="249"/>
      <c r="G69" s="249"/>
      <c r="H69" s="249"/>
      <c r="I69" s="249"/>
      <c r="J69" s="249"/>
      <c r="K69" s="250"/>
      <c r="L69" s="44"/>
    </row>
    <row r="70" spans="1:12" ht="11.25" customHeight="1" x14ac:dyDescent="0.2">
      <c r="A70" s="251" t="s">
        <v>217</v>
      </c>
      <c r="B70" s="252"/>
      <c r="C70" s="252"/>
      <c r="D70" s="252"/>
      <c r="E70" s="252"/>
      <c r="F70" s="252"/>
      <c r="G70" s="252"/>
      <c r="H70" s="252"/>
      <c r="I70" s="252"/>
      <c r="J70" s="252"/>
      <c r="K70" s="253"/>
      <c r="L70" s="44"/>
    </row>
    <row r="71" spans="1:12" ht="11.25" customHeight="1" x14ac:dyDescent="0.2">
      <c r="A71" s="251"/>
      <c r="B71" s="252"/>
      <c r="C71" s="252"/>
      <c r="D71" s="252"/>
      <c r="E71" s="252"/>
      <c r="F71" s="252"/>
      <c r="G71" s="252"/>
      <c r="H71" s="252"/>
      <c r="I71" s="252"/>
      <c r="J71" s="252"/>
      <c r="K71" s="253"/>
      <c r="L71" s="44"/>
    </row>
    <row r="72" spans="1:12" s="93" customFormat="1" ht="11.25" customHeight="1" x14ac:dyDescent="0.2">
      <c r="A72" s="251"/>
      <c r="B72" s="252"/>
      <c r="C72" s="252"/>
      <c r="D72" s="252"/>
      <c r="E72" s="252"/>
      <c r="F72" s="252"/>
      <c r="G72" s="252"/>
      <c r="H72" s="252"/>
      <c r="I72" s="252"/>
      <c r="J72" s="252"/>
      <c r="K72" s="253"/>
      <c r="L72" s="94"/>
    </row>
    <row r="73" spans="1:12" ht="12" customHeight="1" x14ac:dyDescent="0.2">
      <c r="A73" s="275"/>
      <c r="B73" s="276"/>
      <c r="C73" s="276"/>
      <c r="D73" s="276"/>
      <c r="E73" s="276"/>
      <c r="F73" s="276"/>
      <c r="G73" s="276"/>
      <c r="H73" s="276"/>
      <c r="I73" s="276"/>
      <c r="J73" s="276"/>
      <c r="K73" s="277"/>
      <c r="L73" s="43"/>
    </row>
    <row r="74" spans="1:12" ht="12" customHeight="1" x14ac:dyDescent="0.2">
      <c r="A74" s="223" t="s">
        <v>198</v>
      </c>
      <c r="B74" s="224"/>
      <c r="C74" s="224"/>
      <c r="D74" s="224"/>
      <c r="E74" s="224"/>
      <c r="F74" s="224"/>
      <c r="G74" s="224"/>
      <c r="H74" s="224"/>
      <c r="I74" s="224"/>
      <c r="J74" s="224"/>
      <c r="K74" s="225"/>
      <c r="L74" s="43"/>
    </row>
  </sheetData>
  <mergeCells count="23">
    <mergeCell ref="A1:I1"/>
    <mergeCell ref="A74:K74"/>
    <mergeCell ref="A70:K72"/>
    <mergeCell ref="A73:K73"/>
    <mergeCell ref="A68:K68"/>
    <mergeCell ref="A69:K69"/>
    <mergeCell ref="C6:I6"/>
    <mergeCell ref="J6:K6"/>
    <mergeCell ref="J1:K1"/>
    <mergeCell ref="C3:C5"/>
    <mergeCell ref="D3:D5"/>
    <mergeCell ref="E3:E5"/>
    <mergeCell ref="F3:F5"/>
    <mergeCell ref="G3:G5"/>
    <mergeCell ref="H3:H5"/>
    <mergeCell ref="A2:A5"/>
    <mergeCell ref="B2:B5"/>
    <mergeCell ref="I3:I5"/>
    <mergeCell ref="J4:J5"/>
    <mergeCell ref="J3:K3"/>
    <mergeCell ref="C2:F2"/>
    <mergeCell ref="I2:K2"/>
    <mergeCell ref="G2:H2"/>
  </mergeCells>
  <phoneticPr fontId="7" type="noConversion"/>
  <printOptions horizontalCentered="1"/>
  <pageMargins left="0.45" right="0.45" top="0.75" bottom="0.75" header="0" footer="0"/>
  <pageSetup scale="66" fitToWidth="2"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J74"/>
  <sheetViews>
    <sheetView workbookViewId="0">
      <pane ySplit="6" topLeftCell="A7" activePane="bottomLeft" state="frozen"/>
      <selection sqref="A1:G1"/>
      <selection pane="bottomLeft" sqref="A1:G1"/>
    </sheetView>
  </sheetViews>
  <sheetFormatPr defaultColWidth="12.7109375" defaultRowHeight="12" customHeight="1" x14ac:dyDescent="0.2"/>
  <cols>
    <col min="1" max="1" width="12.7109375" style="13" customWidth="1"/>
    <col min="2" max="16384" width="12.7109375" style="13"/>
  </cols>
  <sheetData>
    <row r="1" spans="1:10" s="1" customFormat="1" ht="12" customHeight="1" thickBot="1" x14ac:dyDescent="0.25">
      <c r="A1" s="201" t="s">
        <v>165</v>
      </c>
      <c r="B1" s="201"/>
      <c r="C1" s="201"/>
      <c r="D1" s="201"/>
      <c r="E1" s="201"/>
      <c r="F1" s="201"/>
      <c r="G1" s="201"/>
      <c r="H1" s="200" t="s">
        <v>19</v>
      </c>
      <c r="I1" s="200"/>
    </row>
    <row r="2" spans="1:10" ht="12" customHeight="1" thickTop="1" x14ac:dyDescent="0.2">
      <c r="A2" s="294" t="s">
        <v>143</v>
      </c>
      <c r="B2" s="297" t="s">
        <v>99</v>
      </c>
      <c r="C2" s="299" t="s">
        <v>2</v>
      </c>
      <c r="D2" s="299"/>
      <c r="E2" s="299"/>
      <c r="F2" s="119" t="s">
        <v>146</v>
      </c>
      <c r="G2" s="300" t="s">
        <v>147</v>
      </c>
      <c r="H2" s="301"/>
      <c r="I2" s="301"/>
    </row>
    <row r="3" spans="1:10" ht="12" customHeight="1" x14ac:dyDescent="0.2">
      <c r="A3" s="293"/>
      <c r="B3" s="298"/>
      <c r="C3" s="293" t="s">
        <v>93</v>
      </c>
      <c r="D3" s="293" t="s">
        <v>94</v>
      </c>
      <c r="E3" s="293" t="s">
        <v>90</v>
      </c>
      <c r="F3" s="293" t="s">
        <v>100</v>
      </c>
      <c r="G3" s="293" t="s">
        <v>98</v>
      </c>
      <c r="H3" s="295" t="s">
        <v>28</v>
      </c>
      <c r="I3" s="296"/>
    </row>
    <row r="4" spans="1:10" ht="12" customHeight="1" x14ac:dyDescent="0.2">
      <c r="A4" s="293"/>
      <c r="B4" s="298"/>
      <c r="C4" s="293"/>
      <c r="D4" s="293"/>
      <c r="E4" s="293"/>
      <c r="F4" s="293"/>
      <c r="G4" s="293"/>
      <c r="H4" s="293" t="s">
        <v>4</v>
      </c>
      <c r="I4" s="16" t="s">
        <v>96</v>
      </c>
      <c r="J4" s="4"/>
    </row>
    <row r="5" spans="1:10" ht="12" customHeight="1" x14ac:dyDescent="0.2">
      <c r="A5" s="293"/>
      <c r="B5" s="298"/>
      <c r="C5" s="293"/>
      <c r="D5" s="293"/>
      <c r="E5" s="293"/>
      <c r="F5" s="293"/>
      <c r="G5" s="293"/>
      <c r="H5" s="293"/>
      <c r="I5" s="16" t="s">
        <v>192</v>
      </c>
    </row>
    <row r="6" spans="1:10" ht="12" customHeight="1" x14ac:dyDescent="0.2">
      <c r="A6" s="76"/>
      <c r="B6" s="167" t="s">
        <v>121</v>
      </c>
      <c r="C6" s="290" t="s">
        <v>122</v>
      </c>
      <c r="D6" s="291"/>
      <c r="E6" s="291"/>
      <c r="F6" s="291"/>
      <c r="G6" s="292"/>
      <c r="H6" s="214" t="s">
        <v>118</v>
      </c>
      <c r="I6" s="222"/>
      <c r="J6" s="77"/>
    </row>
    <row r="7" spans="1:10" ht="12" customHeight="1" x14ac:dyDescent="0.2">
      <c r="A7" s="2">
        <v>1960</v>
      </c>
      <c r="B7" s="20">
        <v>179.386</v>
      </c>
      <c r="C7" s="8" t="s">
        <v>3</v>
      </c>
      <c r="D7" s="8" t="s">
        <v>3</v>
      </c>
      <c r="E7" s="8" t="s">
        <v>3</v>
      </c>
      <c r="F7" s="8" t="s">
        <v>3</v>
      </c>
      <c r="G7" s="8" t="s">
        <v>3</v>
      </c>
      <c r="H7" s="8" t="s">
        <v>3</v>
      </c>
      <c r="I7" s="8" t="s">
        <v>3</v>
      </c>
    </row>
    <row r="8" spans="1:10" ht="12" customHeight="1" x14ac:dyDescent="0.2">
      <c r="A8" s="3">
        <v>1961</v>
      </c>
      <c r="B8" s="21">
        <v>182.28700000000001</v>
      </c>
      <c r="C8" s="9" t="s">
        <v>3</v>
      </c>
      <c r="D8" s="9" t="s">
        <v>3</v>
      </c>
      <c r="E8" s="9" t="s">
        <v>3</v>
      </c>
      <c r="F8" s="9" t="s">
        <v>3</v>
      </c>
      <c r="G8" s="9" t="s">
        <v>3</v>
      </c>
      <c r="H8" s="9" t="s">
        <v>3</v>
      </c>
      <c r="I8" s="9" t="s">
        <v>3</v>
      </c>
    </row>
    <row r="9" spans="1:10" ht="12" customHeight="1" x14ac:dyDescent="0.2">
      <c r="A9" s="3">
        <v>1962</v>
      </c>
      <c r="B9" s="21">
        <v>185.24199999999999</v>
      </c>
      <c r="C9" s="9" t="s">
        <v>3</v>
      </c>
      <c r="D9" s="9" t="s">
        <v>3</v>
      </c>
      <c r="E9" s="9" t="s">
        <v>3</v>
      </c>
      <c r="F9" s="9" t="s">
        <v>3</v>
      </c>
      <c r="G9" s="9" t="s">
        <v>3</v>
      </c>
      <c r="H9" s="9" t="s">
        <v>3</v>
      </c>
      <c r="I9" s="9" t="s">
        <v>3</v>
      </c>
    </row>
    <row r="10" spans="1:10" ht="12" customHeight="1" x14ac:dyDescent="0.2">
      <c r="A10" s="3">
        <v>1963</v>
      </c>
      <c r="B10" s="21">
        <v>188.01300000000001</v>
      </c>
      <c r="C10" s="9" t="s">
        <v>3</v>
      </c>
      <c r="D10" s="9" t="s">
        <v>3</v>
      </c>
      <c r="E10" s="9" t="s">
        <v>3</v>
      </c>
      <c r="F10" s="9" t="s">
        <v>3</v>
      </c>
      <c r="G10" s="9" t="s">
        <v>3</v>
      </c>
      <c r="H10" s="9" t="s">
        <v>3</v>
      </c>
      <c r="I10" s="9" t="s">
        <v>3</v>
      </c>
    </row>
    <row r="11" spans="1:10" ht="12" customHeight="1" x14ac:dyDescent="0.2">
      <c r="A11" s="3">
        <v>1964</v>
      </c>
      <c r="B11" s="21">
        <v>190.66800000000001</v>
      </c>
      <c r="C11" s="9" t="s">
        <v>3</v>
      </c>
      <c r="D11" s="9" t="s">
        <v>3</v>
      </c>
      <c r="E11" s="9" t="s">
        <v>3</v>
      </c>
      <c r="F11" s="9" t="s">
        <v>3</v>
      </c>
      <c r="G11" s="9" t="s">
        <v>3</v>
      </c>
      <c r="H11" s="9" t="s">
        <v>3</v>
      </c>
      <c r="I11" s="9" t="s">
        <v>3</v>
      </c>
    </row>
    <row r="12" spans="1:10" ht="12" customHeight="1" x14ac:dyDescent="0.2">
      <c r="A12" s="3">
        <v>1965</v>
      </c>
      <c r="B12" s="21">
        <v>193.22300000000001</v>
      </c>
      <c r="C12" s="9">
        <v>30.56</v>
      </c>
      <c r="D12" s="9">
        <v>1E-3</v>
      </c>
      <c r="E12" s="9">
        <f t="shared" ref="E12:E66" si="0">C12+D12</f>
        <v>30.561</v>
      </c>
      <c r="F12" s="25" t="s">
        <v>3</v>
      </c>
      <c r="G12" s="9">
        <f>E12</f>
        <v>30.561</v>
      </c>
      <c r="H12" s="143">
        <f t="shared" ref="H12:H58" si="1">IF(G12=0,0,IF(B12=0,0,G12/B12))</f>
        <v>0.15816440071834098</v>
      </c>
      <c r="I12" s="143">
        <f t="shared" ref="I12:I58" si="2">IF(G12=0,0,IF(B12=0,0,(G12*0.94)/B12))</f>
        <v>0.1486745366752405</v>
      </c>
    </row>
    <row r="13" spans="1:10" ht="12" customHeight="1" x14ac:dyDescent="0.2">
      <c r="A13" s="2">
        <v>1966</v>
      </c>
      <c r="B13" s="20">
        <v>195.53899999999999</v>
      </c>
      <c r="C13" s="8">
        <v>41.951000000000001</v>
      </c>
      <c r="D13" s="8">
        <v>4.0000000000000001E-3</v>
      </c>
      <c r="E13" s="8">
        <f t="shared" si="0"/>
        <v>41.954999999999998</v>
      </c>
      <c r="F13" s="24" t="s">
        <v>3</v>
      </c>
      <c r="G13" s="8">
        <f>E13</f>
        <v>41.954999999999998</v>
      </c>
      <c r="H13" s="142">
        <f t="shared" si="1"/>
        <v>0.21456077815678715</v>
      </c>
      <c r="I13" s="142">
        <f t="shared" si="2"/>
        <v>0.20168713146737993</v>
      </c>
    </row>
    <row r="14" spans="1:10" ht="12" customHeight="1" x14ac:dyDescent="0.2">
      <c r="A14" s="2">
        <v>1967</v>
      </c>
      <c r="B14" s="20">
        <v>197.73599999999999</v>
      </c>
      <c r="C14" s="8">
        <v>47.610999999999997</v>
      </c>
      <c r="D14" s="8">
        <v>3.0000000000000001E-3</v>
      </c>
      <c r="E14" s="8">
        <f t="shared" si="0"/>
        <v>47.613999999999997</v>
      </c>
      <c r="F14" s="24" t="s">
        <v>3</v>
      </c>
      <c r="G14" s="8">
        <f t="shared" ref="G14:G24" si="3">E14</f>
        <v>47.613999999999997</v>
      </c>
      <c r="H14" s="142">
        <f t="shared" si="1"/>
        <v>0.2407958085528179</v>
      </c>
      <c r="I14" s="142">
        <f t="shared" si="2"/>
        <v>0.2263480600396488</v>
      </c>
    </row>
    <row r="15" spans="1:10" ht="12" customHeight="1" x14ac:dyDescent="0.2">
      <c r="A15" s="2">
        <v>1968</v>
      </c>
      <c r="B15" s="20">
        <v>199.80799999999999</v>
      </c>
      <c r="C15" s="8">
        <v>56.024000000000001</v>
      </c>
      <c r="D15" s="8">
        <v>4.0000000000000001E-3</v>
      </c>
      <c r="E15" s="8">
        <f t="shared" si="0"/>
        <v>56.027999999999999</v>
      </c>
      <c r="F15" s="24" t="s">
        <v>3</v>
      </c>
      <c r="G15" s="8">
        <f t="shared" si="3"/>
        <v>56.027999999999999</v>
      </c>
      <c r="H15" s="142">
        <f t="shared" si="1"/>
        <v>0.28040919282511212</v>
      </c>
      <c r="I15" s="142">
        <f t="shared" si="2"/>
        <v>0.26358464125560538</v>
      </c>
    </row>
    <row r="16" spans="1:10" ht="12" customHeight="1" x14ac:dyDescent="0.2">
      <c r="A16" s="2">
        <v>1969</v>
      </c>
      <c r="B16" s="20">
        <v>201.76</v>
      </c>
      <c r="C16" s="8">
        <v>62.115000000000002</v>
      </c>
      <c r="D16" s="8">
        <v>0.14499999999999999</v>
      </c>
      <c r="E16" s="8">
        <f t="shared" si="0"/>
        <v>62.260000000000005</v>
      </c>
      <c r="F16" s="24" t="s">
        <v>3</v>
      </c>
      <c r="G16" s="8">
        <f t="shared" si="3"/>
        <v>62.260000000000005</v>
      </c>
      <c r="H16" s="142">
        <f t="shared" si="1"/>
        <v>0.30858445678033308</v>
      </c>
      <c r="I16" s="142">
        <f t="shared" si="2"/>
        <v>0.29006938937351312</v>
      </c>
    </row>
    <row r="17" spans="1:9" ht="12" customHeight="1" x14ac:dyDescent="0.2">
      <c r="A17" s="2">
        <v>1970</v>
      </c>
      <c r="B17" s="20">
        <v>203.84899999999999</v>
      </c>
      <c r="C17" s="8">
        <v>58.268999999999998</v>
      </c>
      <c r="D17" s="8">
        <v>0.35399999999999998</v>
      </c>
      <c r="E17" s="8">
        <f t="shared" si="0"/>
        <v>58.622999999999998</v>
      </c>
      <c r="F17" s="24" t="s">
        <v>3</v>
      </c>
      <c r="G17" s="8">
        <f t="shared" si="3"/>
        <v>58.622999999999998</v>
      </c>
      <c r="H17" s="142">
        <f t="shared" si="1"/>
        <v>0.28758051302679927</v>
      </c>
      <c r="I17" s="142">
        <f t="shared" si="2"/>
        <v>0.27032568224519127</v>
      </c>
    </row>
    <row r="18" spans="1:9" ht="12" customHeight="1" x14ac:dyDescent="0.2">
      <c r="A18" s="3">
        <v>1971</v>
      </c>
      <c r="B18" s="21">
        <v>206.46599999999998</v>
      </c>
      <c r="C18" s="9">
        <v>66.322999999999993</v>
      </c>
      <c r="D18" s="9">
        <v>0.08</v>
      </c>
      <c r="E18" s="9">
        <f t="shared" si="0"/>
        <v>66.402999999999992</v>
      </c>
      <c r="F18" s="25" t="s">
        <v>3</v>
      </c>
      <c r="G18" s="9">
        <f t="shared" si="3"/>
        <v>66.402999999999992</v>
      </c>
      <c r="H18" s="143">
        <f t="shared" si="1"/>
        <v>0.32161711855705055</v>
      </c>
      <c r="I18" s="143">
        <f t="shared" si="2"/>
        <v>0.30232009144362748</v>
      </c>
    </row>
    <row r="19" spans="1:9" ht="12" customHeight="1" x14ac:dyDescent="0.2">
      <c r="A19" s="3">
        <v>1972</v>
      </c>
      <c r="B19" s="21">
        <v>208.917</v>
      </c>
      <c r="C19" s="9">
        <v>76.727999999999994</v>
      </c>
      <c r="D19" s="9">
        <v>0.23100000000000001</v>
      </c>
      <c r="E19" s="9">
        <f t="shared" si="0"/>
        <v>76.958999999999989</v>
      </c>
      <c r="F19" s="25" t="s">
        <v>3</v>
      </c>
      <c r="G19" s="9">
        <f t="shared" si="3"/>
        <v>76.958999999999989</v>
      </c>
      <c r="H19" s="143">
        <f t="shared" si="1"/>
        <v>0.36837117132641189</v>
      </c>
      <c r="I19" s="143">
        <f t="shared" si="2"/>
        <v>0.34626890104682712</v>
      </c>
    </row>
    <row r="20" spans="1:9" ht="12" customHeight="1" x14ac:dyDescent="0.2">
      <c r="A20" s="3">
        <v>1973</v>
      </c>
      <c r="B20" s="21">
        <v>210.98500000000001</v>
      </c>
      <c r="C20" s="9">
        <v>102.29300000000001</v>
      </c>
      <c r="D20" s="9">
        <v>5.0000000000000001E-4</v>
      </c>
      <c r="E20" s="9">
        <f t="shared" si="0"/>
        <v>102.29350000000001</v>
      </c>
      <c r="F20" s="25" t="s">
        <v>3</v>
      </c>
      <c r="G20" s="9">
        <f t="shared" si="3"/>
        <v>102.29350000000001</v>
      </c>
      <c r="H20" s="143">
        <f t="shared" si="1"/>
        <v>0.4848377846766358</v>
      </c>
      <c r="I20" s="143">
        <f t="shared" si="2"/>
        <v>0.4557475175960376</v>
      </c>
    </row>
    <row r="21" spans="1:9" ht="12" customHeight="1" x14ac:dyDescent="0.2">
      <c r="A21" s="3">
        <v>1974</v>
      </c>
      <c r="B21" s="21">
        <v>212.93199999999999</v>
      </c>
      <c r="C21" s="9">
        <v>126.11799999999999</v>
      </c>
      <c r="D21" s="9">
        <v>0.27800000000000002</v>
      </c>
      <c r="E21" s="9">
        <f t="shared" si="0"/>
        <v>126.396</v>
      </c>
      <c r="F21" s="25" t="s">
        <v>3</v>
      </c>
      <c r="G21" s="9">
        <f t="shared" si="3"/>
        <v>126.396</v>
      </c>
      <c r="H21" s="143">
        <f t="shared" si="1"/>
        <v>0.59359795615501665</v>
      </c>
      <c r="I21" s="143">
        <f t="shared" si="2"/>
        <v>0.5579820787857156</v>
      </c>
    </row>
    <row r="22" spans="1:9" ht="12" customHeight="1" x14ac:dyDescent="0.2">
      <c r="A22" s="3">
        <v>1975</v>
      </c>
      <c r="B22" s="21">
        <v>214.93100000000001</v>
      </c>
      <c r="C22" s="9">
        <v>142.12100000000001</v>
      </c>
      <c r="D22" s="9">
        <v>0</v>
      </c>
      <c r="E22" s="9">
        <f t="shared" si="0"/>
        <v>142.12100000000001</v>
      </c>
      <c r="F22" s="25" t="s">
        <v>3</v>
      </c>
      <c r="G22" s="9">
        <f t="shared" si="3"/>
        <v>142.12100000000001</v>
      </c>
      <c r="H22" s="143">
        <f t="shared" si="1"/>
        <v>0.66124011892188661</v>
      </c>
      <c r="I22" s="143">
        <f t="shared" si="2"/>
        <v>0.62156571178657327</v>
      </c>
    </row>
    <row r="23" spans="1:9" ht="12" customHeight="1" x14ac:dyDescent="0.2">
      <c r="A23" s="2">
        <v>1976</v>
      </c>
      <c r="B23" s="20">
        <v>217.095</v>
      </c>
      <c r="C23" s="8">
        <v>151.24700000000001</v>
      </c>
      <c r="D23" s="24">
        <v>0</v>
      </c>
      <c r="E23" s="8">
        <f>C23</f>
        <v>151.24700000000001</v>
      </c>
      <c r="F23" s="24" t="s">
        <v>3</v>
      </c>
      <c r="G23" s="8">
        <f t="shared" si="3"/>
        <v>151.24700000000001</v>
      </c>
      <c r="H23" s="142">
        <f t="shared" si="1"/>
        <v>0.69668578272185</v>
      </c>
      <c r="I23" s="142">
        <f t="shared" si="2"/>
        <v>0.65488463575853884</v>
      </c>
    </row>
    <row r="24" spans="1:9" ht="12" customHeight="1" x14ac:dyDescent="0.2">
      <c r="A24" s="2">
        <v>1977</v>
      </c>
      <c r="B24" s="20">
        <v>219.179</v>
      </c>
      <c r="C24" s="8">
        <v>191.08</v>
      </c>
      <c r="D24" s="24">
        <v>0.41299999999999998</v>
      </c>
      <c r="E24" s="8">
        <f>C24</f>
        <v>191.08</v>
      </c>
      <c r="F24" s="24">
        <v>0.60278200000000004</v>
      </c>
      <c r="G24" s="8">
        <f t="shared" si="3"/>
        <v>191.08</v>
      </c>
      <c r="H24" s="142">
        <f t="shared" si="1"/>
        <v>0.87179884934231844</v>
      </c>
      <c r="I24" s="142">
        <f t="shared" si="2"/>
        <v>0.81949091838177934</v>
      </c>
    </row>
    <row r="25" spans="1:9" ht="12" customHeight="1" x14ac:dyDescent="0.2">
      <c r="A25" s="2">
        <v>1978</v>
      </c>
      <c r="B25" s="20">
        <v>221.47699999999998</v>
      </c>
      <c r="C25" s="8">
        <v>229.53800000000001</v>
      </c>
      <c r="D25" s="8">
        <v>0.502</v>
      </c>
      <c r="E25" s="8">
        <f t="shared" si="0"/>
        <v>230.04000000000002</v>
      </c>
      <c r="F25" s="8">
        <v>0.69944799999999996</v>
      </c>
      <c r="G25" s="8">
        <f t="shared" ref="G25:G58" si="4">E25-F25</f>
        <v>229.34055200000003</v>
      </c>
      <c r="H25" s="142">
        <f t="shared" si="1"/>
        <v>1.0355050501857983</v>
      </c>
      <c r="I25" s="142">
        <f t="shared" si="2"/>
        <v>0.97337474717465033</v>
      </c>
    </row>
    <row r="26" spans="1:9" ht="12" customHeight="1" x14ac:dyDescent="0.2">
      <c r="A26" s="2">
        <v>1979</v>
      </c>
      <c r="B26" s="20">
        <v>223.86500000000001</v>
      </c>
      <c r="C26" s="8">
        <v>255.846</v>
      </c>
      <c r="D26" s="8">
        <v>0.68400000000000005</v>
      </c>
      <c r="E26" s="8">
        <f t="shared" si="0"/>
        <v>256.53000000000003</v>
      </c>
      <c r="F26" s="8">
        <v>0.56353399999999998</v>
      </c>
      <c r="G26" s="8">
        <f t="shared" si="4"/>
        <v>255.96646600000003</v>
      </c>
      <c r="H26" s="142">
        <f t="shared" si="1"/>
        <v>1.1433965380921538</v>
      </c>
      <c r="I26" s="142">
        <f t="shared" si="2"/>
        <v>1.0747927458066246</v>
      </c>
    </row>
    <row r="27" spans="1:9" ht="12" customHeight="1" x14ac:dyDescent="0.2">
      <c r="A27" s="2">
        <v>1980</v>
      </c>
      <c r="B27" s="20">
        <v>226.45099999999999</v>
      </c>
      <c r="C27" s="8">
        <v>275.05200000000002</v>
      </c>
      <c r="D27" s="24">
        <v>0.80200000000000005</v>
      </c>
      <c r="E27" s="8">
        <f t="shared" si="0"/>
        <v>275.85400000000004</v>
      </c>
      <c r="F27" s="24">
        <v>1.824368</v>
      </c>
      <c r="G27" s="8">
        <f t="shared" si="4"/>
        <v>274.02963200000005</v>
      </c>
      <c r="H27" s="142">
        <f t="shared" si="1"/>
        <v>1.2101056387474556</v>
      </c>
      <c r="I27" s="142">
        <f t="shared" si="2"/>
        <v>1.1374993004226082</v>
      </c>
    </row>
    <row r="28" spans="1:9" ht="12" customHeight="1" x14ac:dyDescent="0.2">
      <c r="A28" s="3">
        <v>1981</v>
      </c>
      <c r="B28" s="21">
        <v>228.93700000000001</v>
      </c>
      <c r="C28" s="9">
        <v>319.13200000000001</v>
      </c>
      <c r="D28" s="9">
        <v>1.069</v>
      </c>
      <c r="E28" s="9">
        <f t="shared" si="0"/>
        <v>320.20100000000002</v>
      </c>
      <c r="F28" s="9">
        <v>1.5606979999999999</v>
      </c>
      <c r="G28" s="9">
        <f t="shared" si="4"/>
        <v>318.64030200000002</v>
      </c>
      <c r="H28" s="143">
        <f t="shared" si="1"/>
        <v>1.3918252707076619</v>
      </c>
      <c r="I28" s="143">
        <f t="shared" si="2"/>
        <v>1.3083157544652022</v>
      </c>
    </row>
    <row r="29" spans="1:9" ht="12" customHeight="1" x14ac:dyDescent="0.2">
      <c r="A29" s="3">
        <v>1982</v>
      </c>
      <c r="B29" s="21">
        <v>231.15700000000001</v>
      </c>
      <c r="C29" s="9">
        <v>337.23399999999998</v>
      </c>
      <c r="D29" s="9">
        <v>0.84399999999999997</v>
      </c>
      <c r="E29" s="9">
        <f t="shared" si="0"/>
        <v>338.07799999999997</v>
      </c>
      <c r="F29" s="9">
        <v>1.5611980000000001</v>
      </c>
      <c r="G29" s="9">
        <f t="shared" si="4"/>
        <v>336.51680199999998</v>
      </c>
      <c r="H29" s="143">
        <f t="shared" si="1"/>
        <v>1.455793257396488</v>
      </c>
      <c r="I29" s="143">
        <f t="shared" si="2"/>
        <v>1.3684456619526988</v>
      </c>
    </row>
    <row r="30" spans="1:9" ht="12" customHeight="1" x14ac:dyDescent="0.2">
      <c r="A30" s="3">
        <v>1983</v>
      </c>
      <c r="B30" s="21">
        <v>233.322</v>
      </c>
      <c r="C30" s="9">
        <v>388.07499999999999</v>
      </c>
      <c r="D30" s="9">
        <v>0.96099999999999997</v>
      </c>
      <c r="E30" s="9">
        <f t="shared" si="0"/>
        <v>389.036</v>
      </c>
      <c r="F30" s="9">
        <v>1.418425</v>
      </c>
      <c r="G30" s="9">
        <f t="shared" si="4"/>
        <v>387.61757499999999</v>
      </c>
      <c r="H30" s="143">
        <f t="shared" si="1"/>
        <v>1.6612988702308398</v>
      </c>
      <c r="I30" s="143">
        <f t="shared" si="2"/>
        <v>1.5616209380169892</v>
      </c>
    </row>
    <row r="31" spans="1:9" ht="12" customHeight="1" x14ac:dyDescent="0.2">
      <c r="A31" s="3">
        <v>1984</v>
      </c>
      <c r="B31" s="21">
        <v>235.38499999999999</v>
      </c>
      <c r="C31" s="9">
        <v>419.91300000000001</v>
      </c>
      <c r="D31" s="9">
        <v>1.0149999999999999</v>
      </c>
      <c r="E31" s="9">
        <f t="shared" si="0"/>
        <v>420.928</v>
      </c>
      <c r="F31" s="9">
        <v>1.908846</v>
      </c>
      <c r="G31" s="9">
        <f t="shared" si="4"/>
        <v>419.01915400000001</v>
      </c>
      <c r="H31" s="143">
        <f t="shared" si="1"/>
        <v>1.7801438239480003</v>
      </c>
      <c r="I31" s="143">
        <f t="shared" si="2"/>
        <v>1.6733351945111201</v>
      </c>
    </row>
    <row r="32" spans="1:9" ht="12" customHeight="1" x14ac:dyDescent="0.2">
      <c r="A32" s="3">
        <v>1985</v>
      </c>
      <c r="B32" s="21">
        <v>237.46799999999999</v>
      </c>
      <c r="C32" s="9">
        <v>427.20400000000001</v>
      </c>
      <c r="D32" s="9">
        <v>1.4450000000000001</v>
      </c>
      <c r="E32" s="9">
        <f t="shared" si="0"/>
        <v>428.649</v>
      </c>
      <c r="F32" s="9">
        <v>2.9013580000000001</v>
      </c>
      <c r="G32" s="9">
        <f t="shared" si="4"/>
        <v>425.74764199999998</v>
      </c>
      <c r="H32" s="143">
        <f t="shared" si="1"/>
        <v>1.7928632152542658</v>
      </c>
      <c r="I32" s="143">
        <f t="shared" si="2"/>
        <v>1.6852914223390096</v>
      </c>
    </row>
    <row r="33" spans="1:9" ht="12" customHeight="1" x14ac:dyDescent="0.2">
      <c r="A33" s="2">
        <v>1986</v>
      </c>
      <c r="B33" s="20">
        <v>239.63800000000001</v>
      </c>
      <c r="C33" s="8">
        <v>457.05900000000003</v>
      </c>
      <c r="D33" s="8">
        <v>1.222375</v>
      </c>
      <c r="E33" s="8">
        <f t="shared" si="0"/>
        <v>458.28137500000003</v>
      </c>
      <c r="F33" s="8">
        <v>2.863286</v>
      </c>
      <c r="G33" s="8">
        <f t="shared" si="4"/>
        <v>455.41808900000001</v>
      </c>
      <c r="H33" s="142">
        <f t="shared" si="1"/>
        <v>1.9004418706549044</v>
      </c>
      <c r="I33" s="142">
        <f t="shared" si="2"/>
        <v>1.7864153584156099</v>
      </c>
    </row>
    <row r="34" spans="1:9" ht="12" customHeight="1" x14ac:dyDescent="0.2">
      <c r="A34" s="2">
        <v>1987</v>
      </c>
      <c r="B34" s="20">
        <v>241.78399999999999</v>
      </c>
      <c r="C34" s="8">
        <v>471.12</v>
      </c>
      <c r="D34" s="8">
        <v>1.885121</v>
      </c>
      <c r="E34" s="8">
        <f t="shared" si="0"/>
        <v>473.00512100000003</v>
      </c>
      <c r="F34" s="8">
        <v>3.20425</v>
      </c>
      <c r="G34" s="8">
        <f t="shared" si="4"/>
        <v>469.80087100000003</v>
      </c>
      <c r="H34" s="142">
        <f t="shared" si="1"/>
        <v>1.9430602149025578</v>
      </c>
      <c r="I34" s="142">
        <f t="shared" si="2"/>
        <v>1.8264766020084044</v>
      </c>
    </row>
    <row r="35" spans="1:9" ht="12" customHeight="1" x14ac:dyDescent="0.2">
      <c r="A35" s="2">
        <v>1988</v>
      </c>
      <c r="B35" s="20">
        <v>243.98099999999999</v>
      </c>
      <c r="C35" s="8">
        <v>488.24099999999999</v>
      </c>
      <c r="D35" s="8">
        <v>1.13440148</v>
      </c>
      <c r="E35" s="8">
        <f t="shared" si="0"/>
        <v>489.37540147999999</v>
      </c>
      <c r="F35" s="8">
        <v>1.1961463300000001</v>
      </c>
      <c r="G35" s="8">
        <f t="shared" si="4"/>
        <v>488.17925515000002</v>
      </c>
      <c r="H35" s="142">
        <f t="shared" si="1"/>
        <v>2.0008904592980601</v>
      </c>
      <c r="I35" s="142">
        <f t="shared" si="2"/>
        <v>1.8808370317401766</v>
      </c>
    </row>
    <row r="36" spans="1:9" ht="12" customHeight="1" x14ac:dyDescent="0.2">
      <c r="A36" s="2">
        <v>1989</v>
      </c>
      <c r="B36" s="20">
        <v>246.22399999999999</v>
      </c>
      <c r="C36" s="8">
        <v>515.96100000000001</v>
      </c>
      <c r="D36" s="8">
        <v>2.0776049099999998</v>
      </c>
      <c r="E36" s="8">
        <f t="shared" si="0"/>
        <v>518.03860491</v>
      </c>
      <c r="F36" s="8">
        <v>9.9290619200000005</v>
      </c>
      <c r="G36" s="8">
        <f t="shared" si="4"/>
        <v>508.10954299000002</v>
      </c>
      <c r="H36" s="142">
        <f t="shared" si="1"/>
        <v>2.0636068904331015</v>
      </c>
      <c r="I36" s="142">
        <f t="shared" si="2"/>
        <v>1.9397904770071155</v>
      </c>
    </row>
    <row r="37" spans="1:9" ht="12" customHeight="1" x14ac:dyDescent="0.2">
      <c r="A37" s="2">
        <v>1990</v>
      </c>
      <c r="B37" s="20">
        <v>248.65899999999999</v>
      </c>
      <c r="C37" s="8">
        <v>516.06899999999996</v>
      </c>
      <c r="D37" s="8">
        <v>3.4826854700000003</v>
      </c>
      <c r="E37" s="8">
        <f t="shared" si="0"/>
        <v>519.55168546999994</v>
      </c>
      <c r="F37" s="8">
        <v>17.930296550000001</v>
      </c>
      <c r="G37" s="8">
        <f t="shared" si="4"/>
        <v>501.62138891999996</v>
      </c>
      <c r="H37" s="142">
        <f t="shared" si="1"/>
        <v>2.0173063871406223</v>
      </c>
      <c r="I37" s="142">
        <f t="shared" si="2"/>
        <v>1.8962680039121849</v>
      </c>
    </row>
    <row r="38" spans="1:9" ht="12" customHeight="1" x14ac:dyDescent="0.2">
      <c r="A38" s="3">
        <v>1991</v>
      </c>
      <c r="B38" s="21">
        <v>251.88900000000001</v>
      </c>
      <c r="C38" s="9">
        <v>501.226</v>
      </c>
      <c r="D38" s="9">
        <v>4.5985769400000001</v>
      </c>
      <c r="E38" s="9">
        <f t="shared" si="0"/>
        <v>505.82457693999999</v>
      </c>
      <c r="F38" s="9">
        <v>14.52378298</v>
      </c>
      <c r="G38" s="9">
        <f t="shared" si="4"/>
        <v>491.30079395999996</v>
      </c>
      <c r="H38" s="143">
        <f t="shared" si="1"/>
        <v>1.9504654588330572</v>
      </c>
      <c r="I38" s="143">
        <f t="shared" si="2"/>
        <v>1.8334375313030737</v>
      </c>
    </row>
    <row r="39" spans="1:9" ht="12" customHeight="1" x14ac:dyDescent="0.2">
      <c r="A39" s="3">
        <v>1992</v>
      </c>
      <c r="B39" s="21">
        <v>255.214</v>
      </c>
      <c r="C39" s="9">
        <v>526.94999999999993</v>
      </c>
      <c r="D39" s="9">
        <v>3.835242</v>
      </c>
      <c r="E39" s="9">
        <f t="shared" si="0"/>
        <v>530.78524199999993</v>
      </c>
      <c r="F39" s="9">
        <v>17.449470690000002</v>
      </c>
      <c r="G39" s="9">
        <f t="shared" si="4"/>
        <v>513.33577130999993</v>
      </c>
      <c r="H39" s="143">
        <f t="shared" si="1"/>
        <v>2.0113934631720829</v>
      </c>
      <c r="I39" s="143">
        <f t="shared" si="2"/>
        <v>1.8907098553817576</v>
      </c>
    </row>
    <row r="40" spans="1:9" ht="12" customHeight="1" x14ac:dyDescent="0.2">
      <c r="A40" s="3">
        <v>1993</v>
      </c>
      <c r="B40" s="21">
        <v>258.67899999999997</v>
      </c>
      <c r="C40" s="9">
        <v>525.27300000000002</v>
      </c>
      <c r="D40" s="9">
        <v>3.2588016899999999</v>
      </c>
      <c r="E40" s="9">
        <f t="shared" si="0"/>
        <v>528.53180169000007</v>
      </c>
      <c r="F40" s="9">
        <v>11.644438619999999</v>
      </c>
      <c r="G40" s="9">
        <f t="shared" si="4"/>
        <v>516.88736307000011</v>
      </c>
      <c r="H40" s="143">
        <f t="shared" si="1"/>
        <v>1.9981806140815457</v>
      </c>
      <c r="I40" s="143">
        <f t="shared" si="2"/>
        <v>1.8782897772366529</v>
      </c>
    </row>
    <row r="41" spans="1:9" ht="12" customHeight="1" x14ac:dyDescent="0.2">
      <c r="A41" s="3">
        <v>1994</v>
      </c>
      <c r="B41" s="21">
        <v>261.91899999999998</v>
      </c>
      <c r="C41" s="9">
        <v>540.47399999999993</v>
      </c>
      <c r="D41" s="9">
        <v>4.9764116700000001</v>
      </c>
      <c r="E41" s="9">
        <f t="shared" si="0"/>
        <v>545.45041166999988</v>
      </c>
      <c r="F41" s="9">
        <v>9.8808181800000003</v>
      </c>
      <c r="G41" s="9">
        <f t="shared" si="4"/>
        <v>535.56959348999987</v>
      </c>
      <c r="H41" s="143">
        <f t="shared" si="1"/>
        <v>2.0447909219644238</v>
      </c>
      <c r="I41" s="143">
        <f t="shared" si="2"/>
        <v>1.9221034666465582</v>
      </c>
    </row>
    <row r="42" spans="1:9" ht="12" customHeight="1" x14ac:dyDescent="0.2">
      <c r="A42" s="3">
        <v>1995</v>
      </c>
      <c r="B42" s="21">
        <v>265.04399999999998</v>
      </c>
      <c r="C42" s="9">
        <v>545.95900000000006</v>
      </c>
      <c r="D42" s="9">
        <v>7.0458616799999998</v>
      </c>
      <c r="E42" s="9">
        <f t="shared" si="0"/>
        <v>553.00486168000009</v>
      </c>
      <c r="F42" s="9">
        <v>10.349364289999999</v>
      </c>
      <c r="G42" s="9">
        <f t="shared" si="4"/>
        <v>542.65549739000005</v>
      </c>
      <c r="H42" s="143">
        <f t="shared" si="1"/>
        <v>2.0474166455003702</v>
      </c>
      <c r="I42" s="143">
        <f t="shared" si="2"/>
        <v>1.9245716467703478</v>
      </c>
    </row>
    <row r="43" spans="1:9" ht="12" customHeight="1" x14ac:dyDescent="0.2">
      <c r="A43" s="2">
        <v>1996</v>
      </c>
      <c r="B43" s="20">
        <v>268.15100000000001</v>
      </c>
      <c r="C43" s="8">
        <v>564.46799999999996</v>
      </c>
      <c r="D43" s="8">
        <v>11.342498000000001</v>
      </c>
      <c r="E43" s="8">
        <f t="shared" si="0"/>
        <v>575.81049799999994</v>
      </c>
      <c r="F43" s="8">
        <v>11.73904336</v>
      </c>
      <c r="G43" s="8">
        <f t="shared" si="4"/>
        <v>564.07145463999996</v>
      </c>
      <c r="H43" s="142">
        <f t="shared" si="1"/>
        <v>2.103559019507665</v>
      </c>
      <c r="I43" s="142">
        <f t="shared" si="2"/>
        <v>1.9773454783372053</v>
      </c>
    </row>
    <row r="44" spans="1:9" ht="12" customHeight="1" x14ac:dyDescent="0.2">
      <c r="A44" s="2">
        <v>1997</v>
      </c>
      <c r="B44" s="20">
        <v>271.36</v>
      </c>
      <c r="C44" s="8">
        <v>631.05900000000008</v>
      </c>
      <c r="D44" s="8">
        <v>18.777473260000001</v>
      </c>
      <c r="E44" s="8">
        <f t="shared" si="0"/>
        <v>649.83647326000005</v>
      </c>
      <c r="F44" s="8">
        <v>14.5203592</v>
      </c>
      <c r="G44" s="8">
        <f t="shared" si="4"/>
        <v>635.31611406000002</v>
      </c>
      <c r="H44" s="142">
        <f t="shared" si="1"/>
        <v>2.3412297835347875</v>
      </c>
      <c r="I44" s="142">
        <f t="shared" si="2"/>
        <v>2.2007559965227004</v>
      </c>
    </row>
    <row r="45" spans="1:9" ht="12" customHeight="1" x14ac:dyDescent="0.2">
      <c r="A45" s="2">
        <v>1998</v>
      </c>
      <c r="B45" s="20">
        <v>274.62599999999998</v>
      </c>
      <c r="C45" s="8">
        <v>670.83499999999992</v>
      </c>
      <c r="D45" s="8">
        <v>23.207703049999999</v>
      </c>
      <c r="E45" s="8">
        <f t="shared" si="0"/>
        <v>694.04270304999989</v>
      </c>
      <c r="F45" s="8">
        <v>13.792443720000001</v>
      </c>
      <c r="G45" s="8">
        <f t="shared" si="4"/>
        <v>680.25025932999984</v>
      </c>
      <c r="H45" s="142">
        <f t="shared" si="1"/>
        <v>2.4770060348619571</v>
      </c>
      <c r="I45" s="142">
        <f t="shared" si="2"/>
        <v>2.3283856727702399</v>
      </c>
    </row>
    <row r="46" spans="1:9" ht="12" customHeight="1" x14ac:dyDescent="0.2">
      <c r="A46" s="2">
        <v>1999</v>
      </c>
      <c r="B46" s="20">
        <v>277.79000000000002</v>
      </c>
      <c r="C46" s="8">
        <v>681.27100000000007</v>
      </c>
      <c r="D46" s="8">
        <v>29.811207329999998</v>
      </c>
      <c r="E46" s="8">
        <f t="shared" si="0"/>
        <v>711.08220733000007</v>
      </c>
      <c r="F46" s="8">
        <v>15.184792590000001</v>
      </c>
      <c r="G46" s="8">
        <f t="shared" si="4"/>
        <v>695.89741474000004</v>
      </c>
      <c r="H46" s="142">
        <f t="shared" si="1"/>
        <v>2.5051204677634185</v>
      </c>
      <c r="I46" s="142">
        <f t="shared" si="2"/>
        <v>2.3548132396976134</v>
      </c>
    </row>
    <row r="47" spans="1:9" ht="12" customHeight="1" x14ac:dyDescent="0.2">
      <c r="A47" s="2">
        <v>2000</v>
      </c>
      <c r="B47" s="20">
        <v>280.976</v>
      </c>
      <c r="C47" s="8">
        <v>706.51400000000001</v>
      </c>
      <c r="D47" s="8">
        <v>38.192166049999997</v>
      </c>
      <c r="E47" s="8">
        <f t="shared" si="0"/>
        <v>744.70616604999998</v>
      </c>
      <c r="F47" s="8">
        <v>13.03123184</v>
      </c>
      <c r="G47" s="8">
        <f t="shared" si="4"/>
        <v>731.67493420999995</v>
      </c>
      <c r="H47" s="142">
        <f t="shared" si="1"/>
        <v>2.6040477984240646</v>
      </c>
      <c r="I47" s="142">
        <f t="shared" si="2"/>
        <v>2.4478049305186205</v>
      </c>
    </row>
    <row r="48" spans="1:9" ht="12" customHeight="1" x14ac:dyDescent="0.2">
      <c r="A48" s="3">
        <v>2001</v>
      </c>
      <c r="B48" s="21">
        <v>283.92040200000002</v>
      </c>
      <c r="C48" s="9">
        <v>703.63099999999997</v>
      </c>
      <c r="D48" s="9">
        <v>44.56912998</v>
      </c>
      <c r="E48" s="9">
        <f t="shared" si="0"/>
        <v>748.20012997999993</v>
      </c>
      <c r="F48" s="9">
        <v>11.632945919999999</v>
      </c>
      <c r="G48" s="9">
        <f t="shared" si="4"/>
        <v>736.56718405999993</v>
      </c>
      <c r="H48" s="143">
        <f t="shared" si="1"/>
        <v>2.5942735318471404</v>
      </c>
      <c r="I48" s="143">
        <f t="shared" si="2"/>
        <v>2.4386171199363118</v>
      </c>
    </row>
    <row r="49" spans="1:10" ht="12" customHeight="1" x14ac:dyDescent="0.2">
      <c r="A49" s="3">
        <v>2002</v>
      </c>
      <c r="B49" s="21">
        <v>286.78755999999998</v>
      </c>
      <c r="C49" s="9">
        <v>709.15600000000006</v>
      </c>
      <c r="D49" s="9">
        <v>53.996051770000001</v>
      </c>
      <c r="E49" s="9">
        <f t="shared" si="0"/>
        <v>763.15205177000007</v>
      </c>
      <c r="F49" s="9">
        <v>8.32790228</v>
      </c>
      <c r="G49" s="9">
        <f t="shared" si="4"/>
        <v>754.82414949000008</v>
      </c>
      <c r="H49" s="143">
        <f t="shared" si="1"/>
        <v>2.6319975297743046</v>
      </c>
      <c r="I49" s="143">
        <f t="shared" si="2"/>
        <v>2.4740776779878462</v>
      </c>
    </row>
    <row r="50" spans="1:10" ht="12" customHeight="1" x14ac:dyDescent="0.2">
      <c r="A50" s="3">
        <v>2003</v>
      </c>
      <c r="B50" s="21">
        <v>289.51758100000001</v>
      </c>
      <c r="C50" s="9">
        <v>716.84799999999996</v>
      </c>
      <c r="D50" s="9">
        <v>59.851499140000001</v>
      </c>
      <c r="E50" s="9">
        <f t="shared" si="0"/>
        <v>776.69949913999994</v>
      </c>
      <c r="F50" s="9">
        <v>7.7308112800000002</v>
      </c>
      <c r="G50" s="9">
        <f t="shared" si="4"/>
        <v>768.96868785999993</v>
      </c>
      <c r="H50" s="143">
        <f t="shared" si="1"/>
        <v>2.6560345150852855</v>
      </c>
      <c r="I50" s="143">
        <f t="shared" si="2"/>
        <v>2.4966724441801684</v>
      </c>
    </row>
    <row r="51" spans="1:10" ht="12" customHeight="1" x14ac:dyDescent="0.2">
      <c r="A51" s="3">
        <v>2004</v>
      </c>
      <c r="B51" s="21">
        <v>292.19189</v>
      </c>
      <c r="C51" s="9">
        <v>711.39</v>
      </c>
      <c r="D51" s="9">
        <v>62.396234790000001</v>
      </c>
      <c r="E51" s="9">
        <f t="shared" si="0"/>
        <v>773.78623478999998</v>
      </c>
      <c r="F51" s="9">
        <v>8.3271042099999999</v>
      </c>
      <c r="G51" s="9">
        <f t="shared" si="4"/>
        <v>765.45913057999996</v>
      </c>
      <c r="H51" s="143">
        <f t="shared" si="1"/>
        <v>2.6197138140281715</v>
      </c>
      <c r="I51" s="143">
        <f t="shared" si="2"/>
        <v>2.4625309851864809</v>
      </c>
    </row>
    <row r="52" spans="1:10" ht="12" customHeight="1" x14ac:dyDescent="0.2">
      <c r="A52" s="3">
        <v>2005</v>
      </c>
      <c r="B52" s="21">
        <v>294.914085</v>
      </c>
      <c r="C52" s="9">
        <v>718.02</v>
      </c>
      <c r="D52" s="9">
        <v>72.132262209999993</v>
      </c>
      <c r="E52" s="9">
        <f t="shared" si="0"/>
        <v>790.15226221</v>
      </c>
      <c r="F52" s="9">
        <v>8.8336844600000006</v>
      </c>
      <c r="G52" s="9">
        <f t="shared" si="4"/>
        <v>781.31857775000003</v>
      </c>
      <c r="H52" s="143">
        <f t="shared" si="1"/>
        <v>2.6493091293011659</v>
      </c>
      <c r="I52" s="143">
        <f t="shared" si="2"/>
        <v>2.4903505815430957</v>
      </c>
    </row>
    <row r="53" spans="1:10" ht="12" customHeight="1" x14ac:dyDescent="0.2">
      <c r="A53" s="2">
        <v>2006</v>
      </c>
      <c r="B53" s="20">
        <v>297.64655699999997</v>
      </c>
      <c r="C53" s="8">
        <v>710.86199999999997</v>
      </c>
      <c r="D53" s="8">
        <v>68.929360110000005</v>
      </c>
      <c r="E53" s="8">
        <f t="shared" si="0"/>
        <v>779.79136010999991</v>
      </c>
      <c r="F53" s="8">
        <v>11.60651741</v>
      </c>
      <c r="G53" s="8">
        <f t="shared" si="4"/>
        <v>768.18484269999988</v>
      </c>
      <c r="H53" s="142">
        <f t="shared" si="1"/>
        <v>2.5808625184265108</v>
      </c>
      <c r="I53" s="142">
        <f t="shared" si="2"/>
        <v>2.4260107673209199</v>
      </c>
    </row>
    <row r="54" spans="1:10" ht="12" customHeight="1" x14ac:dyDescent="0.2">
      <c r="A54" s="2">
        <v>2007</v>
      </c>
      <c r="B54" s="20">
        <v>300.57448099999999</v>
      </c>
      <c r="C54" s="8">
        <v>694.94200000000001</v>
      </c>
      <c r="D54" s="8">
        <v>66.815746829999995</v>
      </c>
      <c r="E54" s="8">
        <f t="shared" si="0"/>
        <v>761.75774682999997</v>
      </c>
      <c r="F54" s="8">
        <v>15.92992935</v>
      </c>
      <c r="G54" s="8">
        <f t="shared" si="4"/>
        <v>745.82781748000002</v>
      </c>
      <c r="H54" s="142">
        <f t="shared" si="1"/>
        <v>2.481341113851911</v>
      </c>
      <c r="I54" s="142">
        <f t="shared" si="2"/>
        <v>2.3324606470207963</v>
      </c>
    </row>
    <row r="55" spans="1:10" ht="12" customHeight="1" x14ac:dyDescent="0.2">
      <c r="A55" s="2">
        <v>2008</v>
      </c>
      <c r="B55" s="20">
        <v>303.50646899999998</v>
      </c>
      <c r="C55" s="8">
        <v>696.20699999999999</v>
      </c>
      <c r="D55" s="8">
        <v>69.06262498000001</v>
      </c>
      <c r="E55" s="8">
        <f t="shared" si="0"/>
        <v>765.26962498</v>
      </c>
      <c r="F55" s="8">
        <v>17.950564989999997</v>
      </c>
      <c r="G55" s="8">
        <f t="shared" si="4"/>
        <v>747.31905999000003</v>
      </c>
      <c r="H55" s="142">
        <f t="shared" si="1"/>
        <v>2.462283793990566</v>
      </c>
      <c r="I55" s="142">
        <f t="shared" si="2"/>
        <v>2.3145467663511319</v>
      </c>
    </row>
    <row r="56" spans="1:10" ht="12" customHeight="1" x14ac:dyDescent="0.2">
      <c r="A56" s="2">
        <v>2009</v>
      </c>
      <c r="B56" s="20">
        <v>306.207719</v>
      </c>
      <c r="C56" s="8">
        <v>685.38400000000001</v>
      </c>
      <c r="D56" s="8">
        <v>80.82535295000001</v>
      </c>
      <c r="E56" s="8">
        <f t="shared" si="0"/>
        <v>766.20935295000004</v>
      </c>
      <c r="F56" s="8">
        <v>20.22317988</v>
      </c>
      <c r="G56" s="8">
        <f t="shared" si="4"/>
        <v>745.98617307000006</v>
      </c>
      <c r="H56" s="142">
        <f t="shared" si="1"/>
        <v>2.4362095622742941</v>
      </c>
      <c r="I56" s="142">
        <f t="shared" si="2"/>
        <v>2.2900369885378362</v>
      </c>
    </row>
    <row r="57" spans="1:10" ht="12" customHeight="1" x14ac:dyDescent="0.2">
      <c r="A57" s="2">
        <v>2010</v>
      </c>
      <c r="B57" s="20">
        <v>308.83326399999999</v>
      </c>
      <c r="C57" s="8">
        <v>736.31200000000001</v>
      </c>
      <c r="D57" s="8">
        <v>88.769562227279991</v>
      </c>
      <c r="E57" s="8">
        <f t="shared" si="0"/>
        <v>825.08156222727996</v>
      </c>
      <c r="F57" s="8">
        <v>21.545951880419999</v>
      </c>
      <c r="G57" s="8">
        <f t="shared" si="4"/>
        <v>803.53561034685993</v>
      </c>
      <c r="H57" s="142">
        <f t="shared" si="1"/>
        <v>2.601842819453736</v>
      </c>
      <c r="I57" s="142">
        <f t="shared" si="2"/>
        <v>2.4457322502865115</v>
      </c>
    </row>
    <row r="58" spans="1:10" ht="12" customHeight="1" x14ac:dyDescent="0.2">
      <c r="A58" s="33">
        <v>2011</v>
      </c>
      <c r="B58" s="31">
        <v>310.94696199999998</v>
      </c>
      <c r="C58" s="39">
        <v>789.54</v>
      </c>
      <c r="D58" s="39">
        <v>90.588433252019982</v>
      </c>
      <c r="E58" s="39">
        <f t="shared" si="0"/>
        <v>880.12843325201993</v>
      </c>
      <c r="F58" s="39">
        <v>20.60872603064</v>
      </c>
      <c r="G58" s="39">
        <f t="shared" si="4"/>
        <v>859.51970722137992</v>
      </c>
      <c r="H58" s="144">
        <f t="shared" si="1"/>
        <v>2.7642003693909056</v>
      </c>
      <c r="I58" s="144">
        <f t="shared" si="2"/>
        <v>2.5983483472274513</v>
      </c>
    </row>
    <row r="59" spans="1:10" s="43" customFormat="1" ht="12" customHeight="1" x14ac:dyDescent="0.2">
      <c r="A59" s="33">
        <v>2012</v>
      </c>
      <c r="B59" s="31">
        <v>313.14999699999998</v>
      </c>
      <c r="C59" s="39">
        <v>777.55499999999995</v>
      </c>
      <c r="D59" s="39">
        <v>96.865387632859992</v>
      </c>
      <c r="E59" s="39">
        <f t="shared" si="0"/>
        <v>874.42038763285996</v>
      </c>
      <c r="F59" s="39">
        <v>15.714765049719999</v>
      </c>
      <c r="G59" s="39">
        <f t="shared" ref="G59" si="5">E59-F59</f>
        <v>858.70562258313998</v>
      </c>
      <c r="H59" s="144">
        <f t="shared" ref="H59" si="6">IF(G59=0,0,IF(B59=0,0,G59/B59))</f>
        <v>2.7421543375685871</v>
      </c>
      <c r="I59" s="144">
        <f t="shared" ref="I59" si="7">IF(G59=0,0,IF(B59=0,0,(G59*0.94)/B59))</f>
        <v>2.577625077314472</v>
      </c>
      <c r="J59"/>
    </row>
    <row r="60" spans="1:10" s="93" customFormat="1" ht="12" customHeight="1" x14ac:dyDescent="0.2">
      <c r="A60" s="33">
        <v>2013</v>
      </c>
      <c r="B60" s="31">
        <v>315.33597600000002</v>
      </c>
      <c r="C60" s="39">
        <v>786.75400000000002</v>
      </c>
      <c r="D60" s="39">
        <v>99.771458192119979</v>
      </c>
      <c r="E60" s="39">
        <f t="shared" si="0"/>
        <v>886.52545819212003</v>
      </c>
      <c r="F60" s="39">
        <v>18.981844338599998</v>
      </c>
      <c r="G60" s="39">
        <f t="shared" ref="G60" si="8">E60-F60</f>
        <v>867.54361385352001</v>
      </c>
      <c r="H60" s="144">
        <f t="shared" ref="H60" si="9">IF(G60=0,0,IF(B60=0,0,G60/B60))</f>
        <v>2.7511723364336964</v>
      </c>
      <c r="I60" s="144">
        <f t="shared" ref="I60" si="10">IF(G60=0,0,IF(B60=0,0,(G60*0.94)/B60))</f>
        <v>2.5861019962476743</v>
      </c>
      <c r="J60" s="83"/>
    </row>
    <row r="61" spans="1:10" s="93" customFormat="1" ht="12" customHeight="1" x14ac:dyDescent="0.2">
      <c r="A61" s="33">
        <v>2014</v>
      </c>
      <c r="B61" s="31">
        <v>317.519206</v>
      </c>
      <c r="C61" s="39">
        <v>837.70026499999994</v>
      </c>
      <c r="D61" s="39">
        <v>104.95424864</v>
      </c>
      <c r="E61" s="39">
        <f t="shared" si="0"/>
        <v>942.65451364</v>
      </c>
      <c r="F61" s="39">
        <v>16.550247689999999</v>
      </c>
      <c r="G61" s="39">
        <f t="shared" ref="G61" si="11">E61-F61</f>
        <v>926.10426595000001</v>
      </c>
      <c r="H61" s="144">
        <f t="shared" ref="H61" si="12">IF(G61=0,0,IF(B61=0,0,G61/B61))</f>
        <v>2.9166873954390025</v>
      </c>
      <c r="I61" s="144">
        <f t="shared" ref="I61" si="13">IF(G61=0,0,IF(B61=0,0,(G61*0.94)/B61))</f>
        <v>2.7416861517126621</v>
      </c>
      <c r="J61" s="83"/>
    </row>
    <row r="62" spans="1:10" s="93" customFormat="1" ht="12" customHeight="1" x14ac:dyDescent="0.2">
      <c r="A62" s="33">
        <v>2015</v>
      </c>
      <c r="B62" s="31">
        <v>319.83219000000003</v>
      </c>
      <c r="C62" s="39">
        <v>848.51624800000002</v>
      </c>
      <c r="D62" s="39">
        <v>119.4816737</v>
      </c>
      <c r="E62" s="39">
        <f t="shared" si="0"/>
        <v>967.99792170000001</v>
      </c>
      <c r="F62" s="39">
        <v>12.522894170000001</v>
      </c>
      <c r="G62" s="39">
        <f t="shared" ref="G62" si="14">E62-F62</f>
        <v>955.47502753000003</v>
      </c>
      <c r="H62" s="144">
        <f t="shared" ref="H62" si="15">IF(G62=0,0,IF(B62=0,0,G62/B62))</f>
        <v>2.9874260859421309</v>
      </c>
      <c r="I62" s="144">
        <f t="shared" ref="I62" si="16">IF(G62=0,0,IF(B62=0,0,(G62*0.94)/B62))</f>
        <v>2.8081805207856032</v>
      </c>
      <c r="J62" s="83"/>
    </row>
    <row r="63" spans="1:10" s="93" customFormat="1" ht="12" customHeight="1" x14ac:dyDescent="0.2">
      <c r="A63" s="125">
        <v>2016</v>
      </c>
      <c r="B63" s="126">
        <v>322.11409400000002</v>
      </c>
      <c r="C63" s="127">
        <v>838.38323200000002</v>
      </c>
      <c r="D63" s="127">
        <v>126.46441293000001</v>
      </c>
      <c r="E63" s="127">
        <f t="shared" si="0"/>
        <v>964.84764493</v>
      </c>
      <c r="F63" s="127">
        <v>11.00049383</v>
      </c>
      <c r="G63" s="127">
        <f t="shared" ref="G63" si="17">E63-F63</f>
        <v>953.84715110000002</v>
      </c>
      <c r="H63" s="146">
        <f t="shared" ref="H63" si="18">IF(G63=0,0,IF(B63=0,0,G63/B63))</f>
        <v>2.9612089904392693</v>
      </c>
      <c r="I63" s="146">
        <f t="shared" ref="I63" si="19">IF(G63=0,0,IF(B63=0,0,(G63*0.94)/B63))</f>
        <v>2.783536451012913</v>
      </c>
      <c r="J63" s="83"/>
    </row>
    <row r="64" spans="1:10" s="93" customFormat="1" ht="12" customHeight="1" x14ac:dyDescent="0.2">
      <c r="A64" s="125">
        <v>2017</v>
      </c>
      <c r="B64" s="126">
        <v>324.29674599999998</v>
      </c>
      <c r="C64" s="127">
        <v>839.05622900000003</v>
      </c>
      <c r="D64" s="127">
        <v>139.52195831</v>
      </c>
      <c r="E64" s="127">
        <f t="shared" si="0"/>
        <v>978.57818730999998</v>
      </c>
      <c r="F64" s="127">
        <v>17.076259</v>
      </c>
      <c r="G64" s="127">
        <f t="shared" ref="G64:G66" si="20">E64-F64</f>
        <v>961.50192830999993</v>
      </c>
      <c r="H64" s="146">
        <f t="shared" ref="H64:H66" si="21">IF(G64=0,0,IF(B64=0,0,G64/B64))</f>
        <v>2.9648830590178044</v>
      </c>
      <c r="I64" s="146">
        <f t="shared" ref="I64:I66" si="22">IF(G64=0,0,IF(B64=0,0,(G64*0.94)/B64))</f>
        <v>2.7869900754767363</v>
      </c>
      <c r="J64" s="83"/>
    </row>
    <row r="65" spans="1:10" s="93" customFormat="1" ht="12" customHeight="1" x14ac:dyDescent="0.2">
      <c r="A65" s="128">
        <v>2018</v>
      </c>
      <c r="B65" s="129">
        <v>326.16326299999997</v>
      </c>
      <c r="C65" s="130">
        <v>767.37599999999998</v>
      </c>
      <c r="D65" s="162">
        <v>160.82274322000001</v>
      </c>
      <c r="E65" s="130">
        <f t="shared" si="0"/>
        <v>928.19874321999998</v>
      </c>
      <c r="F65" s="162">
        <v>18.521118440000002</v>
      </c>
      <c r="G65" s="130">
        <f t="shared" si="20"/>
        <v>909.67762477999997</v>
      </c>
      <c r="H65" s="145">
        <f t="shared" si="21"/>
        <v>2.7890253991602973</v>
      </c>
      <c r="I65" s="145">
        <f t="shared" si="22"/>
        <v>2.6216838752106795</v>
      </c>
      <c r="J65" s="83"/>
    </row>
    <row r="66" spans="1:10" s="93" customFormat="1" ht="12" customHeight="1" thickBot="1" x14ac:dyDescent="0.25">
      <c r="A66" s="148">
        <v>2019</v>
      </c>
      <c r="B66" s="149">
        <v>327.77654100000001</v>
      </c>
      <c r="C66" s="147">
        <v>760.79899999999998</v>
      </c>
      <c r="D66" s="124">
        <v>174.81190369000001</v>
      </c>
      <c r="E66" s="150">
        <f t="shared" si="0"/>
        <v>935.61090368999999</v>
      </c>
      <c r="F66" s="147">
        <v>15.49599179</v>
      </c>
      <c r="G66" s="150">
        <f t="shared" si="20"/>
        <v>920.11491190000004</v>
      </c>
      <c r="H66" s="152">
        <f t="shared" si="21"/>
        <v>2.8071408316557958</v>
      </c>
      <c r="I66" s="152">
        <f t="shared" si="22"/>
        <v>2.6387123817564477</v>
      </c>
      <c r="J66" s="83"/>
    </row>
    <row r="67" spans="1:10" s="17" customFormat="1" ht="12" customHeight="1" thickTop="1" x14ac:dyDescent="0.2">
      <c r="A67" s="270" t="s">
        <v>8</v>
      </c>
      <c r="B67" s="271"/>
      <c r="C67" s="271"/>
      <c r="D67" s="271"/>
      <c r="E67" s="271"/>
      <c r="F67" s="271"/>
      <c r="G67" s="271"/>
      <c r="H67" s="271"/>
      <c r="I67" s="272"/>
      <c r="J67" s="43"/>
    </row>
    <row r="68" spans="1:10" s="17" customFormat="1" ht="12" customHeight="1" x14ac:dyDescent="0.2">
      <c r="A68" s="251"/>
      <c r="B68" s="252"/>
      <c r="C68" s="252"/>
      <c r="D68" s="252"/>
      <c r="E68" s="252"/>
      <c r="F68" s="252"/>
      <c r="G68" s="252"/>
      <c r="H68" s="252"/>
      <c r="I68" s="253"/>
      <c r="J68" s="43"/>
    </row>
    <row r="69" spans="1:10" ht="12" customHeight="1" x14ac:dyDescent="0.2">
      <c r="A69" s="251" t="s">
        <v>236</v>
      </c>
      <c r="B69" s="252"/>
      <c r="C69" s="252"/>
      <c r="D69" s="252"/>
      <c r="E69" s="252"/>
      <c r="F69" s="252"/>
      <c r="G69" s="252"/>
      <c r="H69" s="252"/>
      <c r="I69" s="253"/>
      <c r="J69" s="43"/>
    </row>
    <row r="70" spans="1:10" s="93" customFormat="1" ht="12" customHeight="1" x14ac:dyDescent="0.2">
      <c r="A70" s="251"/>
      <c r="B70" s="252"/>
      <c r="C70" s="252"/>
      <c r="D70" s="252"/>
      <c r="E70" s="252"/>
      <c r="F70" s="252"/>
      <c r="G70" s="252"/>
      <c r="H70" s="252"/>
      <c r="I70" s="253"/>
    </row>
    <row r="71" spans="1:10" ht="23.25" customHeight="1" x14ac:dyDescent="0.2">
      <c r="A71" s="251"/>
      <c r="B71" s="252"/>
      <c r="C71" s="252"/>
      <c r="D71" s="252"/>
      <c r="E71" s="252"/>
      <c r="F71" s="252"/>
      <c r="G71" s="252"/>
      <c r="H71" s="252"/>
      <c r="I71" s="253"/>
      <c r="J71" s="43"/>
    </row>
    <row r="72" spans="1:10" ht="12" customHeight="1" x14ac:dyDescent="0.2">
      <c r="A72" s="223"/>
      <c r="B72" s="224"/>
      <c r="C72" s="224"/>
      <c r="D72" s="224"/>
      <c r="E72" s="224"/>
      <c r="F72" s="224"/>
      <c r="G72" s="224"/>
      <c r="H72" s="224"/>
      <c r="I72" s="225"/>
      <c r="J72" s="43"/>
    </row>
    <row r="73" spans="1:10" ht="12" customHeight="1" x14ac:dyDescent="0.2">
      <c r="A73" s="223" t="s">
        <v>198</v>
      </c>
      <c r="B73" s="224"/>
      <c r="C73" s="224"/>
      <c r="D73" s="224"/>
      <c r="E73" s="224"/>
      <c r="F73" s="224"/>
      <c r="G73" s="224"/>
      <c r="H73" s="224"/>
      <c r="I73" s="225"/>
      <c r="J73" s="43"/>
    </row>
    <row r="74" spans="1:10" ht="12" customHeight="1" x14ac:dyDescent="0.2">
      <c r="A74" s="223"/>
      <c r="B74" s="224"/>
      <c r="C74" s="224"/>
      <c r="D74" s="224"/>
      <c r="E74" s="224"/>
      <c r="F74" s="224"/>
      <c r="G74" s="224"/>
      <c r="H74" s="224"/>
      <c r="I74" s="225"/>
      <c r="J74" s="43"/>
    </row>
  </sheetData>
  <mergeCells count="20">
    <mergeCell ref="A73:I74"/>
    <mergeCell ref="A72:I72"/>
    <mergeCell ref="A69:I71"/>
    <mergeCell ref="A67:I67"/>
    <mergeCell ref="A68:I68"/>
    <mergeCell ref="A1:G1"/>
    <mergeCell ref="C6:G6"/>
    <mergeCell ref="H6:I6"/>
    <mergeCell ref="G3:G5"/>
    <mergeCell ref="H1:I1"/>
    <mergeCell ref="C3:C5"/>
    <mergeCell ref="D3:D5"/>
    <mergeCell ref="E3:E5"/>
    <mergeCell ref="F3:F5"/>
    <mergeCell ref="A2:A5"/>
    <mergeCell ref="H3:I3"/>
    <mergeCell ref="H4:H5"/>
    <mergeCell ref="B2:B5"/>
    <mergeCell ref="C2:E2"/>
    <mergeCell ref="G2:I2"/>
  </mergeCells>
  <phoneticPr fontId="7" type="noConversion"/>
  <printOptions horizontalCentered="1"/>
  <pageMargins left="0.45" right="0.45" top="0.75" bottom="0.75" header="0" footer="0"/>
  <pageSetup scale="61" fitToWidth="2"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pageSetUpPr autoPageBreaks="0" fitToPage="1"/>
  </sheetPr>
  <dimension ref="A1:L74"/>
  <sheetViews>
    <sheetView showOutlineSymbols="0" zoomScaleNormal="100" workbookViewId="0">
      <pane ySplit="6" topLeftCell="A7" activePane="bottomLeft" state="frozen"/>
      <selection sqref="A1:G1"/>
      <selection pane="bottomLeft" sqref="A1:I1"/>
    </sheetView>
  </sheetViews>
  <sheetFormatPr defaultColWidth="12.7109375" defaultRowHeight="12" customHeight="1" x14ac:dyDescent="0.2"/>
  <cols>
    <col min="1" max="1" width="12.7109375" style="13" customWidth="1"/>
    <col min="2" max="16384" width="12.7109375" style="13"/>
  </cols>
  <sheetData>
    <row r="1" spans="1:12" s="1" customFormat="1" ht="12" customHeight="1" thickBot="1" x14ac:dyDescent="0.25">
      <c r="A1" s="201" t="s">
        <v>166</v>
      </c>
      <c r="B1" s="201"/>
      <c r="C1" s="201"/>
      <c r="D1" s="201"/>
      <c r="E1" s="201"/>
      <c r="F1" s="201"/>
      <c r="G1" s="201"/>
      <c r="H1" s="201"/>
      <c r="I1" s="201"/>
      <c r="J1" s="200" t="s">
        <v>19</v>
      </c>
      <c r="K1" s="200"/>
    </row>
    <row r="2" spans="1:12" ht="12" customHeight="1" thickTop="1" x14ac:dyDescent="0.2">
      <c r="A2" s="257" t="s">
        <v>1</v>
      </c>
      <c r="B2" s="258" t="s">
        <v>85</v>
      </c>
      <c r="C2" s="218" t="s">
        <v>2</v>
      </c>
      <c r="D2" s="218"/>
      <c r="E2" s="218"/>
      <c r="F2" s="218"/>
      <c r="G2" s="302" t="s">
        <v>146</v>
      </c>
      <c r="H2" s="303"/>
      <c r="I2" s="244" t="s">
        <v>147</v>
      </c>
      <c r="J2" s="245"/>
      <c r="K2" s="245"/>
    </row>
    <row r="3" spans="1:12" ht="12" customHeight="1" x14ac:dyDescent="0.2">
      <c r="A3" s="217"/>
      <c r="B3" s="259"/>
      <c r="C3" s="217" t="s">
        <v>86</v>
      </c>
      <c r="D3" s="217" t="s">
        <v>87</v>
      </c>
      <c r="E3" s="217" t="s">
        <v>89</v>
      </c>
      <c r="F3" s="217" t="s">
        <v>90</v>
      </c>
      <c r="G3" s="217" t="s">
        <v>95</v>
      </c>
      <c r="H3" s="217" t="s">
        <v>91</v>
      </c>
      <c r="I3" s="217" t="s">
        <v>98</v>
      </c>
      <c r="J3" s="227" t="s">
        <v>28</v>
      </c>
      <c r="K3" s="247"/>
    </row>
    <row r="4" spans="1:12" ht="12" customHeight="1" x14ac:dyDescent="0.2">
      <c r="A4" s="217"/>
      <c r="B4" s="259"/>
      <c r="C4" s="217"/>
      <c r="D4" s="217"/>
      <c r="E4" s="217"/>
      <c r="F4" s="217"/>
      <c r="G4" s="217"/>
      <c r="H4" s="217"/>
      <c r="I4" s="217"/>
      <c r="J4" s="217" t="s">
        <v>4</v>
      </c>
      <c r="K4" s="14" t="s">
        <v>96</v>
      </c>
      <c r="L4" s="4"/>
    </row>
    <row r="5" spans="1:12" ht="12" customHeight="1" x14ac:dyDescent="0.2">
      <c r="A5" s="217"/>
      <c r="B5" s="259"/>
      <c r="C5" s="217"/>
      <c r="D5" s="217"/>
      <c r="E5" s="217"/>
      <c r="F5" s="217"/>
      <c r="G5" s="217"/>
      <c r="H5" s="217"/>
      <c r="I5" s="217"/>
      <c r="J5" s="217"/>
      <c r="K5" s="14" t="s">
        <v>183</v>
      </c>
    </row>
    <row r="6" spans="1:12" ht="12" customHeight="1" x14ac:dyDescent="0.2">
      <c r="A6" s="78"/>
      <c r="B6" s="79" t="s">
        <v>124</v>
      </c>
      <c r="C6" s="273" t="s">
        <v>131</v>
      </c>
      <c r="D6" s="274"/>
      <c r="E6" s="274"/>
      <c r="F6" s="274"/>
      <c r="G6" s="274"/>
      <c r="H6" s="274"/>
      <c r="I6" s="274"/>
      <c r="J6" s="273" t="s">
        <v>128</v>
      </c>
      <c r="K6" s="274"/>
      <c r="L6" s="78"/>
    </row>
    <row r="7" spans="1:12" ht="12" customHeight="1" x14ac:dyDescent="0.2">
      <c r="A7" s="2">
        <v>1960</v>
      </c>
      <c r="B7" s="20">
        <v>180.67099999999999</v>
      </c>
      <c r="C7" s="8" t="s">
        <v>3</v>
      </c>
      <c r="D7" s="8" t="s">
        <v>3</v>
      </c>
      <c r="E7" s="8" t="s">
        <v>3</v>
      </c>
      <c r="F7" s="8" t="s">
        <v>3</v>
      </c>
      <c r="G7" s="8" t="s">
        <v>3</v>
      </c>
      <c r="H7" s="8" t="s">
        <v>3</v>
      </c>
      <c r="I7" s="8" t="s">
        <v>3</v>
      </c>
      <c r="J7" s="8" t="s">
        <v>3</v>
      </c>
      <c r="K7" s="8" t="s">
        <v>3</v>
      </c>
    </row>
    <row r="8" spans="1:12" ht="12" customHeight="1" x14ac:dyDescent="0.2">
      <c r="A8" s="3">
        <v>1961</v>
      </c>
      <c r="B8" s="21">
        <v>183.691</v>
      </c>
      <c r="C8" s="9" t="s">
        <v>3</v>
      </c>
      <c r="D8" s="9" t="s">
        <v>3</v>
      </c>
      <c r="E8" s="9" t="s">
        <v>3</v>
      </c>
      <c r="F8" s="9" t="s">
        <v>3</v>
      </c>
      <c r="G8" s="9" t="s">
        <v>3</v>
      </c>
      <c r="H8" s="9" t="s">
        <v>3</v>
      </c>
      <c r="I8" s="9" t="s">
        <v>3</v>
      </c>
      <c r="J8" s="9" t="s">
        <v>3</v>
      </c>
      <c r="K8" s="9" t="s">
        <v>3</v>
      </c>
    </row>
    <row r="9" spans="1:12" ht="12" customHeight="1" x14ac:dyDescent="0.2">
      <c r="A9" s="3">
        <v>1962</v>
      </c>
      <c r="B9" s="21">
        <v>186.53800000000001</v>
      </c>
      <c r="C9" s="9" t="s">
        <v>3</v>
      </c>
      <c r="D9" s="9" t="s">
        <v>3</v>
      </c>
      <c r="E9" s="9" t="s">
        <v>3</v>
      </c>
      <c r="F9" s="9" t="s">
        <v>3</v>
      </c>
      <c r="G9" s="9" t="s">
        <v>3</v>
      </c>
      <c r="H9" s="9" t="s">
        <v>3</v>
      </c>
      <c r="I9" s="9" t="s">
        <v>3</v>
      </c>
      <c r="J9" s="9" t="s">
        <v>3</v>
      </c>
      <c r="K9" s="9" t="s">
        <v>3</v>
      </c>
    </row>
    <row r="10" spans="1:12" ht="12" customHeight="1" x14ac:dyDescent="0.2">
      <c r="A10" s="3">
        <v>1963</v>
      </c>
      <c r="B10" s="21">
        <v>189.24199999999999</v>
      </c>
      <c r="C10" s="9" t="s">
        <v>3</v>
      </c>
      <c r="D10" s="9" t="s">
        <v>3</v>
      </c>
      <c r="E10" s="9" t="s">
        <v>3</v>
      </c>
      <c r="F10" s="9" t="s">
        <v>3</v>
      </c>
      <c r="G10" s="9" t="s">
        <v>3</v>
      </c>
      <c r="H10" s="9" t="s">
        <v>3</v>
      </c>
      <c r="I10" s="9" t="s">
        <v>3</v>
      </c>
      <c r="J10" s="9" t="s">
        <v>3</v>
      </c>
      <c r="K10" s="9" t="s">
        <v>3</v>
      </c>
    </row>
    <row r="11" spans="1:12" ht="12" customHeight="1" x14ac:dyDescent="0.2">
      <c r="A11" s="3">
        <v>1964</v>
      </c>
      <c r="B11" s="21">
        <v>191.88900000000001</v>
      </c>
      <c r="C11" s="9" t="s">
        <v>3</v>
      </c>
      <c r="D11" s="9" t="s">
        <v>3</v>
      </c>
      <c r="E11" s="9" t="s">
        <v>3</v>
      </c>
      <c r="F11" s="9" t="s">
        <v>3</v>
      </c>
      <c r="G11" s="9" t="s">
        <v>3</v>
      </c>
      <c r="H11" s="9" t="s">
        <v>3</v>
      </c>
      <c r="I11" s="9" t="s">
        <v>3</v>
      </c>
      <c r="J11" s="9" t="s">
        <v>3</v>
      </c>
      <c r="K11" s="9" t="s">
        <v>3</v>
      </c>
    </row>
    <row r="12" spans="1:12" ht="12" customHeight="1" x14ac:dyDescent="0.2">
      <c r="A12" s="3">
        <v>1965</v>
      </c>
      <c r="B12" s="21">
        <v>194.303</v>
      </c>
      <c r="C12" s="9" t="s">
        <v>3</v>
      </c>
      <c r="D12" s="9" t="s">
        <v>3</v>
      </c>
      <c r="E12" s="9" t="s">
        <v>3</v>
      </c>
      <c r="F12" s="9" t="s">
        <v>3</v>
      </c>
      <c r="G12" s="9" t="s">
        <v>3</v>
      </c>
      <c r="H12" s="9" t="s">
        <v>3</v>
      </c>
      <c r="I12" s="9" t="s">
        <v>3</v>
      </c>
      <c r="J12" s="9" t="s">
        <v>3</v>
      </c>
      <c r="K12" s="9" t="s">
        <v>3</v>
      </c>
    </row>
    <row r="13" spans="1:12" ht="12" customHeight="1" x14ac:dyDescent="0.2">
      <c r="A13" s="2">
        <v>1966</v>
      </c>
      <c r="B13" s="20">
        <v>196.56</v>
      </c>
      <c r="C13" s="8" t="s">
        <v>3</v>
      </c>
      <c r="D13" s="8" t="s">
        <v>3</v>
      </c>
      <c r="E13" s="8" t="s">
        <v>3</v>
      </c>
      <c r="F13" s="8" t="s">
        <v>3</v>
      </c>
      <c r="G13" s="8" t="s">
        <v>3</v>
      </c>
      <c r="H13" s="8" t="s">
        <v>3</v>
      </c>
      <c r="I13" s="8" t="s">
        <v>3</v>
      </c>
      <c r="J13" s="8" t="s">
        <v>3</v>
      </c>
      <c r="K13" s="8" t="s">
        <v>3</v>
      </c>
    </row>
    <row r="14" spans="1:12" ht="12" customHeight="1" x14ac:dyDescent="0.2">
      <c r="A14" s="2">
        <v>1967</v>
      </c>
      <c r="B14" s="20">
        <v>198.71199999999999</v>
      </c>
      <c r="C14" s="8" t="s">
        <v>3</v>
      </c>
      <c r="D14" s="8" t="s">
        <v>3</v>
      </c>
      <c r="E14" s="8" t="s">
        <v>3</v>
      </c>
      <c r="F14" s="8" t="s">
        <v>3</v>
      </c>
      <c r="G14" s="8" t="s">
        <v>3</v>
      </c>
      <c r="H14" s="8" t="s">
        <v>3</v>
      </c>
      <c r="I14" s="8" t="s">
        <v>3</v>
      </c>
      <c r="J14" s="8" t="s">
        <v>3</v>
      </c>
      <c r="K14" s="8" t="s">
        <v>3</v>
      </c>
    </row>
    <row r="15" spans="1:12" ht="12" customHeight="1" x14ac:dyDescent="0.2">
      <c r="A15" s="2">
        <v>1968</v>
      </c>
      <c r="B15" s="20">
        <v>200.70599999999999</v>
      </c>
      <c r="C15" s="8" t="s">
        <v>3</v>
      </c>
      <c r="D15" s="8" t="s">
        <v>3</v>
      </c>
      <c r="E15" s="8" t="s">
        <v>3</v>
      </c>
      <c r="F15" s="8" t="s">
        <v>3</v>
      </c>
      <c r="G15" s="8" t="s">
        <v>3</v>
      </c>
      <c r="H15" s="8" t="s">
        <v>3</v>
      </c>
      <c r="I15" s="8" t="s">
        <v>3</v>
      </c>
      <c r="J15" s="8" t="s">
        <v>3</v>
      </c>
      <c r="K15" s="8" t="s">
        <v>3</v>
      </c>
    </row>
    <row r="16" spans="1:12" ht="12" customHeight="1" x14ac:dyDescent="0.2">
      <c r="A16" s="2">
        <v>1969</v>
      </c>
      <c r="B16" s="20">
        <v>202.67699999999999</v>
      </c>
      <c r="C16" s="8" t="s">
        <v>3</v>
      </c>
      <c r="D16" s="8" t="s">
        <v>3</v>
      </c>
      <c r="E16" s="8" t="s">
        <v>3</v>
      </c>
      <c r="F16" s="8" t="s">
        <v>3</v>
      </c>
      <c r="G16" s="8" t="s">
        <v>3</v>
      </c>
      <c r="H16" s="8" t="s">
        <v>3</v>
      </c>
      <c r="I16" s="8" t="s">
        <v>3</v>
      </c>
      <c r="J16" s="8" t="s">
        <v>3</v>
      </c>
      <c r="K16" s="8" t="s">
        <v>3</v>
      </c>
    </row>
    <row r="17" spans="1:11" ht="12" customHeight="1" x14ac:dyDescent="0.2">
      <c r="A17" s="2">
        <v>1970</v>
      </c>
      <c r="B17" s="20">
        <v>205.05199999999999</v>
      </c>
      <c r="C17" s="8" t="s">
        <v>3</v>
      </c>
      <c r="D17" s="8" t="s">
        <v>3</v>
      </c>
      <c r="E17" s="8" t="s">
        <v>3</v>
      </c>
      <c r="F17" s="8" t="s">
        <v>3</v>
      </c>
      <c r="G17" s="8" t="s">
        <v>3</v>
      </c>
      <c r="H17" s="8" t="s">
        <v>3</v>
      </c>
      <c r="I17" s="8" t="s">
        <v>3</v>
      </c>
      <c r="J17" s="8" t="s">
        <v>3</v>
      </c>
      <c r="K17" s="8" t="s">
        <v>3</v>
      </c>
    </row>
    <row r="18" spans="1:11" ht="12" customHeight="1" x14ac:dyDescent="0.2">
      <c r="A18" s="3">
        <v>1971</v>
      </c>
      <c r="B18" s="21">
        <v>207.661</v>
      </c>
      <c r="C18" s="9" t="s">
        <v>3</v>
      </c>
      <c r="D18" s="9" t="s">
        <v>3</v>
      </c>
      <c r="E18" s="9" t="s">
        <v>3</v>
      </c>
      <c r="F18" s="9" t="s">
        <v>3</v>
      </c>
      <c r="G18" s="9" t="s">
        <v>3</v>
      </c>
      <c r="H18" s="9" t="s">
        <v>3</v>
      </c>
      <c r="I18" s="9" t="s">
        <v>3</v>
      </c>
      <c r="J18" s="9" t="s">
        <v>3</v>
      </c>
      <c r="K18" s="9" t="s">
        <v>3</v>
      </c>
    </row>
    <row r="19" spans="1:11" ht="12" customHeight="1" x14ac:dyDescent="0.2">
      <c r="A19" s="3">
        <v>1972</v>
      </c>
      <c r="B19" s="21">
        <v>209.89599999999999</v>
      </c>
      <c r="C19" s="9" t="s">
        <v>3</v>
      </c>
      <c r="D19" s="9" t="s">
        <v>3</v>
      </c>
      <c r="E19" s="9" t="s">
        <v>3</v>
      </c>
      <c r="F19" s="9" t="s">
        <v>3</v>
      </c>
      <c r="G19" s="9" t="s">
        <v>3</v>
      </c>
      <c r="H19" s="9" t="s">
        <v>3</v>
      </c>
      <c r="I19" s="9" t="s">
        <v>3</v>
      </c>
      <c r="J19" s="9" t="s">
        <v>3</v>
      </c>
      <c r="K19" s="9" t="s">
        <v>3</v>
      </c>
    </row>
    <row r="20" spans="1:11" ht="12" customHeight="1" x14ac:dyDescent="0.2">
      <c r="A20" s="3">
        <v>1973</v>
      </c>
      <c r="B20" s="21">
        <v>211.90899999999999</v>
      </c>
      <c r="C20" s="9" t="s">
        <v>3</v>
      </c>
      <c r="D20" s="9" t="s">
        <v>3</v>
      </c>
      <c r="E20" s="9" t="s">
        <v>3</v>
      </c>
      <c r="F20" s="9" t="s">
        <v>3</v>
      </c>
      <c r="G20" s="9" t="s">
        <v>3</v>
      </c>
      <c r="H20" s="9" t="s">
        <v>3</v>
      </c>
      <c r="I20" s="9" t="s">
        <v>3</v>
      </c>
      <c r="J20" s="9" t="s">
        <v>3</v>
      </c>
      <c r="K20" s="9" t="s">
        <v>3</v>
      </c>
    </row>
    <row r="21" spans="1:11" ht="12" customHeight="1" x14ac:dyDescent="0.2">
      <c r="A21" s="3">
        <v>1974</v>
      </c>
      <c r="B21" s="21">
        <v>213.85400000000001</v>
      </c>
      <c r="C21" s="9" t="s">
        <v>3</v>
      </c>
      <c r="D21" s="9" t="s">
        <v>3</v>
      </c>
      <c r="E21" s="9" t="s">
        <v>3</v>
      </c>
      <c r="F21" s="9" t="s">
        <v>3</v>
      </c>
      <c r="G21" s="9" t="s">
        <v>3</v>
      </c>
      <c r="H21" s="9" t="s">
        <v>3</v>
      </c>
      <c r="I21" s="9" t="s">
        <v>3</v>
      </c>
      <c r="J21" s="9" t="s">
        <v>3</v>
      </c>
      <c r="K21" s="9" t="s">
        <v>3</v>
      </c>
    </row>
    <row r="22" spans="1:11" ht="12" customHeight="1" x14ac:dyDescent="0.2">
      <c r="A22" s="3">
        <v>1975</v>
      </c>
      <c r="B22" s="21">
        <v>215.97300000000001</v>
      </c>
      <c r="C22" s="9" t="s">
        <v>3</v>
      </c>
      <c r="D22" s="9" t="s">
        <v>3</v>
      </c>
      <c r="E22" s="9" t="s">
        <v>3</v>
      </c>
      <c r="F22" s="9" t="s">
        <v>3</v>
      </c>
      <c r="G22" s="9" t="s">
        <v>3</v>
      </c>
      <c r="H22" s="9" t="s">
        <v>3</v>
      </c>
      <c r="I22" s="9" t="s">
        <v>3</v>
      </c>
      <c r="J22" s="9" t="s">
        <v>3</v>
      </c>
      <c r="K22" s="9" t="s">
        <v>3</v>
      </c>
    </row>
    <row r="23" spans="1:11" ht="12" customHeight="1" x14ac:dyDescent="0.2">
      <c r="A23" s="2">
        <v>1976</v>
      </c>
      <c r="B23" s="20">
        <v>218.035</v>
      </c>
      <c r="C23" s="8" t="s">
        <v>3</v>
      </c>
      <c r="D23" s="8" t="s">
        <v>3</v>
      </c>
      <c r="E23" s="8" t="s">
        <v>3</v>
      </c>
      <c r="F23" s="8" t="s">
        <v>3</v>
      </c>
      <c r="G23" s="8" t="s">
        <v>3</v>
      </c>
      <c r="H23" s="8" t="s">
        <v>3</v>
      </c>
      <c r="I23" s="8" t="s">
        <v>3</v>
      </c>
      <c r="J23" s="8" t="s">
        <v>3</v>
      </c>
      <c r="K23" s="8" t="s">
        <v>3</v>
      </c>
    </row>
    <row r="24" spans="1:11" ht="12" customHeight="1" x14ac:dyDescent="0.2">
      <c r="A24" s="2">
        <v>1977</v>
      </c>
      <c r="B24" s="20">
        <v>220.23899999999998</v>
      </c>
      <c r="C24" s="8" t="s">
        <v>3</v>
      </c>
      <c r="D24" s="8" t="s">
        <v>3</v>
      </c>
      <c r="E24" s="8" t="s">
        <v>3</v>
      </c>
      <c r="F24" s="8" t="s">
        <v>3</v>
      </c>
      <c r="G24" s="8" t="s">
        <v>3</v>
      </c>
      <c r="H24" s="8" t="s">
        <v>3</v>
      </c>
      <c r="I24" s="8" t="s">
        <v>3</v>
      </c>
      <c r="J24" s="8" t="s">
        <v>3</v>
      </c>
      <c r="K24" s="8" t="s">
        <v>3</v>
      </c>
    </row>
    <row r="25" spans="1:11" ht="12" customHeight="1" x14ac:dyDescent="0.2">
      <c r="A25" s="2">
        <v>1978</v>
      </c>
      <c r="B25" s="20">
        <v>222.58500000000001</v>
      </c>
      <c r="C25" s="8" t="s">
        <v>3</v>
      </c>
      <c r="D25" s="8" t="s">
        <v>3</v>
      </c>
      <c r="E25" s="8" t="s">
        <v>3</v>
      </c>
      <c r="F25" s="8" t="s">
        <v>3</v>
      </c>
      <c r="G25" s="8" t="s">
        <v>3</v>
      </c>
      <c r="H25" s="8" t="s">
        <v>3</v>
      </c>
      <c r="I25" s="8" t="s">
        <v>3</v>
      </c>
      <c r="J25" s="8" t="s">
        <v>3</v>
      </c>
      <c r="K25" s="8" t="s">
        <v>3</v>
      </c>
    </row>
    <row r="26" spans="1:11" ht="12" customHeight="1" x14ac:dyDescent="0.2">
      <c r="A26" s="2">
        <v>1979</v>
      </c>
      <c r="B26" s="20">
        <v>225.05500000000001</v>
      </c>
      <c r="C26" s="8" t="s">
        <v>3</v>
      </c>
      <c r="D26" s="8" t="s">
        <v>3</v>
      </c>
      <c r="E26" s="8" t="s">
        <v>3</v>
      </c>
      <c r="F26" s="8" t="s">
        <v>3</v>
      </c>
      <c r="G26" s="8" t="s">
        <v>3</v>
      </c>
      <c r="H26" s="8" t="s">
        <v>3</v>
      </c>
      <c r="I26" s="8" t="s">
        <v>3</v>
      </c>
      <c r="J26" s="8" t="s">
        <v>3</v>
      </c>
      <c r="K26" s="8" t="s">
        <v>3</v>
      </c>
    </row>
    <row r="27" spans="1:11" ht="12" customHeight="1" x14ac:dyDescent="0.2">
      <c r="A27" s="2">
        <v>1980</v>
      </c>
      <c r="B27" s="20">
        <v>227.726</v>
      </c>
      <c r="C27" s="8" t="s">
        <v>3</v>
      </c>
      <c r="D27" s="8" t="s">
        <v>3</v>
      </c>
      <c r="E27" s="8" t="s">
        <v>3</v>
      </c>
      <c r="F27" s="8" t="s">
        <v>3</v>
      </c>
      <c r="G27" s="8" t="s">
        <v>3</v>
      </c>
      <c r="H27" s="8" t="s">
        <v>3</v>
      </c>
      <c r="I27" s="8" t="s">
        <v>3</v>
      </c>
      <c r="J27" s="8" t="s">
        <v>3</v>
      </c>
      <c r="K27" s="8" t="s">
        <v>3</v>
      </c>
    </row>
    <row r="28" spans="1:11" ht="12" customHeight="1" x14ac:dyDescent="0.2">
      <c r="A28" s="3">
        <v>1981</v>
      </c>
      <c r="B28" s="21">
        <v>229.96600000000001</v>
      </c>
      <c r="C28" s="9" t="s">
        <v>3</v>
      </c>
      <c r="D28" s="9" t="s">
        <v>3</v>
      </c>
      <c r="E28" s="9" t="s">
        <v>3</v>
      </c>
      <c r="F28" s="9" t="s">
        <v>3</v>
      </c>
      <c r="G28" s="9" t="s">
        <v>3</v>
      </c>
      <c r="H28" s="9" t="s">
        <v>3</v>
      </c>
      <c r="I28" s="9" t="s">
        <v>3</v>
      </c>
      <c r="J28" s="9" t="s">
        <v>3</v>
      </c>
      <c r="K28" s="9" t="s">
        <v>3</v>
      </c>
    </row>
    <row r="29" spans="1:11" ht="12" customHeight="1" x14ac:dyDescent="0.2">
      <c r="A29" s="3">
        <v>1982</v>
      </c>
      <c r="B29" s="21">
        <v>232.18799999999999</v>
      </c>
      <c r="C29" s="9" t="s">
        <v>3</v>
      </c>
      <c r="D29" s="9" t="s">
        <v>3</v>
      </c>
      <c r="E29" s="9" t="s">
        <v>3</v>
      </c>
      <c r="F29" s="9" t="s">
        <v>3</v>
      </c>
      <c r="G29" s="9" t="s">
        <v>3</v>
      </c>
      <c r="H29" s="9" t="s">
        <v>3</v>
      </c>
      <c r="I29" s="9" t="s">
        <v>3</v>
      </c>
      <c r="J29" s="9" t="s">
        <v>3</v>
      </c>
      <c r="K29" s="9" t="s">
        <v>3</v>
      </c>
    </row>
    <row r="30" spans="1:11" ht="12" customHeight="1" x14ac:dyDescent="0.2">
      <c r="A30" s="3">
        <v>1983</v>
      </c>
      <c r="B30" s="21">
        <v>234.30699999999999</v>
      </c>
      <c r="C30" s="9" t="s">
        <v>3</v>
      </c>
      <c r="D30" s="9" t="s">
        <v>3</v>
      </c>
      <c r="E30" s="9" t="s">
        <v>3</v>
      </c>
      <c r="F30" s="9" t="s">
        <v>3</v>
      </c>
      <c r="G30" s="9" t="s">
        <v>3</v>
      </c>
      <c r="H30" s="9" t="s">
        <v>3</v>
      </c>
      <c r="I30" s="9" t="s">
        <v>3</v>
      </c>
      <c r="J30" s="9" t="s">
        <v>3</v>
      </c>
      <c r="K30" s="9" t="s">
        <v>3</v>
      </c>
    </row>
    <row r="31" spans="1:11" ht="12" customHeight="1" x14ac:dyDescent="0.2">
      <c r="A31" s="3">
        <v>1984</v>
      </c>
      <c r="B31" s="21">
        <v>236.34800000000001</v>
      </c>
      <c r="C31" s="9" t="s">
        <v>3</v>
      </c>
      <c r="D31" s="9" t="s">
        <v>3</v>
      </c>
      <c r="E31" s="9" t="s">
        <v>3</v>
      </c>
      <c r="F31" s="9" t="s">
        <v>3</v>
      </c>
      <c r="G31" s="9" t="s">
        <v>3</v>
      </c>
      <c r="H31" s="9" t="s">
        <v>3</v>
      </c>
      <c r="I31" s="9" t="s">
        <v>3</v>
      </c>
      <c r="J31" s="9" t="s">
        <v>3</v>
      </c>
      <c r="K31" s="9" t="s">
        <v>3</v>
      </c>
    </row>
    <row r="32" spans="1:11" ht="12" customHeight="1" x14ac:dyDescent="0.2">
      <c r="A32" s="3">
        <v>1985</v>
      </c>
      <c r="B32" s="21">
        <v>238.46600000000001</v>
      </c>
      <c r="C32" s="9" t="s">
        <v>3</v>
      </c>
      <c r="D32" s="9" t="s">
        <v>3</v>
      </c>
      <c r="E32" s="9" t="s">
        <v>3</v>
      </c>
      <c r="F32" s="9" t="s">
        <v>3</v>
      </c>
      <c r="G32" s="9" t="s">
        <v>3</v>
      </c>
      <c r="H32" s="9" t="s">
        <v>3</v>
      </c>
      <c r="I32" s="9" t="s">
        <v>3</v>
      </c>
      <c r="J32" s="9" t="s">
        <v>3</v>
      </c>
      <c r="K32" s="9" t="s">
        <v>3</v>
      </c>
    </row>
    <row r="33" spans="1:11" ht="12" customHeight="1" x14ac:dyDescent="0.2">
      <c r="A33" s="2">
        <v>1986</v>
      </c>
      <c r="B33" s="20">
        <v>240.65100000000001</v>
      </c>
      <c r="C33" s="8" t="s">
        <v>3</v>
      </c>
      <c r="D33" s="8" t="s">
        <v>3</v>
      </c>
      <c r="E33" s="8" t="s">
        <v>3</v>
      </c>
      <c r="F33" s="8" t="s">
        <v>3</v>
      </c>
      <c r="G33" s="8" t="s">
        <v>3</v>
      </c>
      <c r="H33" s="8" t="s">
        <v>3</v>
      </c>
      <c r="I33" s="8" t="s">
        <v>3</v>
      </c>
      <c r="J33" s="8" t="s">
        <v>3</v>
      </c>
      <c r="K33" s="8" t="s">
        <v>3</v>
      </c>
    </row>
    <row r="34" spans="1:11" ht="12" customHeight="1" x14ac:dyDescent="0.2">
      <c r="A34" s="2">
        <v>1987</v>
      </c>
      <c r="B34" s="20">
        <v>242.804</v>
      </c>
      <c r="C34" s="8" t="s">
        <v>3</v>
      </c>
      <c r="D34" s="8" t="s">
        <v>3</v>
      </c>
      <c r="E34" s="8" t="s">
        <v>3</v>
      </c>
      <c r="F34" s="8" t="s">
        <v>3</v>
      </c>
      <c r="G34" s="8" t="s">
        <v>3</v>
      </c>
      <c r="H34" s="8" t="s">
        <v>3</v>
      </c>
      <c r="I34" s="8" t="s">
        <v>3</v>
      </c>
      <c r="J34" s="8" t="s">
        <v>3</v>
      </c>
      <c r="K34" s="8" t="s">
        <v>3</v>
      </c>
    </row>
    <row r="35" spans="1:11" ht="12" customHeight="1" x14ac:dyDescent="0.2">
      <c r="A35" s="2">
        <v>1988</v>
      </c>
      <c r="B35" s="20">
        <v>245.02099999999999</v>
      </c>
      <c r="C35" s="8" t="s">
        <v>3</v>
      </c>
      <c r="D35" s="8" t="s">
        <v>3</v>
      </c>
      <c r="E35" s="8" t="s">
        <v>3</v>
      </c>
      <c r="F35" s="8" t="s">
        <v>3</v>
      </c>
      <c r="G35" s="8" t="s">
        <v>3</v>
      </c>
      <c r="H35" s="8" t="s">
        <v>3</v>
      </c>
      <c r="I35" s="8" t="s">
        <v>3</v>
      </c>
      <c r="J35" s="8" t="s">
        <v>3</v>
      </c>
      <c r="K35" s="8" t="s">
        <v>3</v>
      </c>
    </row>
    <row r="36" spans="1:11" ht="12" customHeight="1" x14ac:dyDescent="0.2">
      <c r="A36" s="2">
        <v>1989</v>
      </c>
      <c r="B36" s="20">
        <v>247.34200000000001</v>
      </c>
      <c r="C36" s="8" t="s">
        <v>3</v>
      </c>
      <c r="D36" s="8" t="s">
        <v>3</v>
      </c>
      <c r="E36" s="8" t="s">
        <v>3</v>
      </c>
      <c r="F36" s="8" t="s">
        <v>3</v>
      </c>
      <c r="G36" s="8" t="s">
        <v>3</v>
      </c>
      <c r="H36" s="8" t="s">
        <v>3</v>
      </c>
      <c r="I36" s="8" t="s">
        <v>3</v>
      </c>
      <c r="J36" s="8" t="s">
        <v>3</v>
      </c>
      <c r="K36" s="8" t="s">
        <v>3</v>
      </c>
    </row>
    <row r="37" spans="1:11" ht="12" customHeight="1" x14ac:dyDescent="0.2">
      <c r="A37" s="2">
        <v>1990</v>
      </c>
      <c r="B37" s="20">
        <v>250.13200000000001</v>
      </c>
      <c r="C37" s="8" t="s">
        <v>3</v>
      </c>
      <c r="D37" s="8" t="s">
        <v>3</v>
      </c>
      <c r="E37" s="8" t="s">
        <v>3</v>
      </c>
      <c r="F37" s="8" t="s">
        <v>3</v>
      </c>
      <c r="G37" s="8" t="s">
        <v>3</v>
      </c>
      <c r="H37" s="8" t="s">
        <v>3</v>
      </c>
      <c r="I37" s="8" t="s">
        <v>3</v>
      </c>
      <c r="J37" s="8" t="s">
        <v>3</v>
      </c>
      <c r="K37" s="8" t="s">
        <v>3</v>
      </c>
    </row>
    <row r="38" spans="1:11" ht="12" customHeight="1" x14ac:dyDescent="0.2">
      <c r="A38" s="3">
        <v>1991</v>
      </c>
      <c r="B38" s="21">
        <v>253.49299999999999</v>
      </c>
      <c r="C38" s="9" t="s">
        <v>3</v>
      </c>
      <c r="D38" s="9" t="s">
        <v>3</v>
      </c>
      <c r="E38" s="9" t="s">
        <v>3</v>
      </c>
      <c r="F38" s="9" t="s">
        <v>3</v>
      </c>
      <c r="G38" s="9" t="s">
        <v>3</v>
      </c>
      <c r="H38" s="9" t="s">
        <v>3</v>
      </c>
      <c r="I38" s="9" t="s">
        <v>3</v>
      </c>
      <c r="J38" s="9" t="s">
        <v>3</v>
      </c>
      <c r="K38" s="9" t="s">
        <v>3</v>
      </c>
    </row>
    <row r="39" spans="1:11" ht="12" customHeight="1" x14ac:dyDescent="0.2">
      <c r="A39" s="3">
        <v>1992</v>
      </c>
      <c r="B39" s="21">
        <v>256.89400000000001</v>
      </c>
      <c r="C39" s="9" t="s">
        <v>3</v>
      </c>
      <c r="D39" s="9" t="s">
        <v>3</v>
      </c>
      <c r="E39" s="9" t="s">
        <v>3</v>
      </c>
      <c r="F39" s="9" t="s">
        <v>3</v>
      </c>
      <c r="G39" s="9" t="s">
        <v>3</v>
      </c>
      <c r="H39" s="9" t="s">
        <v>3</v>
      </c>
      <c r="I39" s="9" t="s">
        <v>3</v>
      </c>
      <c r="J39" s="9" t="s">
        <v>3</v>
      </c>
      <c r="K39" s="9" t="s">
        <v>3</v>
      </c>
    </row>
    <row r="40" spans="1:11" ht="12" customHeight="1" x14ac:dyDescent="0.2">
      <c r="A40" s="3">
        <v>1993</v>
      </c>
      <c r="B40" s="21">
        <v>260.255</v>
      </c>
      <c r="C40" s="9" t="s">
        <v>3</v>
      </c>
      <c r="D40" s="9" t="s">
        <v>3</v>
      </c>
      <c r="E40" s="9" t="s">
        <v>3</v>
      </c>
      <c r="F40" s="9" t="s">
        <v>3</v>
      </c>
      <c r="G40" s="9" t="s">
        <v>3</v>
      </c>
      <c r="H40" s="9" t="s">
        <v>3</v>
      </c>
      <c r="I40" s="9" t="s">
        <v>3</v>
      </c>
      <c r="J40" s="9" t="s">
        <v>3</v>
      </c>
      <c r="K40" s="9" t="s">
        <v>3</v>
      </c>
    </row>
    <row r="41" spans="1:11" ht="12" customHeight="1" x14ac:dyDescent="0.2">
      <c r="A41" s="3">
        <v>1994</v>
      </c>
      <c r="B41" s="21">
        <v>263.43599999999998</v>
      </c>
      <c r="C41" s="9" t="s">
        <v>3</v>
      </c>
      <c r="D41" s="9" t="s">
        <v>3</v>
      </c>
      <c r="E41" s="9" t="s">
        <v>3</v>
      </c>
      <c r="F41" s="9" t="s">
        <v>3</v>
      </c>
      <c r="G41" s="9" t="s">
        <v>3</v>
      </c>
      <c r="H41" s="9" t="s">
        <v>3</v>
      </c>
      <c r="I41" s="9" t="s">
        <v>3</v>
      </c>
      <c r="J41" s="9" t="s">
        <v>3</v>
      </c>
      <c r="K41" s="9" t="s">
        <v>3</v>
      </c>
    </row>
    <row r="42" spans="1:11" ht="12" customHeight="1" x14ac:dyDescent="0.2">
      <c r="A42" s="3">
        <v>1995</v>
      </c>
      <c r="B42" s="21">
        <v>266.55700000000002</v>
      </c>
      <c r="C42" s="9" t="s">
        <v>3</v>
      </c>
      <c r="D42" s="9" t="s">
        <v>3</v>
      </c>
      <c r="E42" s="9" t="s">
        <v>3</v>
      </c>
      <c r="F42" s="9" t="s">
        <v>3</v>
      </c>
      <c r="G42" s="9" t="s">
        <v>3</v>
      </c>
      <c r="H42" s="9" t="s">
        <v>3</v>
      </c>
      <c r="I42" s="9" t="s">
        <v>3</v>
      </c>
      <c r="J42" s="9" t="s">
        <v>3</v>
      </c>
      <c r="K42" s="9" t="s">
        <v>3</v>
      </c>
    </row>
    <row r="43" spans="1:11" ht="12" customHeight="1" x14ac:dyDescent="0.2">
      <c r="A43" s="2">
        <v>1996</v>
      </c>
      <c r="B43" s="20">
        <v>269.66699999999997</v>
      </c>
      <c r="C43" s="8" t="s">
        <v>3</v>
      </c>
      <c r="D43" s="8" t="s">
        <v>3</v>
      </c>
      <c r="E43" s="8" t="s">
        <v>3</v>
      </c>
      <c r="F43" s="8" t="s">
        <v>3</v>
      </c>
      <c r="G43" s="8" t="s">
        <v>3</v>
      </c>
      <c r="H43" s="8" t="s">
        <v>3</v>
      </c>
      <c r="I43" s="8" t="s">
        <v>3</v>
      </c>
      <c r="J43" s="8" t="s">
        <v>3</v>
      </c>
      <c r="K43" s="8" t="s">
        <v>3</v>
      </c>
    </row>
    <row r="44" spans="1:11" ht="12" customHeight="1" x14ac:dyDescent="0.2">
      <c r="A44" s="2">
        <v>1997</v>
      </c>
      <c r="B44" s="20">
        <v>272.91199999999998</v>
      </c>
      <c r="C44" s="8">
        <v>185.08320000000001</v>
      </c>
      <c r="D44" s="8">
        <v>1</v>
      </c>
      <c r="E44" s="8" t="s">
        <v>3</v>
      </c>
      <c r="F44" s="8">
        <f>C44+D44</f>
        <v>186.08320000000001</v>
      </c>
      <c r="G44" s="8" t="s">
        <v>3</v>
      </c>
      <c r="H44" s="8" t="s">
        <v>3</v>
      </c>
      <c r="I44" s="8">
        <f t="shared" ref="I44:I58" si="0">F44-SUM(G44,H44)</f>
        <v>186.08320000000001</v>
      </c>
      <c r="J44" s="142">
        <f t="shared" ref="J44:J58" si="1">IF(I44=0,0,IF(B44=0,0,I44/B44))</f>
        <v>0.68184323151785198</v>
      </c>
      <c r="K44" s="142">
        <f>J44*0.88</f>
        <v>0.60002204373570978</v>
      </c>
    </row>
    <row r="45" spans="1:11" ht="12" customHeight="1" x14ac:dyDescent="0.2">
      <c r="A45" s="2">
        <v>1998</v>
      </c>
      <c r="B45" s="20">
        <v>276.11500000000001</v>
      </c>
      <c r="C45" s="8">
        <v>188.14751999999999</v>
      </c>
      <c r="D45" s="8">
        <v>1</v>
      </c>
      <c r="E45" s="8" t="s">
        <v>3</v>
      </c>
      <c r="F45" s="8">
        <f t="shared" ref="F45:F67" si="2">C45+D45</f>
        <v>189.14751999999999</v>
      </c>
      <c r="G45" s="8" t="s">
        <v>3</v>
      </c>
      <c r="H45" s="8" t="s">
        <v>3</v>
      </c>
      <c r="I45" s="8">
        <f t="shared" si="0"/>
        <v>189.14751999999999</v>
      </c>
      <c r="J45" s="142">
        <f t="shared" si="1"/>
        <v>0.68503167158611444</v>
      </c>
      <c r="K45" s="142">
        <f>J45*0.88</f>
        <v>0.60282787099578072</v>
      </c>
    </row>
    <row r="46" spans="1:11" ht="12" customHeight="1" x14ac:dyDescent="0.2">
      <c r="A46" s="2">
        <v>1999</v>
      </c>
      <c r="B46" s="20">
        <v>279.29500000000002</v>
      </c>
      <c r="C46" s="8">
        <v>191.21184</v>
      </c>
      <c r="D46" s="8">
        <v>1</v>
      </c>
      <c r="E46" s="8" t="s">
        <v>3</v>
      </c>
      <c r="F46" s="8">
        <f t="shared" si="2"/>
        <v>192.21184</v>
      </c>
      <c r="G46" s="8" t="s">
        <v>3</v>
      </c>
      <c r="H46" s="8" t="s">
        <v>3</v>
      </c>
      <c r="I46" s="8">
        <f t="shared" si="0"/>
        <v>192.21184</v>
      </c>
      <c r="J46" s="142">
        <f t="shared" si="1"/>
        <v>0.68820365563293284</v>
      </c>
      <c r="K46" s="142">
        <f>J46*0.88</f>
        <v>0.60561921695698095</v>
      </c>
    </row>
    <row r="47" spans="1:11" ht="12" customHeight="1" x14ac:dyDescent="0.2">
      <c r="A47" s="2">
        <v>2000</v>
      </c>
      <c r="B47" s="20">
        <v>282.38499999999999</v>
      </c>
      <c r="C47" s="8">
        <v>206.53343999999998</v>
      </c>
      <c r="D47" s="8">
        <v>1</v>
      </c>
      <c r="E47" s="8" t="s">
        <v>3</v>
      </c>
      <c r="F47" s="8">
        <f t="shared" si="2"/>
        <v>207.53343999999998</v>
      </c>
      <c r="G47" s="8" t="s">
        <v>3</v>
      </c>
      <c r="H47" s="8" t="s">
        <v>3</v>
      </c>
      <c r="I47" s="8">
        <f t="shared" si="0"/>
        <v>207.53343999999998</v>
      </c>
      <c r="J47" s="142">
        <f t="shared" si="1"/>
        <v>0.7349308213963206</v>
      </c>
      <c r="K47" s="142">
        <f t="shared" ref="K47:K52" si="3">J47*0.88</f>
        <v>0.64673912282876211</v>
      </c>
    </row>
    <row r="48" spans="1:11" ht="12" customHeight="1" x14ac:dyDescent="0.2">
      <c r="A48" s="3">
        <v>2001</v>
      </c>
      <c r="B48" s="21">
        <v>285.30901899999998</v>
      </c>
      <c r="C48" s="9">
        <v>221.85503999999997</v>
      </c>
      <c r="D48" s="9">
        <v>1</v>
      </c>
      <c r="E48" s="9" t="s">
        <v>3</v>
      </c>
      <c r="F48" s="9">
        <f t="shared" si="2"/>
        <v>222.85503999999997</v>
      </c>
      <c r="G48" s="9" t="s">
        <v>3</v>
      </c>
      <c r="H48" s="9" t="s">
        <v>3</v>
      </c>
      <c r="I48" s="9">
        <f t="shared" si="0"/>
        <v>222.85503999999997</v>
      </c>
      <c r="J48" s="143">
        <f t="shared" si="1"/>
        <v>0.781100579228447</v>
      </c>
      <c r="K48" s="143">
        <f t="shared" si="3"/>
        <v>0.68736850972103336</v>
      </c>
    </row>
    <row r="49" spans="1:12" ht="12" customHeight="1" x14ac:dyDescent="0.2">
      <c r="A49" s="3">
        <v>2002</v>
      </c>
      <c r="B49" s="21">
        <v>288.10481800000002</v>
      </c>
      <c r="C49" s="9">
        <v>200.40479999999999</v>
      </c>
      <c r="D49" s="9">
        <v>0.89333333333333331</v>
      </c>
      <c r="E49" s="9" t="s">
        <v>3</v>
      </c>
      <c r="F49" s="9">
        <f t="shared" si="2"/>
        <v>201.29813333333334</v>
      </c>
      <c r="G49" s="9" t="s">
        <v>3</v>
      </c>
      <c r="H49" s="9" t="s">
        <v>3</v>
      </c>
      <c r="I49" s="9">
        <f t="shared" si="0"/>
        <v>201.29813333333334</v>
      </c>
      <c r="J49" s="143">
        <f t="shared" si="1"/>
        <v>0.69869755990451132</v>
      </c>
      <c r="K49" s="143">
        <f t="shared" si="3"/>
        <v>0.61485385271596993</v>
      </c>
    </row>
    <row r="50" spans="1:12" ht="12" customHeight="1" x14ac:dyDescent="0.2">
      <c r="A50" s="3">
        <v>2003</v>
      </c>
      <c r="B50" s="21">
        <v>290.81963400000001</v>
      </c>
      <c r="C50" s="9">
        <v>231.40364287652642</v>
      </c>
      <c r="D50" s="9">
        <v>0.97333333333333338</v>
      </c>
      <c r="E50" s="9" t="s">
        <v>3</v>
      </c>
      <c r="F50" s="9">
        <f t="shared" si="2"/>
        <v>232.37697620985975</v>
      </c>
      <c r="G50" s="9" t="s">
        <v>3</v>
      </c>
      <c r="H50" s="9" t="s">
        <v>3</v>
      </c>
      <c r="I50" s="9">
        <f t="shared" si="0"/>
        <v>232.37697620985975</v>
      </c>
      <c r="J50" s="143">
        <f t="shared" si="1"/>
        <v>0.79904156749561051</v>
      </c>
      <c r="K50" s="143">
        <f t="shared" si="3"/>
        <v>0.70315657939613729</v>
      </c>
    </row>
    <row r="51" spans="1:12" ht="12" customHeight="1" x14ac:dyDescent="0.2">
      <c r="A51" s="3">
        <v>2004</v>
      </c>
      <c r="B51" s="21">
        <v>293.46318500000001</v>
      </c>
      <c r="C51" s="9">
        <v>228.04996689280867</v>
      </c>
      <c r="D51" s="9">
        <v>0.84666666666666679</v>
      </c>
      <c r="E51" s="9" t="s">
        <v>3</v>
      </c>
      <c r="F51" s="9">
        <f t="shared" si="2"/>
        <v>228.89663355947533</v>
      </c>
      <c r="G51" s="9" t="s">
        <v>3</v>
      </c>
      <c r="H51" s="9" t="s">
        <v>3</v>
      </c>
      <c r="I51" s="9">
        <f t="shared" si="0"/>
        <v>228.89663355947533</v>
      </c>
      <c r="J51" s="143">
        <f t="shared" si="1"/>
        <v>0.77998415221819162</v>
      </c>
      <c r="K51" s="143">
        <f t="shared" si="3"/>
        <v>0.68638605395200858</v>
      </c>
    </row>
    <row r="52" spans="1:12" ht="12" customHeight="1" x14ac:dyDescent="0.2">
      <c r="A52" s="3">
        <v>2005</v>
      </c>
      <c r="B52" s="21">
        <v>296.186216</v>
      </c>
      <c r="C52" s="9">
        <v>200.94863934871097</v>
      </c>
      <c r="D52" s="9">
        <v>0.7333333333333335</v>
      </c>
      <c r="E52" s="9" t="s">
        <v>3</v>
      </c>
      <c r="F52" s="9">
        <f t="shared" si="2"/>
        <v>201.68197268204429</v>
      </c>
      <c r="G52" s="9" t="s">
        <v>3</v>
      </c>
      <c r="H52" s="9" t="s">
        <v>3</v>
      </c>
      <c r="I52" s="9">
        <f t="shared" si="0"/>
        <v>201.68197268204429</v>
      </c>
      <c r="J52" s="143">
        <f t="shared" si="1"/>
        <v>0.68092963746173885</v>
      </c>
      <c r="K52" s="143">
        <f t="shared" si="3"/>
        <v>0.59921808096633022</v>
      </c>
    </row>
    <row r="53" spans="1:12" ht="12" customHeight="1" x14ac:dyDescent="0.2">
      <c r="A53" s="2">
        <v>2006</v>
      </c>
      <c r="B53" s="20">
        <v>298.99582500000002</v>
      </c>
      <c r="C53" s="8">
        <v>152.13100250000005</v>
      </c>
      <c r="D53" s="8">
        <v>0.6100000000000001</v>
      </c>
      <c r="E53" s="8" t="s">
        <v>3</v>
      </c>
      <c r="F53" s="8">
        <f t="shared" si="2"/>
        <v>152.74100250000006</v>
      </c>
      <c r="G53" s="8" t="s">
        <v>3</v>
      </c>
      <c r="H53" s="8" t="s">
        <v>3</v>
      </c>
      <c r="I53" s="8">
        <f t="shared" si="0"/>
        <v>152.74100250000006</v>
      </c>
      <c r="J53" s="142">
        <f t="shared" si="1"/>
        <v>0.51084660630294776</v>
      </c>
      <c r="K53" s="142">
        <f t="shared" ref="K53:K58" si="4">J53*0.88</f>
        <v>0.44954501354659404</v>
      </c>
    </row>
    <row r="54" spans="1:12" ht="12" customHeight="1" x14ac:dyDescent="0.2">
      <c r="A54" s="2">
        <v>2007</v>
      </c>
      <c r="B54" s="20">
        <v>302.003917</v>
      </c>
      <c r="C54" s="8">
        <v>118.51952</v>
      </c>
      <c r="D54" s="8">
        <v>0.82666666666666677</v>
      </c>
      <c r="E54" s="8" t="s">
        <v>3</v>
      </c>
      <c r="F54" s="8">
        <f t="shared" si="2"/>
        <v>119.34618666666667</v>
      </c>
      <c r="G54" s="8" t="s">
        <v>3</v>
      </c>
      <c r="H54" s="8" t="s">
        <v>3</v>
      </c>
      <c r="I54" s="8">
        <f t="shared" si="0"/>
        <v>119.34618666666667</v>
      </c>
      <c r="J54" s="142">
        <f t="shared" si="1"/>
        <v>0.39518092299003749</v>
      </c>
      <c r="K54" s="142">
        <f t="shared" si="4"/>
        <v>0.34775921223123302</v>
      </c>
    </row>
    <row r="55" spans="1:12" ht="12" customHeight="1" x14ac:dyDescent="0.2">
      <c r="A55" s="2">
        <v>2008</v>
      </c>
      <c r="B55" s="20">
        <v>304.79776099999998</v>
      </c>
      <c r="C55" s="8">
        <v>98.129480000000001</v>
      </c>
      <c r="D55" s="8">
        <v>0.66666666666666674</v>
      </c>
      <c r="E55" s="8" t="s">
        <v>3</v>
      </c>
      <c r="F55" s="8">
        <f t="shared" si="2"/>
        <v>98.796146666666672</v>
      </c>
      <c r="G55" s="8" t="s">
        <v>3</v>
      </c>
      <c r="H55" s="8" t="s">
        <v>3</v>
      </c>
      <c r="I55" s="8">
        <f t="shared" si="0"/>
        <v>98.796146666666672</v>
      </c>
      <c r="J55" s="142">
        <f t="shared" si="1"/>
        <v>0.32413672050125947</v>
      </c>
      <c r="K55" s="142">
        <f t="shared" si="4"/>
        <v>0.28524031404110833</v>
      </c>
    </row>
    <row r="56" spans="1:12" ht="12" customHeight="1" x14ac:dyDescent="0.2">
      <c r="A56" s="2">
        <v>2009</v>
      </c>
      <c r="B56" s="20">
        <v>307.43940600000002</v>
      </c>
      <c r="C56" s="8">
        <v>94.71835999999999</v>
      </c>
      <c r="D56" s="8">
        <v>0.42000000000000004</v>
      </c>
      <c r="E56" s="8" t="s">
        <v>3</v>
      </c>
      <c r="F56" s="8">
        <f t="shared" si="2"/>
        <v>95.138359999999992</v>
      </c>
      <c r="G56" s="8" t="s">
        <v>3</v>
      </c>
      <c r="H56" s="8" t="s">
        <v>3</v>
      </c>
      <c r="I56" s="8">
        <f t="shared" si="0"/>
        <v>95.138359999999992</v>
      </c>
      <c r="J56" s="142">
        <f t="shared" si="1"/>
        <v>0.30945401969713665</v>
      </c>
      <c r="K56" s="142">
        <f t="shared" si="4"/>
        <v>0.27231953733348024</v>
      </c>
    </row>
    <row r="57" spans="1:12" ht="12" customHeight="1" x14ac:dyDescent="0.2">
      <c r="A57" s="2">
        <v>2010</v>
      </c>
      <c r="B57" s="20">
        <v>309.74127900000002</v>
      </c>
      <c r="C57" s="8">
        <v>95.348708000000002</v>
      </c>
      <c r="D57" s="8">
        <v>0.4333333333333334</v>
      </c>
      <c r="E57" s="8" t="s">
        <v>3</v>
      </c>
      <c r="F57" s="8">
        <f t="shared" si="2"/>
        <v>95.782041333333339</v>
      </c>
      <c r="G57" s="8" t="s">
        <v>3</v>
      </c>
      <c r="H57" s="8" t="s">
        <v>3</v>
      </c>
      <c r="I57" s="8">
        <f t="shared" si="0"/>
        <v>95.782041333333339</v>
      </c>
      <c r="J57" s="142">
        <f t="shared" si="1"/>
        <v>0.30923240726120116</v>
      </c>
      <c r="K57" s="142">
        <f t="shared" si="4"/>
        <v>0.27212451838985702</v>
      </c>
    </row>
    <row r="58" spans="1:12" ht="12" customHeight="1" x14ac:dyDescent="0.2">
      <c r="A58" s="33">
        <v>2011</v>
      </c>
      <c r="B58" s="31">
        <v>311.97391399999998</v>
      </c>
      <c r="C58" s="39">
        <v>92.507064</v>
      </c>
      <c r="D58" s="39">
        <v>0.4366666666666667</v>
      </c>
      <c r="E58" s="39" t="s">
        <v>3</v>
      </c>
      <c r="F58" s="9">
        <f t="shared" si="2"/>
        <v>92.943730666666667</v>
      </c>
      <c r="G58" s="39" t="s">
        <v>3</v>
      </c>
      <c r="H58" s="39" t="s">
        <v>3</v>
      </c>
      <c r="I58" s="39">
        <f t="shared" si="0"/>
        <v>92.943730666666667</v>
      </c>
      <c r="J58" s="144">
        <f t="shared" si="1"/>
        <v>0.29792148155908532</v>
      </c>
      <c r="K58" s="144">
        <f t="shared" si="4"/>
        <v>0.26217090377199509</v>
      </c>
    </row>
    <row r="59" spans="1:12" s="43" customFormat="1" ht="12" customHeight="1" x14ac:dyDescent="0.2">
      <c r="A59" s="33">
        <v>2012</v>
      </c>
      <c r="B59" s="31">
        <v>314.16755799999999</v>
      </c>
      <c r="C59" s="39">
        <v>74.236000000000004</v>
      </c>
      <c r="D59" s="39">
        <v>0.53666666666666674</v>
      </c>
      <c r="E59" s="39" t="s">
        <v>3</v>
      </c>
      <c r="F59" s="9">
        <f t="shared" si="2"/>
        <v>74.772666666666666</v>
      </c>
      <c r="G59" s="39" t="s">
        <v>3</v>
      </c>
      <c r="H59" s="39" t="s">
        <v>3</v>
      </c>
      <c r="I59" s="39">
        <f t="shared" ref="I59" si="5">F59-SUM(G59,H59)</f>
        <v>74.772666666666666</v>
      </c>
      <c r="J59" s="144">
        <f t="shared" ref="J59" si="6">IF(I59=0,0,IF(B59=0,0,I59/B59))</f>
        <v>0.2380025077785615</v>
      </c>
      <c r="K59" s="144">
        <f t="shared" ref="K59" si="7">J59*0.88</f>
        <v>0.20944220684513412</v>
      </c>
      <c r="L59"/>
    </row>
    <row r="60" spans="1:12" s="93" customFormat="1" ht="12" customHeight="1" x14ac:dyDescent="0.2">
      <c r="A60" s="33">
        <v>2013</v>
      </c>
      <c r="B60" s="31">
        <v>316.29476599999998</v>
      </c>
      <c r="C60" s="39">
        <v>83.230220000000017</v>
      </c>
      <c r="D60" s="39">
        <v>0.66333333333333344</v>
      </c>
      <c r="E60" s="39" t="s">
        <v>3</v>
      </c>
      <c r="F60" s="9">
        <f t="shared" si="2"/>
        <v>83.893553333333344</v>
      </c>
      <c r="G60" s="39" t="s">
        <v>3</v>
      </c>
      <c r="H60" s="39" t="s">
        <v>3</v>
      </c>
      <c r="I60" s="39">
        <f t="shared" ref="I60" si="8">F60-SUM(G60,H60)</f>
        <v>83.893553333333344</v>
      </c>
      <c r="J60" s="144">
        <f t="shared" ref="J60" si="9">IF(I60=0,0,IF(B60=0,0,I60/B60))</f>
        <v>0.26523851277808796</v>
      </c>
      <c r="K60" s="144">
        <f t="shared" ref="K60" si="10">J60*0.88</f>
        <v>0.23340989124471742</v>
      </c>
      <c r="L60" s="83"/>
    </row>
    <row r="61" spans="1:12" s="93" customFormat="1" ht="12" customHeight="1" x14ac:dyDescent="0.2">
      <c r="A61" s="33">
        <v>2014</v>
      </c>
      <c r="B61" s="31">
        <v>318.576955</v>
      </c>
      <c r="C61" s="39">
        <v>175.28550000000001</v>
      </c>
      <c r="D61" s="39">
        <v>0.91333333333333344</v>
      </c>
      <c r="E61" s="39" t="s">
        <v>3</v>
      </c>
      <c r="F61" s="9">
        <f t="shared" si="2"/>
        <v>176.19883333333334</v>
      </c>
      <c r="G61" s="39" t="s">
        <v>3</v>
      </c>
      <c r="H61" s="39" t="s">
        <v>3</v>
      </c>
      <c r="I61" s="39">
        <f t="shared" ref="I61" si="11">F61-SUM(G61,H61)</f>
        <v>176.19883333333334</v>
      </c>
      <c r="J61" s="144">
        <f t="shared" ref="J61" si="12">IF(I61=0,0,IF(B61=0,0,I61/B61))</f>
        <v>0.55308091363147516</v>
      </c>
      <c r="K61" s="144">
        <f t="shared" ref="K61" si="13">J61*0.88</f>
        <v>0.48671120399569812</v>
      </c>
      <c r="L61" s="83"/>
    </row>
    <row r="62" spans="1:12" s="93" customFormat="1" ht="12" customHeight="1" x14ac:dyDescent="0.2">
      <c r="A62" s="33">
        <v>2015</v>
      </c>
      <c r="B62" s="31">
        <v>320.87070299999999</v>
      </c>
      <c r="C62" s="39">
        <v>144.10198</v>
      </c>
      <c r="D62" s="39">
        <v>1.0166666666666666</v>
      </c>
      <c r="E62" s="39" t="s">
        <v>3</v>
      </c>
      <c r="F62" s="9">
        <f t="shared" si="2"/>
        <v>145.11864666666668</v>
      </c>
      <c r="G62" s="39" t="s">
        <v>3</v>
      </c>
      <c r="H62" s="39" t="s">
        <v>3</v>
      </c>
      <c r="I62" s="39">
        <f t="shared" ref="I62" si="14">F62-SUM(G62,H62)</f>
        <v>145.11864666666668</v>
      </c>
      <c r="J62" s="144">
        <f t="shared" ref="J62" si="15">IF(I62=0,0,IF(B62=0,0,I62/B62))</f>
        <v>0.45226518130159948</v>
      </c>
      <c r="K62" s="144">
        <f t="shared" ref="K62" si="16">J62*0.88</f>
        <v>0.39799335954540754</v>
      </c>
      <c r="L62" s="83"/>
    </row>
    <row r="63" spans="1:12" s="93" customFormat="1" ht="12" customHeight="1" x14ac:dyDescent="0.2">
      <c r="A63" s="128">
        <v>2016</v>
      </c>
      <c r="B63" s="129">
        <v>323.16101099999997</v>
      </c>
      <c r="C63" s="130">
        <v>143.02582000000001</v>
      </c>
      <c r="D63" s="130">
        <v>1.0433333333333332</v>
      </c>
      <c r="E63" s="130" t="s">
        <v>3</v>
      </c>
      <c r="F63" s="8">
        <f t="shared" si="2"/>
        <v>144.06915333333333</v>
      </c>
      <c r="G63" s="130" t="s">
        <v>3</v>
      </c>
      <c r="H63" s="130" t="s">
        <v>3</v>
      </c>
      <c r="I63" s="130">
        <f t="shared" ref="I63:I64" si="17">F63-SUM(G63,H63)</f>
        <v>144.06915333333333</v>
      </c>
      <c r="J63" s="145">
        <f t="shared" ref="J63:J64" si="18">IF(I63=0,0,IF(B63=0,0,I63/B63))</f>
        <v>0.44581229922360077</v>
      </c>
      <c r="K63" s="145">
        <f t="shared" ref="K63:K64" si="19">J63*0.88</f>
        <v>0.3923148233167687</v>
      </c>
      <c r="L63" s="83"/>
    </row>
    <row r="64" spans="1:12" s="93" customFormat="1" ht="12" customHeight="1" x14ac:dyDescent="0.2">
      <c r="A64" s="125">
        <v>2017</v>
      </c>
      <c r="B64" s="126">
        <v>325.20603</v>
      </c>
      <c r="C64" s="127">
        <v>236.14089999999996</v>
      </c>
      <c r="D64" s="127">
        <v>1.0833333333333333</v>
      </c>
      <c r="E64" s="127" t="s">
        <v>3</v>
      </c>
      <c r="F64" s="8">
        <f t="shared" si="2"/>
        <v>237.2242333333333</v>
      </c>
      <c r="G64" s="127" t="s">
        <v>3</v>
      </c>
      <c r="H64" s="127" t="s">
        <v>3</v>
      </c>
      <c r="I64" s="127">
        <f t="shared" si="17"/>
        <v>237.2242333333333</v>
      </c>
      <c r="J64" s="146">
        <f t="shared" si="18"/>
        <v>0.72945828628495391</v>
      </c>
      <c r="K64" s="146">
        <f t="shared" si="19"/>
        <v>0.64192329193075948</v>
      </c>
      <c r="L64" s="83"/>
    </row>
    <row r="65" spans="1:12" s="93" customFormat="1" ht="12" customHeight="1" x14ac:dyDescent="0.2">
      <c r="A65" s="128">
        <v>2018</v>
      </c>
      <c r="B65" s="129">
        <v>326.92397599999998</v>
      </c>
      <c r="C65" s="130">
        <v>239.42736000000002</v>
      </c>
      <c r="D65" s="130">
        <v>1.192090395480226</v>
      </c>
      <c r="E65" s="130" t="s">
        <v>3</v>
      </c>
      <c r="F65" s="8">
        <f t="shared" si="2"/>
        <v>240.61945039548024</v>
      </c>
      <c r="G65" s="130" t="s">
        <v>3</v>
      </c>
      <c r="H65" s="130" t="s">
        <v>3</v>
      </c>
      <c r="I65" s="130">
        <f t="shared" ref="I65:I67" si="20">F65-SUM(G65,H65)</f>
        <v>240.61945039548024</v>
      </c>
      <c r="J65" s="145">
        <f t="shared" ref="J65:J66" si="21">IF(I65=0,0,IF(B65=0,0,I65/B65))</f>
        <v>0.73601041238859843</v>
      </c>
      <c r="K65" s="145">
        <f t="shared" ref="K65:K66" si="22">J65*0.88</f>
        <v>0.64768916290196665</v>
      </c>
      <c r="L65" s="83"/>
    </row>
    <row r="66" spans="1:12" s="93" customFormat="1" ht="12" customHeight="1" x14ac:dyDescent="0.2">
      <c r="A66" s="128">
        <v>2019</v>
      </c>
      <c r="B66" s="129">
        <v>328.475998</v>
      </c>
      <c r="C66" s="130">
        <v>243.69666000000001</v>
      </c>
      <c r="D66" s="162">
        <v>1.1099999999999999</v>
      </c>
      <c r="E66" s="130" t="s">
        <v>3</v>
      </c>
      <c r="F66" s="8">
        <f t="shared" si="2"/>
        <v>244.80666000000002</v>
      </c>
      <c r="G66" s="130" t="s">
        <v>3</v>
      </c>
      <c r="H66" s="130" t="s">
        <v>3</v>
      </c>
      <c r="I66" s="130">
        <f t="shared" si="20"/>
        <v>244.80666000000002</v>
      </c>
      <c r="J66" s="145">
        <f t="shared" si="21"/>
        <v>0.74528020765766889</v>
      </c>
      <c r="K66" s="145">
        <f t="shared" si="22"/>
        <v>0.65584658273874863</v>
      </c>
      <c r="L66" s="83"/>
    </row>
    <row r="67" spans="1:12" s="93" customFormat="1" ht="12" customHeight="1" thickBot="1" x14ac:dyDescent="0.25">
      <c r="A67" s="148">
        <v>2020</v>
      </c>
      <c r="B67" s="149">
        <v>330.11398000000003</v>
      </c>
      <c r="C67" s="147">
        <v>182.34320507894708</v>
      </c>
      <c r="D67" s="124">
        <v>1.1284745762711865</v>
      </c>
      <c r="E67" s="150" t="s">
        <v>3</v>
      </c>
      <c r="F67" s="153">
        <f t="shared" si="2"/>
        <v>183.47167965521825</v>
      </c>
      <c r="G67" s="150" t="s">
        <v>3</v>
      </c>
      <c r="H67" s="150" t="s">
        <v>3</v>
      </c>
      <c r="I67" s="150">
        <f t="shared" si="20"/>
        <v>183.47167965521825</v>
      </c>
      <c r="J67" s="152">
        <f t="shared" ref="J67" si="23">IF(I67=0,0,IF(B67=0,0,I67/B67))</f>
        <v>0.55578282281537494</v>
      </c>
      <c r="K67" s="152">
        <f t="shared" ref="K67" si="24">J67*0.88</f>
        <v>0.48908888407752993</v>
      </c>
      <c r="L67" s="83"/>
    </row>
    <row r="68" spans="1:12" ht="12" customHeight="1" thickTop="1" x14ac:dyDescent="0.2">
      <c r="A68" s="254" t="s">
        <v>8</v>
      </c>
      <c r="B68" s="255"/>
      <c r="C68" s="255"/>
      <c r="D68" s="255"/>
      <c r="E68" s="255"/>
      <c r="F68" s="255"/>
      <c r="G68" s="255"/>
      <c r="H68" s="255"/>
      <c r="I68" s="255"/>
      <c r="J68" s="255"/>
      <c r="K68" s="256"/>
      <c r="L68" s="44"/>
    </row>
    <row r="69" spans="1:12" ht="12" customHeight="1" x14ac:dyDescent="0.2">
      <c r="A69" s="248"/>
      <c r="B69" s="249"/>
      <c r="C69" s="249"/>
      <c r="D69" s="249"/>
      <c r="E69" s="249"/>
      <c r="F69" s="249"/>
      <c r="G69" s="249"/>
      <c r="H69" s="249"/>
      <c r="I69" s="249"/>
      <c r="J69" s="249"/>
      <c r="K69" s="250"/>
      <c r="L69" s="44"/>
    </row>
    <row r="70" spans="1:12" ht="12" customHeight="1" x14ac:dyDescent="0.2">
      <c r="A70" s="251" t="s">
        <v>217</v>
      </c>
      <c r="B70" s="252"/>
      <c r="C70" s="252"/>
      <c r="D70" s="252"/>
      <c r="E70" s="252"/>
      <c r="F70" s="252"/>
      <c r="G70" s="252"/>
      <c r="H70" s="252"/>
      <c r="I70" s="252"/>
      <c r="J70" s="252"/>
      <c r="K70" s="253"/>
      <c r="L70" s="44"/>
    </row>
    <row r="71" spans="1:12" s="93" customFormat="1" ht="12" customHeight="1" x14ac:dyDescent="0.2">
      <c r="A71" s="251"/>
      <c r="B71" s="252"/>
      <c r="C71" s="252"/>
      <c r="D71" s="252"/>
      <c r="E71" s="252"/>
      <c r="F71" s="252"/>
      <c r="G71" s="252"/>
      <c r="H71" s="252"/>
      <c r="I71" s="252"/>
      <c r="J71" s="252"/>
      <c r="K71" s="253"/>
      <c r="L71" s="94"/>
    </row>
    <row r="72" spans="1:12" ht="12" customHeight="1" x14ac:dyDescent="0.2">
      <c r="A72" s="251"/>
      <c r="B72" s="252"/>
      <c r="C72" s="252"/>
      <c r="D72" s="252"/>
      <c r="E72" s="252"/>
      <c r="F72" s="252"/>
      <c r="G72" s="252"/>
      <c r="H72" s="252"/>
      <c r="I72" s="252"/>
      <c r="J72" s="252"/>
      <c r="K72" s="253"/>
      <c r="L72" s="44" t="s">
        <v>142</v>
      </c>
    </row>
    <row r="73" spans="1:12" ht="12" customHeight="1" x14ac:dyDescent="0.2">
      <c r="A73" s="275"/>
      <c r="B73" s="276"/>
      <c r="C73" s="276"/>
      <c r="D73" s="276"/>
      <c r="E73" s="276"/>
      <c r="F73" s="276"/>
      <c r="G73" s="276"/>
      <c r="H73" s="276"/>
      <c r="I73" s="276"/>
      <c r="J73" s="276"/>
      <c r="K73" s="277"/>
      <c r="L73" s="43"/>
    </row>
    <row r="74" spans="1:12" ht="12" customHeight="1" x14ac:dyDescent="0.2">
      <c r="A74" s="223" t="s">
        <v>198</v>
      </c>
      <c r="B74" s="224"/>
      <c r="C74" s="224"/>
      <c r="D74" s="224"/>
      <c r="E74" s="224"/>
      <c r="F74" s="224"/>
      <c r="G74" s="224"/>
      <c r="H74" s="224"/>
      <c r="I74" s="224"/>
      <c r="J74" s="224"/>
      <c r="K74" s="225"/>
      <c r="L74" s="43"/>
    </row>
  </sheetData>
  <mergeCells count="23">
    <mergeCell ref="A1:I1"/>
    <mergeCell ref="C6:I6"/>
    <mergeCell ref="J6:K6"/>
    <mergeCell ref="J1:K1"/>
    <mergeCell ref="C3:C5"/>
    <mergeCell ref="D3:D5"/>
    <mergeCell ref="E3:E5"/>
    <mergeCell ref="F3:F5"/>
    <mergeCell ref="G3:G5"/>
    <mergeCell ref="H3:H5"/>
    <mergeCell ref="A2:A5"/>
    <mergeCell ref="B2:B5"/>
    <mergeCell ref="I3:I5"/>
    <mergeCell ref="J4:J5"/>
    <mergeCell ref="C2:F2"/>
    <mergeCell ref="J3:K3"/>
    <mergeCell ref="I2:K2"/>
    <mergeCell ref="G2:H2"/>
    <mergeCell ref="A74:K74"/>
    <mergeCell ref="A70:K72"/>
    <mergeCell ref="A68:K68"/>
    <mergeCell ref="A69:K69"/>
    <mergeCell ref="A73:K73"/>
  </mergeCells>
  <phoneticPr fontId="7" type="noConversion"/>
  <printOptions horizontalCentered="1"/>
  <pageMargins left="0.45" right="0.45" top="0.75" bottom="0.75" header="0" footer="0"/>
  <pageSetup scale="66" fitToWidth="2"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pageSetUpPr autoPageBreaks="0" fitToPage="1"/>
  </sheetPr>
  <dimension ref="A1:M74"/>
  <sheetViews>
    <sheetView showOutlineSymbols="0" zoomScaleNormal="100" workbookViewId="0">
      <pane ySplit="6" topLeftCell="A7" activePane="bottomLeft" state="frozen"/>
      <selection sqref="A1:G1"/>
      <selection pane="bottomLeft" sqref="A1:J1"/>
    </sheetView>
  </sheetViews>
  <sheetFormatPr defaultColWidth="12.7109375" defaultRowHeight="12" customHeight="1" x14ac:dyDescent="0.2"/>
  <cols>
    <col min="1" max="1" width="12.7109375" style="13" customWidth="1"/>
    <col min="2" max="16384" width="12.7109375" style="13"/>
  </cols>
  <sheetData>
    <row r="1" spans="1:13" s="1" customFormat="1" ht="12" customHeight="1" thickBot="1" x14ac:dyDescent="0.25">
      <c r="A1" s="201" t="s">
        <v>167</v>
      </c>
      <c r="B1" s="201"/>
      <c r="C1" s="201"/>
      <c r="D1" s="201"/>
      <c r="E1" s="201"/>
      <c r="F1" s="201"/>
      <c r="G1" s="201"/>
      <c r="H1" s="201"/>
      <c r="I1" s="201"/>
      <c r="J1" s="201"/>
      <c r="K1" s="200" t="s">
        <v>19</v>
      </c>
      <c r="L1" s="200"/>
    </row>
    <row r="2" spans="1:13" ht="12" customHeight="1" thickTop="1" x14ac:dyDescent="0.2">
      <c r="A2" s="257" t="s">
        <v>1</v>
      </c>
      <c r="B2" s="258" t="s">
        <v>92</v>
      </c>
      <c r="C2" s="218" t="s">
        <v>2</v>
      </c>
      <c r="D2" s="218"/>
      <c r="E2" s="218"/>
      <c r="F2" s="218"/>
      <c r="G2" s="244" t="s">
        <v>146</v>
      </c>
      <c r="H2" s="245"/>
      <c r="I2" s="246"/>
      <c r="J2" s="244" t="s">
        <v>147</v>
      </c>
      <c r="K2" s="245"/>
      <c r="L2" s="245"/>
    </row>
    <row r="3" spans="1:13" ht="12" customHeight="1" x14ac:dyDescent="0.2">
      <c r="A3" s="217"/>
      <c r="B3" s="259"/>
      <c r="C3" s="217" t="s">
        <v>93</v>
      </c>
      <c r="D3" s="217" t="s">
        <v>200</v>
      </c>
      <c r="E3" s="217" t="s">
        <v>141</v>
      </c>
      <c r="F3" s="217" t="s">
        <v>101</v>
      </c>
      <c r="G3" s="217" t="s">
        <v>201</v>
      </c>
      <c r="H3" s="217" t="s">
        <v>102</v>
      </c>
      <c r="I3" s="217" t="s">
        <v>103</v>
      </c>
      <c r="J3" s="217" t="s">
        <v>138</v>
      </c>
      <c r="K3" s="226" t="s">
        <v>28</v>
      </c>
      <c r="L3" s="227"/>
    </row>
    <row r="4" spans="1:13" ht="12" customHeight="1" x14ac:dyDescent="0.2">
      <c r="A4" s="217"/>
      <c r="B4" s="259"/>
      <c r="C4" s="217"/>
      <c r="D4" s="217"/>
      <c r="E4" s="217"/>
      <c r="F4" s="217"/>
      <c r="G4" s="217"/>
      <c r="H4" s="217"/>
      <c r="I4" s="217"/>
      <c r="J4" s="217"/>
      <c r="K4" s="217" t="s">
        <v>4</v>
      </c>
      <c r="L4" s="14" t="s">
        <v>202</v>
      </c>
      <c r="M4" s="4"/>
    </row>
    <row r="5" spans="1:13" ht="12" customHeight="1" x14ac:dyDescent="0.2">
      <c r="A5" s="217"/>
      <c r="B5" s="259"/>
      <c r="C5" s="217"/>
      <c r="D5" s="217"/>
      <c r="E5" s="217"/>
      <c r="F5" s="217"/>
      <c r="G5" s="217"/>
      <c r="H5" s="217"/>
      <c r="I5" s="217"/>
      <c r="J5" s="217"/>
      <c r="K5" s="217"/>
      <c r="L5" s="14" t="s">
        <v>192</v>
      </c>
    </row>
    <row r="6" spans="1:13" ht="12" customHeight="1" x14ac:dyDescent="0.2">
      <c r="A6" s="80"/>
      <c r="B6" s="81" t="s">
        <v>124</v>
      </c>
      <c r="C6" s="273" t="s">
        <v>119</v>
      </c>
      <c r="D6" s="274"/>
      <c r="E6" s="274"/>
      <c r="F6" s="274"/>
      <c r="G6" s="274"/>
      <c r="H6" s="274"/>
      <c r="I6" s="274"/>
      <c r="J6" s="274"/>
      <c r="K6" s="273" t="s">
        <v>126</v>
      </c>
      <c r="L6" s="274"/>
      <c r="M6" s="80"/>
    </row>
    <row r="7" spans="1:13" ht="12" customHeight="1" x14ac:dyDescent="0.2">
      <c r="A7" s="2">
        <v>1960</v>
      </c>
      <c r="B7" s="20">
        <v>180.67099999999999</v>
      </c>
      <c r="C7" s="8" t="s">
        <v>3</v>
      </c>
      <c r="D7" s="8" t="s">
        <v>3</v>
      </c>
      <c r="E7" s="8" t="s">
        <v>3</v>
      </c>
      <c r="F7" s="8" t="s">
        <v>3</v>
      </c>
      <c r="G7" s="8" t="s">
        <v>3</v>
      </c>
      <c r="H7" s="8" t="s">
        <v>3</v>
      </c>
      <c r="I7" s="8" t="s">
        <v>3</v>
      </c>
      <c r="J7" s="8" t="s">
        <v>3</v>
      </c>
      <c r="K7" s="8" t="s">
        <v>3</v>
      </c>
      <c r="L7" s="8" t="s">
        <v>3</v>
      </c>
    </row>
    <row r="8" spans="1:13" ht="12" customHeight="1" x14ac:dyDescent="0.2">
      <c r="A8" s="3">
        <v>1961</v>
      </c>
      <c r="B8" s="21">
        <v>183.691</v>
      </c>
      <c r="C8" s="9" t="s">
        <v>3</v>
      </c>
      <c r="D8" s="9" t="s">
        <v>3</v>
      </c>
      <c r="E8" s="9" t="s">
        <v>3</v>
      </c>
      <c r="F8" s="9" t="s">
        <v>3</v>
      </c>
      <c r="G8" s="9" t="s">
        <v>3</v>
      </c>
      <c r="H8" s="9" t="s">
        <v>3</v>
      </c>
      <c r="I8" s="9" t="s">
        <v>3</v>
      </c>
      <c r="J8" s="9" t="s">
        <v>3</v>
      </c>
      <c r="K8" s="9" t="s">
        <v>3</v>
      </c>
      <c r="L8" s="9" t="s">
        <v>3</v>
      </c>
    </row>
    <row r="9" spans="1:13" ht="12" customHeight="1" x14ac:dyDescent="0.2">
      <c r="A9" s="3">
        <v>1962</v>
      </c>
      <c r="B9" s="21">
        <v>186.53800000000001</v>
      </c>
      <c r="C9" s="9" t="s">
        <v>3</v>
      </c>
      <c r="D9" s="9" t="s">
        <v>3</v>
      </c>
      <c r="E9" s="9" t="s">
        <v>3</v>
      </c>
      <c r="F9" s="9" t="s">
        <v>3</v>
      </c>
      <c r="G9" s="9" t="s">
        <v>3</v>
      </c>
      <c r="H9" s="9" t="s">
        <v>3</v>
      </c>
      <c r="I9" s="9" t="s">
        <v>3</v>
      </c>
      <c r="J9" s="9" t="s">
        <v>3</v>
      </c>
      <c r="K9" s="9" t="s">
        <v>3</v>
      </c>
      <c r="L9" s="9" t="s">
        <v>3</v>
      </c>
    </row>
    <row r="10" spans="1:13" ht="12" customHeight="1" x14ac:dyDescent="0.2">
      <c r="A10" s="3">
        <v>1963</v>
      </c>
      <c r="B10" s="21">
        <v>189.24199999999999</v>
      </c>
      <c r="C10" s="9" t="s">
        <v>3</v>
      </c>
      <c r="D10" s="9" t="s">
        <v>3</v>
      </c>
      <c r="E10" s="9" t="s">
        <v>3</v>
      </c>
      <c r="F10" s="9" t="s">
        <v>3</v>
      </c>
      <c r="G10" s="9" t="s">
        <v>3</v>
      </c>
      <c r="H10" s="9" t="s">
        <v>3</v>
      </c>
      <c r="I10" s="9" t="s">
        <v>3</v>
      </c>
      <c r="J10" s="9" t="s">
        <v>3</v>
      </c>
      <c r="K10" s="9" t="s">
        <v>3</v>
      </c>
      <c r="L10" s="9" t="s">
        <v>3</v>
      </c>
    </row>
    <row r="11" spans="1:13" ht="12" customHeight="1" x14ac:dyDescent="0.2">
      <c r="A11" s="3">
        <v>1964</v>
      </c>
      <c r="B11" s="21">
        <v>191.88900000000001</v>
      </c>
      <c r="C11" s="9" t="s">
        <v>3</v>
      </c>
      <c r="D11" s="9" t="s">
        <v>3</v>
      </c>
      <c r="E11" s="9" t="s">
        <v>3</v>
      </c>
      <c r="F11" s="9" t="s">
        <v>3</v>
      </c>
      <c r="G11" s="9" t="s">
        <v>3</v>
      </c>
      <c r="H11" s="9" t="s">
        <v>3</v>
      </c>
      <c r="I11" s="9" t="s">
        <v>3</v>
      </c>
      <c r="J11" s="9" t="s">
        <v>3</v>
      </c>
      <c r="K11" s="9" t="s">
        <v>3</v>
      </c>
      <c r="L11" s="9" t="s">
        <v>3</v>
      </c>
    </row>
    <row r="12" spans="1:13" ht="12" customHeight="1" x14ac:dyDescent="0.2">
      <c r="A12" s="3">
        <v>1965</v>
      </c>
      <c r="B12" s="21">
        <v>194.303</v>
      </c>
      <c r="C12" s="9" t="s">
        <v>3</v>
      </c>
      <c r="D12" s="9" t="s">
        <v>3</v>
      </c>
      <c r="E12" s="9" t="s">
        <v>3</v>
      </c>
      <c r="F12" s="9" t="s">
        <v>3</v>
      </c>
      <c r="G12" s="9" t="s">
        <v>3</v>
      </c>
      <c r="H12" s="9" t="s">
        <v>3</v>
      </c>
      <c r="I12" s="9" t="s">
        <v>3</v>
      </c>
      <c r="J12" s="9" t="s">
        <v>3</v>
      </c>
      <c r="K12" s="9" t="s">
        <v>3</v>
      </c>
      <c r="L12" s="9" t="s">
        <v>3</v>
      </c>
    </row>
    <row r="13" spans="1:13" ht="12" customHeight="1" x14ac:dyDescent="0.2">
      <c r="A13" s="2">
        <v>1966</v>
      </c>
      <c r="B13" s="20">
        <v>196.56</v>
      </c>
      <c r="C13" s="8" t="s">
        <v>3</v>
      </c>
      <c r="D13" s="8" t="s">
        <v>3</v>
      </c>
      <c r="E13" s="8" t="s">
        <v>3</v>
      </c>
      <c r="F13" s="8" t="s">
        <v>3</v>
      </c>
      <c r="G13" s="8" t="s">
        <v>3</v>
      </c>
      <c r="H13" s="8" t="s">
        <v>3</v>
      </c>
      <c r="I13" s="8" t="s">
        <v>3</v>
      </c>
      <c r="J13" s="8" t="s">
        <v>3</v>
      </c>
      <c r="K13" s="8" t="s">
        <v>3</v>
      </c>
      <c r="L13" s="8" t="s">
        <v>3</v>
      </c>
    </row>
    <row r="14" spans="1:13" ht="12" customHeight="1" x14ac:dyDescent="0.2">
      <c r="A14" s="2">
        <v>1967</v>
      </c>
      <c r="B14" s="20">
        <v>198.71199999999999</v>
      </c>
      <c r="C14" s="8" t="s">
        <v>3</v>
      </c>
      <c r="D14" s="8" t="s">
        <v>3</v>
      </c>
      <c r="E14" s="8" t="s">
        <v>3</v>
      </c>
      <c r="F14" s="8" t="s">
        <v>3</v>
      </c>
      <c r="G14" s="8" t="s">
        <v>3</v>
      </c>
      <c r="H14" s="8" t="s">
        <v>3</v>
      </c>
      <c r="I14" s="8" t="s">
        <v>3</v>
      </c>
      <c r="J14" s="8" t="s">
        <v>3</v>
      </c>
      <c r="K14" s="8" t="s">
        <v>3</v>
      </c>
      <c r="L14" s="8" t="s">
        <v>3</v>
      </c>
    </row>
    <row r="15" spans="1:13" ht="12" customHeight="1" x14ac:dyDescent="0.2">
      <c r="A15" s="2">
        <v>1968</v>
      </c>
      <c r="B15" s="20">
        <v>200.70599999999999</v>
      </c>
      <c r="C15" s="8" t="s">
        <v>3</v>
      </c>
      <c r="D15" s="8" t="s">
        <v>3</v>
      </c>
      <c r="E15" s="8" t="s">
        <v>3</v>
      </c>
      <c r="F15" s="8" t="s">
        <v>3</v>
      </c>
      <c r="G15" s="8" t="s">
        <v>3</v>
      </c>
      <c r="H15" s="8" t="s">
        <v>3</v>
      </c>
      <c r="I15" s="8" t="s">
        <v>3</v>
      </c>
      <c r="J15" s="8" t="s">
        <v>3</v>
      </c>
      <c r="K15" s="8" t="s">
        <v>3</v>
      </c>
      <c r="L15" s="8" t="s">
        <v>3</v>
      </c>
    </row>
    <row r="16" spans="1:13" ht="12" customHeight="1" x14ac:dyDescent="0.2">
      <c r="A16" s="2">
        <v>1969</v>
      </c>
      <c r="B16" s="20">
        <v>202.67699999999999</v>
      </c>
      <c r="C16" s="8" t="s">
        <v>3</v>
      </c>
      <c r="D16" s="8" t="s">
        <v>3</v>
      </c>
      <c r="E16" s="8" t="s">
        <v>3</v>
      </c>
      <c r="F16" s="8" t="s">
        <v>3</v>
      </c>
      <c r="G16" s="8" t="s">
        <v>3</v>
      </c>
      <c r="H16" s="8" t="s">
        <v>3</v>
      </c>
      <c r="I16" s="8" t="s">
        <v>3</v>
      </c>
      <c r="J16" s="8" t="s">
        <v>3</v>
      </c>
      <c r="K16" s="8" t="s">
        <v>3</v>
      </c>
      <c r="L16" s="8" t="s">
        <v>3</v>
      </c>
    </row>
    <row r="17" spans="1:12" ht="12" customHeight="1" x14ac:dyDescent="0.2">
      <c r="A17" s="2">
        <v>1970</v>
      </c>
      <c r="B17" s="20">
        <v>205.05199999999999</v>
      </c>
      <c r="C17" s="111">
        <v>2602.3000000000002</v>
      </c>
      <c r="D17" s="111">
        <v>83.4</v>
      </c>
      <c r="E17" s="111">
        <v>445.5</v>
      </c>
      <c r="F17" s="111">
        <f t="shared" ref="F17:F67" si="0">SUM(C17,D17,E17)</f>
        <v>3131.2000000000003</v>
      </c>
      <c r="G17" s="111">
        <v>147.19999999999999</v>
      </c>
      <c r="H17" s="111">
        <v>553.9</v>
      </c>
      <c r="I17" s="111">
        <v>350.1</v>
      </c>
      <c r="J17" s="111">
        <f t="shared" ref="J17:J59" si="1">F17-SUM(G17,H17,I17)</f>
        <v>2080.0000000000005</v>
      </c>
      <c r="K17" s="142">
        <f t="shared" ref="K17:K59" si="2">IF(J17=0,0,IF(B17=0,0,J17/B17))</f>
        <v>10.143768409964304</v>
      </c>
      <c r="L17" s="142">
        <f t="shared" ref="L17:L47" si="3">K17*0.94</f>
        <v>9.5351423053664455</v>
      </c>
    </row>
    <row r="18" spans="1:12" ht="12" customHeight="1" x14ac:dyDescent="0.2">
      <c r="A18" s="3">
        <v>1971</v>
      </c>
      <c r="B18" s="21">
        <v>207.661</v>
      </c>
      <c r="C18" s="112">
        <v>2490.3000000000002</v>
      </c>
      <c r="D18" s="112">
        <v>59.7</v>
      </c>
      <c r="E18" s="112">
        <v>553.9</v>
      </c>
      <c r="F18" s="112">
        <f t="shared" si="0"/>
        <v>3103.9</v>
      </c>
      <c r="G18" s="112">
        <v>137</v>
      </c>
      <c r="H18" s="112">
        <v>489.8</v>
      </c>
      <c r="I18" s="112">
        <v>249.8</v>
      </c>
      <c r="J18" s="112">
        <f t="shared" si="1"/>
        <v>2227.3000000000002</v>
      </c>
      <c r="K18" s="143">
        <f t="shared" si="2"/>
        <v>10.725653830040306</v>
      </c>
      <c r="L18" s="143">
        <f t="shared" si="3"/>
        <v>10.082114600237887</v>
      </c>
    </row>
    <row r="19" spans="1:12" ht="12" customHeight="1" x14ac:dyDescent="0.2">
      <c r="A19" s="3">
        <v>1972</v>
      </c>
      <c r="B19" s="21">
        <v>209.89599999999999</v>
      </c>
      <c r="C19" s="112">
        <v>2449.5</v>
      </c>
      <c r="D19" s="112">
        <v>69.8</v>
      </c>
      <c r="E19" s="112">
        <v>489.8</v>
      </c>
      <c r="F19" s="112">
        <f t="shared" si="0"/>
        <v>3009.1000000000004</v>
      </c>
      <c r="G19" s="112">
        <v>128.80000000000001</v>
      </c>
      <c r="H19" s="112">
        <v>398.2</v>
      </c>
      <c r="I19" s="112">
        <v>236.7</v>
      </c>
      <c r="J19" s="112">
        <f t="shared" si="1"/>
        <v>2245.4000000000005</v>
      </c>
      <c r="K19" s="143">
        <f t="shared" si="2"/>
        <v>10.697678850478335</v>
      </c>
      <c r="L19" s="143">
        <f t="shared" si="3"/>
        <v>10.055818119449635</v>
      </c>
    </row>
    <row r="20" spans="1:12" ht="12" customHeight="1" x14ac:dyDescent="0.2">
      <c r="A20" s="3">
        <v>1973</v>
      </c>
      <c r="B20" s="21">
        <v>211.90899999999999</v>
      </c>
      <c r="C20" s="112">
        <v>2501.8000000000002</v>
      </c>
      <c r="D20" s="112">
        <v>157.4</v>
      </c>
      <c r="E20" s="112">
        <v>398.2</v>
      </c>
      <c r="F20" s="112">
        <f t="shared" si="0"/>
        <v>3057.4</v>
      </c>
      <c r="G20" s="112">
        <v>186.2</v>
      </c>
      <c r="H20" s="112">
        <v>476.1</v>
      </c>
      <c r="I20" s="112">
        <v>225</v>
      </c>
      <c r="J20" s="112">
        <f t="shared" si="1"/>
        <v>2170.1000000000004</v>
      </c>
      <c r="K20" s="143">
        <f t="shared" si="2"/>
        <v>10.24071653398393</v>
      </c>
      <c r="L20" s="143">
        <f t="shared" si="3"/>
        <v>9.6262735419448937</v>
      </c>
    </row>
    <row r="21" spans="1:12" ht="12" customHeight="1" x14ac:dyDescent="0.2">
      <c r="A21" s="3">
        <v>1974</v>
      </c>
      <c r="B21" s="21">
        <v>213.85400000000001</v>
      </c>
      <c r="C21" s="112">
        <v>2747.9</v>
      </c>
      <c r="D21" s="112">
        <v>108.6</v>
      </c>
      <c r="E21" s="112">
        <v>476.1</v>
      </c>
      <c r="F21" s="112">
        <f t="shared" si="0"/>
        <v>3332.6</v>
      </c>
      <c r="G21" s="112">
        <v>147.6</v>
      </c>
      <c r="H21" s="112">
        <v>511.9</v>
      </c>
      <c r="I21" s="112">
        <v>281</v>
      </c>
      <c r="J21" s="112">
        <f t="shared" si="1"/>
        <v>2392.1</v>
      </c>
      <c r="K21" s="143">
        <f t="shared" si="2"/>
        <v>11.185668727262524</v>
      </c>
      <c r="L21" s="143">
        <f t="shared" si="3"/>
        <v>10.514528603626772</v>
      </c>
    </row>
    <row r="22" spans="1:12" ht="12" customHeight="1" x14ac:dyDescent="0.2">
      <c r="A22" s="3">
        <v>1975</v>
      </c>
      <c r="B22" s="21">
        <v>215.97300000000001</v>
      </c>
      <c r="C22" s="112">
        <v>2544.4</v>
      </c>
      <c r="D22" s="112">
        <v>91</v>
      </c>
      <c r="E22" s="112">
        <v>511.9</v>
      </c>
      <c r="F22" s="112">
        <f t="shared" si="0"/>
        <v>3147.3</v>
      </c>
      <c r="G22" s="112">
        <v>152.5</v>
      </c>
      <c r="H22" s="112">
        <v>443</v>
      </c>
      <c r="I22" s="112">
        <v>283.3</v>
      </c>
      <c r="J22" s="112">
        <f t="shared" si="1"/>
        <v>2268.5</v>
      </c>
      <c r="K22" s="143">
        <f t="shared" si="2"/>
        <v>10.503627768285851</v>
      </c>
      <c r="L22" s="143">
        <f t="shared" si="3"/>
        <v>9.8734101021887</v>
      </c>
    </row>
    <row r="23" spans="1:12" ht="12" customHeight="1" x14ac:dyDescent="0.2">
      <c r="A23" s="2">
        <v>1976</v>
      </c>
      <c r="B23" s="20">
        <v>218.035</v>
      </c>
      <c r="C23" s="111">
        <v>3085.5</v>
      </c>
      <c r="D23" s="111">
        <v>88.4</v>
      </c>
      <c r="E23" s="111">
        <v>443</v>
      </c>
      <c r="F23" s="111">
        <f t="shared" si="0"/>
        <v>3616.9</v>
      </c>
      <c r="G23" s="111">
        <v>326.60000000000002</v>
      </c>
      <c r="H23" s="111">
        <v>510</v>
      </c>
      <c r="I23" s="111">
        <v>380.6</v>
      </c>
      <c r="J23" s="111">
        <f t="shared" si="1"/>
        <v>2399.6999999999998</v>
      </c>
      <c r="K23" s="142">
        <f t="shared" si="2"/>
        <v>11.006031141789162</v>
      </c>
      <c r="L23" s="142">
        <f t="shared" si="3"/>
        <v>10.345669273281812</v>
      </c>
    </row>
    <row r="24" spans="1:12" ht="12" customHeight="1" x14ac:dyDescent="0.2">
      <c r="A24" s="2">
        <v>1977</v>
      </c>
      <c r="B24" s="20">
        <v>220.23899999999998</v>
      </c>
      <c r="C24" s="111">
        <v>2918.9</v>
      </c>
      <c r="D24" s="111">
        <v>154.19999999999999</v>
      </c>
      <c r="E24" s="111">
        <v>510</v>
      </c>
      <c r="F24" s="111">
        <f t="shared" si="0"/>
        <v>3583.1</v>
      </c>
      <c r="G24" s="111">
        <v>189.2</v>
      </c>
      <c r="H24" s="111">
        <v>529.9</v>
      </c>
      <c r="I24" s="111">
        <v>426.5</v>
      </c>
      <c r="J24" s="111">
        <f t="shared" si="1"/>
        <v>2437.5</v>
      </c>
      <c r="K24" s="142">
        <f t="shared" si="2"/>
        <v>11.067522100990288</v>
      </c>
      <c r="L24" s="142">
        <f t="shared" si="3"/>
        <v>10.40347077493087</v>
      </c>
    </row>
    <row r="25" spans="1:12" ht="12" customHeight="1" x14ac:dyDescent="0.2">
      <c r="A25" s="2">
        <v>1978</v>
      </c>
      <c r="B25" s="20">
        <v>222.58500000000001</v>
      </c>
      <c r="C25" s="111">
        <v>3052.9</v>
      </c>
      <c r="D25" s="111">
        <v>149.19999999999999</v>
      </c>
      <c r="E25" s="111">
        <v>529.9</v>
      </c>
      <c r="F25" s="111">
        <f t="shared" si="0"/>
        <v>3732</v>
      </c>
      <c r="G25" s="111">
        <v>281.5</v>
      </c>
      <c r="H25" s="111">
        <v>641</v>
      </c>
      <c r="I25" s="111">
        <v>379.5</v>
      </c>
      <c r="J25" s="111">
        <f t="shared" si="1"/>
        <v>2430</v>
      </c>
      <c r="K25" s="142">
        <f t="shared" si="2"/>
        <v>10.917177707392682</v>
      </c>
      <c r="L25" s="142">
        <f t="shared" si="3"/>
        <v>10.262147044949121</v>
      </c>
    </row>
    <row r="26" spans="1:12" ht="12" customHeight="1" x14ac:dyDescent="0.2">
      <c r="A26" s="2">
        <v>1979</v>
      </c>
      <c r="B26" s="20">
        <v>225.05500000000001</v>
      </c>
      <c r="C26" s="111">
        <v>3150.7</v>
      </c>
      <c r="D26" s="111">
        <v>169</v>
      </c>
      <c r="E26" s="111">
        <v>641</v>
      </c>
      <c r="F26" s="111">
        <f t="shared" si="0"/>
        <v>3960.7</v>
      </c>
      <c r="G26" s="111">
        <v>187.6</v>
      </c>
      <c r="H26" s="111">
        <v>758</v>
      </c>
      <c r="I26" s="111">
        <v>439.6</v>
      </c>
      <c r="J26" s="111">
        <f t="shared" si="1"/>
        <v>2575.5</v>
      </c>
      <c r="K26" s="142">
        <f t="shared" si="2"/>
        <v>11.443869276399102</v>
      </c>
      <c r="L26" s="142">
        <f t="shared" si="3"/>
        <v>10.757237119815155</v>
      </c>
    </row>
    <row r="27" spans="1:12" ht="12" customHeight="1" x14ac:dyDescent="0.2">
      <c r="A27" s="2">
        <v>1980</v>
      </c>
      <c r="B27" s="20">
        <v>227.726</v>
      </c>
      <c r="C27" s="111">
        <v>2902.1</v>
      </c>
      <c r="D27" s="111">
        <v>143.1</v>
      </c>
      <c r="E27" s="111">
        <v>758</v>
      </c>
      <c r="F27" s="111">
        <f t="shared" si="0"/>
        <v>3803.2</v>
      </c>
      <c r="G27" s="111">
        <v>296.58999999999997</v>
      </c>
      <c r="H27" s="111">
        <v>617.5</v>
      </c>
      <c r="I27" s="111">
        <v>297</v>
      </c>
      <c r="J27" s="111">
        <f t="shared" si="1"/>
        <v>2592.1099999999997</v>
      </c>
      <c r="K27" s="142">
        <f t="shared" si="2"/>
        <v>11.382582577307815</v>
      </c>
      <c r="L27" s="142">
        <f t="shared" si="3"/>
        <v>10.699627622669345</v>
      </c>
    </row>
    <row r="28" spans="1:12" ht="12" customHeight="1" x14ac:dyDescent="0.2">
      <c r="A28" s="3">
        <v>1981</v>
      </c>
      <c r="B28" s="21">
        <v>229.96600000000001</v>
      </c>
      <c r="C28" s="112">
        <v>2984.5</v>
      </c>
      <c r="D28" s="112">
        <v>146.30000000000001</v>
      </c>
      <c r="E28" s="112">
        <v>617.5</v>
      </c>
      <c r="F28" s="112">
        <f t="shared" si="0"/>
        <v>3748.3</v>
      </c>
      <c r="G28" s="112">
        <v>426.12900000000002</v>
      </c>
      <c r="H28" s="112">
        <v>576.20000000000005</v>
      </c>
      <c r="I28" s="112">
        <v>277.5</v>
      </c>
      <c r="J28" s="112">
        <f t="shared" si="1"/>
        <v>2468.471</v>
      </c>
      <c r="K28" s="143">
        <f t="shared" si="2"/>
        <v>10.734069384169834</v>
      </c>
      <c r="L28" s="143">
        <f t="shared" si="3"/>
        <v>10.090025221119642</v>
      </c>
    </row>
    <row r="29" spans="1:12" ht="12" customHeight="1" x14ac:dyDescent="0.2">
      <c r="A29" s="3">
        <v>1982</v>
      </c>
      <c r="B29" s="21">
        <v>232.18799999999999</v>
      </c>
      <c r="C29" s="112">
        <v>3396.1</v>
      </c>
      <c r="D29" s="112">
        <v>177.1</v>
      </c>
      <c r="E29" s="112">
        <v>576.20000000000005</v>
      </c>
      <c r="F29" s="112">
        <f t="shared" si="0"/>
        <v>4149.3999999999996</v>
      </c>
      <c r="G29" s="112">
        <v>163.47</v>
      </c>
      <c r="H29" s="112">
        <v>698.7</v>
      </c>
      <c r="I29" s="112">
        <v>444.3</v>
      </c>
      <c r="J29" s="112">
        <f t="shared" si="1"/>
        <v>2842.9299999999994</v>
      </c>
      <c r="K29" s="143">
        <f t="shared" si="2"/>
        <v>12.244086688373212</v>
      </c>
      <c r="L29" s="143">
        <f t="shared" si="3"/>
        <v>11.509441487070818</v>
      </c>
    </row>
    <row r="30" spans="1:12" ht="12" customHeight="1" x14ac:dyDescent="0.2">
      <c r="A30" s="3">
        <v>1983</v>
      </c>
      <c r="B30" s="21">
        <v>234.30699999999999</v>
      </c>
      <c r="C30" s="112">
        <v>3219</v>
      </c>
      <c r="D30" s="112">
        <v>217.2</v>
      </c>
      <c r="E30" s="112">
        <v>698.7</v>
      </c>
      <c r="F30" s="112">
        <f t="shared" si="0"/>
        <v>4134.8999999999996</v>
      </c>
      <c r="G30" s="112">
        <v>226.65700000000001</v>
      </c>
      <c r="H30" s="112">
        <v>683.7</v>
      </c>
      <c r="I30" s="112">
        <v>374.1</v>
      </c>
      <c r="J30" s="112">
        <f t="shared" si="1"/>
        <v>2850.4429999999993</v>
      </c>
      <c r="K30" s="143">
        <f t="shared" si="2"/>
        <v>12.165419727110157</v>
      </c>
      <c r="L30" s="143">
        <f t="shared" si="3"/>
        <v>11.435494543483546</v>
      </c>
    </row>
    <row r="31" spans="1:12" ht="12" customHeight="1" x14ac:dyDescent="0.2">
      <c r="A31" s="3">
        <v>1984</v>
      </c>
      <c r="B31" s="21">
        <v>236.34800000000001</v>
      </c>
      <c r="C31" s="112">
        <v>3605.3</v>
      </c>
      <c r="D31" s="112">
        <v>263.60000000000002</v>
      </c>
      <c r="E31" s="112">
        <v>683.7</v>
      </c>
      <c r="F31" s="112">
        <f t="shared" si="0"/>
        <v>4552.6000000000004</v>
      </c>
      <c r="G31" s="112">
        <v>312.88299999999998</v>
      </c>
      <c r="H31" s="112">
        <v>766.3</v>
      </c>
      <c r="I31" s="112">
        <v>382.8</v>
      </c>
      <c r="J31" s="112">
        <f t="shared" si="1"/>
        <v>3090.6170000000002</v>
      </c>
      <c r="K31" s="143">
        <f t="shared" si="2"/>
        <v>13.076552371926143</v>
      </c>
      <c r="L31" s="143">
        <f t="shared" si="3"/>
        <v>12.291959229610573</v>
      </c>
    </row>
    <row r="32" spans="1:12" ht="12" customHeight="1" x14ac:dyDescent="0.2">
      <c r="A32" s="3">
        <v>1985</v>
      </c>
      <c r="B32" s="21">
        <v>238.46600000000001</v>
      </c>
      <c r="C32" s="112">
        <v>3802.9</v>
      </c>
      <c r="D32" s="112">
        <v>281.8</v>
      </c>
      <c r="E32" s="112">
        <v>766.3</v>
      </c>
      <c r="F32" s="112">
        <f t="shared" si="0"/>
        <v>4851</v>
      </c>
      <c r="G32" s="112">
        <v>195.06800000000001</v>
      </c>
      <c r="H32" s="112">
        <v>752</v>
      </c>
      <c r="I32" s="112">
        <v>655.1</v>
      </c>
      <c r="J32" s="112">
        <f t="shared" si="1"/>
        <v>3248.8319999999999</v>
      </c>
      <c r="K32" s="143">
        <f t="shared" si="2"/>
        <v>13.623879295161574</v>
      </c>
      <c r="L32" s="143">
        <f t="shared" si="3"/>
        <v>12.806446537451878</v>
      </c>
    </row>
    <row r="33" spans="1:12" ht="12" customHeight="1" x14ac:dyDescent="0.2">
      <c r="A33" s="2">
        <v>1986</v>
      </c>
      <c r="B33" s="20">
        <v>240.65100000000001</v>
      </c>
      <c r="C33" s="111">
        <v>3605.1</v>
      </c>
      <c r="D33" s="111">
        <v>263.5</v>
      </c>
      <c r="E33" s="111">
        <v>752</v>
      </c>
      <c r="F33" s="111">
        <f t="shared" si="0"/>
        <v>4620.6000000000004</v>
      </c>
      <c r="G33" s="111">
        <v>261.113</v>
      </c>
      <c r="H33" s="111">
        <v>652.1</v>
      </c>
      <c r="I33" s="111">
        <v>401.8</v>
      </c>
      <c r="J33" s="111">
        <f t="shared" si="1"/>
        <v>3305.5870000000004</v>
      </c>
      <c r="K33" s="142">
        <f t="shared" si="2"/>
        <v>13.736020211842046</v>
      </c>
      <c r="L33" s="142">
        <f t="shared" si="3"/>
        <v>12.911858999131523</v>
      </c>
    </row>
    <row r="34" spans="1:12" ht="12" customHeight="1" x14ac:dyDescent="0.2">
      <c r="A34" s="2">
        <v>1987</v>
      </c>
      <c r="B34" s="20">
        <v>242.804</v>
      </c>
      <c r="C34" s="111">
        <v>3761.9</v>
      </c>
      <c r="D34" s="111">
        <v>387.9</v>
      </c>
      <c r="E34" s="111">
        <v>652.1</v>
      </c>
      <c r="F34" s="111">
        <f t="shared" si="0"/>
        <v>4801.9000000000005</v>
      </c>
      <c r="G34" s="111">
        <v>282.029</v>
      </c>
      <c r="H34" s="111">
        <v>793.8</v>
      </c>
      <c r="I34" s="111">
        <v>469.8</v>
      </c>
      <c r="J34" s="111">
        <f t="shared" si="1"/>
        <v>3256.2710000000006</v>
      </c>
      <c r="K34" s="142">
        <f t="shared" si="2"/>
        <v>13.4111093721685</v>
      </c>
      <c r="L34" s="142">
        <f t="shared" si="3"/>
        <v>12.60644280983839</v>
      </c>
    </row>
    <row r="35" spans="1:12" ht="12" customHeight="1" x14ac:dyDescent="0.2">
      <c r="A35" s="2">
        <v>1988</v>
      </c>
      <c r="B35" s="20">
        <v>245.02099999999999</v>
      </c>
      <c r="C35" s="111">
        <v>3874.4</v>
      </c>
      <c r="D35" s="111">
        <v>425.1</v>
      </c>
      <c r="E35" s="111">
        <v>793.8</v>
      </c>
      <c r="F35" s="111">
        <f t="shared" si="0"/>
        <v>5093.3</v>
      </c>
      <c r="G35" s="111">
        <v>322.86399999999998</v>
      </c>
      <c r="H35" s="111">
        <v>792.5</v>
      </c>
      <c r="I35" s="111">
        <v>413.2</v>
      </c>
      <c r="J35" s="111">
        <f t="shared" si="1"/>
        <v>3564.7359999999999</v>
      </c>
      <c r="K35" s="142">
        <f t="shared" si="2"/>
        <v>14.548695826072052</v>
      </c>
      <c r="L35" s="142">
        <f t="shared" si="3"/>
        <v>13.675774076507729</v>
      </c>
    </row>
    <row r="36" spans="1:12" ht="12" customHeight="1" x14ac:dyDescent="0.2">
      <c r="A36" s="2">
        <v>1989</v>
      </c>
      <c r="B36" s="20">
        <v>247.34200000000001</v>
      </c>
      <c r="C36" s="111">
        <v>4020.7</v>
      </c>
      <c r="D36" s="111">
        <v>364</v>
      </c>
      <c r="E36" s="111">
        <v>792.5</v>
      </c>
      <c r="F36" s="111">
        <f t="shared" si="0"/>
        <v>5177.2</v>
      </c>
      <c r="G36" s="111">
        <v>256.8</v>
      </c>
      <c r="H36" s="111">
        <v>835.6</v>
      </c>
      <c r="I36" s="111">
        <v>433.3</v>
      </c>
      <c r="J36" s="111">
        <f t="shared" si="1"/>
        <v>3651.5</v>
      </c>
      <c r="K36" s="142">
        <f t="shared" si="2"/>
        <v>14.762959788471024</v>
      </c>
      <c r="L36" s="142">
        <f t="shared" si="3"/>
        <v>13.877182201162762</v>
      </c>
    </row>
    <row r="37" spans="1:12" ht="12" customHeight="1" x14ac:dyDescent="0.2">
      <c r="A37" s="2">
        <v>1990</v>
      </c>
      <c r="B37" s="20">
        <v>250.13200000000001</v>
      </c>
      <c r="C37" s="111">
        <v>4397.3</v>
      </c>
      <c r="D37" s="111">
        <v>381.8</v>
      </c>
      <c r="E37" s="111">
        <v>835.6</v>
      </c>
      <c r="F37" s="111">
        <f t="shared" si="0"/>
        <v>5614.7000000000007</v>
      </c>
      <c r="G37" s="111">
        <v>378.34764276680005</v>
      </c>
      <c r="H37" s="111">
        <v>866.9</v>
      </c>
      <c r="I37" s="111">
        <v>602.4</v>
      </c>
      <c r="J37" s="111">
        <f t="shared" si="1"/>
        <v>3767.0523572332008</v>
      </c>
      <c r="K37" s="142">
        <f t="shared" si="2"/>
        <v>15.060257612913185</v>
      </c>
      <c r="L37" s="142">
        <f t="shared" si="3"/>
        <v>14.156642156138393</v>
      </c>
    </row>
    <row r="38" spans="1:12" ht="12" customHeight="1" x14ac:dyDescent="0.2">
      <c r="A38" s="3">
        <v>1991</v>
      </c>
      <c r="B38" s="21">
        <v>253.49299999999999</v>
      </c>
      <c r="C38" s="112">
        <v>4266</v>
      </c>
      <c r="D38" s="112">
        <v>496.10923000000003</v>
      </c>
      <c r="E38" s="112">
        <v>866.9</v>
      </c>
      <c r="F38" s="112">
        <f t="shared" si="0"/>
        <v>5629.0092299999997</v>
      </c>
      <c r="G38" s="112">
        <v>345.01757641270001</v>
      </c>
      <c r="H38" s="112">
        <v>905.5</v>
      </c>
      <c r="I38" s="112">
        <v>402</v>
      </c>
      <c r="J38" s="112">
        <f t="shared" si="1"/>
        <v>3976.4916535872999</v>
      </c>
      <c r="K38" s="143">
        <f t="shared" si="2"/>
        <v>15.686790773659627</v>
      </c>
      <c r="L38" s="143">
        <f t="shared" si="3"/>
        <v>14.745583327240048</v>
      </c>
    </row>
    <row r="39" spans="1:12" ht="12" customHeight="1" x14ac:dyDescent="0.2">
      <c r="A39" s="3">
        <v>1992</v>
      </c>
      <c r="B39" s="21">
        <v>256.89400000000001</v>
      </c>
      <c r="C39" s="112">
        <v>4689.3</v>
      </c>
      <c r="D39" s="112">
        <v>421.74542593000001</v>
      </c>
      <c r="E39" s="112">
        <v>905.5</v>
      </c>
      <c r="F39" s="112">
        <f t="shared" si="0"/>
        <v>6016.5454259300004</v>
      </c>
      <c r="G39" s="112">
        <v>359.87023523240003</v>
      </c>
      <c r="H39" s="112">
        <v>913.6</v>
      </c>
      <c r="I39" s="112">
        <v>606.9</v>
      </c>
      <c r="J39" s="112">
        <f t="shared" si="1"/>
        <v>4136.1751906976006</v>
      </c>
      <c r="K39" s="143">
        <f t="shared" si="2"/>
        <v>16.10070764867066</v>
      </c>
      <c r="L39" s="143">
        <f t="shared" si="3"/>
        <v>15.13466518975042</v>
      </c>
    </row>
    <row r="40" spans="1:12" ht="12" customHeight="1" x14ac:dyDescent="0.2">
      <c r="A40" s="3">
        <v>1993</v>
      </c>
      <c r="B40" s="21">
        <v>260.255</v>
      </c>
      <c r="C40" s="112">
        <v>5056.3999999999996</v>
      </c>
      <c r="D40" s="112">
        <v>510.16515999999996</v>
      </c>
      <c r="E40" s="112">
        <v>913.6</v>
      </c>
      <c r="F40" s="112">
        <f t="shared" si="0"/>
        <v>6480.1651599999996</v>
      </c>
      <c r="G40" s="112">
        <v>437.87116909610006</v>
      </c>
      <c r="H40" s="112">
        <v>755.8</v>
      </c>
      <c r="I40" s="112">
        <v>817</v>
      </c>
      <c r="J40" s="112">
        <f t="shared" si="1"/>
        <v>4469.4939909038994</v>
      </c>
      <c r="K40" s="143">
        <f t="shared" si="2"/>
        <v>17.173518245197592</v>
      </c>
      <c r="L40" s="143">
        <f t="shared" si="3"/>
        <v>16.143107150485736</v>
      </c>
    </row>
    <row r="41" spans="1:12" ht="12" customHeight="1" x14ac:dyDescent="0.2">
      <c r="A41" s="3">
        <v>1994</v>
      </c>
      <c r="B41" s="21">
        <v>263.43599999999998</v>
      </c>
      <c r="C41" s="112">
        <v>5599.3</v>
      </c>
      <c r="D41" s="112">
        <v>544.65210465999996</v>
      </c>
      <c r="E41" s="112">
        <v>755.8</v>
      </c>
      <c r="F41" s="112">
        <f t="shared" si="0"/>
        <v>6899.7521046600004</v>
      </c>
      <c r="G41" s="112">
        <v>802.10089788610014</v>
      </c>
      <c r="H41" s="112">
        <v>1040.4000000000001</v>
      </c>
      <c r="I41" s="112">
        <v>600.5</v>
      </c>
      <c r="J41" s="112">
        <f t="shared" si="1"/>
        <v>4456.7512067739008</v>
      </c>
      <c r="K41" s="143">
        <f t="shared" si="2"/>
        <v>16.917775880190639</v>
      </c>
      <c r="L41" s="143">
        <f t="shared" si="3"/>
        <v>15.902709327379201</v>
      </c>
    </row>
    <row r="42" spans="1:12" ht="12" customHeight="1" x14ac:dyDescent="0.2">
      <c r="A42" s="3">
        <v>1995</v>
      </c>
      <c r="B42" s="21">
        <v>266.55700000000002</v>
      </c>
      <c r="C42" s="112">
        <v>5585.4</v>
      </c>
      <c r="D42" s="112">
        <v>483.69621321</v>
      </c>
      <c r="E42" s="112">
        <v>1040.4000000000001</v>
      </c>
      <c r="F42" s="112">
        <f t="shared" si="0"/>
        <v>7109.496213209999</v>
      </c>
      <c r="G42" s="112">
        <v>662.11935758230004</v>
      </c>
      <c r="H42" s="112">
        <v>999</v>
      </c>
      <c r="I42" s="112">
        <v>708.6</v>
      </c>
      <c r="J42" s="112">
        <f t="shared" si="1"/>
        <v>4739.7768556276988</v>
      </c>
      <c r="K42" s="143">
        <f t="shared" si="2"/>
        <v>17.781475840543294</v>
      </c>
      <c r="L42" s="143">
        <f t="shared" si="3"/>
        <v>16.714587290110696</v>
      </c>
    </row>
    <row r="43" spans="1:12" ht="12" customHeight="1" x14ac:dyDescent="0.2">
      <c r="A43" s="2">
        <v>1996</v>
      </c>
      <c r="B43" s="20">
        <v>269.66699999999997</v>
      </c>
      <c r="C43" s="111">
        <v>5564.6</v>
      </c>
      <c r="D43" s="111">
        <v>625.1959055399999</v>
      </c>
      <c r="E43" s="111">
        <v>999</v>
      </c>
      <c r="F43" s="111">
        <f t="shared" si="0"/>
        <v>7188.7959055400006</v>
      </c>
      <c r="G43" s="111">
        <v>586.32060020920005</v>
      </c>
      <c r="H43" s="111">
        <v>1008.2</v>
      </c>
      <c r="I43" s="111">
        <v>653.20000000000005</v>
      </c>
      <c r="J43" s="111">
        <f t="shared" si="1"/>
        <v>4941.0753053308008</v>
      </c>
      <c r="K43" s="142">
        <f t="shared" si="2"/>
        <v>18.322877123751891</v>
      </c>
      <c r="L43" s="142">
        <f t="shared" si="3"/>
        <v>17.223504496326775</v>
      </c>
    </row>
    <row r="44" spans="1:12" ht="12" customHeight="1" x14ac:dyDescent="0.2">
      <c r="A44" s="2">
        <v>1997</v>
      </c>
      <c r="B44" s="20">
        <v>272.91199999999998</v>
      </c>
      <c r="C44" s="111">
        <v>5960.9</v>
      </c>
      <c r="D44" s="111">
        <v>576.04120804000013</v>
      </c>
      <c r="E44" s="111">
        <v>1008.2</v>
      </c>
      <c r="F44" s="111">
        <f t="shared" si="0"/>
        <v>7545.1412080399996</v>
      </c>
      <c r="G44" s="111">
        <v>600.93940803299995</v>
      </c>
      <c r="H44" s="111">
        <v>1062.5999999999999</v>
      </c>
      <c r="I44" s="111">
        <v>740.1</v>
      </c>
      <c r="J44" s="111">
        <f t="shared" si="1"/>
        <v>5141.5018000069995</v>
      </c>
      <c r="K44" s="142">
        <f t="shared" si="2"/>
        <v>18.83941270448716</v>
      </c>
      <c r="L44" s="142">
        <f t="shared" si="3"/>
        <v>17.709047942217929</v>
      </c>
    </row>
    <row r="45" spans="1:12" ht="12" customHeight="1" x14ac:dyDescent="0.2">
      <c r="A45" s="2">
        <v>1998</v>
      </c>
      <c r="B45" s="20">
        <v>276.11500000000001</v>
      </c>
      <c r="C45" s="111">
        <v>5841.9</v>
      </c>
      <c r="D45" s="111">
        <v>598.44985999999994</v>
      </c>
      <c r="E45" s="111">
        <v>1062.5999999999999</v>
      </c>
      <c r="F45" s="111">
        <f t="shared" si="0"/>
        <v>7502.9498599999988</v>
      </c>
      <c r="G45" s="111">
        <v>628.79626959810014</v>
      </c>
      <c r="H45" s="111">
        <v>1163.3</v>
      </c>
      <c r="I45" s="111">
        <v>630.29999999999995</v>
      </c>
      <c r="J45" s="111">
        <f t="shared" si="1"/>
        <v>5080.5535904018989</v>
      </c>
      <c r="K45" s="142">
        <f t="shared" si="2"/>
        <v>18.400136140383168</v>
      </c>
      <c r="L45" s="142">
        <f t="shared" si="3"/>
        <v>17.296127971960178</v>
      </c>
    </row>
    <row r="46" spans="1:12" ht="12" customHeight="1" x14ac:dyDescent="0.2">
      <c r="A46" s="2">
        <v>1999</v>
      </c>
      <c r="B46" s="20">
        <v>279.29500000000002</v>
      </c>
      <c r="C46" s="111">
        <v>6248.2</v>
      </c>
      <c r="D46" s="111">
        <v>583.51797695000005</v>
      </c>
      <c r="E46" s="111">
        <v>1163.3</v>
      </c>
      <c r="F46" s="111">
        <f t="shared" si="0"/>
        <v>7995.01797695</v>
      </c>
      <c r="G46" s="111">
        <v>665.81982942010006</v>
      </c>
      <c r="H46" s="111">
        <v>1263.5</v>
      </c>
      <c r="I46" s="111">
        <v>904.8</v>
      </c>
      <c r="J46" s="111">
        <f t="shared" si="1"/>
        <v>5160.8981475298997</v>
      </c>
      <c r="K46" s="142">
        <f t="shared" si="2"/>
        <v>18.478304830125492</v>
      </c>
      <c r="L46" s="142">
        <f t="shared" si="3"/>
        <v>17.36960654031796</v>
      </c>
    </row>
    <row r="47" spans="1:12" ht="12" customHeight="1" x14ac:dyDescent="0.2">
      <c r="A47" s="2">
        <v>2000</v>
      </c>
      <c r="B47" s="20">
        <v>282.38499999999999</v>
      </c>
      <c r="C47" s="111">
        <v>6236.8</v>
      </c>
      <c r="D47" s="111">
        <v>482.61166310999999</v>
      </c>
      <c r="E47" s="111">
        <v>1263.5</v>
      </c>
      <c r="F47" s="111">
        <f t="shared" si="0"/>
        <v>7982.9116631100005</v>
      </c>
      <c r="G47" s="111">
        <v>768.11557969579997</v>
      </c>
      <c r="H47" s="111">
        <v>1184.5275000000001</v>
      </c>
      <c r="I47" s="111">
        <v>700.6</v>
      </c>
      <c r="J47" s="111">
        <f t="shared" si="1"/>
        <v>5329.6685834142008</v>
      </c>
      <c r="K47" s="142">
        <f t="shared" si="2"/>
        <v>18.873766607341754</v>
      </c>
      <c r="L47" s="142">
        <f t="shared" si="3"/>
        <v>17.741340610901247</v>
      </c>
    </row>
    <row r="48" spans="1:12" ht="12" customHeight="1" x14ac:dyDescent="0.2">
      <c r="A48" s="3">
        <v>2001</v>
      </c>
      <c r="B48" s="21">
        <v>285.30901899999998</v>
      </c>
      <c r="C48" s="112">
        <v>6083.6</v>
      </c>
      <c r="D48" s="112">
        <v>638.82844805999991</v>
      </c>
      <c r="E48" s="112">
        <v>1184.5275000000001</v>
      </c>
      <c r="F48" s="112">
        <f t="shared" si="0"/>
        <v>7906.9559480600001</v>
      </c>
      <c r="G48" s="112">
        <v>719.22272893619993</v>
      </c>
      <c r="H48" s="112">
        <v>1274.8456153885238</v>
      </c>
      <c r="I48" s="112">
        <v>643.9</v>
      </c>
      <c r="J48" s="112">
        <f t="shared" si="1"/>
        <v>5268.9876037352769</v>
      </c>
      <c r="K48" s="143">
        <f t="shared" si="2"/>
        <v>18.467651748980558</v>
      </c>
      <c r="L48" s="143">
        <f t="shared" ref="L48:L53" si="4">K48*0.94</f>
        <v>17.359592644041722</v>
      </c>
    </row>
    <row r="49" spans="1:12" ht="12" customHeight="1" x14ac:dyDescent="0.2">
      <c r="A49" s="3">
        <v>2002</v>
      </c>
      <c r="B49" s="21">
        <v>288.10481800000002</v>
      </c>
      <c r="C49" s="112">
        <v>6124.2</v>
      </c>
      <c r="D49" s="112">
        <v>605.0007437700001</v>
      </c>
      <c r="E49" s="112">
        <v>1274.8456153885238</v>
      </c>
      <c r="F49" s="112">
        <f t="shared" si="0"/>
        <v>8004.046359158523</v>
      </c>
      <c r="G49" s="112">
        <v>639.02504007640005</v>
      </c>
      <c r="H49" s="112">
        <v>1167.8762259501389</v>
      </c>
      <c r="I49" s="112">
        <v>630</v>
      </c>
      <c r="J49" s="112">
        <f t="shared" si="1"/>
        <v>5567.1450931319841</v>
      </c>
      <c r="K49" s="143">
        <f t="shared" si="2"/>
        <v>19.323332153133183</v>
      </c>
      <c r="L49" s="143">
        <f t="shared" si="4"/>
        <v>18.163932223945192</v>
      </c>
    </row>
    <row r="50" spans="1:12" ht="12" customHeight="1" x14ac:dyDescent="0.2">
      <c r="A50" s="3">
        <v>2003</v>
      </c>
      <c r="B50" s="21">
        <v>290.81963400000001</v>
      </c>
      <c r="C50" s="112">
        <v>6254.6</v>
      </c>
      <c r="D50" s="112">
        <v>659.33874775000004</v>
      </c>
      <c r="E50" s="112">
        <v>1167.8762259501389</v>
      </c>
      <c r="F50" s="112">
        <f t="shared" si="0"/>
        <v>8081.8149737001395</v>
      </c>
      <c r="G50" s="112">
        <v>679.9559893398</v>
      </c>
      <c r="H50" s="112">
        <v>1183.0028050267597</v>
      </c>
      <c r="I50" s="112">
        <v>545.79999999999995</v>
      </c>
      <c r="J50" s="112">
        <f t="shared" si="1"/>
        <v>5673.0561793335801</v>
      </c>
      <c r="K50" s="143">
        <f t="shared" si="2"/>
        <v>19.50712921718889</v>
      </c>
      <c r="L50" s="143">
        <f t="shared" si="4"/>
        <v>18.336701464157557</v>
      </c>
    </row>
    <row r="51" spans="1:12" ht="12" customHeight="1" x14ac:dyDescent="0.2">
      <c r="A51" s="3">
        <v>2004</v>
      </c>
      <c r="B51" s="21">
        <v>293.46318500000001</v>
      </c>
      <c r="C51" s="112">
        <v>7468.5</v>
      </c>
      <c r="D51" s="112">
        <v>702.78869346999988</v>
      </c>
      <c r="E51" s="112">
        <v>1183.0028050267597</v>
      </c>
      <c r="F51" s="112">
        <f t="shared" si="0"/>
        <v>9354.2914984967592</v>
      </c>
      <c r="G51" s="112">
        <v>632.33887490400002</v>
      </c>
      <c r="H51" s="112">
        <v>1420.453985332972</v>
      </c>
      <c r="I51" s="112">
        <v>869.6</v>
      </c>
      <c r="J51" s="112">
        <f t="shared" si="1"/>
        <v>6431.8986382597868</v>
      </c>
      <c r="K51" s="143">
        <f t="shared" si="2"/>
        <v>21.917224943427868</v>
      </c>
      <c r="L51" s="143">
        <f t="shared" si="4"/>
        <v>20.602191446822196</v>
      </c>
    </row>
    <row r="52" spans="1:12" ht="12" customHeight="1" x14ac:dyDescent="0.2">
      <c r="A52" s="3">
        <v>2005</v>
      </c>
      <c r="B52" s="21">
        <v>296.186216</v>
      </c>
      <c r="C52" s="112">
        <v>6458.5</v>
      </c>
      <c r="D52" s="112">
        <v>688.76349939000011</v>
      </c>
      <c r="E52" s="112">
        <v>1420.453985332972</v>
      </c>
      <c r="F52" s="112">
        <f t="shared" si="0"/>
        <v>8567.7174847229726</v>
      </c>
      <c r="G52" s="112">
        <v>676.30381554999997</v>
      </c>
      <c r="H52" s="112">
        <v>1213.5769515954205</v>
      </c>
      <c r="I52" s="112">
        <v>488.3</v>
      </c>
      <c r="J52" s="112">
        <f t="shared" si="1"/>
        <v>6189.5367175775518</v>
      </c>
      <c r="K52" s="143">
        <f t="shared" si="2"/>
        <v>20.897450263443563</v>
      </c>
      <c r="L52" s="143">
        <f t="shared" si="4"/>
        <v>19.64360324763695</v>
      </c>
    </row>
    <row r="53" spans="1:12" ht="12" customHeight="1" x14ac:dyDescent="0.2">
      <c r="A53" s="2">
        <v>2006</v>
      </c>
      <c r="B53" s="20">
        <v>298.99582500000002</v>
      </c>
      <c r="C53" s="111">
        <v>6370.1</v>
      </c>
      <c r="D53" s="111">
        <v>668.63941426999997</v>
      </c>
      <c r="E53" s="111">
        <v>1213.5769515954205</v>
      </c>
      <c r="F53" s="111">
        <f t="shared" si="0"/>
        <v>8252.3163658654212</v>
      </c>
      <c r="G53" s="111">
        <v>660.97219112970004</v>
      </c>
      <c r="H53" s="111">
        <v>1096.2155622078451</v>
      </c>
      <c r="I53" s="111">
        <v>540.4</v>
      </c>
      <c r="J53" s="111">
        <f t="shared" si="1"/>
        <v>5954.7286125278761</v>
      </c>
      <c r="K53" s="142">
        <f t="shared" si="2"/>
        <v>19.915758397388579</v>
      </c>
      <c r="L53" s="142">
        <f t="shared" si="4"/>
        <v>18.720812893545265</v>
      </c>
    </row>
    <row r="54" spans="1:12" ht="12" customHeight="1" x14ac:dyDescent="0.2">
      <c r="A54" s="2">
        <v>2007</v>
      </c>
      <c r="B54" s="20">
        <v>302.003917</v>
      </c>
      <c r="C54" s="111">
        <v>7098.3</v>
      </c>
      <c r="D54" s="111">
        <v>920.57503643999996</v>
      </c>
      <c r="E54" s="111">
        <v>1096.2155622078451</v>
      </c>
      <c r="F54" s="111">
        <f t="shared" si="0"/>
        <v>9115.0905986478447</v>
      </c>
      <c r="G54" s="111">
        <v>555.69649381670001</v>
      </c>
      <c r="H54" s="111">
        <v>1415.3984177901227</v>
      </c>
      <c r="I54" s="111">
        <v>617</v>
      </c>
      <c r="J54" s="111">
        <f t="shared" si="1"/>
        <v>6526.9956870410224</v>
      </c>
      <c r="K54" s="142">
        <f t="shared" si="2"/>
        <v>21.612288184464251</v>
      </c>
      <c r="L54" s="142">
        <f t="shared" ref="L54:L59" si="5">K54*0.94</f>
        <v>20.315550893396395</v>
      </c>
    </row>
    <row r="55" spans="1:12" ht="12" customHeight="1" x14ac:dyDescent="0.2">
      <c r="A55" s="2">
        <v>2008</v>
      </c>
      <c r="B55" s="20">
        <v>304.79776099999998</v>
      </c>
      <c r="C55" s="111">
        <v>6524.8</v>
      </c>
      <c r="D55" s="111">
        <v>739.60009854999998</v>
      </c>
      <c r="E55" s="111">
        <v>1415.3984177901227</v>
      </c>
      <c r="F55" s="111">
        <f t="shared" si="0"/>
        <v>8679.7985163401227</v>
      </c>
      <c r="G55" s="111">
        <v>614.64280225826269</v>
      </c>
      <c r="H55" s="111">
        <v>1418.1669428731116</v>
      </c>
      <c r="I55" s="111">
        <v>494.7</v>
      </c>
      <c r="J55" s="111">
        <f t="shared" si="1"/>
        <v>6152.2887712087486</v>
      </c>
      <c r="K55" s="142">
        <f t="shared" si="2"/>
        <v>20.184822719904261</v>
      </c>
      <c r="L55" s="142">
        <f t="shared" si="5"/>
        <v>18.973733356710003</v>
      </c>
    </row>
    <row r="56" spans="1:12" ht="12" customHeight="1" x14ac:dyDescent="0.2">
      <c r="A56" s="2">
        <v>2009</v>
      </c>
      <c r="B56" s="20">
        <v>307.43940600000002</v>
      </c>
      <c r="C56" s="111">
        <v>6472.4</v>
      </c>
      <c r="D56" s="111">
        <v>705.92709950000005</v>
      </c>
      <c r="E56" s="111">
        <v>1418.1669428731116</v>
      </c>
      <c r="F56" s="111">
        <f t="shared" si="0"/>
        <v>8596.4940423731114</v>
      </c>
      <c r="G56" s="111">
        <v>564.20385007431958</v>
      </c>
      <c r="H56" s="111">
        <v>1507.6424636711606</v>
      </c>
      <c r="I56" s="111">
        <v>504.5</v>
      </c>
      <c r="J56" s="111">
        <f t="shared" si="1"/>
        <v>6020.1477286276313</v>
      </c>
      <c r="K56" s="142">
        <f t="shared" si="2"/>
        <v>19.5815748116155</v>
      </c>
      <c r="L56" s="142">
        <f t="shared" si="5"/>
        <v>18.406680322918568</v>
      </c>
    </row>
    <row r="57" spans="1:12" ht="12" customHeight="1" x14ac:dyDescent="0.2">
      <c r="A57" s="2">
        <v>2010</v>
      </c>
      <c r="B57" s="20">
        <v>309.74127900000002</v>
      </c>
      <c r="C57" s="111">
        <v>6421</v>
      </c>
      <c r="D57" s="111">
        <v>891.91699049725992</v>
      </c>
      <c r="E57" s="111">
        <v>1507.6424636711606</v>
      </c>
      <c r="F57" s="111">
        <f t="shared" si="0"/>
        <v>8820.5594541684204</v>
      </c>
      <c r="G57" s="111">
        <v>717.13057636795963</v>
      </c>
      <c r="H57" s="111">
        <v>1439.0713134272744</v>
      </c>
      <c r="I57" s="111">
        <v>598.70000000000005</v>
      </c>
      <c r="J57" s="111">
        <f t="shared" si="1"/>
        <v>6065.6575643731867</v>
      </c>
      <c r="K57" s="142">
        <f t="shared" si="2"/>
        <v>19.582980944471359</v>
      </c>
      <c r="L57" s="142">
        <f t="shared" si="5"/>
        <v>18.408002087803077</v>
      </c>
    </row>
    <row r="58" spans="1:12" ht="12" customHeight="1" x14ac:dyDescent="0.2">
      <c r="A58" s="33">
        <v>2011</v>
      </c>
      <c r="B58" s="31">
        <v>311.97391399999998</v>
      </c>
      <c r="C58" s="112">
        <v>6437.3</v>
      </c>
      <c r="D58" s="112">
        <v>893.19424152440001</v>
      </c>
      <c r="E58" s="112">
        <v>1439.0713134272744</v>
      </c>
      <c r="F58" s="112">
        <f t="shared" si="0"/>
        <v>8769.5655549516741</v>
      </c>
      <c r="G58" s="112">
        <v>705.30155664920835</v>
      </c>
      <c r="H58" s="112">
        <v>1521.9665717092334</v>
      </c>
      <c r="I58" s="112">
        <v>575.70000000000005</v>
      </c>
      <c r="J58" s="112">
        <f t="shared" si="1"/>
        <v>5966.5974265932327</v>
      </c>
      <c r="K58" s="144">
        <f t="shared" si="2"/>
        <v>19.125308748068061</v>
      </c>
      <c r="L58" s="144">
        <f t="shared" si="5"/>
        <v>17.977790223183977</v>
      </c>
    </row>
    <row r="59" spans="1:12" s="43" customFormat="1" ht="12" customHeight="1" x14ac:dyDescent="0.2">
      <c r="A59" s="33">
        <v>2012</v>
      </c>
      <c r="B59" s="31">
        <v>314.16755799999999</v>
      </c>
      <c r="C59" s="116">
        <v>6222.9</v>
      </c>
      <c r="D59" s="116">
        <v>876.80047594842551</v>
      </c>
      <c r="E59" s="116">
        <v>1521.9665717092334</v>
      </c>
      <c r="F59" s="116">
        <f t="shared" si="0"/>
        <v>8621.6670476576583</v>
      </c>
      <c r="G59" s="116">
        <v>651.60394274623798</v>
      </c>
      <c r="H59" s="116">
        <v>1425.1885644604022</v>
      </c>
      <c r="I59" s="116">
        <v>479.8</v>
      </c>
      <c r="J59" s="116">
        <f t="shared" si="1"/>
        <v>6065.074540451018</v>
      </c>
      <c r="K59" s="144">
        <f t="shared" si="2"/>
        <v>19.305222280306289</v>
      </c>
      <c r="L59" s="144">
        <f t="shared" si="5"/>
        <v>18.146908943487912</v>
      </c>
    </row>
    <row r="60" spans="1:12" s="93" customFormat="1" ht="12" customHeight="1" x14ac:dyDescent="0.2">
      <c r="A60" s="33">
        <v>2013</v>
      </c>
      <c r="B60" s="31">
        <v>316.29476599999998</v>
      </c>
      <c r="C60" s="116">
        <v>6085.2</v>
      </c>
      <c r="D60" s="116">
        <v>994.39280184338816</v>
      </c>
      <c r="E60" s="116">
        <v>1425.1885644604022</v>
      </c>
      <c r="F60" s="116">
        <f t="shared" si="0"/>
        <v>8504.7813663037905</v>
      </c>
      <c r="G60" s="116">
        <v>702.3889049906013</v>
      </c>
      <c r="H60" s="116">
        <v>1480.9603016394551</v>
      </c>
      <c r="I60" s="116">
        <v>473.3</v>
      </c>
      <c r="J60" s="116">
        <f t="shared" ref="J60" si="6">F60-SUM(G60,H60,I60)</f>
        <v>5848.1321596737343</v>
      </c>
      <c r="K60" s="144">
        <f t="shared" ref="K60" si="7">IF(J60=0,0,IF(B60=0,0,J60/B60))</f>
        <v>18.489500264679481</v>
      </c>
      <c r="L60" s="144">
        <f t="shared" ref="L60" si="8">K60*0.94</f>
        <v>17.380130248798711</v>
      </c>
    </row>
    <row r="61" spans="1:12" s="93" customFormat="1" ht="12" customHeight="1" x14ac:dyDescent="0.2">
      <c r="A61" s="33">
        <v>2014</v>
      </c>
      <c r="B61" s="31">
        <v>318.576955</v>
      </c>
      <c r="C61" s="116">
        <v>5973.9</v>
      </c>
      <c r="D61" s="116">
        <v>1134.7404184523132</v>
      </c>
      <c r="E61" s="116">
        <v>1480.9603016394551</v>
      </c>
      <c r="F61" s="116">
        <f t="shared" si="0"/>
        <v>8589.6007200917684</v>
      </c>
      <c r="G61" s="116">
        <v>656.24841532545258</v>
      </c>
      <c r="H61" s="116">
        <v>1679.4916365761126</v>
      </c>
      <c r="I61" s="116">
        <v>402.2</v>
      </c>
      <c r="J61" s="116">
        <f t="shared" ref="J61" si="9">F61-SUM(G61,H61,I61)</f>
        <v>5851.6606681902031</v>
      </c>
      <c r="K61" s="144">
        <f t="shared" ref="K61" si="10">IF(J61=0,0,IF(B61=0,0,J61/B61))</f>
        <v>18.368122917711368</v>
      </c>
      <c r="L61" s="144">
        <f t="shared" ref="L61" si="11">K61*0.94</f>
        <v>17.266035542648684</v>
      </c>
    </row>
    <row r="62" spans="1:12" s="93" customFormat="1" ht="12" customHeight="1" x14ac:dyDescent="0.2">
      <c r="A62" s="33">
        <v>2015</v>
      </c>
      <c r="B62" s="31">
        <v>320.87070299999999</v>
      </c>
      <c r="C62" s="116">
        <v>5728.4</v>
      </c>
      <c r="D62" s="116">
        <v>1109.7185532866488</v>
      </c>
      <c r="E62" s="116">
        <v>1679.4916365761126</v>
      </c>
      <c r="F62" s="116">
        <f t="shared" si="0"/>
        <v>8517.6101898627603</v>
      </c>
      <c r="G62" s="116">
        <v>605.46450098106754</v>
      </c>
      <c r="H62" s="116">
        <v>1592.0624169263599</v>
      </c>
      <c r="I62" s="116">
        <v>459.7</v>
      </c>
      <c r="J62" s="116">
        <f t="shared" ref="J62" si="12">F62-SUM(G62,H62,I62)</f>
        <v>5860.3832719553329</v>
      </c>
      <c r="K62" s="144">
        <f t="shared" ref="K62" si="13">IF(J62=0,0,IF(B62=0,0,J62/B62))</f>
        <v>18.264002344755461</v>
      </c>
      <c r="L62" s="144">
        <f t="shared" ref="L62" si="14">K62*0.94</f>
        <v>17.168162204070132</v>
      </c>
    </row>
    <row r="63" spans="1:12" s="93" customFormat="1" ht="12" customHeight="1" x14ac:dyDescent="0.2">
      <c r="A63" s="128">
        <v>2016</v>
      </c>
      <c r="B63" s="129">
        <v>323.16101099999997</v>
      </c>
      <c r="C63" s="132">
        <v>7443.7999999999993</v>
      </c>
      <c r="D63" s="132">
        <v>1191.3783410599749</v>
      </c>
      <c r="E63" s="132">
        <v>1592.0624169263599</v>
      </c>
      <c r="F63" s="132">
        <f t="shared" si="0"/>
        <v>10227.240757986334</v>
      </c>
      <c r="G63" s="132">
        <v>671.64686888304936</v>
      </c>
      <c r="H63" s="132">
        <v>1708.7417059311697</v>
      </c>
      <c r="I63" s="132">
        <v>496.65</v>
      </c>
      <c r="J63" s="132">
        <f t="shared" ref="J63:J64" si="15">F63-SUM(G63,H63,I63)</f>
        <v>7350.202183172114</v>
      </c>
      <c r="K63" s="145">
        <f t="shared" ref="K63:K64" si="16">IF(J63=0,0,IF(B63=0,0,J63/B63))</f>
        <v>22.744705991689433</v>
      </c>
      <c r="L63" s="145">
        <f t="shared" ref="L63:L64" si="17">K63*0.94</f>
        <v>21.380023632188067</v>
      </c>
    </row>
    <row r="64" spans="1:12" s="93" customFormat="1" ht="12" customHeight="1" x14ac:dyDescent="0.2">
      <c r="A64" s="125">
        <v>2017</v>
      </c>
      <c r="B64" s="126">
        <v>325.20603</v>
      </c>
      <c r="C64" s="139">
        <v>7666.1759999999995</v>
      </c>
      <c r="D64" s="139">
        <v>1257.8633321228237</v>
      </c>
      <c r="E64" s="139">
        <v>1708.7417059311697</v>
      </c>
      <c r="F64" s="139">
        <f t="shared" si="0"/>
        <v>10632.781038053994</v>
      </c>
      <c r="G64" s="139">
        <v>682.17090832612507</v>
      </c>
      <c r="H64" s="139">
        <v>1629.0563318034008</v>
      </c>
      <c r="I64" s="139">
        <v>170.34</v>
      </c>
      <c r="J64" s="139">
        <f t="shared" si="15"/>
        <v>8151.2137979244681</v>
      </c>
      <c r="K64" s="146">
        <f t="shared" si="16"/>
        <v>25.064768319100565</v>
      </c>
      <c r="L64" s="146">
        <f t="shared" si="17"/>
        <v>23.560882219954529</v>
      </c>
    </row>
    <row r="65" spans="1:13" s="93" customFormat="1" ht="12" customHeight="1" x14ac:dyDescent="0.2">
      <c r="A65" s="128">
        <v>2018</v>
      </c>
      <c r="B65" s="129">
        <v>326.92397599999998</v>
      </c>
      <c r="C65" s="132">
        <v>6282.5540000000001</v>
      </c>
      <c r="D65" s="132">
        <v>1301.3027136478026</v>
      </c>
      <c r="E65" s="132">
        <v>1629.0563318034008</v>
      </c>
      <c r="F65" s="132">
        <f t="shared" si="0"/>
        <v>9212.9130454512033</v>
      </c>
      <c r="G65" s="132">
        <v>713.48753467655422</v>
      </c>
      <c r="H65" s="132">
        <v>1630.4706870088405</v>
      </c>
      <c r="I65" s="132">
        <v>148.38866000000002</v>
      </c>
      <c r="J65" s="132">
        <f t="shared" ref="J65:J67" si="18">F65-SUM(G65,H65,I65)</f>
        <v>6720.5661637658086</v>
      </c>
      <c r="K65" s="145">
        <f t="shared" ref="K65:K66" si="19">IF(J65=0,0,IF(B65=0,0,J65/B65))</f>
        <v>20.556969378611157</v>
      </c>
      <c r="L65" s="145">
        <f t="shared" ref="L65:L66" si="20">K65*0.94</f>
        <v>19.323551215894486</v>
      </c>
    </row>
    <row r="66" spans="1:13" s="93" customFormat="1" ht="12" customHeight="1" x14ac:dyDescent="0.2">
      <c r="A66" s="128">
        <v>2019</v>
      </c>
      <c r="B66" s="129">
        <v>328.475998</v>
      </c>
      <c r="C66" s="165">
        <v>6134.2139999999999</v>
      </c>
      <c r="D66" s="132">
        <v>1253.6994165485044</v>
      </c>
      <c r="E66" s="165">
        <v>1630.4706870088405</v>
      </c>
      <c r="F66" s="132">
        <f t="shared" si="0"/>
        <v>9018.384103557346</v>
      </c>
      <c r="G66" s="165">
        <v>823.58225146155212</v>
      </c>
      <c r="H66" s="132">
        <v>1706.7041460502141</v>
      </c>
      <c r="I66" s="165">
        <v>122.206</v>
      </c>
      <c r="J66" s="132">
        <f t="shared" si="18"/>
        <v>6365.8917060455797</v>
      </c>
      <c r="K66" s="145">
        <f t="shared" si="19"/>
        <v>19.380081786205821</v>
      </c>
      <c r="L66" s="145">
        <f t="shared" si="20"/>
        <v>18.21727687903347</v>
      </c>
    </row>
    <row r="67" spans="1:13" s="93" customFormat="1" ht="12" customHeight="1" thickBot="1" x14ac:dyDescent="0.25">
      <c r="A67" s="148">
        <v>2020</v>
      </c>
      <c r="B67" s="149">
        <v>330.11398000000003</v>
      </c>
      <c r="C67" s="154">
        <v>6550.0540000000001</v>
      </c>
      <c r="D67" s="133">
        <v>1237.55368596574</v>
      </c>
      <c r="E67" s="154">
        <v>1706.7041460502141</v>
      </c>
      <c r="F67" s="155">
        <f t="shared" si="0"/>
        <v>9494.3118320159556</v>
      </c>
      <c r="G67" s="154">
        <v>758.35287070070035</v>
      </c>
      <c r="H67" s="133">
        <v>1822.4020744390054</v>
      </c>
      <c r="I67" s="154">
        <v>167.15860000000004</v>
      </c>
      <c r="J67" s="155">
        <f t="shared" si="18"/>
        <v>6746.3982868762496</v>
      </c>
      <c r="K67" s="152">
        <f t="shared" ref="K67" si="21">IF(J67=0,0,IF(B67=0,0,J67/B67))</f>
        <v>20.436572504067382</v>
      </c>
      <c r="L67" s="152">
        <f t="shared" ref="L67" si="22">K67*0.94</f>
        <v>19.210378153823338</v>
      </c>
    </row>
    <row r="68" spans="1:13" ht="12" customHeight="1" thickTop="1" x14ac:dyDescent="0.2">
      <c r="A68" s="254" t="s">
        <v>8</v>
      </c>
      <c r="B68" s="255"/>
      <c r="C68" s="255"/>
      <c r="D68" s="255"/>
      <c r="E68" s="255"/>
      <c r="F68" s="255"/>
      <c r="G68" s="255"/>
      <c r="H68" s="255"/>
      <c r="I68" s="255"/>
      <c r="J68" s="255"/>
      <c r="K68" s="255"/>
      <c r="L68" s="256"/>
      <c r="M68" s="82"/>
    </row>
    <row r="69" spans="1:13" ht="12" customHeight="1" x14ac:dyDescent="0.2">
      <c r="A69" s="248"/>
      <c r="B69" s="249"/>
      <c r="C69" s="249"/>
      <c r="D69" s="249"/>
      <c r="E69" s="249"/>
      <c r="F69" s="249"/>
      <c r="G69" s="249"/>
      <c r="H69" s="249"/>
      <c r="I69" s="249"/>
      <c r="J69" s="249"/>
      <c r="K69" s="249"/>
      <c r="L69" s="250"/>
      <c r="M69" s="82"/>
    </row>
    <row r="70" spans="1:13" ht="10.5" customHeight="1" x14ac:dyDescent="0.2">
      <c r="A70" s="251" t="s">
        <v>237</v>
      </c>
      <c r="B70" s="252"/>
      <c r="C70" s="252"/>
      <c r="D70" s="252"/>
      <c r="E70" s="252"/>
      <c r="F70" s="252"/>
      <c r="G70" s="252"/>
      <c r="H70" s="252"/>
      <c r="I70" s="252"/>
      <c r="J70" s="252"/>
      <c r="K70" s="252"/>
      <c r="L70" s="253"/>
      <c r="M70" s="82"/>
    </row>
    <row r="71" spans="1:13" ht="10.5" customHeight="1" x14ac:dyDescent="0.2">
      <c r="A71" s="251"/>
      <c r="B71" s="252"/>
      <c r="C71" s="252"/>
      <c r="D71" s="252"/>
      <c r="E71" s="252"/>
      <c r="F71" s="252"/>
      <c r="G71" s="252"/>
      <c r="H71" s="252"/>
      <c r="I71" s="252"/>
      <c r="J71" s="252"/>
      <c r="K71" s="252"/>
      <c r="L71" s="253"/>
      <c r="M71" s="82"/>
    </row>
    <row r="72" spans="1:13" ht="15.4" customHeight="1" x14ac:dyDescent="0.2">
      <c r="A72" s="251"/>
      <c r="B72" s="252"/>
      <c r="C72" s="252"/>
      <c r="D72" s="252"/>
      <c r="E72" s="252"/>
      <c r="F72" s="252"/>
      <c r="G72" s="252"/>
      <c r="H72" s="252"/>
      <c r="I72" s="252"/>
      <c r="J72" s="252"/>
      <c r="K72" s="252"/>
      <c r="L72" s="253"/>
      <c r="M72" s="82"/>
    </row>
    <row r="73" spans="1:13" ht="12" customHeight="1" x14ac:dyDescent="0.2">
      <c r="A73" s="275"/>
      <c r="B73" s="276"/>
      <c r="C73" s="276"/>
      <c r="D73" s="276"/>
      <c r="E73" s="276"/>
      <c r="F73" s="276"/>
      <c r="G73" s="276"/>
      <c r="H73" s="276"/>
      <c r="I73" s="276"/>
      <c r="J73" s="276"/>
      <c r="K73" s="276"/>
      <c r="L73" s="277"/>
      <c r="M73" s="82"/>
    </row>
    <row r="74" spans="1:13" ht="12" customHeight="1" x14ac:dyDescent="0.2">
      <c r="A74" s="223" t="s">
        <v>198</v>
      </c>
      <c r="B74" s="224"/>
      <c r="C74" s="224"/>
      <c r="D74" s="224"/>
      <c r="E74" s="224"/>
      <c r="F74" s="224"/>
      <c r="G74" s="224"/>
      <c r="H74" s="224"/>
      <c r="I74" s="224"/>
      <c r="J74" s="224"/>
      <c r="K74" s="224"/>
      <c r="L74" s="225"/>
      <c r="M74" s="43"/>
    </row>
  </sheetData>
  <mergeCells count="24">
    <mergeCell ref="J2:L2"/>
    <mergeCell ref="G2:I2"/>
    <mergeCell ref="K1:L1"/>
    <mergeCell ref="F3:F5"/>
    <mergeCell ref="A2:A5"/>
    <mergeCell ref="B2:B5"/>
    <mergeCell ref="C3:C5"/>
    <mergeCell ref="D3:D5"/>
    <mergeCell ref="E3:E5"/>
    <mergeCell ref="C2:F2"/>
    <mergeCell ref="K4:K5"/>
    <mergeCell ref="G3:G5"/>
    <mergeCell ref="H3:H5"/>
    <mergeCell ref="A1:J1"/>
    <mergeCell ref="I3:I5"/>
    <mergeCell ref="J3:J5"/>
    <mergeCell ref="K3:L3"/>
    <mergeCell ref="C6:J6"/>
    <mergeCell ref="K6:L6"/>
    <mergeCell ref="A74:L74"/>
    <mergeCell ref="A69:L69"/>
    <mergeCell ref="A73:L73"/>
    <mergeCell ref="A68:L68"/>
    <mergeCell ref="A70:L72"/>
  </mergeCells>
  <phoneticPr fontId="7" type="noConversion"/>
  <printOptions horizontalCentered="1"/>
  <pageMargins left="0.45" right="0.45" top="0.75" bottom="0.75" header="0" footer="0"/>
  <pageSetup scale="65" fitToWidth="2"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pageSetUpPr autoPageBreaks="0" fitToPage="1"/>
  </sheetPr>
  <dimension ref="A1:L75"/>
  <sheetViews>
    <sheetView showOutlineSymbols="0" zoomScaleNormal="100" workbookViewId="0">
      <pane ySplit="6" topLeftCell="A7" activePane="bottomLeft" state="frozen"/>
      <selection sqref="A1:G1"/>
      <selection pane="bottomLeft" sqref="A1:I1"/>
    </sheetView>
  </sheetViews>
  <sheetFormatPr defaultColWidth="12.7109375" defaultRowHeight="12" customHeight="1" x14ac:dyDescent="0.2"/>
  <cols>
    <col min="1" max="1" width="12.7109375" style="13" customWidth="1"/>
    <col min="2" max="16384" width="12.7109375" style="13"/>
  </cols>
  <sheetData>
    <row r="1" spans="1:12" s="1" customFormat="1" ht="12" customHeight="1" thickBot="1" x14ac:dyDescent="0.25">
      <c r="A1" s="201" t="s">
        <v>168</v>
      </c>
      <c r="B1" s="201"/>
      <c r="C1" s="201"/>
      <c r="D1" s="201"/>
      <c r="E1" s="201"/>
      <c r="F1" s="201"/>
      <c r="G1" s="201"/>
      <c r="H1" s="201"/>
      <c r="I1" s="201"/>
      <c r="J1" s="200" t="s">
        <v>19</v>
      </c>
      <c r="K1" s="200"/>
    </row>
    <row r="2" spans="1:12" ht="12" customHeight="1" thickTop="1" x14ac:dyDescent="0.2">
      <c r="A2" s="257" t="s">
        <v>1</v>
      </c>
      <c r="B2" s="258" t="s">
        <v>85</v>
      </c>
      <c r="C2" s="218" t="s">
        <v>2</v>
      </c>
      <c r="D2" s="218"/>
      <c r="E2" s="218"/>
      <c r="F2" s="218"/>
      <c r="G2" s="244" t="s">
        <v>146</v>
      </c>
      <c r="H2" s="246"/>
      <c r="I2" s="244" t="s">
        <v>147</v>
      </c>
      <c r="J2" s="245"/>
      <c r="K2" s="245"/>
    </row>
    <row r="3" spans="1:12" ht="12" customHeight="1" x14ac:dyDescent="0.2">
      <c r="A3" s="217"/>
      <c r="B3" s="259"/>
      <c r="C3" s="217" t="s">
        <v>86</v>
      </c>
      <c r="D3" s="217" t="s">
        <v>87</v>
      </c>
      <c r="E3" s="217" t="s">
        <v>89</v>
      </c>
      <c r="F3" s="217" t="s">
        <v>90</v>
      </c>
      <c r="G3" s="217" t="s">
        <v>95</v>
      </c>
      <c r="H3" s="217" t="s">
        <v>91</v>
      </c>
      <c r="I3" s="217" t="s">
        <v>98</v>
      </c>
      <c r="J3" s="226" t="s">
        <v>28</v>
      </c>
      <c r="K3" s="227"/>
    </row>
    <row r="4" spans="1:12" ht="12" customHeight="1" x14ac:dyDescent="0.2">
      <c r="A4" s="217"/>
      <c r="B4" s="259"/>
      <c r="C4" s="217"/>
      <c r="D4" s="217"/>
      <c r="E4" s="217"/>
      <c r="F4" s="217"/>
      <c r="G4" s="217"/>
      <c r="H4" s="217"/>
      <c r="I4" s="217"/>
      <c r="J4" s="217" t="s">
        <v>4</v>
      </c>
      <c r="K4" s="14" t="s">
        <v>96</v>
      </c>
      <c r="L4" s="4"/>
    </row>
    <row r="5" spans="1:12" ht="12" customHeight="1" x14ac:dyDescent="0.2">
      <c r="A5" s="217"/>
      <c r="B5" s="259"/>
      <c r="C5" s="217"/>
      <c r="D5" s="217"/>
      <c r="E5" s="217"/>
      <c r="F5" s="217"/>
      <c r="G5" s="217"/>
      <c r="H5" s="217"/>
      <c r="I5" s="217"/>
      <c r="J5" s="217"/>
      <c r="K5" s="14" t="s">
        <v>183</v>
      </c>
    </row>
    <row r="6" spans="1:12" ht="12" customHeight="1" x14ac:dyDescent="0.2">
      <c r="A6" s="83"/>
      <c r="B6" s="84" t="s">
        <v>124</v>
      </c>
      <c r="C6" s="307" t="s">
        <v>132</v>
      </c>
      <c r="D6" s="308"/>
      <c r="E6" s="308"/>
      <c r="F6" s="308"/>
      <c r="G6" s="308"/>
      <c r="H6" s="308"/>
      <c r="I6" s="308"/>
      <c r="J6" s="307" t="s">
        <v>129</v>
      </c>
      <c r="K6" s="308"/>
      <c r="L6" s="83"/>
    </row>
    <row r="7" spans="1:12" ht="12" customHeight="1" x14ac:dyDescent="0.2">
      <c r="A7" s="2">
        <v>1960</v>
      </c>
      <c r="B7" s="20">
        <v>180.67099999999999</v>
      </c>
      <c r="C7" s="8" t="s">
        <v>3</v>
      </c>
      <c r="D7" s="8" t="s">
        <v>3</v>
      </c>
      <c r="E7" s="8" t="s">
        <v>3</v>
      </c>
      <c r="F7" s="8" t="s">
        <v>3</v>
      </c>
      <c r="G7" s="8" t="s">
        <v>3</v>
      </c>
      <c r="H7" s="8" t="s">
        <v>3</v>
      </c>
      <c r="I7" s="8" t="s">
        <v>3</v>
      </c>
      <c r="J7" s="8" t="s">
        <v>3</v>
      </c>
      <c r="K7" s="8" t="s">
        <v>3</v>
      </c>
    </row>
    <row r="8" spans="1:12" ht="12" customHeight="1" x14ac:dyDescent="0.2">
      <c r="A8" s="3">
        <v>1961</v>
      </c>
      <c r="B8" s="21">
        <v>183.691</v>
      </c>
      <c r="C8" s="9" t="s">
        <v>3</v>
      </c>
      <c r="D8" s="9" t="s">
        <v>3</v>
      </c>
      <c r="E8" s="9" t="s">
        <v>3</v>
      </c>
      <c r="F8" s="9" t="s">
        <v>3</v>
      </c>
      <c r="G8" s="9" t="s">
        <v>3</v>
      </c>
      <c r="H8" s="9" t="s">
        <v>3</v>
      </c>
      <c r="I8" s="9" t="s">
        <v>3</v>
      </c>
      <c r="J8" s="9" t="s">
        <v>3</v>
      </c>
      <c r="K8" s="9" t="s">
        <v>3</v>
      </c>
    </row>
    <row r="9" spans="1:12" ht="12" customHeight="1" x14ac:dyDescent="0.2">
      <c r="A9" s="3">
        <v>1962</v>
      </c>
      <c r="B9" s="21">
        <v>186.53800000000001</v>
      </c>
      <c r="C9" s="9" t="s">
        <v>3</v>
      </c>
      <c r="D9" s="9" t="s">
        <v>3</v>
      </c>
      <c r="E9" s="9" t="s">
        <v>3</v>
      </c>
      <c r="F9" s="9" t="s">
        <v>3</v>
      </c>
      <c r="G9" s="9" t="s">
        <v>3</v>
      </c>
      <c r="H9" s="9" t="s">
        <v>3</v>
      </c>
      <c r="I9" s="9" t="s">
        <v>3</v>
      </c>
      <c r="J9" s="9" t="s">
        <v>3</v>
      </c>
      <c r="K9" s="9" t="s">
        <v>3</v>
      </c>
    </row>
    <row r="10" spans="1:12" ht="12" customHeight="1" x14ac:dyDescent="0.2">
      <c r="A10" s="3">
        <v>1963</v>
      </c>
      <c r="B10" s="21">
        <v>189.24199999999999</v>
      </c>
      <c r="C10" s="9" t="s">
        <v>3</v>
      </c>
      <c r="D10" s="9" t="s">
        <v>3</v>
      </c>
      <c r="E10" s="9" t="s">
        <v>3</v>
      </c>
      <c r="F10" s="9" t="s">
        <v>3</v>
      </c>
      <c r="G10" s="9" t="s">
        <v>3</v>
      </c>
      <c r="H10" s="9" t="s">
        <v>3</v>
      </c>
      <c r="I10" s="9" t="s">
        <v>3</v>
      </c>
      <c r="J10" s="9" t="s">
        <v>3</v>
      </c>
      <c r="K10" s="9" t="s">
        <v>3</v>
      </c>
    </row>
    <row r="11" spans="1:12" ht="12" customHeight="1" x14ac:dyDescent="0.2">
      <c r="A11" s="3">
        <v>1964</v>
      </c>
      <c r="B11" s="21">
        <v>191.88900000000001</v>
      </c>
      <c r="C11" s="9" t="s">
        <v>3</v>
      </c>
      <c r="D11" s="9" t="s">
        <v>3</v>
      </c>
      <c r="E11" s="9" t="s">
        <v>3</v>
      </c>
      <c r="F11" s="9" t="s">
        <v>3</v>
      </c>
      <c r="G11" s="9" t="s">
        <v>3</v>
      </c>
      <c r="H11" s="9" t="s">
        <v>3</v>
      </c>
      <c r="I11" s="9" t="s">
        <v>3</v>
      </c>
      <c r="J11" s="9" t="s">
        <v>3</v>
      </c>
      <c r="K11" s="9" t="s">
        <v>3</v>
      </c>
    </row>
    <row r="12" spans="1:12" ht="12" customHeight="1" x14ac:dyDescent="0.2">
      <c r="A12" s="3">
        <v>1965</v>
      </c>
      <c r="B12" s="21">
        <v>194.303</v>
      </c>
      <c r="C12" s="9" t="s">
        <v>3</v>
      </c>
      <c r="D12" s="9" t="s">
        <v>3</v>
      </c>
      <c r="E12" s="9" t="s">
        <v>3</v>
      </c>
      <c r="F12" s="9" t="s">
        <v>3</v>
      </c>
      <c r="G12" s="9" t="s">
        <v>3</v>
      </c>
      <c r="H12" s="9" t="s">
        <v>3</v>
      </c>
      <c r="I12" s="9" t="s">
        <v>3</v>
      </c>
      <c r="J12" s="9" t="s">
        <v>3</v>
      </c>
      <c r="K12" s="9" t="s">
        <v>3</v>
      </c>
    </row>
    <row r="13" spans="1:12" ht="12" customHeight="1" x14ac:dyDescent="0.2">
      <c r="A13" s="2">
        <v>1966</v>
      </c>
      <c r="B13" s="20">
        <v>196.56</v>
      </c>
      <c r="C13" s="8" t="s">
        <v>3</v>
      </c>
      <c r="D13" s="8" t="s">
        <v>3</v>
      </c>
      <c r="E13" s="8" t="s">
        <v>3</v>
      </c>
      <c r="F13" s="8" t="s">
        <v>3</v>
      </c>
      <c r="G13" s="8" t="s">
        <v>3</v>
      </c>
      <c r="H13" s="8" t="s">
        <v>3</v>
      </c>
      <c r="I13" s="8" t="s">
        <v>3</v>
      </c>
      <c r="J13" s="8" t="s">
        <v>3</v>
      </c>
      <c r="K13" s="8" t="s">
        <v>3</v>
      </c>
    </row>
    <row r="14" spans="1:12" ht="12" customHeight="1" x14ac:dyDescent="0.2">
      <c r="A14" s="2">
        <v>1967</v>
      </c>
      <c r="B14" s="20">
        <v>198.71199999999999</v>
      </c>
      <c r="C14" s="8" t="s">
        <v>3</v>
      </c>
      <c r="D14" s="8" t="s">
        <v>3</v>
      </c>
      <c r="E14" s="8" t="s">
        <v>3</v>
      </c>
      <c r="F14" s="8" t="s">
        <v>3</v>
      </c>
      <c r="G14" s="8" t="s">
        <v>3</v>
      </c>
      <c r="H14" s="8" t="s">
        <v>3</v>
      </c>
      <c r="I14" s="8" t="s">
        <v>3</v>
      </c>
      <c r="J14" s="8" t="s">
        <v>3</v>
      </c>
      <c r="K14" s="8" t="s">
        <v>3</v>
      </c>
    </row>
    <row r="15" spans="1:12" ht="12" customHeight="1" x14ac:dyDescent="0.2">
      <c r="A15" s="2">
        <v>1968</v>
      </c>
      <c r="B15" s="20">
        <v>200.70599999999999</v>
      </c>
      <c r="C15" s="8" t="s">
        <v>3</v>
      </c>
      <c r="D15" s="8" t="s">
        <v>3</v>
      </c>
      <c r="E15" s="8" t="s">
        <v>3</v>
      </c>
      <c r="F15" s="8" t="s">
        <v>3</v>
      </c>
      <c r="G15" s="8" t="s">
        <v>3</v>
      </c>
      <c r="H15" s="8" t="s">
        <v>3</v>
      </c>
      <c r="I15" s="8" t="s">
        <v>3</v>
      </c>
      <c r="J15" s="8" t="s">
        <v>3</v>
      </c>
      <c r="K15" s="8" t="s">
        <v>3</v>
      </c>
    </row>
    <row r="16" spans="1:12" ht="12" customHeight="1" x14ac:dyDescent="0.2">
      <c r="A16" s="2">
        <v>1969</v>
      </c>
      <c r="B16" s="20">
        <v>202.67699999999999</v>
      </c>
      <c r="C16" s="8" t="s">
        <v>3</v>
      </c>
      <c r="D16" s="8" t="s">
        <v>3</v>
      </c>
      <c r="E16" s="8" t="s">
        <v>3</v>
      </c>
      <c r="F16" s="8" t="s">
        <v>3</v>
      </c>
      <c r="G16" s="8" t="s">
        <v>3</v>
      </c>
      <c r="H16" s="8" t="s">
        <v>3</v>
      </c>
      <c r="I16" s="8" t="s">
        <v>3</v>
      </c>
      <c r="J16" s="8" t="s">
        <v>3</v>
      </c>
      <c r="K16" s="8" t="s">
        <v>3</v>
      </c>
    </row>
    <row r="17" spans="1:11" ht="12" customHeight="1" x14ac:dyDescent="0.2">
      <c r="A17" s="2">
        <v>1970</v>
      </c>
      <c r="B17" s="20">
        <v>205.05199999999999</v>
      </c>
      <c r="C17" s="8" t="s">
        <v>3</v>
      </c>
      <c r="D17" s="8" t="s">
        <v>3</v>
      </c>
      <c r="E17" s="8" t="s">
        <v>3</v>
      </c>
      <c r="F17" s="8" t="s">
        <v>3</v>
      </c>
      <c r="G17" s="8" t="s">
        <v>3</v>
      </c>
      <c r="H17" s="8" t="s">
        <v>3</v>
      </c>
      <c r="I17" s="8" t="s">
        <v>3</v>
      </c>
      <c r="J17" s="8" t="s">
        <v>3</v>
      </c>
      <c r="K17" s="8" t="s">
        <v>3</v>
      </c>
    </row>
    <row r="18" spans="1:11" ht="12" customHeight="1" x14ac:dyDescent="0.2">
      <c r="A18" s="3">
        <v>1971</v>
      </c>
      <c r="B18" s="21">
        <v>207.661</v>
      </c>
      <c r="C18" s="9" t="s">
        <v>3</v>
      </c>
      <c r="D18" s="9" t="s">
        <v>3</v>
      </c>
      <c r="E18" s="9" t="s">
        <v>3</v>
      </c>
      <c r="F18" s="9" t="s">
        <v>3</v>
      </c>
      <c r="G18" s="9" t="s">
        <v>3</v>
      </c>
      <c r="H18" s="9" t="s">
        <v>3</v>
      </c>
      <c r="I18" s="9" t="s">
        <v>3</v>
      </c>
      <c r="J18" s="9" t="s">
        <v>3</v>
      </c>
      <c r="K18" s="9" t="s">
        <v>3</v>
      </c>
    </row>
    <row r="19" spans="1:11" ht="12" customHeight="1" x14ac:dyDescent="0.2">
      <c r="A19" s="3">
        <v>1972</v>
      </c>
      <c r="B19" s="21">
        <v>209.89599999999999</v>
      </c>
      <c r="C19" s="9" t="s">
        <v>3</v>
      </c>
      <c r="D19" s="9" t="s">
        <v>3</v>
      </c>
      <c r="E19" s="9" t="s">
        <v>3</v>
      </c>
      <c r="F19" s="9" t="s">
        <v>3</v>
      </c>
      <c r="G19" s="9" t="s">
        <v>3</v>
      </c>
      <c r="H19" s="9" t="s">
        <v>3</v>
      </c>
      <c r="I19" s="9" t="s">
        <v>3</v>
      </c>
      <c r="J19" s="9" t="s">
        <v>3</v>
      </c>
      <c r="K19" s="9" t="s">
        <v>3</v>
      </c>
    </row>
    <row r="20" spans="1:11" ht="12" customHeight="1" x14ac:dyDescent="0.2">
      <c r="A20" s="3">
        <v>1973</v>
      </c>
      <c r="B20" s="21">
        <v>211.90899999999999</v>
      </c>
      <c r="C20" s="9" t="s">
        <v>3</v>
      </c>
      <c r="D20" s="9" t="s">
        <v>3</v>
      </c>
      <c r="E20" s="9" t="s">
        <v>3</v>
      </c>
      <c r="F20" s="9" t="s">
        <v>3</v>
      </c>
      <c r="G20" s="9" t="s">
        <v>3</v>
      </c>
      <c r="H20" s="9" t="s">
        <v>3</v>
      </c>
      <c r="I20" s="9" t="s">
        <v>3</v>
      </c>
      <c r="J20" s="9" t="s">
        <v>3</v>
      </c>
      <c r="K20" s="9" t="s">
        <v>3</v>
      </c>
    </row>
    <row r="21" spans="1:11" ht="12" customHeight="1" x14ac:dyDescent="0.2">
      <c r="A21" s="3">
        <v>1974</v>
      </c>
      <c r="B21" s="21">
        <v>213.85400000000001</v>
      </c>
      <c r="C21" s="9">
        <v>23.155000000000001</v>
      </c>
      <c r="D21" s="9">
        <v>8.1323930000000004</v>
      </c>
      <c r="E21" s="9">
        <v>39.681039999999996</v>
      </c>
      <c r="F21" s="9">
        <f t="shared" ref="F21:F67" si="0">SUM(C21,D21,E21)</f>
        <v>70.968433000000005</v>
      </c>
      <c r="G21" s="9">
        <v>1</v>
      </c>
      <c r="H21" s="9">
        <v>34.592879999999994</v>
      </c>
      <c r="I21" s="9">
        <f t="shared" ref="I21:I58" si="1">F21-SUM(G21,H21)</f>
        <v>35.375553000000011</v>
      </c>
      <c r="J21" s="143">
        <f t="shared" ref="J21:J58" si="2">IF(I21=0,0,IF(B21=0,0,I21/B21))</f>
        <v>0.16541917850496138</v>
      </c>
      <c r="K21" s="143">
        <f>J21*0.88</f>
        <v>0.14556887708436603</v>
      </c>
    </row>
    <row r="22" spans="1:11" ht="12" customHeight="1" x14ac:dyDescent="0.2">
      <c r="A22" s="3">
        <v>1975</v>
      </c>
      <c r="B22" s="21">
        <v>215.97300000000001</v>
      </c>
      <c r="C22" s="9">
        <v>26.626600000000003</v>
      </c>
      <c r="D22" s="9">
        <v>6.5878000000000005</v>
      </c>
      <c r="E22" s="9">
        <v>34.592879999999994</v>
      </c>
      <c r="F22" s="9">
        <f t="shared" si="0"/>
        <v>67.807279999999992</v>
      </c>
      <c r="G22" s="9">
        <v>1</v>
      </c>
      <c r="H22" s="9">
        <v>27.262719999999998</v>
      </c>
      <c r="I22" s="9">
        <f t="shared" si="1"/>
        <v>39.54455999999999</v>
      </c>
      <c r="J22" s="143">
        <f t="shared" si="2"/>
        <v>0.18309955411093048</v>
      </c>
      <c r="K22" s="143">
        <f t="shared" ref="K22:K31" si="3">J22*0.88</f>
        <v>0.16112760761761882</v>
      </c>
    </row>
    <row r="23" spans="1:11" ht="12" customHeight="1" x14ac:dyDescent="0.2">
      <c r="A23" s="2">
        <v>1976</v>
      </c>
      <c r="B23" s="20">
        <v>218.035</v>
      </c>
      <c r="C23" s="8">
        <v>29.677199999999999</v>
      </c>
      <c r="D23" s="8">
        <v>10.527100000000001</v>
      </c>
      <c r="E23" s="8">
        <v>27.262719999999998</v>
      </c>
      <c r="F23" s="8">
        <f t="shared" si="0"/>
        <v>67.467020000000005</v>
      </c>
      <c r="G23" s="8">
        <v>1</v>
      </c>
      <c r="H23" s="8">
        <v>40.174279999999996</v>
      </c>
      <c r="I23" s="8">
        <f t="shared" si="1"/>
        <v>26.292740000000009</v>
      </c>
      <c r="J23" s="142">
        <f t="shared" si="2"/>
        <v>0.12058953837686615</v>
      </c>
      <c r="K23" s="142">
        <f t="shared" si="3"/>
        <v>0.10611879377164221</v>
      </c>
    </row>
    <row r="24" spans="1:11" ht="12" customHeight="1" x14ac:dyDescent="0.2">
      <c r="A24" s="2">
        <v>1977</v>
      </c>
      <c r="B24" s="20">
        <v>220.23899999999998</v>
      </c>
      <c r="C24" s="8">
        <v>33.312225000000005</v>
      </c>
      <c r="D24" s="8">
        <v>19.816700000000001</v>
      </c>
      <c r="E24" s="8">
        <v>40.174279999999996</v>
      </c>
      <c r="F24" s="8">
        <f t="shared" si="0"/>
        <v>93.303205000000005</v>
      </c>
      <c r="G24" s="8">
        <v>1</v>
      </c>
      <c r="H24" s="8">
        <v>54.460539999999995</v>
      </c>
      <c r="I24" s="8">
        <f t="shared" si="1"/>
        <v>37.842665000000011</v>
      </c>
      <c r="J24" s="142">
        <f t="shared" si="2"/>
        <v>0.17182544871707561</v>
      </c>
      <c r="K24" s="142">
        <f t="shared" si="3"/>
        <v>0.15120639487102655</v>
      </c>
    </row>
    <row r="25" spans="1:11" ht="12" customHeight="1" x14ac:dyDescent="0.2">
      <c r="A25" s="2">
        <v>1978</v>
      </c>
      <c r="B25" s="20">
        <v>222.58500000000001</v>
      </c>
      <c r="C25" s="8">
        <v>36.417300000000004</v>
      </c>
      <c r="D25" s="8">
        <v>42.646665999999996</v>
      </c>
      <c r="E25" s="8">
        <v>54.460539999999995</v>
      </c>
      <c r="F25" s="8">
        <f t="shared" si="0"/>
        <v>133.52450599999997</v>
      </c>
      <c r="G25" s="8">
        <v>1</v>
      </c>
      <c r="H25" s="8">
        <v>54.460539999999995</v>
      </c>
      <c r="I25" s="8">
        <f t="shared" si="1"/>
        <v>78.063965999999979</v>
      </c>
      <c r="J25" s="142">
        <f t="shared" si="2"/>
        <v>0.35071530426578601</v>
      </c>
      <c r="K25" s="142">
        <f t="shared" si="3"/>
        <v>0.30862946775389172</v>
      </c>
    </row>
    <row r="26" spans="1:11" ht="12" customHeight="1" x14ac:dyDescent="0.2">
      <c r="A26" s="2">
        <v>1979</v>
      </c>
      <c r="B26" s="20">
        <v>225.05500000000001</v>
      </c>
      <c r="C26" s="8">
        <v>36.129649999999998</v>
      </c>
      <c r="D26" s="8">
        <v>38.560938</v>
      </c>
      <c r="E26" s="8">
        <v>54.460539999999995</v>
      </c>
      <c r="F26" s="8">
        <f t="shared" si="0"/>
        <v>129.15112799999997</v>
      </c>
      <c r="G26" s="8">
        <v>1</v>
      </c>
      <c r="H26" s="8">
        <v>41.952539999999992</v>
      </c>
      <c r="I26" s="8">
        <f t="shared" si="1"/>
        <v>86.198587999999972</v>
      </c>
      <c r="J26" s="142">
        <f t="shared" si="2"/>
        <v>0.38301121059296606</v>
      </c>
      <c r="K26" s="142">
        <f t="shared" si="3"/>
        <v>0.33704986532181014</v>
      </c>
    </row>
    <row r="27" spans="1:11" ht="12" customHeight="1" x14ac:dyDescent="0.2">
      <c r="A27" s="2">
        <v>1980</v>
      </c>
      <c r="B27" s="20">
        <v>227.726</v>
      </c>
      <c r="C27" s="8">
        <v>35.203099999999999</v>
      </c>
      <c r="D27" s="8">
        <v>33.410648000000002</v>
      </c>
      <c r="E27" s="8">
        <v>41.952539999999992</v>
      </c>
      <c r="F27" s="8">
        <f t="shared" si="0"/>
        <v>110.56628799999999</v>
      </c>
      <c r="G27" s="8">
        <v>1</v>
      </c>
      <c r="H27" s="8">
        <v>38.783059999999992</v>
      </c>
      <c r="I27" s="8">
        <f t="shared" si="1"/>
        <v>70.783227999999994</v>
      </c>
      <c r="J27" s="142">
        <f t="shared" si="2"/>
        <v>0.31082629124474148</v>
      </c>
      <c r="K27" s="142">
        <f t="shared" si="3"/>
        <v>0.27352713629537251</v>
      </c>
    </row>
    <row r="28" spans="1:11" ht="12" customHeight="1" x14ac:dyDescent="0.2">
      <c r="A28" s="3">
        <v>1981</v>
      </c>
      <c r="B28" s="21">
        <v>229.96600000000001</v>
      </c>
      <c r="C28" s="9">
        <v>34.867525000000001</v>
      </c>
      <c r="D28" s="9">
        <v>40.659421999999999</v>
      </c>
      <c r="E28" s="9">
        <v>38.783059999999992</v>
      </c>
      <c r="F28" s="9">
        <f t="shared" si="0"/>
        <v>114.310007</v>
      </c>
      <c r="G28" s="9">
        <v>1</v>
      </c>
      <c r="H28" s="9">
        <v>34.277819999999998</v>
      </c>
      <c r="I28" s="9">
        <f t="shared" si="1"/>
        <v>79.032186999999993</v>
      </c>
      <c r="J28" s="143">
        <f t="shared" si="2"/>
        <v>0.34366900759242669</v>
      </c>
      <c r="K28" s="143">
        <f t="shared" si="3"/>
        <v>0.30242872668133547</v>
      </c>
    </row>
    <row r="29" spans="1:11" ht="12" customHeight="1" x14ac:dyDescent="0.2">
      <c r="A29" s="3">
        <v>1982</v>
      </c>
      <c r="B29" s="21">
        <v>232.18799999999999</v>
      </c>
      <c r="C29" s="9">
        <v>33.925000000000004</v>
      </c>
      <c r="D29" s="9">
        <v>67.351671999999994</v>
      </c>
      <c r="E29" s="9">
        <v>34.277819999999998</v>
      </c>
      <c r="F29" s="9">
        <f t="shared" si="0"/>
        <v>135.55449199999998</v>
      </c>
      <c r="G29" s="9">
        <v>1</v>
      </c>
      <c r="H29" s="9">
        <v>61.238459999999996</v>
      </c>
      <c r="I29" s="9">
        <f t="shared" si="1"/>
        <v>73.316031999999979</v>
      </c>
      <c r="J29" s="143">
        <f t="shared" si="2"/>
        <v>0.31576150360914423</v>
      </c>
      <c r="K29" s="143">
        <f t="shared" si="3"/>
        <v>0.27787012317604692</v>
      </c>
    </row>
    <row r="30" spans="1:11" ht="12" customHeight="1" x14ac:dyDescent="0.2">
      <c r="A30" s="3">
        <v>1983</v>
      </c>
      <c r="B30" s="21">
        <v>234.30699999999999</v>
      </c>
      <c r="C30" s="9">
        <v>34.4544</v>
      </c>
      <c r="D30" s="9">
        <v>68.511107999999993</v>
      </c>
      <c r="E30" s="9">
        <v>61.238459999999996</v>
      </c>
      <c r="F30" s="9">
        <f t="shared" si="0"/>
        <v>164.203968</v>
      </c>
      <c r="G30" s="9">
        <v>1</v>
      </c>
      <c r="H30" s="9">
        <v>57.100200000000001</v>
      </c>
      <c r="I30" s="9">
        <f t="shared" si="1"/>
        <v>106.103768</v>
      </c>
      <c r="J30" s="143">
        <f t="shared" si="2"/>
        <v>0.45284079434246527</v>
      </c>
      <c r="K30" s="143">
        <f t="shared" si="3"/>
        <v>0.39849989902136945</v>
      </c>
    </row>
    <row r="31" spans="1:11" ht="12" customHeight="1" x14ac:dyDescent="0.2">
      <c r="A31" s="3">
        <v>1984</v>
      </c>
      <c r="B31" s="21">
        <v>236.34800000000001</v>
      </c>
      <c r="C31" s="9">
        <v>34.408799999999999</v>
      </c>
      <c r="D31" s="9">
        <v>66.507131000000001</v>
      </c>
      <c r="E31" s="9">
        <v>57.100200000000001</v>
      </c>
      <c r="F31" s="9">
        <f t="shared" si="0"/>
        <v>158.016131</v>
      </c>
      <c r="G31" s="9">
        <v>1</v>
      </c>
      <c r="H31" s="9">
        <v>51.718219999999995</v>
      </c>
      <c r="I31" s="9">
        <f t="shared" si="1"/>
        <v>105.297911</v>
      </c>
      <c r="J31" s="143">
        <f t="shared" si="2"/>
        <v>0.44552063482661158</v>
      </c>
      <c r="K31" s="143">
        <f t="shared" si="3"/>
        <v>0.39205815864741822</v>
      </c>
    </row>
    <row r="32" spans="1:11" ht="12" customHeight="1" x14ac:dyDescent="0.2">
      <c r="A32" s="3">
        <v>1985</v>
      </c>
      <c r="B32" s="21">
        <v>238.46600000000001</v>
      </c>
      <c r="C32" s="9">
        <v>34.935920000000003</v>
      </c>
      <c r="D32" s="9">
        <v>53.405559820000001</v>
      </c>
      <c r="E32" s="9">
        <v>51.718219999999995</v>
      </c>
      <c r="F32" s="9">
        <f t="shared" si="0"/>
        <v>140.05969981999999</v>
      </c>
      <c r="G32" s="9">
        <v>1</v>
      </c>
      <c r="H32" s="9">
        <v>47.801799999999993</v>
      </c>
      <c r="I32" s="9">
        <f t="shared" si="1"/>
        <v>91.257899820000006</v>
      </c>
      <c r="J32" s="143">
        <f t="shared" si="2"/>
        <v>0.38268725864483827</v>
      </c>
      <c r="K32" s="143">
        <f>J32*0.88</f>
        <v>0.33676478760745771</v>
      </c>
    </row>
    <row r="33" spans="1:11" ht="12" customHeight="1" x14ac:dyDescent="0.2">
      <c r="A33" s="2">
        <v>1986</v>
      </c>
      <c r="B33" s="20">
        <v>240.65100000000001</v>
      </c>
      <c r="C33" s="8">
        <v>34.889559999999996</v>
      </c>
      <c r="D33" s="8">
        <v>43.587010599999999</v>
      </c>
      <c r="E33" s="8">
        <v>47.801799999999993</v>
      </c>
      <c r="F33" s="8">
        <f t="shared" si="0"/>
        <v>126.27837059999999</v>
      </c>
      <c r="G33" s="8">
        <v>1</v>
      </c>
      <c r="H33" s="8">
        <v>56.627019999999995</v>
      </c>
      <c r="I33" s="8">
        <f t="shared" si="1"/>
        <v>68.651350600000001</v>
      </c>
      <c r="J33" s="142">
        <f t="shared" si="2"/>
        <v>0.28527348982551493</v>
      </c>
      <c r="K33" s="142">
        <f>J33*0.88</f>
        <v>0.25104067104645311</v>
      </c>
    </row>
    <row r="34" spans="1:11" ht="12" customHeight="1" x14ac:dyDescent="0.2">
      <c r="A34" s="2">
        <v>1987</v>
      </c>
      <c r="B34" s="20">
        <v>242.804</v>
      </c>
      <c r="C34" s="8">
        <v>35.414400000000001</v>
      </c>
      <c r="D34" s="8">
        <v>37.421389439999999</v>
      </c>
      <c r="E34" s="8">
        <v>56.627019999999995</v>
      </c>
      <c r="F34" s="8">
        <f t="shared" si="0"/>
        <v>129.46280944</v>
      </c>
      <c r="G34" s="8">
        <v>1</v>
      </c>
      <c r="H34" s="8">
        <v>76.573740000000001</v>
      </c>
      <c r="I34" s="8">
        <f t="shared" si="1"/>
        <v>51.88906944</v>
      </c>
      <c r="J34" s="142">
        <f t="shared" si="2"/>
        <v>0.21370763842440815</v>
      </c>
      <c r="K34" s="142">
        <f>J34*0.88</f>
        <v>0.18806272181347919</v>
      </c>
    </row>
    <row r="35" spans="1:11" ht="12" customHeight="1" x14ac:dyDescent="0.2">
      <c r="A35" s="2">
        <v>1988</v>
      </c>
      <c r="B35" s="20">
        <v>245.02099999999999</v>
      </c>
      <c r="C35" s="8">
        <v>33.708160000000007</v>
      </c>
      <c r="D35" s="8">
        <v>49.906933979999998</v>
      </c>
      <c r="E35" s="8">
        <v>76.573740000000001</v>
      </c>
      <c r="F35" s="8">
        <f t="shared" si="0"/>
        <v>160.18883398000003</v>
      </c>
      <c r="G35" s="8">
        <v>1</v>
      </c>
      <c r="H35" s="8">
        <v>57.552140000000001</v>
      </c>
      <c r="I35" s="8">
        <f t="shared" si="1"/>
        <v>101.63669398000002</v>
      </c>
      <c r="J35" s="142">
        <f t="shared" si="2"/>
        <v>0.41480809391848056</v>
      </c>
      <c r="K35" s="142">
        <f>J35*0.88</f>
        <v>0.36503112264826287</v>
      </c>
    </row>
    <row r="36" spans="1:11" ht="12" customHeight="1" x14ac:dyDescent="0.2">
      <c r="A36" s="2">
        <v>1989</v>
      </c>
      <c r="B36" s="20">
        <v>247.34200000000001</v>
      </c>
      <c r="C36" s="8">
        <v>32.518080000000005</v>
      </c>
      <c r="D36" s="8">
        <v>62.127079534599993</v>
      </c>
      <c r="E36" s="8">
        <v>57.552140000000001</v>
      </c>
      <c r="F36" s="8">
        <f t="shared" si="0"/>
        <v>152.19729953460001</v>
      </c>
      <c r="G36" s="8">
        <v>1.5674054715999999</v>
      </c>
      <c r="H36" s="8">
        <v>42.207419999999999</v>
      </c>
      <c r="I36" s="8">
        <f t="shared" si="1"/>
        <v>108.42247406300001</v>
      </c>
      <c r="J36" s="142">
        <f t="shared" si="2"/>
        <v>0.43835043810998536</v>
      </c>
      <c r="K36" s="142">
        <f>J36*0.88</f>
        <v>0.38574838553678714</v>
      </c>
    </row>
    <row r="37" spans="1:11" ht="12" customHeight="1" x14ac:dyDescent="0.2">
      <c r="A37" s="2">
        <v>1990</v>
      </c>
      <c r="B37" s="20">
        <v>250.13200000000001</v>
      </c>
      <c r="C37" s="8">
        <v>30.784320000000005</v>
      </c>
      <c r="D37" s="8">
        <v>42.041240893999998</v>
      </c>
      <c r="E37" s="8">
        <v>42.207419999999999</v>
      </c>
      <c r="F37" s="8">
        <f t="shared" si="0"/>
        <v>115.032980894</v>
      </c>
      <c r="G37" s="8">
        <v>3.2976251551999995</v>
      </c>
      <c r="H37" s="8">
        <v>50.826139999999995</v>
      </c>
      <c r="I37" s="8">
        <f t="shared" si="1"/>
        <v>60.909215738800008</v>
      </c>
      <c r="J37" s="142">
        <f t="shared" si="2"/>
        <v>0.24350829057777496</v>
      </c>
      <c r="K37" s="142">
        <f t="shared" ref="K37:K46" si="4">J37*0.88</f>
        <v>0.21428729570844196</v>
      </c>
    </row>
    <row r="38" spans="1:11" ht="12" customHeight="1" x14ac:dyDescent="0.2">
      <c r="A38" s="3">
        <v>1991</v>
      </c>
      <c r="B38" s="21">
        <v>253.49299999999999</v>
      </c>
      <c r="C38" s="9">
        <v>29.511680000000009</v>
      </c>
      <c r="D38" s="9">
        <v>46.43394</v>
      </c>
      <c r="E38" s="9">
        <v>50.826139999999995</v>
      </c>
      <c r="F38" s="9">
        <f t="shared" si="0"/>
        <v>126.77176</v>
      </c>
      <c r="G38" s="9">
        <v>3.3845954597999999</v>
      </c>
      <c r="H38" s="9">
        <v>60.938739999999996</v>
      </c>
      <c r="I38" s="9">
        <f t="shared" si="1"/>
        <v>62.448424540200008</v>
      </c>
      <c r="J38" s="143">
        <f t="shared" si="2"/>
        <v>0.24635167259135365</v>
      </c>
      <c r="K38" s="143">
        <f t="shared" si="4"/>
        <v>0.21678947188039122</v>
      </c>
    </row>
    <row r="39" spans="1:11" ht="12" customHeight="1" x14ac:dyDescent="0.2">
      <c r="A39" s="3">
        <v>1992</v>
      </c>
      <c r="B39" s="21">
        <v>256.89400000000001</v>
      </c>
      <c r="C39" s="9">
        <v>27.750400000000003</v>
      </c>
      <c r="D39" s="9">
        <v>40.871740000000003</v>
      </c>
      <c r="E39" s="9">
        <v>60.938739999999996</v>
      </c>
      <c r="F39" s="9">
        <f t="shared" si="0"/>
        <v>129.56088</v>
      </c>
      <c r="G39" s="9">
        <v>4.0415298804000006</v>
      </c>
      <c r="H39" s="9">
        <v>52.721220000000002</v>
      </c>
      <c r="I39" s="9">
        <f t="shared" si="1"/>
        <v>72.798130119599989</v>
      </c>
      <c r="J39" s="143">
        <f t="shared" si="2"/>
        <v>0.28337808636869677</v>
      </c>
      <c r="K39" s="143">
        <f t="shared" si="4"/>
        <v>0.24937271600445315</v>
      </c>
    </row>
    <row r="40" spans="1:11" ht="12" customHeight="1" x14ac:dyDescent="0.2">
      <c r="A40" s="3">
        <v>1993</v>
      </c>
      <c r="B40" s="21">
        <v>260.255</v>
      </c>
      <c r="C40" s="9">
        <v>27.418300000000002</v>
      </c>
      <c r="D40" s="9">
        <v>43.675640000000001</v>
      </c>
      <c r="E40" s="9">
        <v>52.721220000000002</v>
      </c>
      <c r="F40" s="9">
        <f t="shared" si="0"/>
        <v>123.81516000000001</v>
      </c>
      <c r="G40" s="9">
        <v>4.6952410055999998</v>
      </c>
      <c r="H40" s="9">
        <v>19.28238</v>
      </c>
      <c r="I40" s="9">
        <f t="shared" si="1"/>
        <v>99.837538994400006</v>
      </c>
      <c r="J40" s="143">
        <f t="shared" si="2"/>
        <v>0.38361429749438053</v>
      </c>
      <c r="K40" s="143">
        <f t="shared" si="4"/>
        <v>0.33758058179505485</v>
      </c>
    </row>
    <row r="41" spans="1:11" ht="12" customHeight="1" x14ac:dyDescent="0.2">
      <c r="A41" s="3">
        <v>1994</v>
      </c>
      <c r="B41" s="21">
        <v>263.43599999999998</v>
      </c>
      <c r="C41" s="9">
        <v>26.652600000000003</v>
      </c>
      <c r="D41" s="9">
        <v>96.320439999999991</v>
      </c>
      <c r="E41" s="9">
        <v>19.28238</v>
      </c>
      <c r="F41" s="9">
        <f t="shared" si="0"/>
        <v>142.25541999999999</v>
      </c>
      <c r="G41" s="9">
        <v>4.4679826197999999</v>
      </c>
      <c r="H41" s="9">
        <v>73.739379999999997</v>
      </c>
      <c r="I41" s="9">
        <f t="shared" si="1"/>
        <v>64.048057380199992</v>
      </c>
      <c r="J41" s="143">
        <f t="shared" si="2"/>
        <v>0.24312568282315247</v>
      </c>
      <c r="K41" s="143">
        <f t="shared" si="4"/>
        <v>0.21395060088437418</v>
      </c>
    </row>
    <row r="42" spans="1:11" ht="12" customHeight="1" x14ac:dyDescent="0.2">
      <c r="A42" s="3">
        <v>1995</v>
      </c>
      <c r="B42" s="21">
        <v>266.55700000000002</v>
      </c>
      <c r="C42" s="9">
        <v>26.285159999999998</v>
      </c>
      <c r="D42" s="9">
        <v>54.564619999999998</v>
      </c>
      <c r="E42" s="9">
        <v>73.739379999999997</v>
      </c>
      <c r="F42" s="9">
        <f t="shared" si="0"/>
        <v>154.58915999999999</v>
      </c>
      <c r="G42" s="9">
        <v>5.6065929665999992</v>
      </c>
      <c r="H42" s="9">
        <v>47.145719999999997</v>
      </c>
      <c r="I42" s="9">
        <f t="shared" si="1"/>
        <v>101.83684703340001</v>
      </c>
      <c r="J42" s="143">
        <f t="shared" si="2"/>
        <v>0.38204529250179137</v>
      </c>
      <c r="K42" s="143">
        <f t="shared" si="4"/>
        <v>0.33619985740157643</v>
      </c>
    </row>
    <row r="43" spans="1:11" ht="12" customHeight="1" x14ac:dyDescent="0.2">
      <c r="A43" s="2">
        <v>1996</v>
      </c>
      <c r="B43" s="20">
        <v>269.66699999999997</v>
      </c>
      <c r="C43" s="8">
        <v>25.507679999999997</v>
      </c>
      <c r="D43" s="8">
        <v>56.713199999999993</v>
      </c>
      <c r="E43" s="8">
        <v>47.145719999999997</v>
      </c>
      <c r="F43" s="8">
        <f t="shared" si="0"/>
        <v>129.36660000000001</v>
      </c>
      <c r="G43" s="8">
        <v>4.8472759565999999</v>
      </c>
      <c r="H43" s="8">
        <v>33.719679999999997</v>
      </c>
      <c r="I43" s="8">
        <f t="shared" si="1"/>
        <v>90.799644043400008</v>
      </c>
      <c r="J43" s="142">
        <f t="shared" si="2"/>
        <v>0.33671025391835119</v>
      </c>
      <c r="K43" s="142">
        <f t="shared" si="4"/>
        <v>0.29630502344814907</v>
      </c>
    </row>
    <row r="44" spans="1:11" ht="12" customHeight="1" x14ac:dyDescent="0.2">
      <c r="A44" s="2">
        <v>1997</v>
      </c>
      <c r="B44" s="20">
        <v>272.91199999999998</v>
      </c>
      <c r="C44" s="8">
        <v>25.104900000000001</v>
      </c>
      <c r="D44" s="8">
        <v>70.682820000000007</v>
      </c>
      <c r="E44" s="8">
        <v>33.719679999999997</v>
      </c>
      <c r="F44" s="8">
        <f t="shared" si="0"/>
        <v>129.50740000000002</v>
      </c>
      <c r="G44" s="8">
        <v>4.9685275166</v>
      </c>
      <c r="H44" s="8">
        <v>61.664439999999999</v>
      </c>
      <c r="I44" s="8">
        <f t="shared" si="1"/>
        <v>62.874432483400014</v>
      </c>
      <c r="J44" s="142">
        <f t="shared" si="2"/>
        <v>0.23038353932183275</v>
      </c>
      <c r="K44" s="142">
        <f t="shared" si="4"/>
        <v>0.20273751460321282</v>
      </c>
    </row>
    <row r="45" spans="1:11" ht="12" customHeight="1" x14ac:dyDescent="0.2">
      <c r="A45" s="2">
        <v>1998</v>
      </c>
      <c r="B45" s="20">
        <v>276.11500000000001</v>
      </c>
      <c r="C45" s="8">
        <v>23.213266666666669</v>
      </c>
      <c r="D45" s="8">
        <v>54.25224</v>
      </c>
      <c r="E45" s="8">
        <v>61.664439999999999</v>
      </c>
      <c r="F45" s="8">
        <f t="shared" si="0"/>
        <v>139.12994666666668</v>
      </c>
      <c r="G45" s="8">
        <v>5.4359148883999993</v>
      </c>
      <c r="H45" s="8">
        <v>54.949059999999996</v>
      </c>
      <c r="I45" s="8">
        <f t="shared" si="1"/>
        <v>78.744971778266688</v>
      </c>
      <c r="J45" s="142">
        <f t="shared" si="2"/>
        <v>0.28518903999517115</v>
      </c>
      <c r="K45" s="142">
        <f t="shared" si="4"/>
        <v>0.25096635519575061</v>
      </c>
    </row>
    <row r="46" spans="1:11" ht="12" customHeight="1" x14ac:dyDescent="0.2">
      <c r="A46" s="2">
        <v>1999</v>
      </c>
      <c r="B46" s="20">
        <v>279.29500000000002</v>
      </c>
      <c r="C46" s="8">
        <v>21.639866666666666</v>
      </c>
      <c r="D46" s="8">
        <v>51.806200000000004</v>
      </c>
      <c r="E46" s="8">
        <v>54.949059999999996</v>
      </c>
      <c r="F46" s="8">
        <f t="shared" si="0"/>
        <v>128.39512666666667</v>
      </c>
      <c r="G46" s="8">
        <v>5.62352615</v>
      </c>
      <c r="H46" s="8">
        <v>47.007660000000001</v>
      </c>
      <c r="I46" s="8">
        <f t="shared" si="1"/>
        <v>75.763940516666665</v>
      </c>
      <c r="J46" s="142">
        <f t="shared" si="2"/>
        <v>0.27126851721895007</v>
      </c>
      <c r="K46" s="142">
        <f t="shared" si="4"/>
        <v>0.23871629515267606</v>
      </c>
    </row>
    <row r="47" spans="1:11" ht="12" customHeight="1" x14ac:dyDescent="0.2">
      <c r="A47" s="2">
        <v>2000</v>
      </c>
      <c r="B47" s="20">
        <v>282.38499999999999</v>
      </c>
      <c r="C47" s="8">
        <v>19.7</v>
      </c>
      <c r="D47" s="8">
        <v>55.510727000000003</v>
      </c>
      <c r="E47" s="8">
        <v>47.007660000000001</v>
      </c>
      <c r="F47" s="8">
        <f t="shared" si="0"/>
        <v>122.21838700000001</v>
      </c>
      <c r="G47" s="8">
        <v>5.9084325026000002</v>
      </c>
      <c r="H47" s="8">
        <v>55.716059999999999</v>
      </c>
      <c r="I47" s="8">
        <f t="shared" si="1"/>
        <v>60.593894497400008</v>
      </c>
      <c r="J47" s="142">
        <f t="shared" si="2"/>
        <v>0.21457901268622628</v>
      </c>
      <c r="K47" s="142">
        <f t="shared" ref="K47:K52" si="5">J47*0.88</f>
        <v>0.18882953116387913</v>
      </c>
    </row>
    <row r="48" spans="1:11" ht="12" customHeight="1" x14ac:dyDescent="0.2">
      <c r="A48" s="3">
        <v>2001</v>
      </c>
      <c r="B48" s="21">
        <v>285.30901899999998</v>
      </c>
      <c r="C48" s="9">
        <v>18.100000000000001</v>
      </c>
      <c r="D48" s="9">
        <v>53.077278</v>
      </c>
      <c r="E48" s="9">
        <v>55.716059999999999</v>
      </c>
      <c r="F48" s="9">
        <f t="shared" si="0"/>
        <v>126.893338</v>
      </c>
      <c r="G48" s="9">
        <v>6.1096925644000004</v>
      </c>
      <c r="H48" s="9">
        <v>42.40802</v>
      </c>
      <c r="I48" s="9">
        <f t="shared" si="1"/>
        <v>78.3756254356</v>
      </c>
      <c r="J48" s="143">
        <f t="shared" si="2"/>
        <v>0.27470433886143641</v>
      </c>
      <c r="K48" s="143">
        <f t="shared" si="5"/>
        <v>0.24173981819806403</v>
      </c>
    </row>
    <row r="49" spans="1:12" ht="12" customHeight="1" x14ac:dyDescent="0.2">
      <c r="A49" s="3">
        <v>2002</v>
      </c>
      <c r="B49" s="21">
        <v>288.10481800000002</v>
      </c>
      <c r="C49" s="9">
        <v>19.6416</v>
      </c>
      <c r="D49" s="9">
        <v>63.426736000000005</v>
      </c>
      <c r="E49" s="9">
        <v>42.40802</v>
      </c>
      <c r="F49" s="9">
        <f t="shared" si="0"/>
        <v>125.47635600000001</v>
      </c>
      <c r="G49" s="9">
        <v>5.9203075001999999</v>
      </c>
      <c r="H49" s="9">
        <v>55.006879999999995</v>
      </c>
      <c r="I49" s="9">
        <f t="shared" si="1"/>
        <v>64.549168499800018</v>
      </c>
      <c r="J49" s="143">
        <f t="shared" si="2"/>
        <v>0.22404751488675212</v>
      </c>
      <c r="K49" s="143">
        <f t="shared" si="5"/>
        <v>0.19716181310034187</v>
      </c>
    </row>
    <row r="50" spans="1:12" ht="12" customHeight="1" x14ac:dyDescent="0.2">
      <c r="A50" s="3">
        <v>2003</v>
      </c>
      <c r="B50" s="21">
        <v>290.81963400000001</v>
      </c>
      <c r="C50" s="9">
        <v>18.8416</v>
      </c>
      <c r="D50" s="9">
        <v>73.716193400000009</v>
      </c>
      <c r="E50" s="9">
        <v>55.006879999999995</v>
      </c>
      <c r="F50" s="9">
        <f t="shared" si="0"/>
        <v>147.5646734</v>
      </c>
      <c r="G50" s="9">
        <v>5.7810799281999996</v>
      </c>
      <c r="H50" s="9">
        <v>44.363279999999996</v>
      </c>
      <c r="I50" s="9">
        <f t="shared" si="1"/>
        <v>97.4203134718</v>
      </c>
      <c r="J50" s="143">
        <f t="shared" si="2"/>
        <v>0.3349853382725872</v>
      </c>
      <c r="K50" s="143">
        <f t="shared" si="5"/>
        <v>0.29478709767987671</v>
      </c>
    </row>
    <row r="51" spans="1:12" ht="12" customHeight="1" x14ac:dyDescent="0.2">
      <c r="A51" s="3">
        <v>2004</v>
      </c>
      <c r="B51" s="21">
        <v>293.46318500000001</v>
      </c>
      <c r="C51" s="9">
        <v>18.323500000000003</v>
      </c>
      <c r="D51" s="9">
        <v>97.438068000000001</v>
      </c>
      <c r="E51" s="9">
        <v>44.363279999999996</v>
      </c>
      <c r="F51" s="9">
        <f t="shared" si="0"/>
        <v>160.12484800000001</v>
      </c>
      <c r="G51" s="9">
        <v>5.5276435465999993</v>
      </c>
      <c r="H51" s="9">
        <v>39.972499999999997</v>
      </c>
      <c r="I51" s="9">
        <f t="shared" si="1"/>
        <v>114.62470445340003</v>
      </c>
      <c r="J51" s="143">
        <f t="shared" si="2"/>
        <v>0.39059313165090886</v>
      </c>
      <c r="K51" s="143">
        <f t="shared" si="5"/>
        <v>0.3437219558527998</v>
      </c>
    </row>
    <row r="52" spans="1:12" ht="12" customHeight="1" x14ac:dyDescent="0.2">
      <c r="A52" s="3">
        <v>2005</v>
      </c>
      <c r="B52" s="21">
        <v>296.186216</v>
      </c>
      <c r="C52" s="9">
        <v>17.511000000000003</v>
      </c>
      <c r="D52" s="9">
        <v>116.6496708</v>
      </c>
      <c r="E52" s="9">
        <v>39.972499999999997</v>
      </c>
      <c r="F52" s="9">
        <f t="shared" si="0"/>
        <v>174.13317079999999</v>
      </c>
      <c r="G52" s="9">
        <v>5.4621431365999999</v>
      </c>
      <c r="H52" s="9">
        <v>37.446120000000001</v>
      </c>
      <c r="I52" s="9">
        <f t="shared" si="1"/>
        <v>131.22490766339999</v>
      </c>
      <c r="J52" s="143">
        <f t="shared" si="2"/>
        <v>0.44304866524713626</v>
      </c>
      <c r="K52" s="143">
        <f t="shared" si="5"/>
        <v>0.38988282541747993</v>
      </c>
    </row>
    <row r="53" spans="1:12" ht="12" customHeight="1" x14ac:dyDescent="0.2">
      <c r="A53" s="2">
        <v>2006</v>
      </c>
      <c r="B53" s="20">
        <v>298.99582500000002</v>
      </c>
      <c r="C53" s="8">
        <v>16.955400000000001</v>
      </c>
      <c r="D53" s="8">
        <v>110.39931800000001</v>
      </c>
      <c r="E53" s="8">
        <v>37.446120000000001</v>
      </c>
      <c r="F53" s="8">
        <f t="shared" si="0"/>
        <v>164.800838</v>
      </c>
      <c r="G53" s="8">
        <v>5.8897775864000002</v>
      </c>
      <c r="H53" s="8">
        <v>37.178260000000002</v>
      </c>
      <c r="I53" s="8">
        <f t="shared" si="1"/>
        <v>121.73280041359999</v>
      </c>
      <c r="J53" s="142">
        <f t="shared" si="2"/>
        <v>0.40713879671597414</v>
      </c>
      <c r="K53" s="142">
        <f t="shared" ref="K53:K58" si="6">J53*0.88</f>
        <v>0.35828214111005724</v>
      </c>
    </row>
    <row r="54" spans="1:12" ht="12" customHeight="1" x14ac:dyDescent="0.2">
      <c r="A54" s="2">
        <v>2007</v>
      </c>
      <c r="B54" s="20">
        <v>302.003917</v>
      </c>
      <c r="C54" s="8">
        <v>16.570319999999999</v>
      </c>
      <c r="D54" s="8">
        <v>115.17972920000001</v>
      </c>
      <c r="E54" s="8">
        <v>37.178260000000002</v>
      </c>
      <c r="F54" s="8">
        <f t="shared" si="0"/>
        <v>168.9283092</v>
      </c>
      <c r="G54" s="8">
        <v>4.6160565571999994</v>
      </c>
      <c r="H54" s="8">
        <v>27.989599999999996</v>
      </c>
      <c r="I54" s="8">
        <f t="shared" si="1"/>
        <v>136.32265264279999</v>
      </c>
      <c r="J54" s="142">
        <f t="shared" si="2"/>
        <v>0.45139365739683435</v>
      </c>
      <c r="K54" s="142">
        <f t="shared" si="6"/>
        <v>0.39722641850921425</v>
      </c>
    </row>
    <row r="55" spans="1:12" ht="12" customHeight="1" x14ac:dyDescent="0.2">
      <c r="A55" s="2">
        <v>2008</v>
      </c>
      <c r="B55" s="20">
        <v>304.79776099999998</v>
      </c>
      <c r="C55" s="8">
        <v>17.816298</v>
      </c>
      <c r="D55" s="8">
        <v>124.31531680000001</v>
      </c>
      <c r="E55" s="8">
        <v>27.989599999999996</v>
      </c>
      <c r="F55" s="8">
        <f t="shared" si="0"/>
        <v>170.12121479999999</v>
      </c>
      <c r="G55" s="8">
        <v>4.7595266328000001</v>
      </c>
      <c r="H55" s="8">
        <v>28.455699999999997</v>
      </c>
      <c r="I55" s="8">
        <f t="shared" si="1"/>
        <v>136.90598816720001</v>
      </c>
      <c r="J55" s="142">
        <f t="shared" si="2"/>
        <v>0.44916992735783257</v>
      </c>
      <c r="K55" s="142">
        <f t="shared" si="6"/>
        <v>0.39526953607489268</v>
      </c>
    </row>
    <row r="56" spans="1:12" ht="12" customHeight="1" x14ac:dyDescent="0.2">
      <c r="A56" s="2">
        <v>2009</v>
      </c>
      <c r="B56" s="20">
        <v>307.43940600000002</v>
      </c>
      <c r="C56" s="8">
        <v>18.080656000000005</v>
      </c>
      <c r="D56" s="8">
        <v>131.831908</v>
      </c>
      <c r="E56" s="8">
        <v>28.455699999999997</v>
      </c>
      <c r="F56" s="8">
        <f t="shared" si="0"/>
        <v>178.36826400000001</v>
      </c>
      <c r="G56" s="8">
        <v>4.8639206232000003</v>
      </c>
      <c r="H56" s="8">
        <v>34.255400000000002</v>
      </c>
      <c r="I56" s="8">
        <f t="shared" si="1"/>
        <v>139.24894337680001</v>
      </c>
      <c r="J56" s="142">
        <f t="shared" si="2"/>
        <v>0.45293134406068947</v>
      </c>
      <c r="K56" s="142">
        <f t="shared" si="6"/>
        <v>0.39857958277340672</v>
      </c>
    </row>
    <row r="57" spans="1:12" ht="12" customHeight="1" x14ac:dyDescent="0.2">
      <c r="A57" s="2">
        <v>2010</v>
      </c>
      <c r="B57" s="20">
        <v>309.74127900000002</v>
      </c>
      <c r="C57" s="8">
        <v>28.701371999999999</v>
      </c>
      <c r="D57" s="8">
        <v>95.516279400000002</v>
      </c>
      <c r="E57" s="8">
        <v>34.255400000000002</v>
      </c>
      <c r="F57" s="8">
        <f t="shared" si="0"/>
        <v>158.4730514</v>
      </c>
      <c r="G57" s="8">
        <v>5.5669218617999991</v>
      </c>
      <c r="H57" s="8">
        <v>25.31926</v>
      </c>
      <c r="I57" s="8">
        <f t="shared" si="1"/>
        <v>127.58686953820001</v>
      </c>
      <c r="J57" s="142">
        <f t="shared" si="2"/>
        <v>0.41191432394840727</v>
      </c>
      <c r="K57" s="142">
        <f t="shared" si="6"/>
        <v>0.3624846050745984</v>
      </c>
    </row>
    <row r="58" spans="1:12" ht="12" customHeight="1" x14ac:dyDescent="0.2">
      <c r="A58" s="33">
        <v>2011</v>
      </c>
      <c r="B58" s="31">
        <v>311.97391399999998</v>
      </c>
      <c r="C58" s="39">
        <v>26.915903999999994</v>
      </c>
      <c r="D58" s="39">
        <v>139.08088499999999</v>
      </c>
      <c r="E58" s="39">
        <v>25.31926</v>
      </c>
      <c r="F58" s="39">
        <f t="shared" si="0"/>
        <v>191.31604899999996</v>
      </c>
      <c r="G58" s="39">
        <v>6.05981353284362</v>
      </c>
      <c r="H58" s="39">
        <v>40.840979999999995</v>
      </c>
      <c r="I58" s="39">
        <f t="shared" si="1"/>
        <v>144.41525546715636</v>
      </c>
      <c r="J58" s="144">
        <f t="shared" si="2"/>
        <v>0.46290811182102992</v>
      </c>
      <c r="K58" s="144">
        <f t="shared" si="6"/>
        <v>0.40735913840250632</v>
      </c>
    </row>
    <row r="59" spans="1:12" s="87" customFormat="1" ht="12" customHeight="1" x14ac:dyDescent="0.2">
      <c r="A59" s="33">
        <v>2012</v>
      </c>
      <c r="B59" s="31">
        <v>314.16755799999999</v>
      </c>
      <c r="C59" s="39">
        <v>23.77</v>
      </c>
      <c r="D59" s="39">
        <v>100.2068836052856</v>
      </c>
      <c r="E59" s="39">
        <v>40.840979999999995</v>
      </c>
      <c r="F59" s="39">
        <f t="shared" si="0"/>
        <v>164.81786360528559</v>
      </c>
      <c r="G59" s="39">
        <v>4.1007806337059316</v>
      </c>
      <c r="H59" s="39">
        <v>27.89874</v>
      </c>
      <c r="I59" s="39">
        <f t="shared" ref="I59" si="7">F59-SUM(G59,H59)</f>
        <v>132.81834297157965</v>
      </c>
      <c r="J59" s="144">
        <f t="shared" ref="J59" si="8">IF(I59=0,0,IF(B59=0,0,I59/B59))</f>
        <v>0.42276275697307886</v>
      </c>
      <c r="K59" s="144">
        <f t="shared" ref="K59" si="9">J59*0.88</f>
        <v>0.3720312261363094</v>
      </c>
      <c r="L59"/>
    </row>
    <row r="60" spans="1:12" s="93" customFormat="1" ht="12" customHeight="1" x14ac:dyDescent="0.2">
      <c r="A60" s="33">
        <v>2013</v>
      </c>
      <c r="B60" s="31">
        <v>316.29476599999998</v>
      </c>
      <c r="C60" s="39">
        <v>2.3539120000000002</v>
      </c>
      <c r="D60" s="39">
        <v>96.914976370982004</v>
      </c>
      <c r="E60" s="39">
        <v>27.89874</v>
      </c>
      <c r="F60" s="39">
        <f t="shared" si="0"/>
        <v>127.167628370982</v>
      </c>
      <c r="G60" s="39">
        <v>4.2994865921216876</v>
      </c>
      <c r="H60" s="39">
        <v>25.257899999999999</v>
      </c>
      <c r="I60" s="39">
        <f t="shared" ref="I60" si="10">F60-SUM(G60,H60)</f>
        <v>97.610241778860313</v>
      </c>
      <c r="J60" s="144">
        <f t="shared" ref="J60" si="11">IF(I60=0,0,IF(B60=0,0,I60/B60))</f>
        <v>0.30860530198865294</v>
      </c>
      <c r="K60" s="144">
        <f t="shared" ref="K60" si="12">J60*0.88</f>
        <v>0.2715726657500146</v>
      </c>
      <c r="L60" s="83"/>
    </row>
    <row r="61" spans="1:12" s="93" customFormat="1" ht="12" customHeight="1" x14ac:dyDescent="0.2">
      <c r="A61" s="33">
        <v>2014</v>
      </c>
      <c r="B61" s="31">
        <v>318.576955</v>
      </c>
      <c r="C61" s="39">
        <v>25.922292000000002</v>
      </c>
      <c r="D61" s="39">
        <v>130.76188429355477</v>
      </c>
      <c r="E61" s="39">
        <v>25.257899999999999</v>
      </c>
      <c r="F61" s="39">
        <f t="shared" si="0"/>
        <v>181.94207629355478</v>
      </c>
      <c r="G61" s="39">
        <v>4.3226311681977601</v>
      </c>
      <c r="H61" s="39">
        <v>46.462499999999999</v>
      </c>
      <c r="I61" s="39">
        <f t="shared" ref="I61" si="13">F61-SUM(G61,H61)</f>
        <v>131.15694512535703</v>
      </c>
      <c r="J61" s="144">
        <f t="shared" ref="J61" si="14">IF(I61=0,0,IF(B61=0,0,I61/B61))</f>
        <v>0.41169627327675673</v>
      </c>
      <c r="K61" s="144">
        <f t="shared" ref="K61" si="15">J61*0.88</f>
        <v>0.36229272048354594</v>
      </c>
      <c r="L61" s="83"/>
    </row>
    <row r="62" spans="1:12" s="93" customFormat="1" ht="12" customHeight="1" x14ac:dyDescent="0.2">
      <c r="A62" s="33">
        <v>2015</v>
      </c>
      <c r="B62" s="31">
        <v>320.87070299999999</v>
      </c>
      <c r="C62" s="39">
        <v>20.861651999999996</v>
      </c>
      <c r="D62" s="39">
        <v>129.91032658186001</v>
      </c>
      <c r="E62" s="39">
        <v>46.462499999999999</v>
      </c>
      <c r="F62" s="39">
        <f t="shared" si="0"/>
        <v>197.23447858186</v>
      </c>
      <c r="G62" s="39">
        <v>4.4910607878209028</v>
      </c>
      <c r="H62" s="39">
        <v>66.174399999999991</v>
      </c>
      <c r="I62" s="39">
        <f t="shared" ref="I62" si="16">F62-SUM(G62,H62)</f>
        <v>126.56901779403911</v>
      </c>
      <c r="J62" s="144">
        <f t="shared" ref="J62" si="17">IF(I62=0,0,IF(B62=0,0,I62/B62))</f>
        <v>0.39445488980662441</v>
      </c>
      <c r="K62" s="144">
        <f t="shared" ref="K62" si="18">J62*0.88</f>
        <v>0.34712030302982949</v>
      </c>
      <c r="L62" s="83"/>
    </row>
    <row r="63" spans="1:12" s="93" customFormat="1" ht="12" customHeight="1" x14ac:dyDescent="0.2">
      <c r="A63" s="128">
        <v>2016</v>
      </c>
      <c r="B63" s="129">
        <v>323.16101099999997</v>
      </c>
      <c r="C63" s="130">
        <v>27.744395999999998</v>
      </c>
      <c r="D63" s="130">
        <v>128.53375431405959</v>
      </c>
      <c r="E63" s="130">
        <v>66.174399999999991</v>
      </c>
      <c r="F63" s="130">
        <f t="shared" si="0"/>
        <v>222.45255031405958</v>
      </c>
      <c r="G63" s="130">
        <v>4.5324407437451555</v>
      </c>
      <c r="H63" s="130">
        <v>40.306440000000002</v>
      </c>
      <c r="I63" s="130">
        <f t="shared" ref="I63:I64" si="19">F63-SUM(G63,H63)</f>
        <v>177.61366957031441</v>
      </c>
      <c r="J63" s="145">
        <f t="shared" ref="J63:J64" si="20">IF(I63=0,0,IF(B63=0,0,I63/B63))</f>
        <v>0.54961354719339717</v>
      </c>
      <c r="K63" s="145">
        <f t="shared" ref="K63:K64" si="21">J63*0.88</f>
        <v>0.4836599215301895</v>
      </c>
      <c r="L63" s="83"/>
    </row>
    <row r="64" spans="1:12" s="93" customFormat="1" ht="12" customHeight="1" x14ac:dyDescent="0.2">
      <c r="A64" s="125">
        <v>2017</v>
      </c>
      <c r="B64" s="126">
        <v>325.20603</v>
      </c>
      <c r="C64" s="127">
        <v>50.720400000000005</v>
      </c>
      <c r="D64" s="127">
        <v>116.86039251793278</v>
      </c>
      <c r="E64" s="127">
        <v>40.306440000000002</v>
      </c>
      <c r="F64" s="127">
        <f t="shared" si="0"/>
        <v>207.8872325179328</v>
      </c>
      <c r="G64" s="127">
        <v>4.8461571856027872</v>
      </c>
      <c r="H64" s="127">
        <v>45.964933333333327</v>
      </c>
      <c r="I64" s="127">
        <f t="shared" si="19"/>
        <v>157.07614199899669</v>
      </c>
      <c r="J64" s="146">
        <f t="shared" si="20"/>
        <v>0.48300501069736218</v>
      </c>
      <c r="K64" s="146">
        <f t="shared" si="21"/>
        <v>0.42504440941367871</v>
      </c>
      <c r="L64" s="83"/>
    </row>
    <row r="65" spans="1:12" s="93" customFormat="1" ht="12" customHeight="1" x14ac:dyDescent="0.2">
      <c r="A65" s="128">
        <v>2018</v>
      </c>
      <c r="B65" s="129">
        <v>326.92397599999998</v>
      </c>
      <c r="C65" s="130">
        <v>25.418412549019582</v>
      </c>
      <c r="D65" s="130">
        <v>160.1732064339264</v>
      </c>
      <c r="E65" s="130">
        <v>45.964933333333327</v>
      </c>
      <c r="F65" s="130">
        <f t="shared" si="0"/>
        <v>231.55655231627932</v>
      </c>
      <c r="G65" s="130">
        <v>5.4226230221727079</v>
      </c>
      <c r="H65" s="130">
        <v>50.981113333333333</v>
      </c>
      <c r="I65" s="130">
        <f t="shared" ref="I65:I67" si="22">F65-SUM(G65,H65)</f>
        <v>175.1528159607733</v>
      </c>
      <c r="J65" s="145">
        <f t="shared" ref="J65:J67" si="23">IF(I65=0,0,IF(B65=0,0,I65/B65))</f>
        <v>0.53576008130028774</v>
      </c>
      <c r="K65" s="145">
        <f t="shared" ref="K65:K67" si="24">J65*0.88</f>
        <v>0.47146887154425321</v>
      </c>
      <c r="L65" s="83"/>
    </row>
    <row r="66" spans="1:12" s="93" customFormat="1" ht="12" customHeight="1" x14ac:dyDescent="0.2">
      <c r="A66" s="128">
        <v>2019</v>
      </c>
      <c r="B66" s="129">
        <v>328.475998</v>
      </c>
      <c r="C66" s="162">
        <v>25.287841666666619</v>
      </c>
      <c r="D66" s="130">
        <v>162.46425631231401</v>
      </c>
      <c r="E66" s="162">
        <v>50.981113333333333</v>
      </c>
      <c r="F66" s="130">
        <f t="shared" si="0"/>
        <v>238.73321131231395</v>
      </c>
      <c r="G66" s="130">
        <v>5.1821757322543114</v>
      </c>
      <c r="H66" s="162">
        <v>50.815257777777781</v>
      </c>
      <c r="I66" s="130">
        <f t="shared" si="22"/>
        <v>182.73577780228186</v>
      </c>
      <c r="J66" s="145">
        <f t="shared" si="23"/>
        <v>0.5563139435298462</v>
      </c>
      <c r="K66" s="145">
        <f t="shared" si="24"/>
        <v>0.48955627030626464</v>
      </c>
      <c r="L66" s="83"/>
    </row>
    <row r="67" spans="1:12" s="93" customFormat="1" ht="12" customHeight="1" thickBot="1" x14ac:dyDescent="0.25">
      <c r="A67" s="148">
        <v>2020</v>
      </c>
      <c r="B67" s="149">
        <v>330.11398000000003</v>
      </c>
      <c r="C67" s="147">
        <v>29.482199962848281</v>
      </c>
      <c r="D67" s="124">
        <v>163.73309404770998</v>
      </c>
      <c r="E67" s="147">
        <v>50.815257777777781</v>
      </c>
      <c r="F67" s="150">
        <f t="shared" si="0"/>
        <v>244.03055178833606</v>
      </c>
      <c r="G67" s="147">
        <v>4.92781291896</v>
      </c>
      <c r="H67" s="124">
        <v>45.75082888888889</v>
      </c>
      <c r="I67" s="150">
        <f t="shared" si="22"/>
        <v>193.35190998048716</v>
      </c>
      <c r="J67" s="152">
        <f t="shared" si="23"/>
        <v>0.58571257715437297</v>
      </c>
      <c r="K67" s="152">
        <f t="shared" si="24"/>
        <v>0.51542706789584825</v>
      </c>
      <c r="L67" s="83"/>
    </row>
    <row r="68" spans="1:12" ht="12" customHeight="1" thickTop="1" x14ac:dyDescent="0.2">
      <c r="A68" s="260" t="s">
        <v>8</v>
      </c>
      <c r="B68" s="261"/>
      <c r="C68" s="261"/>
      <c r="D68" s="261"/>
      <c r="E68" s="261"/>
      <c r="F68" s="261"/>
      <c r="G68" s="261"/>
      <c r="H68" s="261"/>
      <c r="I68" s="261"/>
      <c r="J68" s="261"/>
      <c r="K68" s="262"/>
      <c r="L68" s="86"/>
    </row>
    <row r="69" spans="1:12" ht="12" customHeight="1" x14ac:dyDescent="0.2">
      <c r="A69" s="263"/>
      <c r="B69" s="264"/>
      <c r="C69" s="264"/>
      <c r="D69" s="264"/>
      <c r="E69" s="264"/>
      <c r="F69" s="264"/>
      <c r="G69" s="264"/>
      <c r="H69" s="264"/>
      <c r="I69" s="264"/>
      <c r="J69" s="264"/>
      <c r="K69" s="265"/>
      <c r="L69" s="86"/>
    </row>
    <row r="70" spans="1:12" ht="12" customHeight="1" x14ac:dyDescent="0.2">
      <c r="A70" s="266" t="s">
        <v>238</v>
      </c>
      <c r="B70" s="267"/>
      <c r="C70" s="267"/>
      <c r="D70" s="267"/>
      <c r="E70" s="267"/>
      <c r="F70" s="267"/>
      <c r="G70" s="267"/>
      <c r="H70" s="267"/>
      <c r="I70" s="267"/>
      <c r="J70" s="267"/>
      <c r="K70" s="268"/>
      <c r="L70" s="86"/>
    </row>
    <row r="71" spans="1:12" ht="12" customHeight="1" x14ac:dyDescent="0.2">
      <c r="A71" s="266"/>
      <c r="B71" s="267"/>
      <c r="C71" s="267"/>
      <c r="D71" s="267"/>
      <c r="E71" s="267"/>
      <c r="F71" s="267"/>
      <c r="G71" s="267"/>
      <c r="H71" s="267"/>
      <c r="I71" s="267"/>
      <c r="J71" s="267"/>
      <c r="K71" s="268"/>
      <c r="L71" s="86"/>
    </row>
    <row r="72" spans="1:12" ht="12" customHeight="1" x14ac:dyDescent="0.2">
      <c r="A72" s="266"/>
      <c r="B72" s="267"/>
      <c r="C72" s="267"/>
      <c r="D72" s="267"/>
      <c r="E72" s="267"/>
      <c r="F72" s="267"/>
      <c r="G72" s="267"/>
      <c r="H72" s="267"/>
      <c r="I72" s="267"/>
      <c r="J72" s="267"/>
      <c r="K72" s="268"/>
      <c r="L72" s="86"/>
    </row>
    <row r="73" spans="1:12" ht="24" customHeight="1" x14ac:dyDescent="0.2">
      <c r="A73" s="266"/>
      <c r="B73" s="267"/>
      <c r="C73" s="267"/>
      <c r="D73" s="267"/>
      <c r="E73" s="267"/>
      <c r="F73" s="267"/>
      <c r="G73" s="267"/>
      <c r="H73" s="267"/>
      <c r="I73" s="267"/>
      <c r="J73" s="267"/>
      <c r="K73" s="268"/>
      <c r="L73" s="85"/>
    </row>
    <row r="74" spans="1:12" ht="12" customHeight="1" x14ac:dyDescent="0.2">
      <c r="A74" s="263"/>
      <c r="B74" s="264"/>
      <c r="C74" s="264"/>
      <c r="D74" s="264"/>
      <c r="E74" s="264"/>
      <c r="F74" s="264"/>
      <c r="G74" s="264"/>
      <c r="H74" s="264"/>
      <c r="I74" s="264"/>
      <c r="J74" s="264"/>
      <c r="K74" s="265"/>
      <c r="L74" s="85"/>
    </row>
    <row r="75" spans="1:12" ht="12" customHeight="1" x14ac:dyDescent="0.2">
      <c r="A75" s="304" t="s">
        <v>198</v>
      </c>
      <c r="B75" s="305"/>
      <c r="C75" s="305"/>
      <c r="D75" s="305"/>
      <c r="E75" s="305"/>
      <c r="F75" s="305"/>
      <c r="G75" s="305"/>
      <c r="H75" s="305"/>
      <c r="I75" s="305"/>
      <c r="J75" s="305"/>
      <c r="K75" s="306"/>
      <c r="L75" s="85"/>
    </row>
  </sheetData>
  <mergeCells count="23">
    <mergeCell ref="A1:I1"/>
    <mergeCell ref="C6:I6"/>
    <mergeCell ref="J6:K6"/>
    <mergeCell ref="J1:K1"/>
    <mergeCell ref="B2:B5"/>
    <mergeCell ref="I3:I5"/>
    <mergeCell ref="C2:F2"/>
    <mergeCell ref="J3:K3"/>
    <mergeCell ref="J4:J5"/>
    <mergeCell ref="C3:C5"/>
    <mergeCell ref="D3:D5"/>
    <mergeCell ref="E3:E5"/>
    <mergeCell ref="F3:F5"/>
    <mergeCell ref="G3:G5"/>
    <mergeCell ref="H3:H5"/>
    <mergeCell ref="A2:A5"/>
    <mergeCell ref="G2:H2"/>
    <mergeCell ref="I2:K2"/>
    <mergeCell ref="A75:K75"/>
    <mergeCell ref="A70:K73"/>
    <mergeCell ref="A74:K74"/>
    <mergeCell ref="A68:K68"/>
    <mergeCell ref="A69:K69"/>
  </mergeCells>
  <phoneticPr fontId="7" type="noConversion"/>
  <printOptions horizontalCentered="1"/>
  <pageMargins left="0.45" right="0.45" top="0.75" bottom="0.75" header="0" footer="0"/>
  <pageSetup scale="65" fitToWidth="2"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pageSetUpPr autoPageBreaks="0" fitToPage="1"/>
  </sheetPr>
  <dimension ref="A1:J74"/>
  <sheetViews>
    <sheetView showOutlineSymbols="0" zoomScaleNormal="100" workbookViewId="0">
      <pane ySplit="6" topLeftCell="A7" activePane="bottomLeft" state="frozen"/>
      <selection sqref="A1:G1"/>
      <selection pane="bottomLeft" sqref="A1:G1"/>
    </sheetView>
  </sheetViews>
  <sheetFormatPr defaultColWidth="12.7109375" defaultRowHeight="12" customHeight="1" x14ac:dyDescent="0.2"/>
  <cols>
    <col min="1" max="1" width="12.7109375" style="13" customWidth="1"/>
    <col min="2" max="16384" width="12.7109375" style="13"/>
  </cols>
  <sheetData>
    <row r="1" spans="1:10" s="1" customFormat="1" ht="12" customHeight="1" thickBot="1" x14ac:dyDescent="0.25">
      <c r="A1" s="201" t="s">
        <v>169</v>
      </c>
      <c r="B1" s="201"/>
      <c r="C1" s="201"/>
      <c r="D1" s="201"/>
      <c r="E1" s="201"/>
      <c r="F1" s="201"/>
      <c r="G1" s="201"/>
      <c r="H1" s="200" t="s">
        <v>19</v>
      </c>
      <c r="I1" s="200"/>
    </row>
    <row r="2" spans="1:10" ht="12" customHeight="1" thickTop="1" x14ac:dyDescent="0.2">
      <c r="A2" s="257" t="s">
        <v>1</v>
      </c>
      <c r="B2" s="258" t="s">
        <v>85</v>
      </c>
      <c r="C2" s="218" t="s">
        <v>2</v>
      </c>
      <c r="D2" s="218"/>
      <c r="E2" s="218"/>
      <c r="F2" s="117" t="s">
        <v>146</v>
      </c>
      <c r="G2" s="244" t="s">
        <v>147</v>
      </c>
      <c r="H2" s="245"/>
      <c r="I2" s="245"/>
    </row>
    <row r="3" spans="1:10" ht="12" customHeight="1" x14ac:dyDescent="0.2">
      <c r="A3" s="217"/>
      <c r="B3" s="259"/>
      <c r="C3" s="217" t="s">
        <v>86</v>
      </c>
      <c r="D3" s="217" t="s">
        <v>87</v>
      </c>
      <c r="E3" s="217" t="s">
        <v>88</v>
      </c>
      <c r="F3" s="217" t="s">
        <v>95</v>
      </c>
      <c r="G3" s="217" t="s">
        <v>137</v>
      </c>
      <c r="H3" s="226" t="s">
        <v>28</v>
      </c>
      <c r="I3" s="227"/>
    </row>
    <row r="4" spans="1:10" ht="12" customHeight="1" x14ac:dyDescent="0.2">
      <c r="A4" s="217"/>
      <c r="B4" s="259"/>
      <c r="C4" s="217"/>
      <c r="D4" s="217"/>
      <c r="E4" s="217"/>
      <c r="F4" s="217"/>
      <c r="G4" s="217"/>
      <c r="H4" s="217" t="s">
        <v>4</v>
      </c>
      <c r="I4" s="14" t="s">
        <v>139</v>
      </c>
      <c r="J4" s="4"/>
    </row>
    <row r="5" spans="1:10" ht="12" customHeight="1" x14ac:dyDescent="0.2">
      <c r="A5" s="217"/>
      <c r="B5" s="259"/>
      <c r="C5" s="217"/>
      <c r="D5" s="217"/>
      <c r="E5" s="217"/>
      <c r="F5" s="217"/>
      <c r="G5" s="217"/>
      <c r="H5" s="217"/>
      <c r="I5" s="14" t="s">
        <v>191</v>
      </c>
    </row>
    <row r="6" spans="1:10" ht="12" customHeight="1" x14ac:dyDescent="0.2">
      <c r="A6" s="88"/>
      <c r="B6" s="167" t="s">
        <v>121</v>
      </c>
      <c r="C6" s="290" t="s">
        <v>122</v>
      </c>
      <c r="D6" s="291"/>
      <c r="E6" s="291"/>
      <c r="F6" s="291"/>
      <c r="G6" s="292"/>
      <c r="H6" s="214" t="s">
        <v>118</v>
      </c>
      <c r="I6" s="222"/>
      <c r="J6" s="88"/>
    </row>
    <row r="7" spans="1:10" ht="12" customHeight="1" x14ac:dyDescent="0.2">
      <c r="A7" s="2">
        <v>1960</v>
      </c>
      <c r="B7" s="20">
        <v>180.67099999999999</v>
      </c>
      <c r="C7" s="168">
        <v>363.3</v>
      </c>
      <c r="D7" s="170">
        <v>22.8</v>
      </c>
      <c r="E7" s="170">
        <f t="shared" ref="E7:E38" si="0">SUM(C7,D7)</f>
        <v>386.1</v>
      </c>
      <c r="F7" s="170">
        <v>10.444000000000001</v>
      </c>
      <c r="G7" s="170">
        <f t="shared" ref="G7:G38" si="1">E7-F7</f>
        <v>375.65600000000001</v>
      </c>
      <c r="H7" s="142">
        <f t="shared" ref="H7:H38" si="2">IF(G7=0,0,IF(B7=0,0,G7/B7))</f>
        <v>2.0792268820120552</v>
      </c>
      <c r="I7" s="142">
        <f t="shared" ref="I7:I16" si="3">H7*0.92</f>
        <v>1.912888731451091</v>
      </c>
    </row>
    <row r="8" spans="1:10" ht="12" customHeight="1" x14ac:dyDescent="0.2">
      <c r="A8" s="3">
        <v>1961</v>
      </c>
      <c r="B8" s="21">
        <v>183.691</v>
      </c>
      <c r="C8" s="171">
        <v>398.9</v>
      </c>
      <c r="D8" s="172">
        <v>13.3</v>
      </c>
      <c r="E8" s="172">
        <f t="shared" si="0"/>
        <v>412.2</v>
      </c>
      <c r="F8" s="172">
        <v>11.795999999999999</v>
      </c>
      <c r="G8" s="172">
        <f t="shared" si="1"/>
        <v>400.404</v>
      </c>
      <c r="H8" s="183">
        <f t="shared" si="2"/>
        <v>2.1797692864647695</v>
      </c>
      <c r="I8" s="144">
        <f t="shared" si="3"/>
        <v>2.0053877435475882</v>
      </c>
    </row>
    <row r="9" spans="1:10" ht="12" customHeight="1" x14ac:dyDescent="0.2">
      <c r="A9" s="3">
        <v>1962</v>
      </c>
      <c r="B9" s="21">
        <v>186.53800000000001</v>
      </c>
      <c r="C9" s="171">
        <v>371.5</v>
      </c>
      <c r="D9" s="172">
        <v>17.5</v>
      </c>
      <c r="E9" s="172">
        <f t="shared" si="0"/>
        <v>389</v>
      </c>
      <c r="F9" s="172">
        <v>11.896000000000001</v>
      </c>
      <c r="G9" s="172">
        <f t="shared" si="1"/>
        <v>377.10399999999998</v>
      </c>
      <c r="H9" s="183">
        <f t="shared" si="2"/>
        <v>2.0215934554889619</v>
      </c>
      <c r="I9" s="144">
        <f t="shared" si="3"/>
        <v>1.8598659790498451</v>
      </c>
    </row>
    <row r="10" spans="1:10" ht="12" customHeight="1" x14ac:dyDescent="0.2">
      <c r="A10" s="3">
        <v>1963</v>
      </c>
      <c r="B10" s="21">
        <v>189.24199999999999</v>
      </c>
      <c r="C10" s="171">
        <v>398.5</v>
      </c>
      <c r="D10" s="172">
        <v>16.600000000000001</v>
      </c>
      <c r="E10" s="172">
        <f t="shared" si="0"/>
        <v>415.1</v>
      </c>
      <c r="F10" s="172">
        <v>11.507</v>
      </c>
      <c r="G10" s="172">
        <f t="shared" si="1"/>
        <v>403.59300000000002</v>
      </c>
      <c r="H10" s="183">
        <f t="shared" si="2"/>
        <v>2.1326819627778191</v>
      </c>
      <c r="I10" s="144">
        <f t="shared" si="3"/>
        <v>1.9620674057555936</v>
      </c>
    </row>
    <row r="11" spans="1:10" ht="12" customHeight="1" x14ac:dyDescent="0.2">
      <c r="A11" s="3">
        <v>1964</v>
      </c>
      <c r="B11" s="21">
        <v>191.88900000000001</v>
      </c>
      <c r="C11" s="171">
        <v>387.4</v>
      </c>
      <c r="D11" s="172">
        <v>14.8</v>
      </c>
      <c r="E11" s="172">
        <f t="shared" si="0"/>
        <v>402.2</v>
      </c>
      <c r="F11" s="172">
        <v>14.61</v>
      </c>
      <c r="G11" s="172">
        <f t="shared" si="1"/>
        <v>387.59</v>
      </c>
      <c r="H11" s="183">
        <f t="shared" si="2"/>
        <v>2.0198656514964379</v>
      </c>
      <c r="I11" s="144">
        <f t="shared" si="3"/>
        <v>1.8582763993767231</v>
      </c>
    </row>
    <row r="12" spans="1:10" ht="12" customHeight="1" x14ac:dyDescent="0.2">
      <c r="A12" s="3">
        <v>1965</v>
      </c>
      <c r="B12" s="21">
        <v>194.303</v>
      </c>
      <c r="C12" s="171">
        <v>389.1</v>
      </c>
      <c r="D12" s="172">
        <v>19.100000000000001</v>
      </c>
      <c r="E12" s="172">
        <f t="shared" si="0"/>
        <v>408.20000000000005</v>
      </c>
      <c r="F12" s="172">
        <v>16.103000000000002</v>
      </c>
      <c r="G12" s="172">
        <f t="shared" si="1"/>
        <v>392.09700000000004</v>
      </c>
      <c r="H12" s="183">
        <f t="shared" si="2"/>
        <v>2.0179667838376147</v>
      </c>
      <c r="I12" s="144">
        <f t="shared" si="3"/>
        <v>1.8565294411306057</v>
      </c>
    </row>
    <row r="13" spans="1:10" ht="12" customHeight="1" x14ac:dyDescent="0.2">
      <c r="A13" s="2">
        <v>1966</v>
      </c>
      <c r="B13" s="20">
        <v>196.56</v>
      </c>
      <c r="C13" s="168">
        <v>402.4</v>
      </c>
      <c r="D13" s="170">
        <v>26.4</v>
      </c>
      <c r="E13" s="170">
        <f t="shared" si="0"/>
        <v>428.79999999999995</v>
      </c>
      <c r="F13" s="170">
        <v>16.829000000000001</v>
      </c>
      <c r="G13" s="170">
        <f t="shared" si="1"/>
        <v>411.97099999999995</v>
      </c>
      <c r="H13" s="142">
        <f t="shared" si="2"/>
        <v>2.0959045584045581</v>
      </c>
      <c r="I13" s="142">
        <f t="shared" si="3"/>
        <v>1.9282321937321936</v>
      </c>
    </row>
    <row r="14" spans="1:10" ht="12" customHeight="1" x14ac:dyDescent="0.2">
      <c r="A14" s="2">
        <v>1967</v>
      </c>
      <c r="B14" s="20">
        <v>198.71199999999999</v>
      </c>
      <c r="C14" s="168">
        <v>432.8</v>
      </c>
      <c r="D14" s="170">
        <v>30.1</v>
      </c>
      <c r="E14" s="170">
        <f t="shared" si="0"/>
        <v>462.90000000000003</v>
      </c>
      <c r="F14" s="170">
        <v>14.089</v>
      </c>
      <c r="G14" s="170">
        <f t="shared" si="1"/>
        <v>448.81100000000004</v>
      </c>
      <c r="H14" s="142">
        <f t="shared" si="2"/>
        <v>2.2586003864889892</v>
      </c>
      <c r="I14" s="142">
        <f t="shared" si="3"/>
        <v>2.07791235556987</v>
      </c>
    </row>
    <row r="15" spans="1:10" ht="12" customHeight="1" x14ac:dyDescent="0.2">
      <c r="A15" s="2">
        <v>1968</v>
      </c>
      <c r="B15" s="20">
        <v>200.70599999999999</v>
      </c>
      <c r="C15" s="168">
        <v>491.6</v>
      </c>
      <c r="D15" s="170">
        <v>27.1</v>
      </c>
      <c r="E15" s="170">
        <f t="shared" si="0"/>
        <v>518.70000000000005</v>
      </c>
      <c r="F15" s="170">
        <v>17.542000000000002</v>
      </c>
      <c r="G15" s="170">
        <f t="shared" si="1"/>
        <v>501.15800000000002</v>
      </c>
      <c r="H15" s="142">
        <f t="shared" si="2"/>
        <v>2.4969756758641997</v>
      </c>
      <c r="I15" s="142">
        <f t="shared" si="3"/>
        <v>2.2972176217950637</v>
      </c>
    </row>
    <row r="16" spans="1:10" ht="12" customHeight="1" x14ac:dyDescent="0.2">
      <c r="A16" s="2">
        <v>1969</v>
      </c>
      <c r="B16" s="20">
        <v>202.67699999999999</v>
      </c>
      <c r="C16" s="168">
        <v>436.1</v>
      </c>
      <c r="D16" s="170">
        <v>45.4</v>
      </c>
      <c r="E16" s="170">
        <f t="shared" si="0"/>
        <v>481.5</v>
      </c>
      <c r="F16" s="170">
        <v>17.622</v>
      </c>
      <c r="G16" s="170">
        <f t="shared" si="1"/>
        <v>463.87799999999999</v>
      </c>
      <c r="H16" s="142">
        <f t="shared" si="2"/>
        <v>2.2887550141357926</v>
      </c>
      <c r="I16" s="142">
        <f t="shared" si="3"/>
        <v>2.1056546130049294</v>
      </c>
    </row>
    <row r="17" spans="1:9" ht="12" customHeight="1" x14ac:dyDescent="0.2">
      <c r="A17" s="2">
        <v>1970</v>
      </c>
      <c r="B17" s="20">
        <v>205.05199999999999</v>
      </c>
      <c r="C17" s="168">
        <v>387.2</v>
      </c>
      <c r="D17" s="170">
        <v>69.900000000000006</v>
      </c>
      <c r="E17" s="170">
        <f t="shared" si="0"/>
        <v>457.1</v>
      </c>
      <c r="F17" s="170">
        <v>13.6</v>
      </c>
      <c r="G17" s="170">
        <f t="shared" si="1"/>
        <v>443.5</v>
      </c>
      <c r="H17" s="142">
        <f t="shared" si="2"/>
        <v>2.1628660047207537</v>
      </c>
      <c r="I17" s="142">
        <f t="shared" ref="I17:I47" si="4">H17*0.92</f>
        <v>1.9898367243430934</v>
      </c>
    </row>
    <row r="18" spans="1:9" ht="12" customHeight="1" x14ac:dyDescent="0.2">
      <c r="A18" s="3">
        <v>1971</v>
      </c>
      <c r="B18" s="21">
        <v>207.661</v>
      </c>
      <c r="C18" s="171">
        <v>407.2</v>
      </c>
      <c r="D18" s="172">
        <v>78.400000000000006</v>
      </c>
      <c r="E18" s="172">
        <f t="shared" si="0"/>
        <v>485.6</v>
      </c>
      <c r="F18" s="172">
        <v>15.3</v>
      </c>
      <c r="G18" s="172">
        <f t="shared" si="1"/>
        <v>470.3</v>
      </c>
      <c r="H18" s="183">
        <f t="shared" si="2"/>
        <v>2.264748797318707</v>
      </c>
      <c r="I18" s="144">
        <f t="shared" si="4"/>
        <v>2.0835688935332106</v>
      </c>
    </row>
    <row r="19" spans="1:9" ht="12" customHeight="1" x14ac:dyDescent="0.2">
      <c r="A19" s="3">
        <v>1972</v>
      </c>
      <c r="B19" s="21">
        <v>209.89599999999999</v>
      </c>
      <c r="C19" s="171">
        <v>465.1</v>
      </c>
      <c r="D19" s="172">
        <v>64.900000000000006</v>
      </c>
      <c r="E19" s="172">
        <f t="shared" si="0"/>
        <v>530</v>
      </c>
      <c r="F19" s="172">
        <v>25.5</v>
      </c>
      <c r="G19" s="172">
        <f t="shared" si="1"/>
        <v>504.5</v>
      </c>
      <c r="H19" s="183">
        <f t="shared" si="2"/>
        <v>2.4035712924495942</v>
      </c>
      <c r="I19" s="144">
        <f t="shared" si="4"/>
        <v>2.2112855890536269</v>
      </c>
    </row>
    <row r="20" spans="1:9" ht="12" customHeight="1" x14ac:dyDescent="0.2">
      <c r="A20" s="3">
        <v>1973</v>
      </c>
      <c r="B20" s="21">
        <v>211.90899999999999</v>
      </c>
      <c r="C20" s="171">
        <v>473.8</v>
      </c>
      <c r="D20" s="172">
        <v>92.2</v>
      </c>
      <c r="E20" s="172">
        <f t="shared" si="0"/>
        <v>566</v>
      </c>
      <c r="F20" s="172">
        <v>29</v>
      </c>
      <c r="G20" s="172">
        <f t="shared" si="1"/>
        <v>537</v>
      </c>
      <c r="H20" s="183">
        <f t="shared" si="2"/>
        <v>2.5341066212383621</v>
      </c>
      <c r="I20" s="144">
        <f t="shared" si="4"/>
        <v>2.331378091539293</v>
      </c>
    </row>
    <row r="21" spans="1:9" ht="12" customHeight="1" x14ac:dyDescent="0.2">
      <c r="A21" s="3">
        <v>1974</v>
      </c>
      <c r="B21" s="21">
        <v>213.85400000000001</v>
      </c>
      <c r="C21" s="171">
        <v>525.1</v>
      </c>
      <c r="D21" s="172">
        <v>90.5</v>
      </c>
      <c r="E21" s="172">
        <f t="shared" si="0"/>
        <v>615.6</v>
      </c>
      <c r="F21" s="172">
        <v>32.9</v>
      </c>
      <c r="G21" s="172">
        <f t="shared" si="1"/>
        <v>582.70000000000005</v>
      </c>
      <c r="H21" s="183">
        <f t="shared" si="2"/>
        <v>2.7247561420408317</v>
      </c>
      <c r="I21" s="144">
        <f t="shared" si="4"/>
        <v>2.5067756506775654</v>
      </c>
    </row>
    <row r="22" spans="1:9" ht="12" customHeight="1" x14ac:dyDescent="0.2">
      <c r="A22" s="3">
        <v>1975</v>
      </c>
      <c r="B22" s="21">
        <v>215.97300000000001</v>
      </c>
      <c r="C22" s="171">
        <v>510.6</v>
      </c>
      <c r="D22" s="172">
        <v>67.8</v>
      </c>
      <c r="E22" s="172">
        <f t="shared" si="0"/>
        <v>578.4</v>
      </c>
      <c r="F22" s="172">
        <v>41.8</v>
      </c>
      <c r="G22" s="172">
        <f t="shared" si="1"/>
        <v>536.6</v>
      </c>
      <c r="H22" s="183">
        <f t="shared" si="2"/>
        <v>2.4845698304880703</v>
      </c>
      <c r="I22" s="144">
        <f t="shared" si="4"/>
        <v>2.2858042440490247</v>
      </c>
    </row>
    <row r="23" spans="1:9" ht="12" customHeight="1" x14ac:dyDescent="0.2">
      <c r="A23" s="2">
        <v>1976</v>
      </c>
      <c r="B23" s="20">
        <v>218.035</v>
      </c>
      <c r="C23" s="168">
        <v>526.9</v>
      </c>
      <c r="D23" s="170">
        <v>94.1</v>
      </c>
      <c r="E23" s="170">
        <f t="shared" si="0"/>
        <v>621</v>
      </c>
      <c r="F23" s="170">
        <v>39.5</v>
      </c>
      <c r="G23" s="170">
        <f t="shared" si="1"/>
        <v>581.5</v>
      </c>
      <c r="H23" s="142">
        <f t="shared" si="2"/>
        <v>2.6670030041048456</v>
      </c>
      <c r="I23" s="142">
        <f t="shared" si="4"/>
        <v>2.453642763776458</v>
      </c>
    </row>
    <row r="24" spans="1:9" ht="12" customHeight="1" x14ac:dyDescent="0.2">
      <c r="A24" s="2">
        <v>1977</v>
      </c>
      <c r="B24" s="20">
        <v>220.23899999999998</v>
      </c>
      <c r="C24" s="168">
        <v>537</v>
      </c>
      <c r="D24" s="170">
        <v>121.5</v>
      </c>
      <c r="E24" s="170">
        <f t="shared" si="0"/>
        <v>658.5</v>
      </c>
      <c r="F24" s="170">
        <v>42</v>
      </c>
      <c r="G24" s="170">
        <f t="shared" si="1"/>
        <v>616.5</v>
      </c>
      <c r="H24" s="142">
        <f t="shared" si="2"/>
        <v>2.799231743696621</v>
      </c>
      <c r="I24" s="142">
        <f t="shared" si="4"/>
        <v>2.5752932042008916</v>
      </c>
    </row>
    <row r="25" spans="1:9" ht="12" customHeight="1" x14ac:dyDescent="0.2">
      <c r="A25" s="2">
        <v>1978</v>
      </c>
      <c r="B25" s="20">
        <v>222.58500000000001</v>
      </c>
      <c r="C25" s="168">
        <v>520.1</v>
      </c>
      <c r="D25" s="170">
        <v>156.1</v>
      </c>
      <c r="E25" s="170">
        <f t="shared" si="0"/>
        <v>676.2</v>
      </c>
      <c r="F25" s="170">
        <v>60.5</v>
      </c>
      <c r="G25" s="170">
        <f t="shared" si="1"/>
        <v>615.70000000000005</v>
      </c>
      <c r="H25" s="142">
        <f t="shared" si="2"/>
        <v>2.7661342857784668</v>
      </c>
      <c r="I25" s="142">
        <f t="shared" si="4"/>
        <v>2.5448435429161895</v>
      </c>
    </row>
    <row r="26" spans="1:9" ht="12" customHeight="1" x14ac:dyDescent="0.2">
      <c r="A26" s="2">
        <v>1979</v>
      </c>
      <c r="B26" s="20">
        <v>225.05500000000001</v>
      </c>
      <c r="C26" s="168">
        <v>581.9</v>
      </c>
      <c r="D26" s="170">
        <v>143.69999999999999</v>
      </c>
      <c r="E26" s="170">
        <f t="shared" si="0"/>
        <v>725.59999999999991</v>
      </c>
      <c r="F26" s="170">
        <v>64.5</v>
      </c>
      <c r="G26" s="170">
        <f t="shared" si="1"/>
        <v>661.09999999999991</v>
      </c>
      <c r="H26" s="142">
        <f t="shared" si="2"/>
        <v>2.9375041656483964</v>
      </c>
      <c r="I26" s="142">
        <f t="shared" si="4"/>
        <v>2.7025038323965247</v>
      </c>
    </row>
    <row r="27" spans="1:9" ht="12" customHeight="1" x14ac:dyDescent="0.2">
      <c r="A27" s="2">
        <v>1980</v>
      </c>
      <c r="B27" s="20">
        <v>227.726</v>
      </c>
      <c r="C27" s="168">
        <v>549.4</v>
      </c>
      <c r="D27" s="170">
        <v>174.2</v>
      </c>
      <c r="E27" s="170">
        <f t="shared" si="0"/>
        <v>723.59999999999991</v>
      </c>
      <c r="F27" s="170">
        <v>66.5</v>
      </c>
      <c r="G27" s="170">
        <f t="shared" si="1"/>
        <v>657.09999999999991</v>
      </c>
      <c r="H27" s="142">
        <f t="shared" si="2"/>
        <v>2.8854851883403736</v>
      </c>
      <c r="I27" s="142">
        <f t="shared" si="4"/>
        <v>2.654646373273144</v>
      </c>
    </row>
    <row r="28" spans="1:9" ht="12" customHeight="1" x14ac:dyDescent="0.2">
      <c r="A28" s="3">
        <v>1981</v>
      </c>
      <c r="B28" s="21">
        <v>229.96600000000001</v>
      </c>
      <c r="C28" s="171">
        <v>587.5</v>
      </c>
      <c r="D28" s="172">
        <v>127</v>
      </c>
      <c r="E28" s="172">
        <f t="shared" si="0"/>
        <v>714.5</v>
      </c>
      <c r="F28" s="172">
        <v>73.8</v>
      </c>
      <c r="G28" s="172">
        <f t="shared" si="1"/>
        <v>640.70000000000005</v>
      </c>
      <c r="H28" s="183">
        <f t="shared" si="2"/>
        <v>2.7860640268561441</v>
      </c>
      <c r="I28" s="144">
        <f t="shared" si="4"/>
        <v>2.5631789047076525</v>
      </c>
    </row>
    <row r="29" spans="1:9" ht="12" customHeight="1" x14ac:dyDescent="0.2">
      <c r="A29" s="3">
        <v>1982</v>
      </c>
      <c r="B29" s="21">
        <v>232.18799999999999</v>
      </c>
      <c r="C29" s="171">
        <v>592.70000000000005</v>
      </c>
      <c r="D29" s="172">
        <v>168.8</v>
      </c>
      <c r="E29" s="172">
        <f t="shared" si="0"/>
        <v>761.5</v>
      </c>
      <c r="F29" s="172">
        <v>71.400000000000006</v>
      </c>
      <c r="G29" s="172">
        <f t="shared" si="1"/>
        <v>690.1</v>
      </c>
      <c r="H29" s="183">
        <f t="shared" si="2"/>
        <v>2.9721604906368979</v>
      </c>
      <c r="I29" s="144">
        <f t="shared" si="4"/>
        <v>2.7343876513859464</v>
      </c>
    </row>
    <row r="30" spans="1:9" ht="12" customHeight="1" x14ac:dyDescent="0.2">
      <c r="A30" s="3">
        <v>1983</v>
      </c>
      <c r="B30" s="21">
        <v>234.30699999999999</v>
      </c>
      <c r="C30" s="171">
        <v>698.7</v>
      </c>
      <c r="D30" s="172">
        <v>153.9</v>
      </c>
      <c r="E30" s="172">
        <f t="shared" si="0"/>
        <v>852.6</v>
      </c>
      <c r="F30" s="172">
        <v>73.400000000000006</v>
      </c>
      <c r="G30" s="172">
        <f t="shared" si="1"/>
        <v>779.2</v>
      </c>
      <c r="H30" s="183">
        <f t="shared" si="2"/>
        <v>3.3255515200143404</v>
      </c>
      <c r="I30" s="144">
        <f t="shared" si="4"/>
        <v>3.0595073984131931</v>
      </c>
    </row>
    <row r="31" spans="1:9" ht="12" customHeight="1" x14ac:dyDescent="0.2">
      <c r="A31" s="3">
        <v>1984</v>
      </c>
      <c r="B31" s="21">
        <v>236.34800000000001</v>
      </c>
      <c r="C31" s="171">
        <v>715</v>
      </c>
      <c r="D31" s="172">
        <v>217.3</v>
      </c>
      <c r="E31" s="172">
        <f t="shared" si="0"/>
        <v>932.3</v>
      </c>
      <c r="F31" s="172">
        <v>75.599999999999994</v>
      </c>
      <c r="G31" s="172">
        <f t="shared" si="1"/>
        <v>856.69999999999993</v>
      </c>
      <c r="H31" s="183">
        <f t="shared" si="2"/>
        <v>3.6247397904784466</v>
      </c>
      <c r="I31" s="144">
        <f t="shared" si="4"/>
        <v>3.3347606072401712</v>
      </c>
    </row>
    <row r="32" spans="1:9" ht="12" customHeight="1" x14ac:dyDescent="0.2">
      <c r="A32" s="3">
        <v>1985</v>
      </c>
      <c r="B32" s="21">
        <v>238.46600000000001</v>
      </c>
      <c r="C32" s="171">
        <v>765.2</v>
      </c>
      <c r="D32" s="172">
        <v>214.7</v>
      </c>
      <c r="E32" s="172">
        <f t="shared" si="0"/>
        <v>979.90000000000009</v>
      </c>
      <c r="F32" s="172">
        <v>73.7</v>
      </c>
      <c r="G32" s="172">
        <f t="shared" si="1"/>
        <v>906.2</v>
      </c>
      <c r="H32" s="183">
        <f t="shared" si="2"/>
        <v>3.8001224493219161</v>
      </c>
      <c r="I32" s="144">
        <f t="shared" si="4"/>
        <v>3.4961126533761631</v>
      </c>
    </row>
    <row r="33" spans="1:9" ht="12" customHeight="1" x14ac:dyDescent="0.2">
      <c r="A33" s="2">
        <v>1986</v>
      </c>
      <c r="B33" s="20">
        <v>240.65100000000001</v>
      </c>
      <c r="C33" s="168">
        <v>859.3</v>
      </c>
      <c r="D33" s="170">
        <v>180.5</v>
      </c>
      <c r="E33" s="170">
        <f t="shared" si="0"/>
        <v>1039.8</v>
      </c>
      <c r="F33" s="170">
        <v>85.5</v>
      </c>
      <c r="G33" s="170">
        <f t="shared" si="1"/>
        <v>954.3</v>
      </c>
      <c r="H33" s="142">
        <f t="shared" si="2"/>
        <v>3.9654935986137598</v>
      </c>
      <c r="I33" s="142">
        <f t="shared" si="4"/>
        <v>3.6482541107246593</v>
      </c>
    </row>
    <row r="34" spans="1:9" ht="12" customHeight="1" x14ac:dyDescent="0.2">
      <c r="A34" s="2">
        <v>1987</v>
      </c>
      <c r="B34" s="20">
        <v>242.804</v>
      </c>
      <c r="C34" s="168">
        <v>917.6</v>
      </c>
      <c r="D34" s="170">
        <v>198.9</v>
      </c>
      <c r="E34" s="170">
        <f t="shared" si="0"/>
        <v>1116.5</v>
      </c>
      <c r="F34" s="170">
        <v>89.6</v>
      </c>
      <c r="G34" s="170">
        <f t="shared" si="1"/>
        <v>1026.9000000000001</v>
      </c>
      <c r="H34" s="142">
        <f t="shared" si="2"/>
        <v>4.2293372432085139</v>
      </c>
      <c r="I34" s="142">
        <f t="shared" si="4"/>
        <v>3.8909902637518328</v>
      </c>
    </row>
    <row r="35" spans="1:9" ht="12" customHeight="1" x14ac:dyDescent="0.2">
      <c r="A35" s="2">
        <v>1988</v>
      </c>
      <c r="B35" s="20">
        <v>245.02099999999999</v>
      </c>
      <c r="C35" s="168">
        <v>990.5</v>
      </c>
      <c r="D35" s="170">
        <v>200.2</v>
      </c>
      <c r="E35" s="170">
        <f t="shared" si="0"/>
        <v>1190.7</v>
      </c>
      <c r="F35" s="170">
        <v>94.1</v>
      </c>
      <c r="G35" s="170">
        <f t="shared" si="1"/>
        <v>1096.6000000000001</v>
      </c>
      <c r="H35" s="142">
        <f t="shared" si="2"/>
        <v>4.4755347500826463</v>
      </c>
      <c r="I35" s="142">
        <f t="shared" si="4"/>
        <v>4.1174919700760348</v>
      </c>
    </row>
    <row r="36" spans="1:9" ht="12" customHeight="1" x14ac:dyDescent="0.2">
      <c r="A36" s="2">
        <v>1989</v>
      </c>
      <c r="B36" s="20">
        <v>247.34200000000001</v>
      </c>
      <c r="C36" s="168">
        <v>1014.4</v>
      </c>
      <c r="D36" s="170">
        <v>243.58105</v>
      </c>
      <c r="E36" s="170">
        <f t="shared" si="0"/>
        <v>1257.9810499999999</v>
      </c>
      <c r="F36" s="170">
        <v>98.3</v>
      </c>
      <c r="G36" s="170">
        <f t="shared" si="1"/>
        <v>1159.6810499999999</v>
      </c>
      <c r="H36" s="142">
        <f t="shared" si="2"/>
        <v>4.6885731092980567</v>
      </c>
      <c r="I36" s="142">
        <f t="shared" si="4"/>
        <v>4.3134872605542123</v>
      </c>
    </row>
    <row r="37" spans="1:9" ht="12" customHeight="1" x14ac:dyDescent="0.2">
      <c r="A37" s="2">
        <v>1990</v>
      </c>
      <c r="B37" s="20">
        <v>250.13200000000001</v>
      </c>
      <c r="C37" s="168">
        <v>1050.5</v>
      </c>
      <c r="D37" s="170">
        <v>571.74258106370007</v>
      </c>
      <c r="E37" s="170">
        <f t="shared" si="0"/>
        <v>1622.2425810637001</v>
      </c>
      <c r="F37" s="170">
        <v>151.19999999999999</v>
      </c>
      <c r="G37" s="170">
        <f t="shared" si="1"/>
        <v>1471.0425810637</v>
      </c>
      <c r="H37" s="142">
        <f t="shared" si="2"/>
        <v>5.8810651218704528</v>
      </c>
      <c r="I37" s="142">
        <f t="shared" si="4"/>
        <v>5.4105799121208165</v>
      </c>
    </row>
    <row r="38" spans="1:9" ht="12" customHeight="1" x14ac:dyDescent="0.2">
      <c r="A38" s="3">
        <v>1991</v>
      </c>
      <c r="B38" s="21">
        <v>253.49299999999999</v>
      </c>
      <c r="C38" s="171">
        <v>1236.0999999999999</v>
      </c>
      <c r="D38" s="172">
        <v>528.81126819299993</v>
      </c>
      <c r="E38" s="172">
        <f t="shared" si="0"/>
        <v>1764.9112681929998</v>
      </c>
      <c r="F38" s="172">
        <v>167.6</v>
      </c>
      <c r="G38" s="172">
        <f t="shared" si="1"/>
        <v>1597.3112681929999</v>
      </c>
      <c r="H38" s="183">
        <f t="shared" si="2"/>
        <v>6.3012046415206733</v>
      </c>
      <c r="I38" s="144">
        <f t="shared" si="4"/>
        <v>5.7971082701990193</v>
      </c>
    </row>
    <row r="39" spans="1:9" ht="12" customHeight="1" x14ac:dyDescent="0.2">
      <c r="A39" s="3">
        <v>1992</v>
      </c>
      <c r="B39" s="21">
        <v>256.89400000000001</v>
      </c>
      <c r="C39" s="171">
        <v>1442.8</v>
      </c>
      <c r="D39" s="172">
        <v>571.02868251770008</v>
      </c>
      <c r="E39" s="172">
        <f t="shared" ref="E39:E67" si="5">SUM(C39,D39)</f>
        <v>2013.8286825177001</v>
      </c>
      <c r="F39" s="172">
        <v>189.4</v>
      </c>
      <c r="G39" s="172">
        <f t="shared" ref="G39:G59" si="6">E39-F39</f>
        <v>1824.4286825177001</v>
      </c>
      <c r="H39" s="183">
        <f t="shared" ref="H39:H59" si="7">IF(G39=0,0,IF(B39=0,0,G39/B39))</f>
        <v>7.1018734673355546</v>
      </c>
      <c r="I39" s="144">
        <f t="shared" si="4"/>
        <v>6.5337235899487105</v>
      </c>
    </row>
    <row r="40" spans="1:9" ht="12" customHeight="1" x14ac:dyDescent="0.2">
      <c r="A40" s="3">
        <v>1993</v>
      </c>
      <c r="B40" s="21">
        <v>260.255</v>
      </c>
      <c r="C40" s="171">
        <v>1449.8</v>
      </c>
      <c r="D40" s="172">
        <v>658.80256439870004</v>
      </c>
      <c r="E40" s="172">
        <f t="shared" si="5"/>
        <v>2108.6025643987</v>
      </c>
      <c r="F40" s="172">
        <v>122.6</v>
      </c>
      <c r="G40" s="172">
        <f t="shared" si="6"/>
        <v>1986.0025643987001</v>
      </c>
      <c r="H40" s="183">
        <f t="shared" si="7"/>
        <v>7.6309871641224953</v>
      </c>
      <c r="I40" s="144">
        <f t="shared" si="4"/>
        <v>7.0205081909926959</v>
      </c>
    </row>
    <row r="41" spans="1:9" ht="12" customHeight="1" x14ac:dyDescent="0.2">
      <c r="A41" s="3">
        <v>1994</v>
      </c>
      <c r="B41" s="21">
        <v>263.43599999999998</v>
      </c>
      <c r="C41" s="171">
        <v>1542.2</v>
      </c>
      <c r="D41" s="172">
        <v>435.15843597560001</v>
      </c>
      <c r="E41" s="172">
        <f t="shared" si="5"/>
        <v>1977.3584359756001</v>
      </c>
      <c r="F41" s="172">
        <v>117.7</v>
      </c>
      <c r="G41" s="172">
        <f t="shared" si="6"/>
        <v>1859.6584359756</v>
      </c>
      <c r="H41" s="183">
        <f t="shared" si="7"/>
        <v>7.0592418499202845</v>
      </c>
      <c r="I41" s="144">
        <f t="shared" si="4"/>
        <v>6.4945025019266618</v>
      </c>
    </row>
    <row r="42" spans="1:9" ht="12" customHeight="1" x14ac:dyDescent="0.2">
      <c r="A42" s="3">
        <v>1995</v>
      </c>
      <c r="B42" s="21">
        <v>266.55700000000002</v>
      </c>
      <c r="C42" s="171">
        <v>1443.1</v>
      </c>
      <c r="D42" s="172">
        <v>533.56399526030009</v>
      </c>
      <c r="E42" s="172">
        <f t="shared" si="5"/>
        <v>1976.6639952603</v>
      </c>
      <c r="F42" s="172">
        <v>107.95990999999999</v>
      </c>
      <c r="G42" s="172">
        <f t="shared" si="6"/>
        <v>1868.7040852603</v>
      </c>
      <c r="H42" s="183">
        <f t="shared" si="7"/>
        <v>7.0105233974733352</v>
      </c>
      <c r="I42" s="144">
        <f t="shared" si="4"/>
        <v>6.4496815256754685</v>
      </c>
    </row>
    <row r="43" spans="1:9" ht="12" customHeight="1" x14ac:dyDescent="0.2">
      <c r="A43" s="2">
        <v>1996</v>
      </c>
      <c r="B43" s="20">
        <v>269.66699999999997</v>
      </c>
      <c r="C43" s="168">
        <v>1663.9</v>
      </c>
      <c r="D43" s="170">
        <v>645.34282657680001</v>
      </c>
      <c r="E43" s="170">
        <f t="shared" si="5"/>
        <v>2309.2428265768003</v>
      </c>
      <c r="F43" s="170">
        <v>133.32149999999999</v>
      </c>
      <c r="G43" s="170">
        <f t="shared" si="6"/>
        <v>2175.9213265768003</v>
      </c>
      <c r="H43" s="142">
        <f t="shared" si="7"/>
        <v>8.0689195436475369</v>
      </c>
      <c r="I43" s="142">
        <f t="shared" si="4"/>
        <v>7.4234059801557342</v>
      </c>
    </row>
    <row r="44" spans="1:9" ht="12" customHeight="1" x14ac:dyDescent="0.2">
      <c r="A44" s="2">
        <v>1997</v>
      </c>
      <c r="B44" s="20">
        <v>272.91199999999998</v>
      </c>
      <c r="C44" s="168">
        <v>1495.9</v>
      </c>
      <c r="D44" s="170">
        <v>639.41988092990005</v>
      </c>
      <c r="E44" s="170">
        <f t="shared" si="5"/>
        <v>2135.3198809299001</v>
      </c>
      <c r="F44" s="170">
        <v>133.79473999999999</v>
      </c>
      <c r="G44" s="170">
        <f t="shared" si="6"/>
        <v>2001.5251409299001</v>
      </c>
      <c r="H44" s="142">
        <f t="shared" si="7"/>
        <v>7.3339579825361296</v>
      </c>
      <c r="I44" s="142">
        <f t="shared" si="4"/>
        <v>6.7472413439332399</v>
      </c>
    </row>
    <row r="45" spans="1:9" ht="12" customHeight="1" x14ac:dyDescent="0.2">
      <c r="A45" s="2">
        <v>1998</v>
      </c>
      <c r="B45" s="20">
        <v>276.11500000000001</v>
      </c>
      <c r="C45" s="168">
        <v>1455.6</v>
      </c>
      <c r="D45" s="170">
        <v>815.58956879909999</v>
      </c>
      <c r="E45" s="170">
        <f t="shared" si="5"/>
        <v>2271.1895687991</v>
      </c>
      <c r="F45" s="170">
        <v>127.76657</v>
      </c>
      <c r="G45" s="170">
        <f t="shared" si="6"/>
        <v>2143.4229987991002</v>
      </c>
      <c r="H45" s="142">
        <f t="shared" si="7"/>
        <v>7.7627908617753478</v>
      </c>
      <c r="I45" s="142">
        <f t="shared" si="4"/>
        <v>7.14176759283332</v>
      </c>
    </row>
    <row r="46" spans="1:9" ht="12" customHeight="1" x14ac:dyDescent="0.2">
      <c r="A46" s="2">
        <v>1999</v>
      </c>
      <c r="B46" s="20">
        <v>279.29500000000002</v>
      </c>
      <c r="C46" s="168">
        <v>1556.2</v>
      </c>
      <c r="D46" s="170">
        <v>745.92228785400005</v>
      </c>
      <c r="E46" s="170">
        <f t="shared" si="5"/>
        <v>2302.1222878540002</v>
      </c>
      <c r="F46" s="170">
        <v>146.20079000000001</v>
      </c>
      <c r="G46" s="170">
        <f t="shared" si="6"/>
        <v>2155.9214978540003</v>
      </c>
      <c r="H46" s="142">
        <f t="shared" si="7"/>
        <v>7.7191553656671266</v>
      </c>
      <c r="I46" s="142">
        <f t="shared" si="4"/>
        <v>7.1016229364137571</v>
      </c>
    </row>
    <row r="47" spans="1:9" ht="12" customHeight="1" x14ac:dyDescent="0.2">
      <c r="A47" s="2">
        <v>2000</v>
      </c>
      <c r="B47" s="20">
        <v>282.38499999999999</v>
      </c>
      <c r="C47" s="168">
        <v>1687.9</v>
      </c>
      <c r="D47" s="170">
        <v>781.23626050950008</v>
      </c>
      <c r="E47" s="170">
        <f t="shared" si="5"/>
        <v>2469.1362605095001</v>
      </c>
      <c r="F47" s="170">
        <v>157.63261618999999</v>
      </c>
      <c r="G47" s="170">
        <f t="shared" si="6"/>
        <v>2311.5036443194999</v>
      </c>
      <c r="H47" s="142">
        <f t="shared" si="7"/>
        <v>8.1856459950758715</v>
      </c>
      <c r="I47" s="142">
        <f t="shared" si="4"/>
        <v>7.5307943154698025</v>
      </c>
    </row>
    <row r="48" spans="1:9" ht="12" customHeight="1" x14ac:dyDescent="0.2">
      <c r="A48" s="3">
        <v>2001</v>
      </c>
      <c r="B48" s="21">
        <v>285.30901899999998</v>
      </c>
      <c r="C48" s="171">
        <v>1649.4</v>
      </c>
      <c r="D48" s="172">
        <v>828.89108707510013</v>
      </c>
      <c r="E48" s="172">
        <f t="shared" si="5"/>
        <v>2478.2910870751002</v>
      </c>
      <c r="F48" s="172">
        <v>161.73706086000004</v>
      </c>
      <c r="G48" s="172">
        <f t="shared" si="6"/>
        <v>2316.5540262151003</v>
      </c>
      <c r="H48" s="183">
        <f t="shared" si="7"/>
        <v>8.1194560001452345</v>
      </c>
      <c r="I48" s="144">
        <f t="shared" ref="I48:I53" si="8">H48*0.92</f>
        <v>7.469899520133616</v>
      </c>
    </row>
    <row r="49" spans="1:9" ht="12" customHeight="1" x14ac:dyDescent="0.2">
      <c r="A49" s="3">
        <v>2002</v>
      </c>
      <c r="B49" s="21">
        <v>288.10481800000002</v>
      </c>
      <c r="C49" s="171">
        <v>1566.8</v>
      </c>
      <c r="D49" s="172">
        <v>975.56176138169985</v>
      </c>
      <c r="E49" s="172">
        <f t="shared" si="5"/>
        <v>2542.3617613816996</v>
      </c>
      <c r="F49" s="172">
        <v>161.29934016999999</v>
      </c>
      <c r="G49" s="172">
        <f t="shared" si="6"/>
        <v>2381.0624212116995</v>
      </c>
      <c r="H49" s="183">
        <f t="shared" si="7"/>
        <v>8.2645699497177425</v>
      </c>
      <c r="I49" s="144">
        <f t="shared" si="8"/>
        <v>7.6034043537403235</v>
      </c>
    </row>
    <row r="50" spans="1:9" ht="12" customHeight="1" x14ac:dyDescent="0.2">
      <c r="A50" s="3">
        <v>2003</v>
      </c>
      <c r="B50" s="21">
        <v>290.81963400000001</v>
      </c>
      <c r="C50" s="171">
        <v>1611.8</v>
      </c>
      <c r="D50" s="172">
        <v>994.45188284120013</v>
      </c>
      <c r="E50" s="172">
        <f t="shared" si="5"/>
        <v>2606.2518828412003</v>
      </c>
      <c r="F50" s="172">
        <v>159.23283521000002</v>
      </c>
      <c r="G50" s="172">
        <f t="shared" si="6"/>
        <v>2447.0190476312005</v>
      </c>
      <c r="H50" s="183">
        <f t="shared" si="7"/>
        <v>8.4142154158381217</v>
      </c>
      <c r="I50" s="144">
        <f t="shared" si="8"/>
        <v>7.7410781825710719</v>
      </c>
    </row>
    <row r="51" spans="1:9" ht="12" customHeight="1" x14ac:dyDescent="0.2">
      <c r="A51" s="3">
        <v>2004</v>
      </c>
      <c r="B51" s="21">
        <v>293.46318500000001</v>
      </c>
      <c r="C51" s="171">
        <v>1640</v>
      </c>
      <c r="D51" s="172">
        <v>1057.3683883644001</v>
      </c>
      <c r="E51" s="172">
        <f t="shared" si="5"/>
        <v>2697.3683883643998</v>
      </c>
      <c r="F51" s="172">
        <v>162.78971180000002</v>
      </c>
      <c r="G51" s="172">
        <f t="shared" si="6"/>
        <v>2534.5786765643998</v>
      </c>
      <c r="H51" s="183">
        <f t="shared" si="7"/>
        <v>8.6367858256714545</v>
      </c>
      <c r="I51" s="144">
        <f t="shared" si="8"/>
        <v>7.9458429596177389</v>
      </c>
    </row>
    <row r="52" spans="1:9" ht="12" customHeight="1" x14ac:dyDescent="0.2">
      <c r="A52" s="3">
        <v>2005</v>
      </c>
      <c r="B52" s="21">
        <v>296.186216</v>
      </c>
      <c r="C52" s="171">
        <v>1603.6</v>
      </c>
      <c r="D52" s="172">
        <v>1279.3558574116</v>
      </c>
      <c r="E52" s="172">
        <f t="shared" si="5"/>
        <v>2882.9558574115999</v>
      </c>
      <c r="F52" s="172">
        <v>156.37411768000004</v>
      </c>
      <c r="G52" s="172">
        <f t="shared" si="6"/>
        <v>2726.5817397316</v>
      </c>
      <c r="H52" s="183">
        <f t="shared" si="7"/>
        <v>9.2056334577420031</v>
      </c>
      <c r="I52" s="144">
        <f t="shared" si="8"/>
        <v>8.4691827811226439</v>
      </c>
    </row>
    <row r="53" spans="1:9" ht="12" customHeight="1" x14ac:dyDescent="0.2">
      <c r="A53" s="2">
        <v>2006</v>
      </c>
      <c r="B53" s="20">
        <v>298.99582500000002</v>
      </c>
      <c r="C53" s="168">
        <v>1571</v>
      </c>
      <c r="D53" s="170">
        <v>1396.4938937664999</v>
      </c>
      <c r="E53" s="170">
        <f t="shared" si="5"/>
        <v>2967.4938937665002</v>
      </c>
      <c r="F53" s="170">
        <v>139.75982578000003</v>
      </c>
      <c r="G53" s="170">
        <f t="shared" si="6"/>
        <v>2827.7340679865001</v>
      </c>
      <c r="H53" s="142">
        <f t="shared" si="7"/>
        <v>9.4574366313860736</v>
      </c>
      <c r="I53" s="142">
        <f t="shared" si="8"/>
        <v>8.7008417008751877</v>
      </c>
    </row>
    <row r="54" spans="1:9" ht="12" customHeight="1" x14ac:dyDescent="0.2">
      <c r="A54" s="2">
        <v>2007</v>
      </c>
      <c r="B54" s="20">
        <v>302.003917</v>
      </c>
      <c r="C54" s="168">
        <v>1610</v>
      </c>
      <c r="D54" s="170">
        <v>1370.8555613399999</v>
      </c>
      <c r="E54" s="170">
        <f t="shared" si="5"/>
        <v>2980.8555613399999</v>
      </c>
      <c r="F54" s="170">
        <v>152.79342018</v>
      </c>
      <c r="G54" s="170">
        <f t="shared" si="6"/>
        <v>2828.06214116</v>
      </c>
      <c r="H54" s="142">
        <f t="shared" si="7"/>
        <v>9.3643227189003646</v>
      </c>
      <c r="I54" s="142">
        <f t="shared" ref="I54:I59" si="9">H54*0.92</f>
        <v>8.6151769013883364</v>
      </c>
    </row>
    <row r="55" spans="1:9" ht="12" customHeight="1" x14ac:dyDescent="0.2">
      <c r="A55" s="2">
        <v>2008</v>
      </c>
      <c r="B55" s="20">
        <v>304.79776099999998</v>
      </c>
      <c r="C55" s="168">
        <v>1588.8</v>
      </c>
      <c r="D55" s="170">
        <v>1447.4163858000002</v>
      </c>
      <c r="E55" s="170">
        <f t="shared" si="5"/>
        <v>3036.2163858000004</v>
      </c>
      <c r="F55" s="170">
        <v>147.02188154346001</v>
      </c>
      <c r="G55" s="170">
        <f t="shared" si="6"/>
        <v>2889.1945042565403</v>
      </c>
      <c r="H55" s="142">
        <f t="shared" si="7"/>
        <v>9.4790542252590253</v>
      </c>
      <c r="I55" s="142">
        <f t="shared" si="9"/>
        <v>8.7207298872383028</v>
      </c>
    </row>
    <row r="56" spans="1:9" ht="12" customHeight="1" x14ac:dyDescent="0.2">
      <c r="A56" s="2">
        <v>2009</v>
      </c>
      <c r="B56" s="20">
        <v>307.43940600000002</v>
      </c>
      <c r="C56" s="168">
        <v>1699.7</v>
      </c>
      <c r="D56" s="170">
        <v>1453.2831537000002</v>
      </c>
      <c r="E56" s="170">
        <f t="shared" si="5"/>
        <v>3152.9831537</v>
      </c>
      <c r="F56" s="170">
        <v>139.90883825533999</v>
      </c>
      <c r="G56" s="170">
        <f t="shared" si="6"/>
        <v>3013.07431544466</v>
      </c>
      <c r="H56" s="142">
        <f t="shared" si="7"/>
        <v>9.800546893603677</v>
      </c>
      <c r="I56" s="142">
        <f t="shared" si="9"/>
        <v>9.0165031421153827</v>
      </c>
    </row>
    <row r="57" spans="1:9" ht="12" customHeight="1" x14ac:dyDescent="0.2">
      <c r="A57" s="2">
        <v>2010</v>
      </c>
      <c r="B57" s="20">
        <v>309.74127900000002</v>
      </c>
      <c r="C57" s="168">
        <v>1615.6</v>
      </c>
      <c r="D57" s="170">
        <v>1700.2786608140982</v>
      </c>
      <c r="E57" s="170">
        <f t="shared" si="5"/>
        <v>3315.8786608140981</v>
      </c>
      <c r="F57" s="170">
        <v>115.89094297220001</v>
      </c>
      <c r="G57" s="170">
        <f t="shared" si="6"/>
        <v>3199.9877178418983</v>
      </c>
      <c r="H57" s="142">
        <f t="shared" si="7"/>
        <v>10.331163247511153</v>
      </c>
      <c r="I57" s="142">
        <f t="shared" si="9"/>
        <v>9.5046701877102606</v>
      </c>
    </row>
    <row r="58" spans="1:9" ht="12" customHeight="1" x14ac:dyDescent="0.2">
      <c r="A58" s="33">
        <v>2011</v>
      </c>
      <c r="B58" s="31">
        <v>311.97391399999998</v>
      </c>
      <c r="C58" s="171">
        <v>1761.8</v>
      </c>
      <c r="D58" s="172">
        <v>1666.0454799442298</v>
      </c>
      <c r="E58" s="172">
        <f t="shared" si="5"/>
        <v>3427.8454799442297</v>
      </c>
      <c r="F58" s="172">
        <v>131.13018251102</v>
      </c>
      <c r="G58" s="172">
        <f t="shared" si="6"/>
        <v>3296.7152974332098</v>
      </c>
      <c r="H58" s="183">
        <f t="shared" si="7"/>
        <v>10.56727870341496</v>
      </c>
      <c r="I58" s="144">
        <f t="shared" si="9"/>
        <v>9.7218964071417631</v>
      </c>
    </row>
    <row r="59" spans="1:9" s="87" customFormat="1" ht="12" customHeight="1" x14ac:dyDescent="0.2">
      <c r="A59" s="33">
        <v>2012</v>
      </c>
      <c r="B59" s="31">
        <v>314.16755799999999</v>
      </c>
      <c r="C59" s="171">
        <v>1568.7</v>
      </c>
      <c r="D59" s="172">
        <v>1931.381486738836</v>
      </c>
      <c r="E59" s="172">
        <f t="shared" si="5"/>
        <v>3500.0814867388362</v>
      </c>
      <c r="F59" s="172">
        <v>122.71702189802001</v>
      </c>
      <c r="G59" s="172">
        <f t="shared" si="6"/>
        <v>3377.3644648408163</v>
      </c>
      <c r="H59" s="183">
        <f t="shared" si="7"/>
        <v>10.750201218551078</v>
      </c>
      <c r="I59" s="144">
        <f t="shared" si="9"/>
        <v>9.8901851210669918</v>
      </c>
    </row>
    <row r="60" spans="1:9" s="93" customFormat="1" ht="12" customHeight="1" x14ac:dyDescent="0.2">
      <c r="A60" s="33">
        <v>2013</v>
      </c>
      <c r="B60" s="31">
        <v>316.29476599999998</v>
      </c>
      <c r="C60" s="171">
        <v>1443.3</v>
      </c>
      <c r="D60" s="172">
        <v>1856.1507815841692</v>
      </c>
      <c r="E60" s="172">
        <f t="shared" si="5"/>
        <v>3299.4507815841689</v>
      </c>
      <c r="F60" s="172">
        <v>126.73499916814001</v>
      </c>
      <c r="G60" s="172">
        <f t="shared" ref="G60" si="10">E60-F60</f>
        <v>3172.715782416029</v>
      </c>
      <c r="H60" s="183">
        <f t="shared" ref="H60" si="11">IF(G60=0,0,IF(B60=0,0,G60/B60))</f>
        <v>10.030882972043962</v>
      </c>
      <c r="I60" s="144">
        <f t="shared" ref="I60" si="12">H60*0.92</f>
        <v>9.2284123342804456</v>
      </c>
    </row>
    <row r="61" spans="1:9" s="93" customFormat="1" ht="12" customHeight="1" x14ac:dyDescent="0.2">
      <c r="A61" s="33">
        <v>2014</v>
      </c>
      <c r="B61" s="31">
        <v>318.576955</v>
      </c>
      <c r="C61" s="171">
        <v>1553.6</v>
      </c>
      <c r="D61" s="172">
        <v>1972.697329822267</v>
      </c>
      <c r="E61" s="172">
        <f t="shared" si="5"/>
        <v>3526.2973298222669</v>
      </c>
      <c r="F61" s="172">
        <v>112.30496760494</v>
      </c>
      <c r="G61" s="172">
        <f t="shared" ref="G61" si="13">E61-F61</f>
        <v>3413.9923622173269</v>
      </c>
      <c r="H61" s="183">
        <f t="shared" ref="H61" si="14">IF(G61=0,0,IF(B61=0,0,G61/B61))</f>
        <v>10.716382050350525</v>
      </c>
      <c r="I61" s="144">
        <f t="shared" ref="I61" si="15">H61*0.92</f>
        <v>9.8590714863224829</v>
      </c>
    </row>
    <row r="62" spans="1:9" s="93" customFormat="1" ht="12" customHeight="1" x14ac:dyDescent="0.2">
      <c r="A62" s="33">
        <v>2015</v>
      </c>
      <c r="B62" s="31">
        <v>320.87070299999999</v>
      </c>
      <c r="C62" s="171">
        <v>1515.5</v>
      </c>
      <c r="D62" s="172">
        <v>2041.6354459822089</v>
      </c>
      <c r="E62" s="172">
        <f t="shared" si="5"/>
        <v>3557.1354459822087</v>
      </c>
      <c r="F62" s="172">
        <v>113.0631981523</v>
      </c>
      <c r="G62" s="172">
        <f t="shared" ref="G62" si="16">E62-F62</f>
        <v>3444.0722478299085</v>
      </c>
      <c r="H62" s="183">
        <f t="shared" ref="H62" si="17">IF(G62=0,0,IF(B62=0,0,G62/B62))</f>
        <v>10.73352043558152</v>
      </c>
      <c r="I62" s="144">
        <f t="shared" ref="I62" si="18">H62*0.92</f>
        <v>9.8748388007349988</v>
      </c>
    </row>
    <row r="63" spans="1:9" s="93" customFormat="1" ht="12" customHeight="1" x14ac:dyDescent="0.2">
      <c r="A63" s="128">
        <v>2016</v>
      </c>
      <c r="B63" s="129">
        <v>323.16101099999997</v>
      </c>
      <c r="C63" s="168">
        <v>1469.85</v>
      </c>
      <c r="D63" s="170">
        <v>2211.400590802944</v>
      </c>
      <c r="E63" s="170">
        <f t="shared" si="5"/>
        <v>3681.2505908029439</v>
      </c>
      <c r="F63" s="170">
        <v>101.69972687049999</v>
      </c>
      <c r="G63" s="170">
        <f t="shared" ref="G63:G64" si="19">E63-F63</f>
        <v>3579.5508639324439</v>
      </c>
      <c r="H63" s="142">
        <f t="shared" ref="H63:H64" si="20">IF(G63=0,0,IF(B63=0,0,G63/B63))</f>
        <v>11.07667924684282</v>
      </c>
      <c r="I63" s="142">
        <f t="shared" ref="I63:I64" si="21">H63*0.92</f>
        <v>10.190544907095395</v>
      </c>
    </row>
    <row r="64" spans="1:9" s="93" customFormat="1" ht="12" customHeight="1" x14ac:dyDescent="0.2">
      <c r="A64" s="125">
        <v>2017</v>
      </c>
      <c r="B64" s="126">
        <v>325.20603</v>
      </c>
      <c r="C64" s="168">
        <v>1439</v>
      </c>
      <c r="D64" s="170">
        <v>2344.129718700704</v>
      </c>
      <c r="E64" s="170">
        <f t="shared" si="5"/>
        <v>3783.129718700704</v>
      </c>
      <c r="F64" s="170">
        <v>106.82969242242001</v>
      </c>
      <c r="G64" s="170">
        <f t="shared" si="19"/>
        <v>3676.3000262782839</v>
      </c>
      <c r="H64" s="142">
        <f t="shared" si="20"/>
        <v>11.304526014718373</v>
      </c>
      <c r="I64" s="142">
        <f t="shared" si="21"/>
        <v>10.400163933540904</v>
      </c>
    </row>
    <row r="65" spans="1:10" s="93" customFormat="1" ht="12" customHeight="1" x14ac:dyDescent="0.2">
      <c r="A65" s="128">
        <v>2018</v>
      </c>
      <c r="B65" s="129">
        <v>326.92397599999998</v>
      </c>
      <c r="C65" s="168">
        <v>1289.5</v>
      </c>
      <c r="D65" s="170">
        <v>2465.1713073540873</v>
      </c>
      <c r="E65" s="170">
        <f t="shared" si="5"/>
        <v>3754.6713073540873</v>
      </c>
      <c r="F65" s="170">
        <v>103.81155000545999</v>
      </c>
      <c r="G65" s="170">
        <f t="shared" ref="G65:G67" si="22">E65-F65</f>
        <v>3650.8597573486272</v>
      </c>
      <c r="H65" s="142">
        <f t="shared" ref="H65:H67" si="23">IF(G65=0,0,IF(B65=0,0,G65/B65))</f>
        <v>11.16730501695791</v>
      </c>
      <c r="I65" s="142">
        <f t="shared" ref="I65:I67" si="24">H65*0.92</f>
        <v>10.273920615601277</v>
      </c>
    </row>
    <row r="66" spans="1:10" s="93" customFormat="1" ht="12" customHeight="1" x14ac:dyDescent="0.2">
      <c r="A66" s="128">
        <v>2019</v>
      </c>
      <c r="B66" s="129">
        <v>328.475998</v>
      </c>
      <c r="C66" s="168">
        <v>1159.5</v>
      </c>
      <c r="D66" s="170">
        <v>2518.3358957512114</v>
      </c>
      <c r="E66" s="170">
        <f t="shared" si="5"/>
        <v>3677.8358957512114</v>
      </c>
      <c r="F66" s="170">
        <v>103.5</v>
      </c>
      <c r="G66" s="170">
        <f t="shared" si="22"/>
        <v>3574.3358957512114</v>
      </c>
      <c r="H66" s="142">
        <f t="shared" si="23"/>
        <v>10.881574049593759</v>
      </c>
      <c r="I66" s="142">
        <f t="shared" si="24"/>
        <v>10.011048125626258</v>
      </c>
    </row>
    <row r="67" spans="1:10" s="93" customFormat="1" ht="12" customHeight="1" thickBot="1" x14ac:dyDescent="0.25">
      <c r="A67" s="148">
        <v>2020</v>
      </c>
      <c r="B67" s="149">
        <v>330.11398000000003</v>
      </c>
      <c r="C67" s="168">
        <v>1169.9000000000001</v>
      </c>
      <c r="D67" s="170">
        <v>2561.4</v>
      </c>
      <c r="E67" s="170">
        <f t="shared" si="5"/>
        <v>3731.3</v>
      </c>
      <c r="F67" s="170">
        <v>98.4</v>
      </c>
      <c r="G67" s="170">
        <f t="shared" si="22"/>
        <v>3632.9</v>
      </c>
      <c r="H67" s="142">
        <f t="shared" si="23"/>
        <v>11.004986823036091</v>
      </c>
      <c r="I67" s="142">
        <f t="shared" si="24"/>
        <v>10.124587877193205</v>
      </c>
    </row>
    <row r="68" spans="1:10" ht="12" customHeight="1" thickTop="1" x14ac:dyDescent="0.2">
      <c r="A68" s="270" t="s">
        <v>239</v>
      </c>
      <c r="B68" s="271"/>
      <c r="C68" s="271"/>
      <c r="D68" s="271"/>
      <c r="E68" s="271"/>
      <c r="F68" s="271"/>
      <c r="G68" s="271"/>
      <c r="H68" s="271"/>
      <c r="I68" s="272"/>
      <c r="J68" s="90"/>
    </row>
    <row r="69" spans="1:10" ht="12" customHeight="1" x14ac:dyDescent="0.2">
      <c r="A69" s="251"/>
      <c r="B69" s="252"/>
      <c r="C69" s="252"/>
      <c r="D69" s="252"/>
      <c r="E69" s="252"/>
      <c r="F69" s="252"/>
      <c r="G69" s="252"/>
      <c r="H69" s="252"/>
      <c r="I69" s="253"/>
      <c r="J69" s="90"/>
    </row>
    <row r="70" spans="1:10" s="93" customFormat="1" ht="12" customHeight="1" thickTop="1" x14ac:dyDescent="0.2">
      <c r="A70" s="251"/>
      <c r="B70" s="252"/>
      <c r="C70" s="252"/>
      <c r="D70" s="252"/>
      <c r="E70" s="252"/>
      <c r="F70" s="252"/>
      <c r="G70" s="252"/>
      <c r="H70" s="252"/>
      <c r="I70" s="253"/>
      <c r="J70" s="108"/>
    </row>
    <row r="71" spans="1:10" ht="27" customHeight="1" x14ac:dyDescent="0.2">
      <c r="A71" s="251"/>
      <c r="B71" s="252"/>
      <c r="C71" s="252"/>
      <c r="D71" s="252"/>
      <c r="E71" s="252"/>
      <c r="F71" s="252"/>
      <c r="G71" s="252"/>
      <c r="H71" s="252"/>
      <c r="I71" s="253"/>
      <c r="J71" s="90"/>
    </row>
    <row r="72" spans="1:10" ht="12" customHeight="1" x14ac:dyDescent="0.2">
      <c r="A72" s="275"/>
      <c r="B72" s="276"/>
      <c r="C72" s="276"/>
      <c r="D72" s="276"/>
      <c r="E72" s="276"/>
      <c r="F72" s="276"/>
      <c r="G72" s="276"/>
      <c r="H72" s="276"/>
      <c r="I72" s="277"/>
      <c r="J72" s="90"/>
    </row>
    <row r="73" spans="1:10" ht="12" customHeight="1" x14ac:dyDescent="0.2">
      <c r="A73" s="223" t="s">
        <v>198</v>
      </c>
      <c r="B73" s="224"/>
      <c r="C73" s="224"/>
      <c r="D73" s="224"/>
      <c r="E73" s="224"/>
      <c r="F73" s="224"/>
      <c r="G73" s="224"/>
      <c r="H73" s="224"/>
      <c r="I73" s="225"/>
      <c r="J73" s="89"/>
    </row>
    <row r="74" spans="1:10" ht="12" customHeight="1" x14ac:dyDescent="0.2">
      <c r="A74" s="223"/>
      <c r="B74" s="224"/>
      <c r="C74" s="224"/>
      <c r="D74" s="224"/>
      <c r="E74" s="224"/>
      <c r="F74" s="224"/>
      <c r="G74" s="224"/>
      <c r="H74" s="224"/>
      <c r="I74" s="225"/>
      <c r="J74" s="89"/>
    </row>
  </sheetData>
  <mergeCells count="18">
    <mergeCell ref="H1:I1"/>
    <mergeCell ref="C3:C5"/>
    <mergeCell ref="D3:D5"/>
    <mergeCell ref="F3:F5"/>
    <mergeCell ref="A2:A5"/>
    <mergeCell ref="B2:B5"/>
    <mergeCell ref="E3:E5"/>
    <mergeCell ref="G3:G5"/>
    <mergeCell ref="H4:H5"/>
    <mergeCell ref="H3:I3"/>
    <mergeCell ref="C2:E2"/>
    <mergeCell ref="A1:G1"/>
    <mergeCell ref="G2:I2"/>
    <mergeCell ref="C6:G6"/>
    <mergeCell ref="H6:I6"/>
    <mergeCell ref="A72:I72"/>
    <mergeCell ref="A73:I74"/>
    <mergeCell ref="A68:I71"/>
  </mergeCells>
  <phoneticPr fontId="7" type="noConversion"/>
  <printOptions horizontalCentered="1"/>
  <pageMargins left="0.45" right="0.45" top="0.75" bottom="0.75" header="0" footer="0"/>
  <pageSetup scale="66" fitToWidth="2"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pageSetUpPr autoPageBreaks="0" fitToPage="1"/>
  </sheetPr>
  <dimension ref="A1:J76"/>
  <sheetViews>
    <sheetView showOutlineSymbols="0" zoomScaleNormal="100" workbookViewId="0">
      <pane ySplit="6" topLeftCell="A7" activePane="bottomLeft" state="frozen"/>
      <selection pane="bottomLeft" sqref="A1:G1"/>
    </sheetView>
  </sheetViews>
  <sheetFormatPr defaultColWidth="12.7109375" defaultRowHeight="12" customHeight="1" x14ac:dyDescent="0.2"/>
  <cols>
    <col min="1" max="1" width="12.7109375" style="13" customWidth="1"/>
    <col min="2" max="16384" width="12.7109375" style="13"/>
  </cols>
  <sheetData>
    <row r="1" spans="1:10" s="1" customFormat="1" ht="12" customHeight="1" thickBot="1" x14ac:dyDescent="0.25">
      <c r="A1" s="201" t="s">
        <v>175</v>
      </c>
      <c r="B1" s="201"/>
      <c r="C1" s="201"/>
      <c r="D1" s="201"/>
      <c r="E1" s="201"/>
      <c r="F1" s="201"/>
      <c r="G1" s="201"/>
      <c r="H1" s="200" t="s">
        <v>19</v>
      </c>
      <c r="I1" s="200"/>
    </row>
    <row r="2" spans="1:10" ht="12" customHeight="1" thickTop="1" x14ac:dyDescent="0.2">
      <c r="A2" s="257" t="s">
        <v>1</v>
      </c>
      <c r="B2" s="258" t="s">
        <v>85</v>
      </c>
      <c r="C2" s="218" t="s">
        <v>2</v>
      </c>
      <c r="D2" s="218"/>
      <c r="E2" s="218"/>
      <c r="F2" s="117" t="s">
        <v>146</v>
      </c>
      <c r="G2" s="244" t="s">
        <v>147</v>
      </c>
      <c r="H2" s="245"/>
      <c r="I2" s="245"/>
    </row>
    <row r="3" spans="1:10" ht="12" customHeight="1" x14ac:dyDescent="0.2">
      <c r="A3" s="217"/>
      <c r="B3" s="259"/>
      <c r="C3" s="217" t="s">
        <v>86</v>
      </c>
      <c r="D3" s="217" t="s">
        <v>87</v>
      </c>
      <c r="E3" s="217" t="s">
        <v>88</v>
      </c>
      <c r="F3" s="217" t="s">
        <v>95</v>
      </c>
      <c r="G3" s="217" t="s">
        <v>137</v>
      </c>
      <c r="H3" s="226" t="s">
        <v>28</v>
      </c>
      <c r="I3" s="227"/>
    </row>
    <row r="4" spans="1:10" ht="12" customHeight="1" x14ac:dyDescent="0.2">
      <c r="A4" s="217"/>
      <c r="B4" s="259"/>
      <c r="C4" s="217"/>
      <c r="D4" s="217"/>
      <c r="E4" s="217"/>
      <c r="F4" s="217"/>
      <c r="G4" s="217"/>
      <c r="H4" s="217" t="s">
        <v>4</v>
      </c>
      <c r="I4" s="14" t="s">
        <v>139</v>
      </c>
      <c r="J4" s="4"/>
    </row>
    <row r="5" spans="1:10" ht="12" customHeight="1" x14ac:dyDescent="0.2">
      <c r="A5" s="217"/>
      <c r="B5" s="259"/>
      <c r="C5" s="217"/>
      <c r="D5" s="217"/>
      <c r="E5" s="217"/>
      <c r="F5" s="217"/>
      <c r="G5" s="217"/>
      <c r="H5" s="217"/>
      <c r="I5" s="14" t="s">
        <v>187</v>
      </c>
    </row>
    <row r="6" spans="1:10" ht="12" customHeight="1" x14ac:dyDescent="0.2">
      <c r="A6" s="104"/>
      <c r="B6" s="167" t="s">
        <v>121</v>
      </c>
      <c r="C6" s="290" t="s">
        <v>122</v>
      </c>
      <c r="D6" s="291"/>
      <c r="E6" s="291"/>
      <c r="F6" s="291"/>
      <c r="G6" s="292"/>
      <c r="H6" s="214" t="s">
        <v>118</v>
      </c>
      <c r="I6" s="222"/>
      <c r="J6" s="104"/>
    </row>
    <row r="7" spans="1:10" ht="12" customHeight="1" x14ac:dyDescent="0.2">
      <c r="A7" s="2">
        <v>1960</v>
      </c>
      <c r="B7" s="20">
        <v>180.67099999999999</v>
      </c>
      <c r="C7" s="8" t="s">
        <v>3</v>
      </c>
      <c r="D7" s="8" t="s">
        <v>3</v>
      </c>
      <c r="E7" s="8" t="s">
        <v>3</v>
      </c>
      <c r="F7" s="8" t="s">
        <v>3</v>
      </c>
      <c r="G7" s="8" t="s">
        <v>3</v>
      </c>
      <c r="H7" s="8" t="s">
        <v>3</v>
      </c>
      <c r="I7" s="8" t="s">
        <v>3</v>
      </c>
    </row>
    <row r="8" spans="1:10" ht="12" customHeight="1" x14ac:dyDescent="0.2">
      <c r="A8" s="3">
        <v>1961</v>
      </c>
      <c r="B8" s="21">
        <v>183.691</v>
      </c>
      <c r="C8" s="9" t="s">
        <v>3</v>
      </c>
      <c r="D8" s="9" t="s">
        <v>3</v>
      </c>
      <c r="E8" s="9" t="s">
        <v>3</v>
      </c>
      <c r="F8" s="9" t="s">
        <v>3</v>
      </c>
      <c r="G8" s="9" t="s">
        <v>3</v>
      </c>
      <c r="H8" s="9" t="s">
        <v>3</v>
      </c>
      <c r="I8" s="9" t="s">
        <v>3</v>
      </c>
    </row>
    <row r="9" spans="1:10" ht="12" customHeight="1" x14ac:dyDescent="0.2">
      <c r="A9" s="3">
        <v>1962</v>
      </c>
      <c r="B9" s="21">
        <v>186.53800000000001</v>
      </c>
      <c r="C9" s="9" t="s">
        <v>3</v>
      </c>
      <c r="D9" s="9" t="s">
        <v>3</v>
      </c>
      <c r="E9" s="9" t="s">
        <v>3</v>
      </c>
      <c r="F9" s="9" t="s">
        <v>3</v>
      </c>
      <c r="G9" s="9" t="s">
        <v>3</v>
      </c>
      <c r="H9" s="9" t="s">
        <v>3</v>
      </c>
      <c r="I9" s="9" t="s">
        <v>3</v>
      </c>
    </row>
    <row r="10" spans="1:10" ht="12" customHeight="1" x14ac:dyDescent="0.2">
      <c r="A10" s="3">
        <v>1963</v>
      </c>
      <c r="B10" s="21">
        <v>189.24199999999999</v>
      </c>
      <c r="C10" s="9" t="s">
        <v>3</v>
      </c>
      <c r="D10" s="9" t="s">
        <v>3</v>
      </c>
      <c r="E10" s="9" t="s">
        <v>3</v>
      </c>
      <c r="F10" s="9" t="s">
        <v>3</v>
      </c>
      <c r="G10" s="9" t="s">
        <v>3</v>
      </c>
      <c r="H10" s="9" t="s">
        <v>3</v>
      </c>
      <c r="I10" s="9" t="s">
        <v>3</v>
      </c>
    </row>
    <row r="11" spans="1:10" ht="12" customHeight="1" x14ac:dyDescent="0.2">
      <c r="A11" s="3">
        <v>1964</v>
      </c>
      <c r="B11" s="21">
        <v>191.88900000000001</v>
      </c>
      <c r="C11" s="9" t="s">
        <v>3</v>
      </c>
      <c r="D11" s="9" t="s">
        <v>3</v>
      </c>
      <c r="E11" s="9" t="s">
        <v>3</v>
      </c>
      <c r="F11" s="9" t="s">
        <v>3</v>
      </c>
      <c r="G11" s="9" t="s">
        <v>3</v>
      </c>
      <c r="H11" s="9" t="s">
        <v>3</v>
      </c>
      <c r="I11" s="9" t="s">
        <v>3</v>
      </c>
    </row>
    <row r="12" spans="1:10" ht="12" customHeight="1" x14ac:dyDescent="0.2">
      <c r="A12" s="3">
        <v>1965</v>
      </c>
      <c r="B12" s="21">
        <v>194.303</v>
      </c>
      <c r="C12" s="9" t="s">
        <v>3</v>
      </c>
      <c r="D12" s="9" t="s">
        <v>3</v>
      </c>
      <c r="E12" s="9" t="s">
        <v>3</v>
      </c>
      <c r="F12" s="9" t="s">
        <v>3</v>
      </c>
      <c r="G12" s="9" t="s">
        <v>3</v>
      </c>
      <c r="H12" s="9" t="s">
        <v>3</v>
      </c>
      <c r="I12" s="9" t="s">
        <v>3</v>
      </c>
    </row>
    <row r="13" spans="1:10" ht="12" customHeight="1" x14ac:dyDescent="0.2">
      <c r="A13" s="2">
        <v>1966</v>
      </c>
      <c r="B13" s="20">
        <v>196.56</v>
      </c>
      <c r="C13" s="8" t="s">
        <v>3</v>
      </c>
      <c r="D13" s="8" t="s">
        <v>3</v>
      </c>
      <c r="E13" s="8" t="s">
        <v>3</v>
      </c>
      <c r="F13" s="8" t="s">
        <v>3</v>
      </c>
      <c r="G13" s="8" t="s">
        <v>3</v>
      </c>
      <c r="H13" s="8" t="s">
        <v>3</v>
      </c>
      <c r="I13" s="8" t="s">
        <v>3</v>
      </c>
    </row>
    <row r="14" spans="1:10" ht="12" customHeight="1" x14ac:dyDescent="0.2">
      <c r="A14" s="2">
        <v>1967</v>
      </c>
      <c r="B14" s="20">
        <v>198.71199999999999</v>
      </c>
      <c r="C14" s="8" t="s">
        <v>3</v>
      </c>
      <c r="D14" s="8" t="s">
        <v>3</v>
      </c>
      <c r="E14" s="8" t="s">
        <v>3</v>
      </c>
      <c r="F14" s="8" t="s">
        <v>3</v>
      </c>
      <c r="G14" s="8" t="s">
        <v>3</v>
      </c>
      <c r="H14" s="8" t="s">
        <v>3</v>
      </c>
      <c r="I14" s="8" t="s">
        <v>3</v>
      </c>
    </row>
    <row r="15" spans="1:10" ht="12" customHeight="1" x14ac:dyDescent="0.2">
      <c r="A15" s="2">
        <v>1968</v>
      </c>
      <c r="B15" s="20">
        <v>200.70599999999999</v>
      </c>
      <c r="C15" s="8" t="s">
        <v>3</v>
      </c>
      <c r="D15" s="8" t="s">
        <v>3</v>
      </c>
      <c r="E15" s="8" t="s">
        <v>3</v>
      </c>
      <c r="F15" s="8" t="s">
        <v>3</v>
      </c>
      <c r="G15" s="8" t="s">
        <v>3</v>
      </c>
      <c r="H15" s="8" t="s">
        <v>3</v>
      </c>
      <c r="I15" s="8" t="s">
        <v>3</v>
      </c>
    </row>
    <row r="16" spans="1:10" ht="12" customHeight="1" x14ac:dyDescent="0.2">
      <c r="A16" s="2">
        <v>1969</v>
      </c>
      <c r="B16" s="20">
        <v>202.67699999999999</v>
      </c>
      <c r="C16" s="8" t="s">
        <v>3</v>
      </c>
      <c r="D16" s="8" t="s">
        <v>3</v>
      </c>
      <c r="E16" s="8" t="s">
        <v>3</v>
      </c>
      <c r="F16" s="8" t="s">
        <v>3</v>
      </c>
      <c r="G16" s="8" t="s">
        <v>3</v>
      </c>
      <c r="H16" s="8" t="s">
        <v>3</v>
      </c>
      <c r="I16" s="8" t="s">
        <v>3</v>
      </c>
    </row>
    <row r="17" spans="1:9" ht="12" customHeight="1" x14ac:dyDescent="0.2">
      <c r="A17" s="2">
        <v>1970</v>
      </c>
      <c r="B17" s="20">
        <v>205.05199999999999</v>
      </c>
      <c r="C17" s="168">
        <v>246.32599999999999</v>
      </c>
      <c r="D17" s="170">
        <v>26.193000000000001</v>
      </c>
      <c r="E17" s="170">
        <f t="shared" ref="E17:E67" si="0">SUM(C17,D17)</f>
        <v>272.51900000000001</v>
      </c>
      <c r="F17" s="170" t="s">
        <v>3</v>
      </c>
      <c r="G17" s="170">
        <f t="shared" ref="G17:G24" si="1">E17-SUM(F17)</f>
        <v>272.51900000000001</v>
      </c>
      <c r="H17" s="142">
        <f t="shared" ref="H17:H59" si="2">IF(G17=0,0,IF(B17=0,0,G17/B17))</f>
        <v>1.3290238573630104</v>
      </c>
      <c r="I17" s="142">
        <f>H17*0.9</f>
        <v>1.1961214716267095</v>
      </c>
    </row>
    <row r="18" spans="1:9" ht="12" customHeight="1" x14ac:dyDescent="0.2">
      <c r="A18" s="3">
        <v>1971</v>
      </c>
      <c r="B18" s="21">
        <v>207.661</v>
      </c>
      <c r="C18" s="171">
        <v>260.17200000000003</v>
      </c>
      <c r="D18" s="172">
        <v>29.376999999999999</v>
      </c>
      <c r="E18" s="172">
        <f t="shared" si="0"/>
        <v>289.54900000000004</v>
      </c>
      <c r="F18" s="172" t="s">
        <v>3</v>
      </c>
      <c r="G18" s="172">
        <f t="shared" si="1"/>
        <v>289.54900000000004</v>
      </c>
      <c r="H18" s="183">
        <f t="shared" si="2"/>
        <v>1.39433499790524</v>
      </c>
      <c r="I18" s="143">
        <f t="shared" ref="I18:I47" si="3">H18*0.9</f>
        <v>1.254901498114716</v>
      </c>
    </row>
    <row r="19" spans="1:9" ht="12" customHeight="1" x14ac:dyDescent="0.2">
      <c r="A19" s="3">
        <v>1972</v>
      </c>
      <c r="B19" s="21">
        <v>209.89599999999999</v>
      </c>
      <c r="C19" s="171">
        <v>270.78399999999999</v>
      </c>
      <c r="D19" s="172">
        <v>38.494999999999997</v>
      </c>
      <c r="E19" s="172">
        <f t="shared" si="0"/>
        <v>309.279</v>
      </c>
      <c r="F19" s="172" t="s">
        <v>3</v>
      </c>
      <c r="G19" s="172">
        <f t="shared" si="1"/>
        <v>309.279</v>
      </c>
      <c r="H19" s="183">
        <f t="shared" si="2"/>
        <v>1.4734868696878456</v>
      </c>
      <c r="I19" s="143">
        <f t="shared" si="3"/>
        <v>1.326138182719061</v>
      </c>
    </row>
    <row r="20" spans="1:9" ht="12" customHeight="1" x14ac:dyDescent="0.2">
      <c r="A20" s="3">
        <v>1973</v>
      </c>
      <c r="B20" s="21">
        <v>211.90899999999999</v>
      </c>
      <c r="C20" s="171">
        <v>282.202</v>
      </c>
      <c r="D20" s="172">
        <v>39.636000000000003</v>
      </c>
      <c r="E20" s="172">
        <f t="shared" si="0"/>
        <v>321.83800000000002</v>
      </c>
      <c r="F20" s="172" t="s">
        <v>3</v>
      </c>
      <c r="G20" s="172">
        <f t="shared" si="1"/>
        <v>321.83800000000002</v>
      </c>
      <c r="H20" s="183">
        <f t="shared" si="2"/>
        <v>1.5187556923018846</v>
      </c>
      <c r="I20" s="143">
        <f t="shared" si="3"/>
        <v>1.366880123071696</v>
      </c>
    </row>
    <row r="21" spans="1:9" ht="12" customHeight="1" x14ac:dyDescent="0.2">
      <c r="A21" s="3">
        <v>1974</v>
      </c>
      <c r="B21" s="21">
        <v>213.85400000000001</v>
      </c>
      <c r="C21" s="171">
        <v>296.50799999999998</v>
      </c>
      <c r="D21" s="172">
        <v>42.645000000000003</v>
      </c>
      <c r="E21" s="172">
        <f t="shared" si="0"/>
        <v>339.15299999999996</v>
      </c>
      <c r="F21" s="172" t="s">
        <v>3</v>
      </c>
      <c r="G21" s="172">
        <f t="shared" si="1"/>
        <v>339.15299999999996</v>
      </c>
      <c r="H21" s="183">
        <f t="shared" si="2"/>
        <v>1.5859090781561249</v>
      </c>
      <c r="I21" s="143">
        <f t="shared" si="3"/>
        <v>1.4273181703405124</v>
      </c>
    </row>
    <row r="22" spans="1:9" ht="12" customHeight="1" x14ac:dyDescent="0.2">
      <c r="A22" s="3">
        <v>1975</v>
      </c>
      <c r="B22" s="21">
        <v>215.97300000000001</v>
      </c>
      <c r="C22" s="171">
        <v>323.08100000000002</v>
      </c>
      <c r="D22" s="172">
        <v>37.090000000000003</v>
      </c>
      <c r="E22" s="172">
        <f t="shared" si="0"/>
        <v>360.17100000000005</v>
      </c>
      <c r="F22" s="172" t="s">
        <v>3</v>
      </c>
      <c r="G22" s="172">
        <f t="shared" si="1"/>
        <v>360.17100000000005</v>
      </c>
      <c r="H22" s="183">
        <f t="shared" si="2"/>
        <v>1.6676667916822938</v>
      </c>
      <c r="I22" s="143">
        <f t="shared" si="3"/>
        <v>1.5009001125140644</v>
      </c>
    </row>
    <row r="23" spans="1:9" ht="12" customHeight="1" x14ac:dyDescent="0.2">
      <c r="A23" s="2">
        <v>1976</v>
      </c>
      <c r="B23" s="20">
        <v>218.035</v>
      </c>
      <c r="C23" s="168">
        <v>334.94299999999998</v>
      </c>
      <c r="D23" s="170">
        <v>51.551000000000002</v>
      </c>
      <c r="E23" s="170">
        <f t="shared" si="0"/>
        <v>386.49399999999997</v>
      </c>
      <c r="F23" s="170" t="s">
        <v>3</v>
      </c>
      <c r="G23" s="170">
        <f t="shared" si="1"/>
        <v>386.49399999999997</v>
      </c>
      <c r="H23" s="142">
        <f t="shared" si="2"/>
        <v>1.7726236613387758</v>
      </c>
      <c r="I23" s="142">
        <f t="shared" si="3"/>
        <v>1.5953612952048983</v>
      </c>
    </row>
    <row r="24" spans="1:9" ht="12" customHeight="1" x14ac:dyDescent="0.2">
      <c r="A24" s="2">
        <v>1977</v>
      </c>
      <c r="B24" s="20">
        <v>220.23899999999998</v>
      </c>
      <c r="C24" s="168">
        <v>353.75100000000003</v>
      </c>
      <c r="D24" s="170">
        <v>67.786000000000001</v>
      </c>
      <c r="E24" s="170">
        <f t="shared" si="0"/>
        <v>421.53700000000003</v>
      </c>
      <c r="F24" s="170" t="s">
        <v>3</v>
      </c>
      <c r="G24" s="170">
        <f t="shared" si="1"/>
        <v>421.53700000000003</v>
      </c>
      <c r="H24" s="142">
        <f t="shared" si="2"/>
        <v>1.9139979749272384</v>
      </c>
      <c r="I24" s="142">
        <f t="shared" si="3"/>
        <v>1.7225981774345147</v>
      </c>
    </row>
    <row r="25" spans="1:9" ht="12" customHeight="1" x14ac:dyDescent="0.2">
      <c r="A25" s="2">
        <v>1978</v>
      </c>
      <c r="B25" s="20">
        <v>222.58500000000001</v>
      </c>
      <c r="C25" s="168">
        <v>359.072</v>
      </c>
      <c r="D25" s="170">
        <v>81.644999999999996</v>
      </c>
      <c r="E25" s="170">
        <f t="shared" si="0"/>
        <v>440.71699999999998</v>
      </c>
      <c r="F25" s="170" t="s">
        <v>3</v>
      </c>
      <c r="G25" s="170">
        <f>E25</f>
        <v>440.71699999999998</v>
      </c>
      <c r="H25" s="142">
        <f t="shared" si="2"/>
        <v>1.9799941595345596</v>
      </c>
      <c r="I25" s="142">
        <f t="shared" si="3"/>
        <v>1.7819947435811037</v>
      </c>
    </row>
    <row r="26" spans="1:9" ht="12" customHeight="1" x14ac:dyDescent="0.2">
      <c r="A26" s="2">
        <v>1979</v>
      </c>
      <c r="B26" s="20">
        <v>225.05500000000001</v>
      </c>
      <c r="C26" s="168">
        <v>391.28595000000001</v>
      </c>
      <c r="D26" s="170">
        <v>93.807000000000002</v>
      </c>
      <c r="E26" s="170">
        <f t="shared" si="0"/>
        <v>485.09295000000003</v>
      </c>
      <c r="F26" s="170" t="s">
        <v>3</v>
      </c>
      <c r="G26" s="170">
        <f t="shared" ref="G26:G35" si="4">E26</f>
        <v>485.09295000000003</v>
      </c>
      <c r="H26" s="142">
        <f t="shared" si="2"/>
        <v>2.1554417808980029</v>
      </c>
      <c r="I26" s="142">
        <f t="shared" si="3"/>
        <v>1.9398976028082027</v>
      </c>
    </row>
    <row r="27" spans="1:9" ht="12" customHeight="1" x14ac:dyDescent="0.2">
      <c r="A27" s="2">
        <v>1980</v>
      </c>
      <c r="B27" s="20">
        <v>227.726</v>
      </c>
      <c r="C27" s="168">
        <v>438.66890000000001</v>
      </c>
      <c r="D27" s="170">
        <v>86.912000000000006</v>
      </c>
      <c r="E27" s="170">
        <f t="shared" si="0"/>
        <v>525.58090000000004</v>
      </c>
      <c r="F27" s="170" t="s">
        <v>3</v>
      </c>
      <c r="G27" s="170">
        <f t="shared" si="4"/>
        <v>525.58090000000004</v>
      </c>
      <c r="H27" s="142">
        <f t="shared" si="2"/>
        <v>2.3079529785795212</v>
      </c>
      <c r="I27" s="142">
        <f t="shared" si="3"/>
        <v>2.077157680721569</v>
      </c>
    </row>
    <row r="28" spans="1:9" ht="12" customHeight="1" x14ac:dyDescent="0.2">
      <c r="A28" s="3">
        <v>1981</v>
      </c>
      <c r="B28" s="21">
        <v>229.96600000000001</v>
      </c>
      <c r="C28" s="171">
        <v>453.76985000000002</v>
      </c>
      <c r="D28" s="172">
        <v>80.867999999999995</v>
      </c>
      <c r="E28" s="172">
        <f t="shared" si="0"/>
        <v>534.63785000000007</v>
      </c>
      <c r="F28" s="172" t="s">
        <v>3</v>
      </c>
      <c r="G28" s="172">
        <f t="shared" si="4"/>
        <v>534.63785000000007</v>
      </c>
      <c r="H28" s="183">
        <f t="shared" si="2"/>
        <v>2.3248560656792745</v>
      </c>
      <c r="I28" s="143">
        <f t="shared" si="3"/>
        <v>2.092370459111347</v>
      </c>
    </row>
    <row r="29" spans="1:9" ht="12" customHeight="1" x14ac:dyDescent="0.2">
      <c r="A29" s="3">
        <v>1982</v>
      </c>
      <c r="B29" s="21">
        <v>232.18799999999999</v>
      </c>
      <c r="C29" s="171">
        <v>466.22800000000001</v>
      </c>
      <c r="D29" s="172">
        <v>104.21</v>
      </c>
      <c r="E29" s="172">
        <f t="shared" si="0"/>
        <v>570.43799999999999</v>
      </c>
      <c r="F29" s="172" t="s">
        <v>3</v>
      </c>
      <c r="G29" s="172">
        <f t="shared" si="4"/>
        <v>570.43799999999999</v>
      </c>
      <c r="H29" s="183">
        <f t="shared" si="2"/>
        <v>2.4567936327458786</v>
      </c>
      <c r="I29" s="143">
        <f t="shared" si="3"/>
        <v>2.2111142694712909</v>
      </c>
    </row>
    <row r="30" spans="1:9" ht="12" customHeight="1" x14ac:dyDescent="0.2">
      <c r="A30" s="3">
        <v>1983</v>
      </c>
      <c r="B30" s="21">
        <v>234.30699999999999</v>
      </c>
      <c r="C30" s="171">
        <v>484.10360000000003</v>
      </c>
      <c r="D30" s="172">
        <v>114.813</v>
      </c>
      <c r="E30" s="172">
        <f t="shared" si="0"/>
        <v>598.91660000000002</v>
      </c>
      <c r="F30" s="172" t="s">
        <v>3</v>
      </c>
      <c r="G30" s="172">
        <f t="shared" si="4"/>
        <v>598.91660000000002</v>
      </c>
      <c r="H30" s="183">
        <f t="shared" si="2"/>
        <v>2.5561191086907349</v>
      </c>
      <c r="I30" s="143">
        <f t="shared" si="3"/>
        <v>2.3005071978216614</v>
      </c>
    </row>
    <row r="31" spans="1:9" ht="12" customHeight="1" x14ac:dyDescent="0.2">
      <c r="A31" s="3">
        <v>1984</v>
      </c>
      <c r="B31" s="21">
        <v>236.34800000000001</v>
      </c>
      <c r="C31" s="171">
        <v>487.19720000000001</v>
      </c>
      <c r="D31" s="172">
        <v>133.209</v>
      </c>
      <c r="E31" s="172">
        <f t="shared" si="0"/>
        <v>620.40620000000001</v>
      </c>
      <c r="F31" s="172" t="s">
        <v>3</v>
      </c>
      <c r="G31" s="172">
        <f t="shared" si="4"/>
        <v>620.40620000000001</v>
      </c>
      <c r="H31" s="183">
        <f t="shared" si="2"/>
        <v>2.624969113341344</v>
      </c>
      <c r="I31" s="143">
        <f t="shared" si="3"/>
        <v>2.3624722020072095</v>
      </c>
    </row>
    <row r="32" spans="1:9" ht="12" customHeight="1" x14ac:dyDescent="0.2">
      <c r="A32" s="3">
        <v>1985</v>
      </c>
      <c r="B32" s="21">
        <v>238.46600000000001</v>
      </c>
      <c r="C32" s="171">
        <v>515.22680000000003</v>
      </c>
      <c r="D32" s="172">
        <v>122.05500000000001</v>
      </c>
      <c r="E32" s="172">
        <f t="shared" si="0"/>
        <v>637.28179999999998</v>
      </c>
      <c r="F32" s="172" t="s">
        <v>3</v>
      </c>
      <c r="G32" s="172">
        <f t="shared" si="4"/>
        <v>637.28179999999998</v>
      </c>
      <c r="H32" s="183">
        <f t="shared" si="2"/>
        <v>2.6724220643613763</v>
      </c>
      <c r="I32" s="143">
        <f t="shared" si="3"/>
        <v>2.4051798579252388</v>
      </c>
    </row>
    <row r="33" spans="1:9" ht="12" customHeight="1" x14ac:dyDescent="0.2">
      <c r="A33" s="2">
        <v>1986</v>
      </c>
      <c r="B33" s="20">
        <v>240.65100000000001</v>
      </c>
      <c r="C33" s="168">
        <v>541.68040000000008</v>
      </c>
      <c r="D33" s="170">
        <v>126.194</v>
      </c>
      <c r="E33" s="170">
        <f t="shared" si="0"/>
        <v>667.87440000000004</v>
      </c>
      <c r="F33" s="170" t="s">
        <v>3</v>
      </c>
      <c r="G33" s="170">
        <f t="shared" si="4"/>
        <v>667.87440000000004</v>
      </c>
      <c r="H33" s="142">
        <f t="shared" si="2"/>
        <v>2.7752820474463018</v>
      </c>
      <c r="I33" s="142">
        <f t="shared" si="3"/>
        <v>2.4977538427016719</v>
      </c>
    </row>
    <row r="34" spans="1:9" ht="12" customHeight="1" x14ac:dyDescent="0.2">
      <c r="A34" s="2">
        <v>1987</v>
      </c>
      <c r="B34" s="20">
        <v>242.804</v>
      </c>
      <c r="C34" s="168">
        <v>546.02699999999993</v>
      </c>
      <c r="D34" s="170">
        <v>153.09100000000001</v>
      </c>
      <c r="E34" s="170">
        <f t="shared" si="0"/>
        <v>699.11799999999994</v>
      </c>
      <c r="F34" s="170" t="s">
        <v>3</v>
      </c>
      <c r="G34" s="170">
        <f t="shared" si="4"/>
        <v>699.11799999999994</v>
      </c>
      <c r="H34" s="142">
        <f t="shared" si="2"/>
        <v>2.8793512462727135</v>
      </c>
      <c r="I34" s="142">
        <f t="shared" si="3"/>
        <v>2.5914161216454423</v>
      </c>
    </row>
    <row r="35" spans="1:9" ht="12" customHeight="1" x14ac:dyDescent="0.2">
      <c r="A35" s="2">
        <v>1988</v>
      </c>
      <c r="B35" s="20">
        <v>245.02099999999999</v>
      </c>
      <c r="C35" s="168">
        <v>612.44479999999999</v>
      </c>
      <c r="D35" s="170">
        <v>141.60400000000001</v>
      </c>
      <c r="E35" s="170">
        <f t="shared" si="0"/>
        <v>754.04880000000003</v>
      </c>
      <c r="F35" s="170" t="s">
        <v>3</v>
      </c>
      <c r="G35" s="170">
        <f t="shared" si="4"/>
        <v>754.04880000000003</v>
      </c>
      <c r="H35" s="142">
        <f t="shared" si="2"/>
        <v>3.0774864195313874</v>
      </c>
      <c r="I35" s="142">
        <f t="shared" si="3"/>
        <v>2.7697377775782486</v>
      </c>
    </row>
    <row r="36" spans="1:9" ht="12" customHeight="1" x14ac:dyDescent="0.2">
      <c r="A36" s="2">
        <v>1989</v>
      </c>
      <c r="B36" s="20">
        <v>247.34200000000001</v>
      </c>
      <c r="C36" s="168">
        <v>661.93960000000004</v>
      </c>
      <c r="D36" s="170">
        <v>194.118325</v>
      </c>
      <c r="E36" s="170">
        <f t="shared" si="0"/>
        <v>856.05792500000007</v>
      </c>
      <c r="F36" s="170">
        <v>2.2546500000000003</v>
      </c>
      <c r="G36" s="170">
        <f t="shared" ref="G36:G59" si="5">E36-F36</f>
        <v>853.8032750000001</v>
      </c>
      <c r="H36" s="142">
        <f t="shared" si="2"/>
        <v>3.4519138480322793</v>
      </c>
      <c r="I36" s="142">
        <f t="shared" si="3"/>
        <v>3.1067224632290515</v>
      </c>
    </row>
    <row r="37" spans="1:9" ht="12" customHeight="1" x14ac:dyDescent="0.2">
      <c r="A37" s="2">
        <v>1990</v>
      </c>
      <c r="B37" s="20">
        <v>250.13200000000001</v>
      </c>
      <c r="C37" s="168">
        <v>693.22240000000011</v>
      </c>
      <c r="D37" s="170">
        <v>193.05455899999998</v>
      </c>
      <c r="E37" s="170">
        <f t="shared" si="0"/>
        <v>886.27695900000003</v>
      </c>
      <c r="F37" s="170">
        <v>9.3955079789999996</v>
      </c>
      <c r="G37" s="170">
        <f t="shared" si="5"/>
        <v>876.88145102100009</v>
      </c>
      <c r="H37" s="142">
        <f t="shared" si="2"/>
        <v>3.5056748077854896</v>
      </c>
      <c r="I37" s="142">
        <f t="shared" si="3"/>
        <v>3.1551073270069407</v>
      </c>
    </row>
    <row r="38" spans="1:9" ht="12" customHeight="1" x14ac:dyDescent="0.2">
      <c r="A38" s="3">
        <v>1991</v>
      </c>
      <c r="B38" s="21">
        <v>253.49299999999999</v>
      </c>
      <c r="C38" s="171">
        <v>737.5652</v>
      </c>
      <c r="D38" s="172">
        <v>202.78880900000001</v>
      </c>
      <c r="E38" s="172">
        <f t="shared" si="0"/>
        <v>940.35400900000002</v>
      </c>
      <c r="F38" s="172">
        <v>9.5635465410000009</v>
      </c>
      <c r="G38" s="172">
        <f t="shared" si="5"/>
        <v>930.79046245899997</v>
      </c>
      <c r="H38" s="183">
        <f t="shared" si="2"/>
        <v>3.6718586409052714</v>
      </c>
      <c r="I38" s="143">
        <f t="shared" si="3"/>
        <v>3.3046727768147441</v>
      </c>
    </row>
    <row r="39" spans="1:9" ht="12" customHeight="1" x14ac:dyDescent="0.2">
      <c r="A39" s="3">
        <v>1992</v>
      </c>
      <c r="B39" s="21">
        <v>256.89400000000001</v>
      </c>
      <c r="C39" s="171">
        <v>762.46199999999999</v>
      </c>
      <c r="D39" s="172">
        <v>227.336792</v>
      </c>
      <c r="E39" s="172">
        <f t="shared" si="0"/>
        <v>989.79879200000005</v>
      </c>
      <c r="F39" s="172">
        <v>12.078967916000002</v>
      </c>
      <c r="G39" s="172">
        <f t="shared" si="5"/>
        <v>977.71982408400004</v>
      </c>
      <c r="H39" s="183">
        <f t="shared" si="2"/>
        <v>3.8059270519513886</v>
      </c>
      <c r="I39" s="143">
        <f t="shared" si="3"/>
        <v>3.4253343467562498</v>
      </c>
    </row>
    <row r="40" spans="1:9" ht="12" customHeight="1" x14ac:dyDescent="0.2">
      <c r="A40" s="3">
        <v>1993</v>
      </c>
      <c r="B40" s="21">
        <v>260.255</v>
      </c>
      <c r="C40" s="171">
        <v>755.98</v>
      </c>
      <c r="D40" s="172">
        <v>242.92199099999999</v>
      </c>
      <c r="E40" s="172">
        <f t="shared" si="0"/>
        <v>998.90199099999995</v>
      </c>
      <c r="F40" s="172">
        <v>13.939601057000001</v>
      </c>
      <c r="G40" s="172">
        <f t="shared" si="5"/>
        <v>984.96238994299995</v>
      </c>
      <c r="H40" s="183">
        <f t="shared" si="2"/>
        <v>3.7846050602024937</v>
      </c>
      <c r="I40" s="143">
        <f t="shared" si="3"/>
        <v>3.4061445541822444</v>
      </c>
    </row>
    <row r="41" spans="1:9" ht="12" customHeight="1" x14ac:dyDescent="0.2">
      <c r="A41" s="3">
        <v>1994</v>
      </c>
      <c r="B41" s="21">
        <v>263.43599999999998</v>
      </c>
      <c r="C41" s="171">
        <v>785.65200000000004</v>
      </c>
      <c r="D41" s="172">
        <v>262.719379</v>
      </c>
      <c r="E41" s="172">
        <f t="shared" si="0"/>
        <v>1048.3713790000002</v>
      </c>
      <c r="F41" s="172">
        <v>13.132931261</v>
      </c>
      <c r="G41" s="172">
        <f t="shared" si="5"/>
        <v>1035.2384477390001</v>
      </c>
      <c r="H41" s="183">
        <f t="shared" si="2"/>
        <v>3.929753138291654</v>
      </c>
      <c r="I41" s="143">
        <f t="shared" si="3"/>
        <v>3.5367778244624888</v>
      </c>
    </row>
    <row r="42" spans="1:9" ht="12" customHeight="1" x14ac:dyDescent="0.2">
      <c r="A42" s="3">
        <v>1995</v>
      </c>
      <c r="B42" s="21">
        <v>266.55700000000002</v>
      </c>
      <c r="C42" s="171">
        <v>713.90600000000006</v>
      </c>
      <c r="D42" s="172">
        <v>298.73172800000003</v>
      </c>
      <c r="E42" s="172">
        <f t="shared" si="0"/>
        <v>1012.6377280000002</v>
      </c>
      <c r="F42" s="172">
        <v>14.177237928999999</v>
      </c>
      <c r="G42" s="172">
        <f t="shared" si="5"/>
        <v>998.46049007100021</v>
      </c>
      <c r="H42" s="183">
        <f t="shared" si="2"/>
        <v>3.7457672845620267</v>
      </c>
      <c r="I42" s="143">
        <f t="shared" si="3"/>
        <v>3.371190556105824</v>
      </c>
    </row>
    <row r="43" spans="1:9" ht="12" customHeight="1" x14ac:dyDescent="0.2">
      <c r="A43" s="2">
        <v>1996</v>
      </c>
      <c r="B43" s="20">
        <v>269.66699999999997</v>
      </c>
      <c r="C43" s="168">
        <v>662.96600000000001</v>
      </c>
      <c r="D43" s="170">
        <v>345.80579999999998</v>
      </c>
      <c r="E43" s="170">
        <f t="shared" si="0"/>
        <v>1008.7718</v>
      </c>
      <c r="F43" s="170">
        <v>13.808976000000003</v>
      </c>
      <c r="G43" s="170">
        <f t="shared" si="5"/>
        <v>994.96282399999996</v>
      </c>
      <c r="H43" s="142">
        <f t="shared" si="2"/>
        <v>3.6895980004969093</v>
      </c>
      <c r="I43" s="142">
        <f t="shared" si="3"/>
        <v>3.3206382004472186</v>
      </c>
    </row>
    <row r="44" spans="1:9" ht="12" customHeight="1" x14ac:dyDescent="0.2">
      <c r="A44" s="2">
        <v>1997</v>
      </c>
      <c r="B44" s="20">
        <v>272.91199999999998</v>
      </c>
      <c r="C44" s="168">
        <v>714.71199999999999</v>
      </c>
      <c r="D44" s="170">
        <v>349.68843400000003</v>
      </c>
      <c r="E44" s="170">
        <f t="shared" si="0"/>
        <v>1064.4004340000001</v>
      </c>
      <c r="F44" s="170">
        <v>13.565438022</v>
      </c>
      <c r="G44" s="170">
        <f t="shared" si="5"/>
        <v>1050.8349959780001</v>
      </c>
      <c r="H44" s="142">
        <f t="shared" si="2"/>
        <v>3.8504536113399195</v>
      </c>
      <c r="I44" s="142">
        <f t="shared" si="3"/>
        <v>3.4654082502059276</v>
      </c>
    </row>
    <row r="45" spans="1:9" ht="12" customHeight="1" x14ac:dyDescent="0.2">
      <c r="A45" s="2">
        <v>1998</v>
      </c>
      <c r="B45" s="20">
        <v>276.11500000000001</v>
      </c>
      <c r="C45" s="168">
        <v>754.03933333333339</v>
      </c>
      <c r="D45" s="170">
        <v>408.588121</v>
      </c>
      <c r="E45" s="170">
        <f t="shared" si="0"/>
        <v>1162.6274543333334</v>
      </c>
      <c r="F45" s="170">
        <v>13.916377811000002</v>
      </c>
      <c r="G45" s="170">
        <f t="shared" si="5"/>
        <v>1148.7110765223333</v>
      </c>
      <c r="H45" s="142">
        <f t="shared" si="2"/>
        <v>4.1602632110618156</v>
      </c>
      <c r="I45" s="142">
        <f t="shared" si="3"/>
        <v>3.744236889955634</v>
      </c>
    </row>
    <row r="46" spans="1:9" ht="12" customHeight="1" x14ac:dyDescent="0.2">
      <c r="A46" s="2">
        <v>1999</v>
      </c>
      <c r="B46" s="20">
        <v>279.29500000000002</v>
      </c>
      <c r="C46" s="168">
        <v>781.08346666666671</v>
      </c>
      <c r="D46" s="170">
        <v>378.42558199999996</v>
      </c>
      <c r="E46" s="170">
        <f t="shared" si="0"/>
        <v>1159.5090486666668</v>
      </c>
      <c r="F46" s="170">
        <v>14.975014730000003</v>
      </c>
      <c r="G46" s="170">
        <f t="shared" si="5"/>
        <v>1144.5340339366667</v>
      </c>
      <c r="H46" s="142">
        <f t="shared" si="2"/>
        <v>4.0979395762067581</v>
      </c>
      <c r="I46" s="142">
        <f t="shared" si="3"/>
        <v>3.6881456185860824</v>
      </c>
    </row>
    <row r="47" spans="1:9" ht="12" customHeight="1" x14ac:dyDescent="0.2">
      <c r="A47" s="2">
        <v>2000</v>
      </c>
      <c r="B47" s="20">
        <v>282.38499999999999</v>
      </c>
      <c r="C47" s="168">
        <v>881.2</v>
      </c>
      <c r="D47" s="170">
        <v>386.23858000000001</v>
      </c>
      <c r="E47" s="170">
        <f t="shared" si="0"/>
        <v>1267.43858</v>
      </c>
      <c r="F47" s="170">
        <v>16.238898903999999</v>
      </c>
      <c r="G47" s="170">
        <f t="shared" si="5"/>
        <v>1251.1996810959999</v>
      </c>
      <c r="H47" s="142">
        <f t="shared" si="2"/>
        <v>4.4308291201586485</v>
      </c>
      <c r="I47" s="142">
        <f t="shared" si="3"/>
        <v>3.9877462081427839</v>
      </c>
    </row>
    <row r="48" spans="1:9" ht="12" customHeight="1" x14ac:dyDescent="0.2">
      <c r="A48" s="3">
        <v>2001</v>
      </c>
      <c r="B48" s="21">
        <v>285.30901899999998</v>
      </c>
      <c r="C48" s="171">
        <v>779.1</v>
      </c>
      <c r="D48" s="172">
        <v>435.42414000000002</v>
      </c>
      <c r="E48" s="172">
        <f t="shared" si="0"/>
        <v>1214.52414</v>
      </c>
      <c r="F48" s="172">
        <v>17.115547969000005</v>
      </c>
      <c r="G48" s="172">
        <f t="shared" si="5"/>
        <v>1197.4085920309999</v>
      </c>
      <c r="H48" s="183">
        <f t="shared" si="2"/>
        <v>4.1968830716529153</v>
      </c>
      <c r="I48" s="143">
        <f t="shared" ref="I48:I53" si="6">H48*0.9</f>
        <v>3.777194764487624</v>
      </c>
    </row>
    <row r="49" spans="1:9" ht="12" customHeight="1" x14ac:dyDescent="0.2">
      <c r="A49" s="3">
        <v>2002</v>
      </c>
      <c r="B49" s="21">
        <v>288.10481800000002</v>
      </c>
      <c r="C49" s="171">
        <v>879.2</v>
      </c>
      <c r="D49" s="172">
        <v>464.92568</v>
      </c>
      <c r="E49" s="172">
        <f t="shared" si="0"/>
        <v>1344.1256800000001</v>
      </c>
      <c r="F49" s="172">
        <v>16.544521846999999</v>
      </c>
      <c r="G49" s="172">
        <f t="shared" si="5"/>
        <v>1327.5811581530002</v>
      </c>
      <c r="H49" s="183">
        <f t="shared" si="2"/>
        <v>4.6079797185238327</v>
      </c>
      <c r="I49" s="143">
        <f t="shared" si="6"/>
        <v>4.1471817466714498</v>
      </c>
    </row>
    <row r="50" spans="1:9" ht="12" customHeight="1" x14ac:dyDescent="0.2">
      <c r="A50" s="3">
        <v>2003</v>
      </c>
      <c r="B50" s="21">
        <v>290.81963400000001</v>
      </c>
      <c r="C50" s="171">
        <v>731.8</v>
      </c>
      <c r="D50" s="172">
        <v>531.28276000000005</v>
      </c>
      <c r="E50" s="172">
        <f t="shared" si="0"/>
        <v>1263.08276</v>
      </c>
      <c r="F50" s="172">
        <v>16.738137969</v>
      </c>
      <c r="G50" s="172">
        <f t="shared" si="5"/>
        <v>1246.344622031</v>
      </c>
      <c r="H50" s="183">
        <f t="shared" si="2"/>
        <v>4.2856275035096152</v>
      </c>
      <c r="I50" s="143">
        <f t="shared" si="6"/>
        <v>3.8570647531586539</v>
      </c>
    </row>
    <row r="51" spans="1:9" ht="12" customHeight="1" x14ac:dyDescent="0.2">
      <c r="A51" s="3">
        <v>2004</v>
      </c>
      <c r="B51" s="21">
        <v>293.46318500000001</v>
      </c>
      <c r="C51" s="171">
        <v>720.2</v>
      </c>
      <c r="D51" s="172">
        <v>545.79498000000001</v>
      </c>
      <c r="E51" s="172">
        <f t="shared" si="0"/>
        <v>1265.9949799999999</v>
      </c>
      <c r="F51" s="172">
        <v>16.044200538999998</v>
      </c>
      <c r="G51" s="172">
        <f t="shared" si="5"/>
        <v>1249.9507794609999</v>
      </c>
      <c r="H51" s="183">
        <f t="shared" si="2"/>
        <v>4.2593103440249243</v>
      </c>
      <c r="I51" s="143">
        <f t="shared" si="6"/>
        <v>3.833379309622432</v>
      </c>
    </row>
    <row r="52" spans="1:9" ht="12" customHeight="1" x14ac:dyDescent="0.2">
      <c r="A52" s="3">
        <v>2005</v>
      </c>
      <c r="B52" s="21">
        <v>296.186216</v>
      </c>
      <c r="C52" s="171">
        <v>743.9</v>
      </c>
      <c r="D52" s="172">
        <v>580.31258000000003</v>
      </c>
      <c r="E52" s="172">
        <f t="shared" si="0"/>
        <v>1324.2125799999999</v>
      </c>
      <c r="F52" s="172">
        <v>15.981802682000001</v>
      </c>
      <c r="G52" s="172">
        <f t="shared" si="5"/>
        <v>1308.2307773179998</v>
      </c>
      <c r="H52" s="183">
        <f t="shared" si="2"/>
        <v>4.416919851928558</v>
      </c>
      <c r="I52" s="143">
        <f t="shared" si="6"/>
        <v>3.9752278667357022</v>
      </c>
    </row>
    <row r="53" spans="1:9" ht="12" customHeight="1" x14ac:dyDescent="0.2">
      <c r="A53" s="2">
        <v>2006</v>
      </c>
      <c r="B53" s="20">
        <v>298.99582500000002</v>
      </c>
      <c r="C53" s="168">
        <v>794.6</v>
      </c>
      <c r="D53" s="170">
        <v>591.35416000000009</v>
      </c>
      <c r="E53" s="170">
        <f t="shared" si="0"/>
        <v>1385.9541600000002</v>
      </c>
      <c r="F53" s="170">
        <v>17.571144003000001</v>
      </c>
      <c r="G53" s="170">
        <f t="shared" si="5"/>
        <v>1368.3830159970003</v>
      </c>
      <c r="H53" s="142">
        <f t="shared" si="2"/>
        <v>4.5765957300474014</v>
      </c>
      <c r="I53" s="142">
        <f t="shared" si="6"/>
        <v>4.1189361570426613</v>
      </c>
    </row>
    <row r="54" spans="1:9" ht="12" customHeight="1" x14ac:dyDescent="0.2">
      <c r="A54" s="2">
        <v>2007</v>
      </c>
      <c r="B54" s="20">
        <v>302.003917</v>
      </c>
      <c r="C54" s="168">
        <v>626.6</v>
      </c>
      <c r="D54" s="170">
        <v>632.19438000000002</v>
      </c>
      <c r="E54" s="170">
        <f t="shared" si="0"/>
        <v>1258.79438</v>
      </c>
      <c r="F54" s="170">
        <v>12.919530033000001</v>
      </c>
      <c r="G54" s="170">
        <f t="shared" si="5"/>
        <v>1245.874849967</v>
      </c>
      <c r="H54" s="142">
        <f t="shared" si="2"/>
        <v>4.1253599037491959</v>
      </c>
      <c r="I54" s="142">
        <f t="shared" ref="I54:I59" si="7">H54*0.9</f>
        <v>3.7128239133742764</v>
      </c>
    </row>
    <row r="55" spans="1:9" ht="12" customHeight="1" x14ac:dyDescent="0.2">
      <c r="A55" s="2">
        <v>2008</v>
      </c>
      <c r="B55" s="20">
        <v>304.79776099999998</v>
      </c>
      <c r="C55" s="168">
        <v>668.7</v>
      </c>
      <c r="D55" s="170">
        <v>607.80554400000005</v>
      </c>
      <c r="E55" s="170">
        <f t="shared" si="0"/>
        <v>1276.5055440000001</v>
      </c>
      <c r="F55" s="170">
        <v>12.856297285</v>
      </c>
      <c r="G55" s="170">
        <f t="shared" si="5"/>
        <v>1263.6492467150001</v>
      </c>
      <c r="H55" s="142">
        <f t="shared" si="2"/>
        <v>4.1458613165960898</v>
      </c>
      <c r="I55" s="142">
        <f t="shared" si="7"/>
        <v>3.7312751849364809</v>
      </c>
    </row>
    <row r="56" spans="1:9" ht="12" customHeight="1" x14ac:dyDescent="0.2">
      <c r="A56" s="2">
        <v>2009</v>
      </c>
      <c r="B56" s="20">
        <v>307.43940600000002</v>
      </c>
      <c r="C56" s="168">
        <v>721.9</v>
      </c>
      <c r="D56" s="170">
        <v>642.02252899999996</v>
      </c>
      <c r="E56" s="170">
        <f t="shared" si="0"/>
        <v>1363.9225289999999</v>
      </c>
      <c r="F56" s="170">
        <v>13.973534016999999</v>
      </c>
      <c r="G56" s="170">
        <f t="shared" si="5"/>
        <v>1349.9489949829999</v>
      </c>
      <c r="H56" s="142">
        <f t="shared" si="2"/>
        <v>4.3909432839035603</v>
      </c>
      <c r="I56" s="142">
        <f t="shared" si="7"/>
        <v>3.9518489555132041</v>
      </c>
    </row>
    <row r="57" spans="1:9" ht="12" customHeight="1" x14ac:dyDescent="0.2">
      <c r="A57" s="2">
        <v>2010</v>
      </c>
      <c r="B57" s="20">
        <v>309.74127900000002</v>
      </c>
      <c r="C57" s="168">
        <v>654.20000000000005</v>
      </c>
      <c r="D57" s="170">
        <v>698.56264815568011</v>
      </c>
      <c r="E57" s="170">
        <f t="shared" si="0"/>
        <v>1352.7626481556802</v>
      </c>
      <c r="F57" s="170">
        <v>16.487344993000004</v>
      </c>
      <c r="G57" s="170">
        <f t="shared" si="5"/>
        <v>1336.2753031626801</v>
      </c>
      <c r="H57" s="142">
        <f t="shared" si="2"/>
        <v>4.3141660274563529</v>
      </c>
      <c r="I57" s="142">
        <f t="shared" si="7"/>
        <v>3.8827494247107177</v>
      </c>
    </row>
    <row r="58" spans="1:9" ht="12" customHeight="1" x14ac:dyDescent="0.2">
      <c r="A58" s="33">
        <v>2011</v>
      </c>
      <c r="B58" s="31">
        <v>311.97391399999998</v>
      </c>
      <c r="C58" s="171">
        <v>704.3</v>
      </c>
      <c r="D58" s="172">
        <v>684.08866087892</v>
      </c>
      <c r="E58" s="172">
        <f t="shared" si="0"/>
        <v>1388.3886608789198</v>
      </c>
      <c r="F58" s="172">
        <v>17.332057597000002</v>
      </c>
      <c r="G58" s="172">
        <f t="shared" si="5"/>
        <v>1371.0566032819199</v>
      </c>
      <c r="H58" s="183">
        <f t="shared" si="2"/>
        <v>4.3947796330238047</v>
      </c>
      <c r="I58" s="144">
        <f t="shared" si="7"/>
        <v>3.9553016697214245</v>
      </c>
    </row>
    <row r="59" spans="1:9" s="93" customFormat="1" ht="12" customHeight="1" x14ac:dyDescent="0.2">
      <c r="A59" s="33">
        <v>2012</v>
      </c>
      <c r="B59" s="31">
        <v>314.16755799999999</v>
      </c>
      <c r="C59" s="171">
        <v>736.9</v>
      </c>
      <c r="D59" s="172">
        <v>742.21432036686019</v>
      </c>
      <c r="E59" s="172">
        <f t="shared" si="0"/>
        <v>1479.1143203668603</v>
      </c>
      <c r="F59" s="172">
        <v>19.650101147060997</v>
      </c>
      <c r="G59" s="172">
        <f t="shared" si="5"/>
        <v>1459.4642192197994</v>
      </c>
      <c r="H59" s="183">
        <f t="shared" si="2"/>
        <v>4.6454962711961478</v>
      </c>
      <c r="I59" s="144">
        <f t="shared" si="7"/>
        <v>4.180946644076533</v>
      </c>
    </row>
    <row r="60" spans="1:9" s="93" customFormat="1" ht="12" customHeight="1" x14ac:dyDescent="0.2">
      <c r="A60" s="33">
        <v>2013</v>
      </c>
      <c r="B60" s="31">
        <v>316.29476599999998</v>
      </c>
      <c r="C60" s="171">
        <v>614.9</v>
      </c>
      <c r="D60" s="172">
        <v>807.41029981194015</v>
      </c>
      <c r="E60" s="172">
        <f t="shared" si="0"/>
        <v>1422.3102998119402</v>
      </c>
      <c r="F60" s="172">
        <v>18.939431859039995</v>
      </c>
      <c r="G60" s="172">
        <f t="shared" ref="G60" si="8">E60-F60</f>
        <v>1403.3708679529002</v>
      </c>
      <c r="H60" s="183">
        <f t="shared" ref="H60" si="9">IF(G60=0,0,IF(B60=0,0,G60/B60))</f>
        <v>4.436908285586048</v>
      </c>
      <c r="I60" s="144">
        <f t="shared" ref="I60" si="10">H60*0.9</f>
        <v>3.9932174570274435</v>
      </c>
    </row>
    <row r="61" spans="1:9" s="93" customFormat="1" ht="12" customHeight="1" x14ac:dyDescent="0.2">
      <c r="A61" s="33">
        <v>2014</v>
      </c>
      <c r="B61" s="31">
        <v>318.576955</v>
      </c>
      <c r="C61" s="171">
        <v>601.70000000000005</v>
      </c>
      <c r="D61" s="172">
        <v>888.47575351524029</v>
      </c>
      <c r="E61" s="172">
        <f t="shared" si="0"/>
        <v>1490.1757535152403</v>
      </c>
      <c r="F61" s="172">
        <v>25.670642017943997</v>
      </c>
      <c r="G61" s="172">
        <f t="shared" ref="G61" si="11">E61-F61</f>
        <v>1464.5051114972964</v>
      </c>
      <c r="H61" s="183">
        <f t="shared" ref="H61" si="12">IF(G61=0,0,IF(B61=0,0,G61/B61))</f>
        <v>4.5970214998674228</v>
      </c>
      <c r="I61" s="144">
        <f t="shared" ref="I61" si="13">H61*0.9</f>
        <v>4.1373193498806806</v>
      </c>
    </row>
    <row r="62" spans="1:9" s="93" customFormat="1" ht="12" customHeight="1" x14ac:dyDescent="0.2">
      <c r="A62" s="33">
        <v>2015</v>
      </c>
      <c r="B62" s="31">
        <v>320.87070299999999</v>
      </c>
      <c r="C62" s="171">
        <v>601.6</v>
      </c>
      <c r="D62" s="172">
        <v>914.97989357104007</v>
      </c>
      <c r="E62" s="172">
        <f t="shared" si="0"/>
        <v>1516.57989357104</v>
      </c>
      <c r="F62" s="172">
        <v>26.663605070564</v>
      </c>
      <c r="G62" s="172">
        <f t="shared" ref="G62" si="14">E62-F62</f>
        <v>1489.916288500476</v>
      </c>
      <c r="H62" s="183">
        <f t="shared" ref="H62" si="15">IF(G62=0,0,IF(B62=0,0,G62/B62))</f>
        <v>4.6433540817856347</v>
      </c>
      <c r="I62" s="144">
        <f t="shared" ref="I62" si="16">H62*0.9</f>
        <v>4.1790186736070716</v>
      </c>
    </row>
    <row r="63" spans="1:9" s="93" customFormat="1" ht="12" customHeight="1" x14ac:dyDescent="0.2">
      <c r="A63" s="128">
        <v>2016</v>
      </c>
      <c r="B63" s="129">
        <v>323.16101099999997</v>
      </c>
      <c r="C63" s="168">
        <v>815.62</v>
      </c>
      <c r="D63" s="170">
        <v>1067.0427269293</v>
      </c>
      <c r="E63" s="170">
        <f t="shared" si="0"/>
        <v>1882.6627269292999</v>
      </c>
      <c r="F63" s="170">
        <v>30.084337554963994</v>
      </c>
      <c r="G63" s="170">
        <f t="shared" ref="G63:G64" si="17">E63-F63</f>
        <v>1852.578389374336</v>
      </c>
      <c r="H63" s="142">
        <f t="shared" ref="H63:H64" si="18">IF(G63=0,0,IF(B63=0,0,G63/B63))</f>
        <v>5.7326791485199804</v>
      </c>
      <c r="I63" s="145">
        <f t="shared" ref="I63:I64" si="19">H63*0.9</f>
        <v>5.1594112336679823</v>
      </c>
    </row>
    <row r="64" spans="1:9" s="93" customFormat="1" ht="12" customHeight="1" x14ac:dyDescent="0.2">
      <c r="A64" s="125">
        <v>2017</v>
      </c>
      <c r="B64" s="126">
        <v>325.20603</v>
      </c>
      <c r="C64" s="168">
        <v>800.91</v>
      </c>
      <c r="D64" s="170">
        <v>1077.2340789187999</v>
      </c>
      <c r="E64" s="170">
        <f t="shared" si="0"/>
        <v>1878.1440789188</v>
      </c>
      <c r="F64" s="170">
        <v>28.763462740704991</v>
      </c>
      <c r="G64" s="170">
        <f t="shared" si="17"/>
        <v>1849.3806161780951</v>
      </c>
      <c r="H64" s="142">
        <f t="shared" si="18"/>
        <v>5.6867968167075347</v>
      </c>
      <c r="I64" s="146">
        <f t="shared" si="19"/>
        <v>5.1181171350367816</v>
      </c>
    </row>
    <row r="65" spans="1:10" s="93" customFormat="1" ht="12" customHeight="1" x14ac:dyDescent="0.2">
      <c r="A65" s="128">
        <v>2018</v>
      </c>
      <c r="B65" s="129">
        <v>326.92397599999998</v>
      </c>
      <c r="C65" s="168">
        <v>739.25</v>
      </c>
      <c r="D65" s="170">
        <v>1130.4788530270403</v>
      </c>
      <c r="E65" s="170">
        <f t="shared" si="0"/>
        <v>1869.7288530270403</v>
      </c>
      <c r="F65" s="170">
        <v>23.744380425612</v>
      </c>
      <c r="G65" s="170">
        <f t="shared" ref="G65:G67" si="20">E65-F65</f>
        <v>1845.9844726014283</v>
      </c>
      <c r="H65" s="142">
        <f t="shared" ref="H65:H67" si="21">IF(G65=0,0,IF(B65=0,0,G65/B65))</f>
        <v>5.6465252111133886</v>
      </c>
      <c r="I65" s="145">
        <f t="shared" ref="I65:I67" si="22">H65*0.9</f>
        <v>5.0818726900020499</v>
      </c>
    </row>
    <row r="66" spans="1:10" s="93" customFormat="1" ht="12" customHeight="1" x14ac:dyDescent="0.2">
      <c r="A66" s="128">
        <v>2019</v>
      </c>
      <c r="B66" s="129">
        <v>328.475998</v>
      </c>
      <c r="C66" s="168">
        <v>708.7</v>
      </c>
      <c r="D66" s="170">
        <v>1205.7943447143002</v>
      </c>
      <c r="E66" s="170">
        <f t="shared" si="0"/>
        <v>1914.4943447143003</v>
      </c>
      <c r="F66" s="170">
        <v>19.343334777689996</v>
      </c>
      <c r="G66" s="170">
        <f t="shared" si="20"/>
        <v>1895.1510099366103</v>
      </c>
      <c r="H66" s="142">
        <f t="shared" si="21"/>
        <v>5.7695266061315396</v>
      </c>
      <c r="I66" s="145">
        <f t="shared" si="22"/>
        <v>5.1925739455183857</v>
      </c>
    </row>
    <row r="67" spans="1:10" s="93" customFormat="1" ht="12" customHeight="1" thickBot="1" x14ac:dyDescent="0.25">
      <c r="A67" s="148">
        <v>2020</v>
      </c>
      <c r="B67" s="149">
        <v>330.11398000000003</v>
      </c>
      <c r="C67" s="168">
        <v>693.09</v>
      </c>
      <c r="D67" s="170">
        <v>1209.5304635220398</v>
      </c>
      <c r="E67" s="170">
        <f t="shared" si="0"/>
        <v>1902.6204635220397</v>
      </c>
      <c r="F67" s="170">
        <v>14.817266342108997</v>
      </c>
      <c r="G67" s="170">
        <f t="shared" si="20"/>
        <v>1887.8031971799307</v>
      </c>
      <c r="H67" s="142">
        <f t="shared" si="21"/>
        <v>5.7186405652372878</v>
      </c>
      <c r="I67" s="152">
        <f t="shared" si="22"/>
        <v>5.1467765087135593</v>
      </c>
    </row>
    <row r="68" spans="1:10" ht="12" customHeight="1" thickTop="1" x14ac:dyDescent="0.2">
      <c r="A68" s="254" t="s">
        <v>8</v>
      </c>
      <c r="B68" s="255"/>
      <c r="C68" s="255"/>
      <c r="D68" s="255"/>
      <c r="E68" s="255"/>
      <c r="F68" s="255"/>
      <c r="G68" s="255"/>
      <c r="H68" s="255"/>
      <c r="I68" s="256"/>
      <c r="J68" s="94"/>
    </row>
    <row r="69" spans="1:10" ht="12" customHeight="1" x14ac:dyDescent="0.2">
      <c r="A69" s="248"/>
      <c r="B69" s="249"/>
      <c r="C69" s="249"/>
      <c r="D69" s="249"/>
      <c r="E69" s="249"/>
      <c r="F69" s="249"/>
      <c r="G69" s="249"/>
      <c r="H69" s="249"/>
      <c r="I69" s="250"/>
      <c r="J69" s="94"/>
    </row>
    <row r="70" spans="1:10" ht="12" customHeight="1" x14ac:dyDescent="0.2">
      <c r="A70" s="251" t="s">
        <v>247</v>
      </c>
      <c r="B70" s="252"/>
      <c r="C70" s="252"/>
      <c r="D70" s="252"/>
      <c r="E70" s="252"/>
      <c r="F70" s="252"/>
      <c r="G70" s="252"/>
      <c r="H70" s="252"/>
      <c r="I70" s="253"/>
      <c r="J70" s="94"/>
    </row>
    <row r="71" spans="1:10" s="93" customFormat="1" ht="12" customHeight="1" x14ac:dyDescent="0.2">
      <c r="A71" s="251"/>
      <c r="B71" s="252"/>
      <c r="C71" s="252"/>
      <c r="D71" s="252"/>
      <c r="E71" s="252"/>
      <c r="F71" s="252"/>
      <c r="G71" s="252"/>
      <c r="H71" s="252"/>
      <c r="I71" s="253"/>
      <c r="J71" s="94"/>
    </row>
    <row r="72" spans="1:10" ht="12" customHeight="1" x14ac:dyDescent="0.2">
      <c r="A72" s="251"/>
      <c r="B72" s="252"/>
      <c r="C72" s="252"/>
      <c r="D72" s="252"/>
      <c r="E72" s="252"/>
      <c r="F72" s="252"/>
      <c r="G72" s="252"/>
      <c r="H72" s="252"/>
      <c r="I72" s="253"/>
      <c r="J72" s="94"/>
    </row>
    <row r="73" spans="1:10" s="93" customFormat="1" ht="12" customHeight="1" x14ac:dyDescent="0.2">
      <c r="A73" s="251"/>
      <c r="B73" s="252"/>
      <c r="C73" s="252"/>
      <c r="D73" s="252"/>
      <c r="E73" s="252"/>
      <c r="F73" s="252"/>
      <c r="G73" s="252"/>
      <c r="H73" s="252"/>
      <c r="I73" s="253"/>
      <c r="J73" s="94"/>
    </row>
    <row r="74" spans="1:10" ht="12" customHeight="1" x14ac:dyDescent="0.2">
      <c r="A74" s="275"/>
      <c r="B74" s="276"/>
      <c r="C74" s="276"/>
      <c r="D74" s="276"/>
      <c r="E74" s="276"/>
      <c r="F74" s="276"/>
      <c r="G74" s="276"/>
      <c r="H74" s="276"/>
      <c r="I74" s="277"/>
      <c r="J74" s="93"/>
    </row>
    <row r="75" spans="1:10" ht="12" customHeight="1" x14ac:dyDescent="0.2">
      <c r="A75" s="223" t="s">
        <v>198</v>
      </c>
      <c r="B75" s="224"/>
      <c r="C75" s="224"/>
      <c r="D75" s="224"/>
      <c r="E75" s="224"/>
      <c r="F75" s="224"/>
      <c r="G75" s="224"/>
      <c r="H75" s="224"/>
      <c r="I75" s="225"/>
      <c r="J75" s="93"/>
    </row>
    <row r="76" spans="1:10" ht="12" customHeight="1" x14ac:dyDescent="0.2">
      <c r="A76" s="223"/>
      <c r="B76" s="224"/>
      <c r="C76" s="224"/>
      <c r="D76" s="224"/>
      <c r="E76" s="224"/>
      <c r="F76" s="224"/>
      <c r="G76" s="224"/>
      <c r="H76" s="224"/>
      <c r="I76" s="225"/>
      <c r="J76" s="93"/>
    </row>
  </sheetData>
  <mergeCells count="20">
    <mergeCell ref="H6:I6"/>
    <mergeCell ref="C6:G6"/>
    <mergeCell ref="H1:I1"/>
    <mergeCell ref="E3:E5"/>
    <mergeCell ref="G3:G5"/>
    <mergeCell ref="H4:H5"/>
    <mergeCell ref="A1:G1"/>
    <mergeCell ref="A2:A5"/>
    <mergeCell ref="C3:C5"/>
    <mergeCell ref="D3:D5"/>
    <mergeCell ref="F3:F5"/>
    <mergeCell ref="B2:B5"/>
    <mergeCell ref="C2:E2"/>
    <mergeCell ref="H3:I3"/>
    <mergeCell ref="G2:I2"/>
    <mergeCell ref="A68:I68"/>
    <mergeCell ref="A69:I69"/>
    <mergeCell ref="A74:I74"/>
    <mergeCell ref="A75:I76"/>
    <mergeCell ref="A70:I73"/>
  </mergeCells>
  <phoneticPr fontId="7" type="noConversion"/>
  <printOptions horizontalCentered="1"/>
  <pageMargins left="0.45" right="0.45" top="0.75" bottom="0.75" header="0" footer="0"/>
  <pageSetup scale="66" fitToWidth="2"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K76"/>
  <sheetViews>
    <sheetView workbookViewId="0">
      <pane ySplit="6" topLeftCell="A7" activePane="bottomLeft" state="frozen"/>
      <selection pane="bottomLeft" sqref="A1:G1"/>
    </sheetView>
  </sheetViews>
  <sheetFormatPr defaultColWidth="12.7109375" defaultRowHeight="12" customHeight="1" x14ac:dyDescent="0.2"/>
  <cols>
    <col min="1" max="1" width="12.7109375" style="13" customWidth="1"/>
    <col min="2" max="16384" width="12.7109375" style="13"/>
  </cols>
  <sheetData>
    <row r="1" spans="1:11" s="1" customFormat="1" ht="12" customHeight="1" thickBot="1" x14ac:dyDescent="0.25">
      <c r="A1" s="201" t="s">
        <v>170</v>
      </c>
      <c r="B1" s="201"/>
      <c r="C1" s="201"/>
      <c r="D1" s="201"/>
      <c r="E1" s="201"/>
      <c r="F1" s="201"/>
      <c r="G1" s="201"/>
      <c r="H1" s="200" t="s">
        <v>19</v>
      </c>
      <c r="I1" s="200"/>
    </row>
    <row r="2" spans="1:11" ht="12" customHeight="1" thickTop="1" x14ac:dyDescent="0.2">
      <c r="A2" s="257" t="s">
        <v>111</v>
      </c>
      <c r="B2" s="258" t="s">
        <v>112</v>
      </c>
      <c r="C2" s="218" t="s">
        <v>2</v>
      </c>
      <c r="D2" s="218"/>
      <c r="E2" s="218"/>
      <c r="F2" s="117" t="s">
        <v>146</v>
      </c>
      <c r="G2" s="244" t="s">
        <v>147</v>
      </c>
      <c r="H2" s="245"/>
      <c r="I2" s="245"/>
    </row>
    <row r="3" spans="1:11" ht="12" customHeight="1" x14ac:dyDescent="0.2">
      <c r="A3" s="217"/>
      <c r="B3" s="259"/>
      <c r="C3" s="217" t="s">
        <v>113</v>
      </c>
      <c r="D3" s="217" t="s">
        <v>104</v>
      </c>
      <c r="E3" s="217" t="s">
        <v>114</v>
      </c>
      <c r="F3" s="217" t="s">
        <v>108</v>
      </c>
      <c r="G3" s="217" t="s">
        <v>140</v>
      </c>
      <c r="H3" s="226" t="s">
        <v>28</v>
      </c>
      <c r="I3" s="227"/>
      <c r="J3" s="4"/>
      <c r="K3" s="4"/>
    </row>
    <row r="4" spans="1:11" ht="12" customHeight="1" x14ac:dyDescent="0.2">
      <c r="A4" s="217"/>
      <c r="B4" s="259"/>
      <c r="C4" s="217"/>
      <c r="D4" s="217"/>
      <c r="E4" s="217"/>
      <c r="F4" s="217"/>
      <c r="G4" s="217"/>
      <c r="H4" s="217" t="s">
        <v>4</v>
      </c>
      <c r="I4" s="14" t="s">
        <v>110</v>
      </c>
      <c r="J4" s="4"/>
    </row>
    <row r="5" spans="1:11" ht="12" customHeight="1" x14ac:dyDescent="0.2">
      <c r="A5" s="217"/>
      <c r="B5" s="259"/>
      <c r="C5" s="217"/>
      <c r="D5" s="217"/>
      <c r="E5" s="217"/>
      <c r="F5" s="217"/>
      <c r="G5" s="217"/>
      <c r="H5" s="217"/>
      <c r="I5" s="14" t="s">
        <v>190</v>
      </c>
    </row>
    <row r="6" spans="1:11" ht="12" customHeight="1" x14ac:dyDescent="0.2">
      <c r="A6" s="91"/>
      <c r="B6" s="167" t="s">
        <v>121</v>
      </c>
      <c r="C6" s="290" t="s">
        <v>122</v>
      </c>
      <c r="D6" s="291"/>
      <c r="E6" s="291"/>
      <c r="F6" s="291"/>
      <c r="G6" s="292"/>
      <c r="H6" s="214" t="s">
        <v>118</v>
      </c>
      <c r="I6" s="222"/>
      <c r="J6" s="91"/>
      <c r="K6" s="91"/>
    </row>
    <row r="7" spans="1:11" ht="12" customHeight="1" x14ac:dyDescent="0.2">
      <c r="A7" s="2">
        <v>1960</v>
      </c>
      <c r="B7" s="20">
        <v>180.67099999999999</v>
      </c>
      <c r="C7" s="8" t="s">
        <v>3</v>
      </c>
      <c r="D7" s="8" t="s">
        <v>3</v>
      </c>
      <c r="E7" s="8" t="s">
        <v>3</v>
      </c>
      <c r="F7" s="8" t="s">
        <v>3</v>
      </c>
      <c r="G7" s="8" t="s">
        <v>3</v>
      </c>
      <c r="H7" s="142">
        <v>81</v>
      </c>
      <c r="I7" s="142" t="s">
        <v>3</v>
      </c>
    </row>
    <row r="8" spans="1:11" ht="12" customHeight="1" x14ac:dyDescent="0.2">
      <c r="A8" s="3">
        <v>1961</v>
      </c>
      <c r="B8" s="21">
        <v>183.691</v>
      </c>
      <c r="C8" s="9" t="s">
        <v>3</v>
      </c>
      <c r="D8" s="9" t="s">
        <v>3</v>
      </c>
      <c r="E8" s="9" t="s">
        <v>3</v>
      </c>
      <c r="F8" s="9" t="s">
        <v>3</v>
      </c>
      <c r="G8" s="9" t="s">
        <v>3</v>
      </c>
      <c r="H8" s="143">
        <v>80.7</v>
      </c>
      <c r="I8" s="143" t="s">
        <v>3</v>
      </c>
    </row>
    <row r="9" spans="1:11" ht="12" customHeight="1" x14ac:dyDescent="0.2">
      <c r="A9" s="3">
        <v>1962</v>
      </c>
      <c r="B9" s="21">
        <v>186.53800000000001</v>
      </c>
      <c r="C9" s="9" t="s">
        <v>3</v>
      </c>
      <c r="D9" s="9" t="s">
        <v>3</v>
      </c>
      <c r="E9" s="9" t="s">
        <v>3</v>
      </c>
      <c r="F9" s="9" t="s">
        <v>3</v>
      </c>
      <c r="G9" s="9" t="s">
        <v>3</v>
      </c>
      <c r="H9" s="143">
        <v>76.099999999999994</v>
      </c>
      <c r="I9" s="143" t="s">
        <v>3</v>
      </c>
    </row>
    <row r="10" spans="1:11" ht="12" customHeight="1" x14ac:dyDescent="0.2">
      <c r="A10" s="3">
        <v>1963</v>
      </c>
      <c r="B10" s="21">
        <v>189.24199999999999</v>
      </c>
      <c r="C10" s="9" t="s">
        <v>3</v>
      </c>
      <c r="D10" s="9" t="s">
        <v>3</v>
      </c>
      <c r="E10" s="9" t="s">
        <v>3</v>
      </c>
      <c r="F10" s="9" t="s">
        <v>3</v>
      </c>
      <c r="G10" s="9" t="s">
        <v>3</v>
      </c>
      <c r="H10" s="143">
        <v>78.599999999999994</v>
      </c>
      <c r="I10" s="143" t="s">
        <v>3</v>
      </c>
    </row>
    <row r="11" spans="1:11" ht="12" customHeight="1" x14ac:dyDescent="0.2">
      <c r="A11" s="3">
        <v>1964</v>
      </c>
      <c r="B11" s="21">
        <v>191.88900000000001</v>
      </c>
      <c r="C11" s="9" t="s">
        <v>3</v>
      </c>
      <c r="D11" s="9" t="s">
        <v>3</v>
      </c>
      <c r="E11" s="9" t="s">
        <v>3</v>
      </c>
      <c r="F11" s="9" t="s">
        <v>3</v>
      </c>
      <c r="G11" s="9" t="s">
        <v>3</v>
      </c>
      <c r="H11" s="143">
        <v>74.8</v>
      </c>
      <c r="I11" s="143" t="s">
        <v>3</v>
      </c>
    </row>
    <row r="12" spans="1:11" ht="12" customHeight="1" x14ac:dyDescent="0.2">
      <c r="A12" s="3">
        <v>1965</v>
      </c>
      <c r="B12" s="21">
        <v>194.303</v>
      </c>
      <c r="C12" s="9" t="s">
        <v>3</v>
      </c>
      <c r="D12" s="9" t="s">
        <v>3</v>
      </c>
      <c r="E12" s="9" t="s">
        <v>3</v>
      </c>
      <c r="F12" s="9" t="s">
        <v>3</v>
      </c>
      <c r="G12" s="9" t="s">
        <v>3</v>
      </c>
      <c r="H12" s="143">
        <v>66.7</v>
      </c>
      <c r="I12" s="143" t="s">
        <v>3</v>
      </c>
    </row>
    <row r="13" spans="1:11" ht="12" customHeight="1" x14ac:dyDescent="0.2">
      <c r="A13" s="2">
        <v>1966</v>
      </c>
      <c r="B13" s="20">
        <v>196.56</v>
      </c>
      <c r="C13" s="8" t="s">
        <v>3</v>
      </c>
      <c r="D13" s="8" t="s">
        <v>3</v>
      </c>
      <c r="E13" s="8" t="s">
        <v>3</v>
      </c>
      <c r="F13" s="8" t="s">
        <v>3</v>
      </c>
      <c r="G13" s="8" t="s">
        <v>3</v>
      </c>
      <c r="H13" s="142">
        <v>71.7</v>
      </c>
      <c r="I13" s="142" t="s">
        <v>3</v>
      </c>
    </row>
    <row r="14" spans="1:11" ht="12" customHeight="1" x14ac:dyDescent="0.2">
      <c r="A14" s="2">
        <v>1967</v>
      </c>
      <c r="B14" s="20">
        <v>198.71199999999999</v>
      </c>
      <c r="C14" s="8" t="s">
        <v>3</v>
      </c>
      <c r="D14" s="8" t="s">
        <v>3</v>
      </c>
      <c r="E14" s="8" t="s">
        <v>3</v>
      </c>
      <c r="F14" s="8" t="s">
        <v>3</v>
      </c>
      <c r="G14" s="8" t="s">
        <v>3</v>
      </c>
      <c r="H14" s="142">
        <v>60.4</v>
      </c>
      <c r="I14" s="142" t="s">
        <v>3</v>
      </c>
    </row>
    <row r="15" spans="1:11" ht="12" customHeight="1" x14ac:dyDescent="0.2">
      <c r="A15" s="2">
        <v>1968</v>
      </c>
      <c r="B15" s="20">
        <v>200.70599999999999</v>
      </c>
      <c r="C15" s="8" t="s">
        <v>3</v>
      </c>
      <c r="D15" s="8" t="s">
        <v>3</v>
      </c>
      <c r="E15" s="8" t="s">
        <v>3</v>
      </c>
      <c r="F15" s="8" t="s">
        <v>3</v>
      </c>
      <c r="G15" s="8" t="s">
        <v>3</v>
      </c>
      <c r="H15" s="142">
        <v>65.3</v>
      </c>
      <c r="I15" s="142" t="s">
        <v>3</v>
      </c>
    </row>
    <row r="16" spans="1:11" ht="12" customHeight="1" x14ac:dyDescent="0.2">
      <c r="A16" s="2">
        <v>1969</v>
      </c>
      <c r="B16" s="20">
        <v>202.67699999999999</v>
      </c>
      <c r="C16" s="8" t="s">
        <v>3</v>
      </c>
      <c r="D16" s="8" t="s">
        <v>3</v>
      </c>
      <c r="E16" s="8" t="s">
        <v>3</v>
      </c>
      <c r="F16" s="8" t="s">
        <v>3</v>
      </c>
      <c r="G16" s="8" t="s">
        <v>3</v>
      </c>
      <c r="H16" s="142">
        <v>62.6</v>
      </c>
      <c r="I16" s="142" t="s">
        <v>3</v>
      </c>
    </row>
    <row r="17" spans="1:9" ht="12" customHeight="1" x14ac:dyDescent="0.2">
      <c r="A17" s="2">
        <v>1970</v>
      </c>
      <c r="B17" s="20">
        <v>205.05199999999999</v>
      </c>
      <c r="C17" s="168">
        <v>12812.02</v>
      </c>
      <c r="D17" s="170">
        <v>172.304</v>
      </c>
      <c r="E17" s="170">
        <f t="shared" ref="E17:E67" si="0">C17+D17</f>
        <v>12984.324000000001</v>
      </c>
      <c r="F17" s="170">
        <v>310.74900000000002</v>
      </c>
      <c r="G17" s="170">
        <f t="shared" ref="G17:G59" si="1">E17-F17</f>
        <v>12673.575000000001</v>
      </c>
      <c r="H17" s="142">
        <f t="shared" ref="H17:H59" si="2">IF(G17=0,0,IF(B17=0,0,G17/B17))</f>
        <v>61.806639291496793</v>
      </c>
      <c r="I17" s="142">
        <f t="shared" ref="I17:I59" si="3">IF(G17=0,0,IF(B17=0,0,(G17*0.96)/B17))</f>
        <v>59.334373719836918</v>
      </c>
    </row>
    <row r="18" spans="1:9" ht="12" customHeight="1" x14ac:dyDescent="0.2">
      <c r="A18" s="3">
        <v>1971</v>
      </c>
      <c r="B18" s="21">
        <v>207.661</v>
      </c>
      <c r="C18" s="171">
        <v>11783.42</v>
      </c>
      <c r="D18" s="172">
        <v>148.44200000000001</v>
      </c>
      <c r="E18" s="172">
        <f t="shared" si="0"/>
        <v>11931.862000000001</v>
      </c>
      <c r="F18" s="172">
        <v>288.39499999999998</v>
      </c>
      <c r="G18" s="172">
        <f t="shared" si="1"/>
        <v>11643.467000000001</v>
      </c>
      <c r="H18" s="183">
        <f t="shared" si="2"/>
        <v>56.069589378843403</v>
      </c>
      <c r="I18" s="143">
        <f t="shared" si="3"/>
        <v>53.826805803689666</v>
      </c>
    </row>
    <row r="19" spans="1:9" ht="12" customHeight="1" x14ac:dyDescent="0.2">
      <c r="A19" s="3">
        <v>1972</v>
      </c>
      <c r="B19" s="21">
        <v>209.89599999999999</v>
      </c>
      <c r="C19" s="171">
        <v>12451.54</v>
      </c>
      <c r="D19" s="172">
        <v>75.605999999999995</v>
      </c>
      <c r="E19" s="172">
        <f t="shared" si="0"/>
        <v>12527.146000000001</v>
      </c>
      <c r="F19" s="172">
        <v>383.774</v>
      </c>
      <c r="G19" s="172">
        <f t="shared" si="1"/>
        <v>12143.372000000001</v>
      </c>
      <c r="H19" s="183">
        <f t="shared" si="2"/>
        <v>57.854232572321543</v>
      </c>
      <c r="I19" s="143">
        <f t="shared" si="3"/>
        <v>55.540063269428678</v>
      </c>
    </row>
    <row r="20" spans="1:9" ht="12" customHeight="1" x14ac:dyDescent="0.2">
      <c r="A20" s="3">
        <v>1973</v>
      </c>
      <c r="B20" s="21">
        <v>211.90899999999999</v>
      </c>
      <c r="C20" s="171">
        <v>11484.41</v>
      </c>
      <c r="D20" s="172">
        <v>85.512</v>
      </c>
      <c r="E20" s="172">
        <f t="shared" si="0"/>
        <v>11569.922</v>
      </c>
      <c r="F20" s="172">
        <v>461.899</v>
      </c>
      <c r="G20" s="172">
        <f t="shared" si="1"/>
        <v>11108.023000000001</v>
      </c>
      <c r="H20" s="183">
        <f t="shared" si="2"/>
        <v>52.418835443515853</v>
      </c>
      <c r="I20" s="143">
        <f t="shared" si="3"/>
        <v>50.322082025775224</v>
      </c>
    </row>
    <row r="21" spans="1:9" ht="12" customHeight="1" x14ac:dyDescent="0.2">
      <c r="A21" s="3">
        <v>1974</v>
      </c>
      <c r="B21" s="21">
        <v>213.85400000000001</v>
      </c>
      <c r="C21" s="171">
        <v>10873.09</v>
      </c>
      <c r="D21" s="172">
        <v>187.66900000000001</v>
      </c>
      <c r="E21" s="172">
        <f t="shared" si="0"/>
        <v>11060.759</v>
      </c>
      <c r="F21" s="172">
        <v>506.96300000000002</v>
      </c>
      <c r="G21" s="172">
        <f t="shared" si="1"/>
        <v>10553.796</v>
      </c>
      <c r="H21" s="183">
        <f t="shared" si="2"/>
        <v>49.350472752438577</v>
      </c>
      <c r="I21" s="143">
        <f t="shared" si="3"/>
        <v>47.376453842341036</v>
      </c>
    </row>
    <row r="22" spans="1:9" ht="12" customHeight="1" x14ac:dyDescent="0.2">
      <c r="A22" s="3">
        <v>1975</v>
      </c>
      <c r="B22" s="21">
        <v>215.97300000000001</v>
      </c>
      <c r="C22" s="171">
        <v>11693.44</v>
      </c>
      <c r="D22" s="172">
        <v>142.006</v>
      </c>
      <c r="E22" s="172">
        <f t="shared" si="0"/>
        <v>11835.446</v>
      </c>
      <c r="F22" s="172">
        <v>465.71899999999999</v>
      </c>
      <c r="G22" s="172">
        <f t="shared" si="1"/>
        <v>11369.727000000001</v>
      </c>
      <c r="H22" s="183">
        <f t="shared" si="2"/>
        <v>52.644205525690708</v>
      </c>
      <c r="I22" s="143">
        <f t="shared" si="3"/>
        <v>50.538437304663084</v>
      </c>
    </row>
    <row r="23" spans="1:9" ht="12" customHeight="1" x14ac:dyDescent="0.2">
      <c r="A23" s="2">
        <v>1976</v>
      </c>
      <c r="B23" s="20">
        <v>218.035</v>
      </c>
      <c r="C23" s="168">
        <v>12089.44</v>
      </c>
      <c r="D23" s="170">
        <v>53.247</v>
      </c>
      <c r="E23" s="170">
        <f t="shared" si="0"/>
        <v>12142.687</v>
      </c>
      <c r="F23" s="170">
        <v>1361.4739999999999</v>
      </c>
      <c r="G23" s="170">
        <f t="shared" si="1"/>
        <v>10781.213</v>
      </c>
      <c r="H23" s="142">
        <f t="shared" si="2"/>
        <v>49.447166739284974</v>
      </c>
      <c r="I23" s="142">
        <f t="shared" si="3"/>
        <v>47.46928006971357</v>
      </c>
    </row>
    <row r="24" spans="1:9" ht="12" customHeight="1" x14ac:dyDescent="0.2">
      <c r="A24" s="2">
        <v>1977</v>
      </c>
      <c r="B24" s="20">
        <v>220.23899999999998</v>
      </c>
      <c r="C24" s="168">
        <v>11615.82</v>
      </c>
      <c r="D24" s="170">
        <v>106.447</v>
      </c>
      <c r="E24" s="170">
        <f t="shared" si="0"/>
        <v>11722.267</v>
      </c>
      <c r="F24" s="170">
        <v>693.37900000000002</v>
      </c>
      <c r="G24" s="170">
        <f t="shared" si="1"/>
        <v>11028.887999999999</v>
      </c>
      <c r="H24" s="142">
        <f t="shared" si="2"/>
        <v>50.076907359731926</v>
      </c>
      <c r="I24" s="142">
        <f t="shared" si="3"/>
        <v>48.073831065342652</v>
      </c>
    </row>
    <row r="25" spans="1:9" ht="12" customHeight="1" x14ac:dyDescent="0.2">
      <c r="A25" s="2">
        <v>1978</v>
      </c>
      <c r="B25" s="20">
        <v>222.58500000000001</v>
      </c>
      <c r="C25" s="168">
        <v>10487.9</v>
      </c>
      <c r="D25" s="170">
        <v>150.05000000000001</v>
      </c>
      <c r="E25" s="170">
        <f t="shared" si="0"/>
        <v>10637.949999999999</v>
      </c>
      <c r="F25" s="170">
        <v>406.62900000000002</v>
      </c>
      <c r="G25" s="170">
        <f t="shared" si="1"/>
        <v>10231.320999999998</v>
      </c>
      <c r="H25" s="142">
        <f t="shared" si="2"/>
        <v>45.965905159826576</v>
      </c>
      <c r="I25" s="142">
        <f t="shared" si="3"/>
        <v>44.127268953433507</v>
      </c>
    </row>
    <row r="26" spans="1:9" ht="12" customHeight="1" x14ac:dyDescent="0.2">
      <c r="A26" s="2">
        <v>1979</v>
      </c>
      <c r="B26" s="20">
        <v>225.05500000000001</v>
      </c>
      <c r="C26" s="168">
        <v>11360.7</v>
      </c>
      <c r="D26" s="170">
        <v>159.434</v>
      </c>
      <c r="E26" s="170">
        <f t="shared" si="0"/>
        <v>11520.134</v>
      </c>
      <c r="F26" s="170">
        <v>414.66699999999997</v>
      </c>
      <c r="G26" s="170">
        <f t="shared" si="1"/>
        <v>11105.467000000001</v>
      </c>
      <c r="H26" s="142">
        <f t="shared" si="2"/>
        <v>49.3455688609451</v>
      </c>
      <c r="I26" s="142">
        <f t="shared" si="3"/>
        <v>47.371746106507302</v>
      </c>
    </row>
    <row r="27" spans="1:9" ht="12" customHeight="1" x14ac:dyDescent="0.2">
      <c r="A27" s="2">
        <v>1980</v>
      </c>
      <c r="B27" s="20">
        <v>227.726</v>
      </c>
      <c r="C27" s="168">
        <v>11697.98</v>
      </c>
      <c r="D27" s="170">
        <v>218.36600000000001</v>
      </c>
      <c r="E27" s="170">
        <f t="shared" si="0"/>
        <v>11916.346</v>
      </c>
      <c r="F27" s="170">
        <v>274.63200000000001</v>
      </c>
      <c r="G27" s="170">
        <f t="shared" si="1"/>
        <v>11641.714</v>
      </c>
      <c r="H27" s="142">
        <f t="shared" si="2"/>
        <v>51.121584711451483</v>
      </c>
      <c r="I27" s="142">
        <f t="shared" si="3"/>
        <v>49.076721322993421</v>
      </c>
    </row>
    <row r="28" spans="1:9" ht="12" customHeight="1" x14ac:dyDescent="0.2">
      <c r="A28" s="3">
        <v>1981</v>
      </c>
      <c r="B28" s="21">
        <v>229.96600000000001</v>
      </c>
      <c r="C28" s="171">
        <v>10549.01</v>
      </c>
      <c r="D28" s="172">
        <v>392.35300000000001</v>
      </c>
      <c r="E28" s="172">
        <f t="shared" si="0"/>
        <v>10941.362999999999</v>
      </c>
      <c r="F28" s="172">
        <v>398.57799999999997</v>
      </c>
      <c r="G28" s="172">
        <f t="shared" si="1"/>
        <v>10542.785</v>
      </c>
      <c r="H28" s="183">
        <f t="shared" si="2"/>
        <v>45.844972735099972</v>
      </c>
      <c r="I28" s="143">
        <f t="shared" si="3"/>
        <v>44.01117382569597</v>
      </c>
    </row>
    <row r="29" spans="1:9" ht="12" customHeight="1" x14ac:dyDescent="0.2">
      <c r="A29" s="3">
        <v>1982</v>
      </c>
      <c r="B29" s="21">
        <v>232.18799999999999</v>
      </c>
      <c r="C29" s="171">
        <v>10765.42</v>
      </c>
      <c r="D29" s="172">
        <v>478.4</v>
      </c>
      <c r="E29" s="172">
        <f t="shared" si="0"/>
        <v>11243.82</v>
      </c>
      <c r="F29" s="172">
        <v>305.15600000000001</v>
      </c>
      <c r="G29" s="172">
        <f t="shared" si="1"/>
        <v>10938.663999999999</v>
      </c>
      <c r="H29" s="183">
        <f t="shared" si="2"/>
        <v>47.111237445518285</v>
      </c>
      <c r="I29" s="143">
        <f t="shared" si="3"/>
        <v>45.226787947697552</v>
      </c>
    </row>
    <row r="30" spans="1:9" ht="12" customHeight="1" x14ac:dyDescent="0.2">
      <c r="A30" s="3">
        <v>1983</v>
      </c>
      <c r="B30" s="21">
        <v>234.30699999999999</v>
      </c>
      <c r="C30" s="171">
        <v>11600.85</v>
      </c>
      <c r="D30" s="172">
        <v>349.08600000000001</v>
      </c>
      <c r="E30" s="172">
        <f t="shared" si="0"/>
        <v>11949.936</v>
      </c>
      <c r="F30" s="172">
        <v>283.23700000000002</v>
      </c>
      <c r="G30" s="172">
        <f t="shared" si="1"/>
        <v>11666.699000000001</v>
      </c>
      <c r="H30" s="183">
        <f t="shared" si="2"/>
        <v>49.792362157340591</v>
      </c>
      <c r="I30" s="143">
        <f t="shared" si="3"/>
        <v>47.800667671046959</v>
      </c>
    </row>
    <row r="31" spans="1:9" ht="12" customHeight="1" x14ac:dyDescent="0.2">
      <c r="A31" s="3">
        <v>1984</v>
      </c>
      <c r="B31" s="21">
        <v>236.34800000000001</v>
      </c>
      <c r="C31" s="171">
        <v>11450.05</v>
      </c>
      <c r="D31" s="172">
        <v>325.149</v>
      </c>
      <c r="E31" s="172">
        <f t="shared" si="0"/>
        <v>11775.198999999999</v>
      </c>
      <c r="F31" s="172">
        <v>360.32499999999999</v>
      </c>
      <c r="G31" s="172">
        <f t="shared" si="1"/>
        <v>11414.873999999998</v>
      </c>
      <c r="H31" s="183">
        <f t="shared" si="2"/>
        <v>48.296892717518226</v>
      </c>
      <c r="I31" s="143">
        <f t="shared" si="3"/>
        <v>46.365017008817496</v>
      </c>
    </row>
    <row r="32" spans="1:9" ht="12" customHeight="1" x14ac:dyDescent="0.2">
      <c r="A32" s="3">
        <v>1985</v>
      </c>
      <c r="B32" s="21">
        <v>238.46600000000001</v>
      </c>
      <c r="C32" s="171">
        <v>10965.72</v>
      </c>
      <c r="D32" s="172">
        <v>405.87200000000001</v>
      </c>
      <c r="E32" s="172">
        <f t="shared" si="0"/>
        <v>11371.591999999999</v>
      </c>
      <c r="F32" s="172">
        <v>329.88499999999999</v>
      </c>
      <c r="G32" s="172">
        <f t="shared" si="1"/>
        <v>11041.706999999999</v>
      </c>
      <c r="H32" s="183">
        <f t="shared" si="2"/>
        <v>46.303066265211804</v>
      </c>
      <c r="I32" s="143">
        <f t="shared" si="3"/>
        <v>44.450943614603332</v>
      </c>
    </row>
    <row r="33" spans="1:9" ht="12" customHeight="1" x14ac:dyDescent="0.2">
      <c r="A33" s="2">
        <v>1986</v>
      </c>
      <c r="B33" s="20">
        <v>240.65100000000001</v>
      </c>
      <c r="C33" s="168">
        <v>11744.81</v>
      </c>
      <c r="D33" s="170">
        <v>344.45800000000003</v>
      </c>
      <c r="E33" s="170">
        <f t="shared" si="0"/>
        <v>12089.268</v>
      </c>
      <c r="F33" s="170">
        <v>340.60700000000003</v>
      </c>
      <c r="G33" s="170">
        <f t="shared" si="1"/>
        <v>11748.661</v>
      </c>
      <c r="H33" s="142">
        <f t="shared" si="2"/>
        <v>48.820329024188553</v>
      </c>
      <c r="I33" s="142">
        <f t="shared" si="3"/>
        <v>46.867515863221016</v>
      </c>
    </row>
    <row r="34" spans="1:9" ht="12" customHeight="1" x14ac:dyDescent="0.2">
      <c r="A34" s="2">
        <v>1987</v>
      </c>
      <c r="B34" s="20">
        <v>242.804</v>
      </c>
      <c r="C34" s="168">
        <v>11600.18</v>
      </c>
      <c r="D34" s="170">
        <v>402.8</v>
      </c>
      <c r="E34" s="170">
        <f t="shared" si="0"/>
        <v>12002.98</v>
      </c>
      <c r="F34" s="170">
        <v>363.21499999999997</v>
      </c>
      <c r="G34" s="170">
        <f t="shared" si="1"/>
        <v>11639.764999999999</v>
      </c>
      <c r="H34" s="142">
        <f t="shared" si="2"/>
        <v>47.93893428444342</v>
      </c>
      <c r="I34" s="142">
        <f t="shared" si="3"/>
        <v>46.02137691306568</v>
      </c>
    </row>
    <row r="35" spans="1:9" ht="12" customHeight="1" x14ac:dyDescent="0.2">
      <c r="A35" s="2">
        <v>1988</v>
      </c>
      <c r="B35" s="20">
        <v>245.02099999999999</v>
      </c>
      <c r="C35" s="168">
        <v>12095.17</v>
      </c>
      <c r="D35" s="170">
        <v>483.423</v>
      </c>
      <c r="E35" s="170">
        <f t="shared" si="0"/>
        <v>12578.593000000001</v>
      </c>
      <c r="F35" s="170">
        <v>421.98500000000001</v>
      </c>
      <c r="G35" s="170">
        <f t="shared" si="1"/>
        <v>12156.608</v>
      </c>
      <c r="H35" s="142">
        <f t="shared" si="2"/>
        <v>49.6145554870807</v>
      </c>
      <c r="I35" s="142">
        <f t="shared" si="3"/>
        <v>47.629973267597471</v>
      </c>
    </row>
    <row r="36" spans="1:9" ht="12" customHeight="1" x14ac:dyDescent="0.2">
      <c r="A36" s="2">
        <v>1989</v>
      </c>
      <c r="B36" s="20">
        <v>247.34200000000001</v>
      </c>
      <c r="C36" s="168">
        <v>12172.84</v>
      </c>
      <c r="D36" s="170">
        <v>670.27756314999999</v>
      </c>
      <c r="E36" s="170">
        <f t="shared" si="0"/>
        <v>12843.117563150001</v>
      </c>
      <c r="F36" s="170">
        <v>467.8</v>
      </c>
      <c r="G36" s="170">
        <f t="shared" si="1"/>
        <v>12375.317563150002</v>
      </c>
      <c r="H36" s="142">
        <f t="shared" si="2"/>
        <v>50.033223484689216</v>
      </c>
      <c r="I36" s="142">
        <f t="shared" si="3"/>
        <v>48.031894545301647</v>
      </c>
    </row>
    <row r="37" spans="1:9" ht="12" customHeight="1" x14ac:dyDescent="0.2">
      <c r="A37" s="2">
        <v>1990</v>
      </c>
      <c r="B37" s="20">
        <v>250.13200000000001</v>
      </c>
      <c r="C37" s="168">
        <v>11334.753000000002</v>
      </c>
      <c r="D37" s="170">
        <v>683.94575740999994</v>
      </c>
      <c r="E37" s="170">
        <f t="shared" si="0"/>
        <v>12018.698757410002</v>
      </c>
      <c r="F37" s="170">
        <v>327.33331300000003</v>
      </c>
      <c r="G37" s="170">
        <f t="shared" si="1"/>
        <v>11691.365444410003</v>
      </c>
      <c r="H37" s="142">
        <f t="shared" si="2"/>
        <v>46.740782644403765</v>
      </c>
      <c r="I37" s="142">
        <f t="shared" si="3"/>
        <v>44.871151338627612</v>
      </c>
    </row>
    <row r="38" spans="1:9" ht="12" customHeight="1" x14ac:dyDescent="0.2">
      <c r="A38" s="3">
        <v>1991</v>
      </c>
      <c r="B38" s="21">
        <v>253.49299999999999</v>
      </c>
      <c r="C38" s="171">
        <v>12452.085300000001</v>
      </c>
      <c r="D38" s="172">
        <v>616.25526366000008</v>
      </c>
      <c r="E38" s="172">
        <f t="shared" si="0"/>
        <v>13068.34056366</v>
      </c>
      <c r="F38" s="172">
        <v>341.68218199999995</v>
      </c>
      <c r="G38" s="172">
        <f t="shared" si="1"/>
        <v>12726.65838166</v>
      </c>
      <c r="H38" s="183">
        <f t="shared" si="2"/>
        <v>50.205166934234867</v>
      </c>
      <c r="I38" s="143">
        <f t="shared" si="3"/>
        <v>48.196960256865474</v>
      </c>
    </row>
    <row r="39" spans="1:9" ht="12" customHeight="1" x14ac:dyDescent="0.2">
      <c r="A39" s="3">
        <v>1992</v>
      </c>
      <c r="B39" s="21">
        <v>256.89400000000001</v>
      </c>
      <c r="C39" s="171">
        <v>12551.8151</v>
      </c>
      <c r="D39" s="172">
        <v>401.58523690000004</v>
      </c>
      <c r="E39" s="172">
        <f t="shared" si="0"/>
        <v>12953.4003369</v>
      </c>
      <c r="F39" s="172">
        <v>537.93899999999996</v>
      </c>
      <c r="G39" s="172">
        <f t="shared" si="1"/>
        <v>12415.4613369</v>
      </c>
      <c r="H39" s="183">
        <f t="shared" si="2"/>
        <v>48.32912149330074</v>
      </c>
      <c r="I39" s="143">
        <f t="shared" si="3"/>
        <v>46.395956633568709</v>
      </c>
    </row>
    <row r="40" spans="1:9" ht="12" customHeight="1" x14ac:dyDescent="0.2">
      <c r="A40" s="3">
        <v>1993</v>
      </c>
      <c r="B40" s="21">
        <v>260.255</v>
      </c>
      <c r="C40" s="171">
        <v>12873.902599999999</v>
      </c>
      <c r="D40" s="172">
        <v>712.58219050000002</v>
      </c>
      <c r="E40" s="172">
        <f t="shared" si="0"/>
        <v>13586.484790499999</v>
      </c>
      <c r="F40" s="172">
        <v>539.34492499999988</v>
      </c>
      <c r="G40" s="172">
        <f t="shared" si="1"/>
        <v>13047.139865499999</v>
      </c>
      <c r="H40" s="183">
        <f t="shared" si="2"/>
        <v>50.132139115482893</v>
      </c>
      <c r="I40" s="143">
        <f t="shared" si="3"/>
        <v>48.126853550863572</v>
      </c>
    </row>
    <row r="41" spans="1:9" ht="12" customHeight="1" x14ac:dyDescent="0.2">
      <c r="A41" s="3">
        <v>1994</v>
      </c>
      <c r="B41" s="21">
        <v>263.43599999999998</v>
      </c>
      <c r="C41" s="171">
        <v>13086.245800000001</v>
      </c>
      <c r="D41" s="172">
        <v>642.80937360000007</v>
      </c>
      <c r="E41" s="172">
        <f t="shared" si="0"/>
        <v>13729.055173600002</v>
      </c>
      <c r="F41" s="172">
        <v>655.02611899999999</v>
      </c>
      <c r="G41" s="172">
        <f t="shared" si="1"/>
        <v>13074.029054600001</v>
      </c>
      <c r="H41" s="183">
        <f t="shared" si="2"/>
        <v>49.62886262545743</v>
      </c>
      <c r="I41" s="143">
        <f t="shared" si="3"/>
        <v>47.643708120439122</v>
      </c>
    </row>
    <row r="42" spans="1:9" ht="12" customHeight="1" x14ac:dyDescent="0.2">
      <c r="A42" s="3">
        <v>1995</v>
      </c>
      <c r="B42" s="21">
        <v>266.55700000000002</v>
      </c>
      <c r="C42" s="171">
        <v>13019.526700000002</v>
      </c>
      <c r="D42" s="172">
        <v>684.86972288000004</v>
      </c>
      <c r="E42" s="172">
        <f t="shared" si="0"/>
        <v>13704.396422880001</v>
      </c>
      <c r="F42" s="172">
        <v>583.93817499999989</v>
      </c>
      <c r="G42" s="172">
        <f t="shared" si="1"/>
        <v>13120.458247880002</v>
      </c>
      <c r="H42" s="183">
        <f t="shared" si="2"/>
        <v>49.221960960995212</v>
      </c>
      <c r="I42" s="143">
        <f t="shared" si="3"/>
        <v>47.253082522555403</v>
      </c>
    </row>
    <row r="43" spans="1:9" ht="12" customHeight="1" x14ac:dyDescent="0.2">
      <c r="A43" s="2">
        <v>1996</v>
      </c>
      <c r="B43" s="20">
        <v>269.66699999999997</v>
      </c>
      <c r="C43" s="168">
        <v>13091.416499999999</v>
      </c>
      <c r="D43" s="170">
        <v>986.46529890000011</v>
      </c>
      <c r="E43" s="170">
        <f t="shared" si="0"/>
        <v>14077.8817989</v>
      </c>
      <c r="F43" s="170">
        <v>610.05337600000007</v>
      </c>
      <c r="G43" s="170">
        <f t="shared" si="1"/>
        <v>13467.8284229</v>
      </c>
      <c r="H43" s="142">
        <f t="shared" si="2"/>
        <v>49.942441688823628</v>
      </c>
      <c r="I43" s="142">
        <f t="shared" si="3"/>
        <v>47.944744021270687</v>
      </c>
    </row>
    <row r="44" spans="1:9" ht="12" customHeight="1" x14ac:dyDescent="0.2">
      <c r="A44" s="2">
        <v>1997</v>
      </c>
      <c r="B44" s="20">
        <v>272.91199999999998</v>
      </c>
      <c r="C44" s="168">
        <v>12816.034</v>
      </c>
      <c r="D44" s="170">
        <v>764.81936288000009</v>
      </c>
      <c r="E44" s="170">
        <f t="shared" si="0"/>
        <v>13580.85336288</v>
      </c>
      <c r="F44" s="170">
        <v>670.26948979999997</v>
      </c>
      <c r="G44" s="170">
        <f t="shared" si="1"/>
        <v>12910.583873079999</v>
      </c>
      <c r="H44" s="142">
        <f t="shared" si="2"/>
        <v>47.306765085741922</v>
      </c>
      <c r="I44" s="142">
        <f t="shared" si="3"/>
        <v>45.414494482312243</v>
      </c>
    </row>
    <row r="45" spans="1:9" ht="12" customHeight="1" x14ac:dyDescent="0.2">
      <c r="A45" s="2">
        <v>1998</v>
      </c>
      <c r="B45" s="20">
        <v>276.11500000000001</v>
      </c>
      <c r="C45" s="168">
        <v>12529.7701</v>
      </c>
      <c r="D45" s="170">
        <v>1061.02290399</v>
      </c>
      <c r="E45" s="170">
        <f t="shared" si="0"/>
        <v>13590.79300399</v>
      </c>
      <c r="F45" s="170">
        <v>650.91737999999998</v>
      </c>
      <c r="G45" s="170">
        <f t="shared" si="1"/>
        <v>12939.875623989999</v>
      </c>
      <c r="H45" s="142">
        <f t="shared" si="2"/>
        <v>46.864080633033332</v>
      </c>
      <c r="I45" s="142">
        <f t="shared" si="3"/>
        <v>44.989517407712</v>
      </c>
    </row>
    <row r="46" spans="1:9" ht="12" customHeight="1" x14ac:dyDescent="0.2">
      <c r="A46" s="2">
        <v>1999</v>
      </c>
      <c r="B46" s="20">
        <v>279.29500000000002</v>
      </c>
      <c r="C46" s="168">
        <v>12999.9565</v>
      </c>
      <c r="D46" s="170">
        <v>923.48809314999994</v>
      </c>
      <c r="E46" s="170">
        <f t="shared" si="0"/>
        <v>13923.444593149999</v>
      </c>
      <c r="F46" s="170">
        <v>599.06589659999997</v>
      </c>
      <c r="G46" s="170">
        <f t="shared" si="1"/>
        <v>13324.37869655</v>
      </c>
      <c r="H46" s="142">
        <f t="shared" si="2"/>
        <v>47.707186654075436</v>
      </c>
      <c r="I46" s="142">
        <f t="shared" si="3"/>
        <v>45.798899187912419</v>
      </c>
    </row>
    <row r="47" spans="1:9" ht="12" customHeight="1" x14ac:dyDescent="0.2">
      <c r="A47" s="2">
        <v>2000</v>
      </c>
      <c r="B47" s="20">
        <v>282.38499999999999</v>
      </c>
      <c r="C47" s="168">
        <v>13184.780400000001</v>
      </c>
      <c r="D47" s="170">
        <v>805.45865775000004</v>
      </c>
      <c r="E47" s="170">
        <f t="shared" si="0"/>
        <v>13990.239057750001</v>
      </c>
      <c r="F47" s="170">
        <v>676.57625500000006</v>
      </c>
      <c r="G47" s="170">
        <f t="shared" si="1"/>
        <v>13313.662802750001</v>
      </c>
      <c r="H47" s="142">
        <f t="shared" si="2"/>
        <v>47.147202587779098</v>
      </c>
      <c r="I47" s="142">
        <f t="shared" si="3"/>
        <v>45.261314484267935</v>
      </c>
    </row>
    <row r="48" spans="1:9" ht="12" customHeight="1" x14ac:dyDescent="0.2">
      <c r="A48" s="3">
        <v>2001</v>
      </c>
      <c r="B48" s="21">
        <v>285.30901899999998</v>
      </c>
      <c r="C48" s="171">
        <v>13252.069200000002</v>
      </c>
      <c r="D48" s="172">
        <v>671.05966973</v>
      </c>
      <c r="E48" s="172">
        <f t="shared" si="0"/>
        <v>13923.128869730002</v>
      </c>
      <c r="F48" s="172">
        <v>636.17529949999994</v>
      </c>
      <c r="G48" s="172">
        <f t="shared" si="1"/>
        <v>13286.953570230002</v>
      </c>
      <c r="H48" s="183">
        <f t="shared" si="2"/>
        <v>46.570394503476955</v>
      </c>
      <c r="I48" s="143">
        <f t="shared" si="3"/>
        <v>44.707578723337875</v>
      </c>
    </row>
    <row r="49" spans="1:9" ht="12" customHeight="1" x14ac:dyDescent="0.2">
      <c r="A49" s="3">
        <v>2002</v>
      </c>
      <c r="B49" s="21">
        <v>288.10481800000002</v>
      </c>
      <c r="C49" s="171">
        <v>12567.166700000002</v>
      </c>
      <c r="D49" s="172">
        <v>883.10802190000004</v>
      </c>
      <c r="E49" s="172">
        <f t="shared" si="0"/>
        <v>13450.274721900001</v>
      </c>
      <c r="F49" s="172">
        <v>696.89620669999999</v>
      </c>
      <c r="G49" s="172">
        <f t="shared" si="1"/>
        <v>12753.378515200002</v>
      </c>
      <c r="H49" s="183">
        <f t="shared" si="2"/>
        <v>44.266453451673968</v>
      </c>
      <c r="I49" s="143">
        <f t="shared" si="3"/>
        <v>42.495795313607005</v>
      </c>
    </row>
    <row r="50" spans="1:9" ht="12" customHeight="1" x14ac:dyDescent="0.2">
      <c r="A50" s="3">
        <v>2003</v>
      </c>
      <c r="B50" s="21">
        <v>290.81963400000001</v>
      </c>
      <c r="C50" s="171">
        <v>13322.058899999998</v>
      </c>
      <c r="D50" s="172">
        <v>872.36970810000003</v>
      </c>
      <c r="E50" s="172">
        <f t="shared" si="0"/>
        <v>14194.428608099999</v>
      </c>
      <c r="F50" s="172">
        <v>590.35208096999997</v>
      </c>
      <c r="G50" s="172">
        <f t="shared" si="1"/>
        <v>13604.076527129999</v>
      </c>
      <c r="H50" s="183">
        <f t="shared" si="2"/>
        <v>46.778397799407166</v>
      </c>
      <c r="I50" s="143">
        <f t="shared" si="3"/>
        <v>44.907261887430877</v>
      </c>
    </row>
    <row r="51" spans="1:9" ht="12" customHeight="1" x14ac:dyDescent="0.2">
      <c r="A51" s="3">
        <v>2004</v>
      </c>
      <c r="B51" s="21">
        <v>293.46318500000001</v>
      </c>
      <c r="C51" s="171">
        <v>13181.281800000001</v>
      </c>
      <c r="D51" s="172">
        <v>755.09774045000006</v>
      </c>
      <c r="E51" s="172">
        <f t="shared" si="0"/>
        <v>13936.379540450002</v>
      </c>
      <c r="F51" s="172">
        <v>484.458977</v>
      </c>
      <c r="G51" s="172">
        <f t="shared" si="1"/>
        <v>13451.920563450001</v>
      </c>
      <c r="H51" s="183">
        <f t="shared" si="2"/>
        <v>45.838528479986344</v>
      </c>
      <c r="I51" s="143">
        <f t="shared" si="3"/>
        <v>44.00498734078689</v>
      </c>
    </row>
    <row r="52" spans="1:9" ht="12" customHeight="1" x14ac:dyDescent="0.2">
      <c r="A52" s="3">
        <v>2005</v>
      </c>
      <c r="B52" s="21">
        <v>296.186216</v>
      </c>
      <c r="C52" s="171">
        <v>12075.4601</v>
      </c>
      <c r="D52" s="172">
        <v>787.82885400000009</v>
      </c>
      <c r="E52" s="172">
        <f t="shared" si="0"/>
        <v>12863.288954</v>
      </c>
      <c r="F52" s="172">
        <v>639.38867400000004</v>
      </c>
      <c r="G52" s="172">
        <f t="shared" si="1"/>
        <v>12223.90028</v>
      </c>
      <c r="H52" s="183">
        <f t="shared" si="2"/>
        <v>41.270996486885807</v>
      </c>
      <c r="I52" s="143">
        <f t="shared" si="3"/>
        <v>39.620156627410374</v>
      </c>
    </row>
    <row r="53" spans="1:9" ht="12" customHeight="1" x14ac:dyDescent="0.2">
      <c r="A53" s="2">
        <v>2006</v>
      </c>
      <c r="B53" s="20">
        <v>298.99582500000002</v>
      </c>
      <c r="C53" s="168">
        <v>11347.9478</v>
      </c>
      <c r="D53" s="170">
        <v>817.41887300000008</v>
      </c>
      <c r="E53" s="170">
        <f t="shared" si="0"/>
        <v>12165.366673</v>
      </c>
      <c r="F53" s="170">
        <v>630.72362699999996</v>
      </c>
      <c r="G53" s="170">
        <f t="shared" si="1"/>
        <v>11534.643046000001</v>
      </c>
      <c r="H53" s="142">
        <f t="shared" si="2"/>
        <v>38.577940163545762</v>
      </c>
      <c r="I53" s="142">
        <f t="shared" si="3"/>
        <v>37.034822557003928</v>
      </c>
    </row>
    <row r="54" spans="1:9" ht="12" customHeight="1" x14ac:dyDescent="0.2">
      <c r="A54" s="2">
        <v>2007</v>
      </c>
      <c r="B54" s="20">
        <v>302.003917</v>
      </c>
      <c r="C54" s="168">
        <v>11225.2395</v>
      </c>
      <c r="D54" s="170">
        <v>1105.859222</v>
      </c>
      <c r="E54" s="170">
        <f t="shared" si="0"/>
        <v>12331.098721999999</v>
      </c>
      <c r="F54" s="170">
        <v>640.13464899999997</v>
      </c>
      <c r="G54" s="170">
        <f t="shared" si="1"/>
        <v>11690.964072999999</v>
      </c>
      <c r="H54" s="142">
        <f t="shared" si="2"/>
        <v>38.711299472980009</v>
      </c>
      <c r="I54" s="142">
        <f t="shared" si="3"/>
        <v>37.162847494060806</v>
      </c>
    </row>
    <row r="55" spans="1:9" ht="12" customHeight="1" x14ac:dyDescent="0.2">
      <c r="A55" s="2">
        <v>2008</v>
      </c>
      <c r="B55" s="20">
        <v>304.79776099999998</v>
      </c>
      <c r="C55" s="168">
        <v>10995.238800000001</v>
      </c>
      <c r="D55" s="170">
        <v>1177.544641658</v>
      </c>
      <c r="E55" s="170">
        <f t="shared" si="0"/>
        <v>12172.783441658001</v>
      </c>
      <c r="F55" s="170">
        <v>641.51421900000003</v>
      </c>
      <c r="G55" s="170">
        <f t="shared" si="1"/>
        <v>11531.269222658</v>
      </c>
      <c r="H55" s="142">
        <f t="shared" si="2"/>
        <v>37.832526016022804</v>
      </c>
      <c r="I55" s="142">
        <f t="shared" si="3"/>
        <v>36.319224975381893</v>
      </c>
    </row>
    <row r="56" spans="1:9" ht="12" customHeight="1" x14ac:dyDescent="0.2">
      <c r="A56" s="2">
        <v>2009</v>
      </c>
      <c r="B56" s="20">
        <v>307.43940600000002</v>
      </c>
      <c r="C56" s="168">
        <v>11059.0954</v>
      </c>
      <c r="D56" s="170">
        <v>936.32224439999993</v>
      </c>
      <c r="E56" s="170">
        <f t="shared" si="0"/>
        <v>11995.4176444</v>
      </c>
      <c r="F56" s="170">
        <v>728.7908566000001</v>
      </c>
      <c r="G56" s="170">
        <f t="shared" si="1"/>
        <v>11266.6267878</v>
      </c>
      <c r="H56" s="142">
        <f t="shared" si="2"/>
        <v>36.646658066337793</v>
      </c>
      <c r="I56" s="142">
        <f t="shared" si="3"/>
        <v>35.180791743684274</v>
      </c>
    </row>
    <row r="57" spans="1:9" ht="12" customHeight="1" x14ac:dyDescent="0.2">
      <c r="A57" s="2">
        <v>2010</v>
      </c>
      <c r="B57" s="20">
        <v>309.74127900000002</v>
      </c>
      <c r="C57" s="168">
        <v>11341.517200000002</v>
      </c>
      <c r="D57" s="170">
        <v>916.36403337335992</v>
      </c>
      <c r="E57" s="170">
        <f t="shared" si="0"/>
        <v>12257.881233373362</v>
      </c>
      <c r="F57" s="170">
        <v>855.59733612870002</v>
      </c>
      <c r="G57" s="170">
        <f t="shared" si="1"/>
        <v>11402.283897244663</v>
      </c>
      <c r="H57" s="142">
        <f t="shared" si="2"/>
        <v>36.812283897247873</v>
      </c>
      <c r="I57" s="142">
        <f t="shared" si="3"/>
        <v>35.339792541357959</v>
      </c>
    </row>
    <row r="58" spans="1:9" ht="12" customHeight="1" x14ac:dyDescent="0.2">
      <c r="A58" s="33">
        <v>2011</v>
      </c>
      <c r="B58" s="31">
        <v>311.97391399999998</v>
      </c>
      <c r="C58" s="171">
        <v>10533.707600000002</v>
      </c>
      <c r="D58" s="172">
        <v>1083.6659761978597</v>
      </c>
      <c r="E58" s="172">
        <f t="shared" si="0"/>
        <v>11617.373576197861</v>
      </c>
      <c r="F58" s="172">
        <v>989.97868057220001</v>
      </c>
      <c r="G58" s="172">
        <f t="shared" si="1"/>
        <v>10627.394895625661</v>
      </c>
      <c r="H58" s="183">
        <f t="shared" si="2"/>
        <v>34.065011267658939</v>
      </c>
      <c r="I58" s="144">
        <f t="shared" si="3"/>
        <v>32.702410816952579</v>
      </c>
    </row>
    <row r="59" spans="1:9" s="93" customFormat="1" ht="12" customHeight="1" x14ac:dyDescent="0.2">
      <c r="A59" s="33">
        <v>2012</v>
      </c>
      <c r="B59" s="31">
        <v>314.16755799999999</v>
      </c>
      <c r="C59" s="171">
        <v>11065.227500000001</v>
      </c>
      <c r="D59" s="172">
        <v>778.16560545262007</v>
      </c>
      <c r="E59" s="172">
        <f t="shared" si="0"/>
        <v>11843.39310545262</v>
      </c>
      <c r="F59" s="172">
        <v>986.49683822602003</v>
      </c>
      <c r="G59" s="172">
        <f t="shared" si="1"/>
        <v>10856.896267226601</v>
      </c>
      <c r="H59" s="183">
        <f t="shared" si="2"/>
        <v>34.5576619570204</v>
      </c>
      <c r="I59" s="144">
        <f t="shared" si="3"/>
        <v>33.17535547873959</v>
      </c>
    </row>
    <row r="60" spans="1:9" s="93" customFormat="1" ht="12" customHeight="1" x14ac:dyDescent="0.2">
      <c r="A60" s="33">
        <v>2013</v>
      </c>
      <c r="B60" s="31">
        <v>316.29476599999998</v>
      </c>
      <c r="C60" s="171">
        <v>11128.935500000001</v>
      </c>
      <c r="D60" s="172">
        <v>861.44568151686008</v>
      </c>
      <c r="E60" s="172">
        <f t="shared" si="0"/>
        <v>11990.381181516861</v>
      </c>
      <c r="F60" s="172">
        <v>1055.5162857278599</v>
      </c>
      <c r="G60" s="172">
        <f t="shared" ref="G60" si="4">E60-F60</f>
        <v>10934.864895789002</v>
      </c>
      <c r="H60" s="183">
        <f t="shared" ref="H60" si="5">IF(G60=0,0,IF(B60=0,0,G60/B60))</f>
        <v>34.571754171199288</v>
      </c>
      <c r="I60" s="144">
        <f t="shared" ref="I60" si="6">IF(G60=0,0,IF(B60=0,0,(G60*0.96)/B60))</f>
        <v>33.188884004351316</v>
      </c>
    </row>
    <row r="61" spans="1:9" s="93" customFormat="1" ht="12" customHeight="1" x14ac:dyDescent="0.2">
      <c r="A61" s="33">
        <v>2014</v>
      </c>
      <c r="B61" s="31">
        <v>318.576955</v>
      </c>
      <c r="C61" s="171">
        <v>10596.118399999999</v>
      </c>
      <c r="D61" s="172">
        <v>1036.4520569444799</v>
      </c>
      <c r="E61" s="172">
        <f t="shared" si="0"/>
        <v>11632.570456944479</v>
      </c>
      <c r="F61" s="172">
        <v>922.15223893253994</v>
      </c>
      <c r="G61" s="172">
        <f t="shared" ref="G61" si="7">E61-F61</f>
        <v>10710.418218011939</v>
      </c>
      <c r="H61" s="183">
        <f t="shared" ref="H61" si="8">IF(G61=0,0,IF(B61=0,0,G61/B61))</f>
        <v>33.619563656171991</v>
      </c>
      <c r="I61" s="144">
        <f t="shared" ref="I61" si="9">IF(G61=0,0,IF(B61=0,0,(G61*0.96)/B61))</f>
        <v>32.274781109925108</v>
      </c>
    </row>
    <row r="62" spans="1:9" s="93" customFormat="1" ht="12" customHeight="1" x14ac:dyDescent="0.2">
      <c r="A62" s="33">
        <v>2015</v>
      </c>
      <c r="B62" s="31">
        <v>320.87070299999999</v>
      </c>
      <c r="C62" s="171">
        <v>10982.137600000002</v>
      </c>
      <c r="D62" s="172">
        <v>882.27596524363992</v>
      </c>
      <c r="E62" s="172">
        <f t="shared" si="0"/>
        <v>11864.413565243642</v>
      </c>
      <c r="F62" s="172">
        <v>904.78316230873997</v>
      </c>
      <c r="G62" s="172">
        <f t="shared" ref="G62" si="10">E62-F62</f>
        <v>10959.630402934901</v>
      </c>
      <c r="H62" s="183">
        <f t="shared" ref="H62" si="11">IF(G62=0,0,IF(B62=0,0,G62/B62))</f>
        <v>34.155908596413369</v>
      </c>
      <c r="I62" s="144">
        <f t="shared" ref="I62" si="12">IF(G62=0,0,IF(B62=0,0,(G62*0.96)/B62))</f>
        <v>32.789672252556834</v>
      </c>
    </row>
    <row r="63" spans="1:9" s="93" customFormat="1" ht="12" customHeight="1" x14ac:dyDescent="0.2">
      <c r="A63" s="128">
        <v>2016</v>
      </c>
      <c r="B63" s="129">
        <v>323.16101099999997</v>
      </c>
      <c r="C63" s="168">
        <v>10884.6878</v>
      </c>
      <c r="D63" s="170">
        <v>1093.2713423959799</v>
      </c>
      <c r="E63" s="170">
        <f t="shared" si="0"/>
        <v>11977.959142395979</v>
      </c>
      <c r="F63" s="170">
        <v>1077.9583517043</v>
      </c>
      <c r="G63" s="170">
        <f t="shared" ref="G63:G64" si="13">E63-F63</f>
        <v>10900.00079069168</v>
      </c>
      <c r="H63" s="142">
        <f t="shared" ref="H63:H64" si="14">IF(G63=0,0,IF(B63=0,0,G63/B63))</f>
        <v>33.729318883371363</v>
      </c>
      <c r="I63" s="145">
        <f t="shared" ref="I63:I64" si="15">IF(G63=0,0,IF(B63=0,0,(G63*0.96)/B63))</f>
        <v>32.380146128036507</v>
      </c>
    </row>
    <row r="64" spans="1:9" s="93" customFormat="1" ht="12" customHeight="1" x14ac:dyDescent="0.2">
      <c r="A64" s="125">
        <v>2017</v>
      </c>
      <c r="B64" s="126">
        <v>325.20603</v>
      </c>
      <c r="C64" s="168">
        <v>11433.6458</v>
      </c>
      <c r="D64" s="170">
        <v>1106.2641491118798</v>
      </c>
      <c r="E64" s="170">
        <f t="shared" si="0"/>
        <v>12539.90994911188</v>
      </c>
      <c r="F64" s="170">
        <v>1204.4371585960998</v>
      </c>
      <c r="G64" s="170">
        <f t="shared" si="13"/>
        <v>11335.47279051578</v>
      </c>
      <c r="H64" s="142">
        <f t="shared" si="14"/>
        <v>34.856281079768969</v>
      </c>
      <c r="I64" s="146">
        <f t="shared" si="15"/>
        <v>33.462029836578211</v>
      </c>
    </row>
    <row r="65" spans="1:11" s="93" customFormat="1" ht="12" customHeight="1" x14ac:dyDescent="0.2">
      <c r="A65" s="128">
        <v>2018</v>
      </c>
      <c r="B65" s="129">
        <v>326.92397599999998</v>
      </c>
      <c r="C65" s="168">
        <v>10791.476066666668</v>
      </c>
      <c r="D65" s="170">
        <v>1072.50792920304</v>
      </c>
      <c r="E65" s="170">
        <f t="shared" si="0"/>
        <v>11863.983995869708</v>
      </c>
      <c r="F65" s="170">
        <v>1060.5454780995799</v>
      </c>
      <c r="G65" s="170">
        <f t="shared" ref="G65:G67" si="16">E65-F65</f>
        <v>10803.438517770128</v>
      </c>
      <c r="H65" s="142">
        <f t="shared" ref="H65:H67" si="17">IF(G65=0,0,IF(B65=0,0,G65/B65))</f>
        <v>33.045721057087988</v>
      </c>
      <c r="I65" s="145">
        <f t="shared" ref="I65:I67" si="18">IF(G65=0,0,IF(B65=0,0,(G65*0.96)/B65))</f>
        <v>31.723892214804465</v>
      </c>
    </row>
    <row r="66" spans="1:11" s="93" customFormat="1" ht="12" customHeight="1" x14ac:dyDescent="0.2">
      <c r="A66" s="128">
        <v>2019</v>
      </c>
      <c r="B66" s="129">
        <v>328.475998</v>
      </c>
      <c r="C66" s="168">
        <v>10173.49427777778</v>
      </c>
      <c r="D66" s="170">
        <v>909.07743799999992</v>
      </c>
      <c r="E66" s="170">
        <f t="shared" si="0"/>
        <v>11082.57171577778</v>
      </c>
      <c r="F66" s="170">
        <v>1204.1855539999999</v>
      </c>
      <c r="G66" s="170">
        <f t="shared" si="16"/>
        <v>9878.3861617777802</v>
      </c>
      <c r="H66" s="142">
        <f t="shared" si="17"/>
        <v>30.073388076829225</v>
      </c>
      <c r="I66" s="145">
        <f t="shared" si="18"/>
        <v>28.870452553756056</v>
      </c>
    </row>
    <row r="67" spans="1:11" s="93" customFormat="1" ht="12" customHeight="1" thickBot="1" x14ac:dyDescent="0.25">
      <c r="A67" s="148">
        <v>2020</v>
      </c>
      <c r="B67" s="149">
        <v>330.11398000000003</v>
      </c>
      <c r="C67" s="168">
        <v>10391.1</v>
      </c>
      <c r="D67" s="170">
        <v>1105.5920599999999</v>
      </c>
      <c r="E67" s="170">
        <f t="shared" si="0"/>
        <v>11496.692060000001</v>
      </c>
      <c r="F67" s="170">
        <v>1106.7802490000001</v>
      </c>
      <c r="G67" s="170">
        <f t="shared" si="16"/>
        <v>10389.911811000002</v>
      </c>
      <c r="H67" s="142">
        <f t="shared" si="17"/>
        <v>31.473710416626407</v>
      </c>
      <c r="I67" s="152">
        <f t="shared" si="18"/>
        <v>30.21476199996135</v>
      </c>
    </row>
    <row r="68" spans="1:11" ht="12" customHeight="1" thickTop="1" x14ac:dyDescent="0.2">
      <c r="A68" s="309" t="s">
        <v>8</v>
      </c>
      <c r="B68" s="310"/>
      <c r="C68" s="310"/>
      <c r="D68" s="310"/>
      <c r="E68" s="310"/>
      <c r="F68" s="310"/>
      <c r="G68" s="310"/>
      <c r="H68" s="310"/>
      <c r="I68" s="311"/>
      <c r="J68" s="92"/>
      <c r="K68" s="92"/>
    </row>
    <row r="69" spans="1:11" ht="12" customHeight="1" x14ac:dyDescent="0.2">
      <c r="A69" s="266"/>
      <c r="B69" s="267"/>
      <c r="C69" s="267"/>
      <c r="D69" s="267"/>
      <c r="E69" s="267"/>
      <c r="F69" s="267"/>
      <c r="G69" s="267"/>
      <c r="H69" s="267"/>
      <c r="I69" s="268"/>
      <c r="J69" s="92"/>
      <c r="K69" s="92"/>
    </row>
    <row r="70" spans="1:11" ht="12" customHeight="1" x14ac:dyDescent="0.2">
      <c r="A70" s="266" t="s">
        <v>240</v>
      </c>
      <c r="B70" s="305"/>
      <c r="C70" s="305"/>
      <c r="D70" s="305"/>
      <c r="E70" s="305"/>
      <c r="F70" s="305"/>
      <c r="G70" s="305"/>
      <c r="H70" s="305"/>
      <c r="I70" s="306"/>
      <c r="J70" s="92"/>
      <c r="K70" s="92"/>
    </row>
    <row r="71" spans="1:11" s="17" customFormat="1" ht="12" customHeight="1" x14ac:dyDescent="0.2">
      <c r="A71" s="304"/>
      <c r="B71" s="305"/>
      <c r="C71" s="305"/>
      <c r="D71" s="305"/>
      <c r="E71" s="305"/>
      <c r="F71" s="305"/>
      <c r="G71" s="305"/>
      <c r="H71" s="305"/>
      <c r="I71" s="306"/>
      <c r="J71" s="92"/>
      <c r="K71" s="92"/>
    </row>
    <row r="72" spans="1:11" s="93" customFormat="1" ht="12" customHeight="1" x14ac:dyDescent="0.2">
      <c r="A72" s="304"/>
      <c r="B72" s="305"/>
      <c r="C72" s="305"/>
      <c r="D72" s="305"/>
      <c r="E72" s="305"/>
      <c r="F72" s="305"/>
      <c r="G72" s="305"/>
      <c r="H72" s="305"/>
      <c r="I72" s="306"/>
    </row>
    <row r="73" spans="1:11" s="17" customFormat="1" ht="12" customHeight="1" x14ac:dyDescent="0.2">
      <c r="A73" s="304"/>
      <c r="B73" s="305"/>
      <c r="C73" s="305"/>
      <c r="D73" s="305"/>
      <c r="E73" s="305"/>
      <c r="F73" s="305"/>
      <c r="G73" s="305"/>
      <c r="H73" s="305"/>
      <c r="I73" s="306"/>
      <c r="J73" s="92"/>
      <c r="K73" s="92"/>
    </row>
    <row r="74" spans="1:11" ht="12" customHeight="1" x14ac:dyDescent="0.2">
      <c r="A74" s="304"/>
      <c r="B74" s="305"/>
      <c r="C74" s="305"/>
      <c r="D74" s="305"/>
      <c r="E74" s="305"/>
      <c r="F74" s="305"/>
      <c r="G74" s="305"/>
      <c r="H74" s="305"/>
      <c r="I74" s="306"/>
      <c r="J74" s="92"/>
      <c r="K74" s="92"/>
    </row>
    <row r="75" spans="1:11" ht="12" customHeight="1" x14ac:dyDescent="0.2">
      <c r="A75" s="304" t="s">
        <v>198</v>
      </c>
      <c r="B75" s="305"/>
      <c r="C75" s="305"/>
      <c r="D75" s="305"/>
      <c r="E75" s="305"/>
      <c r="F75" s="305"/>
      <c r="G75" s="305"/>
      <c r="H75" s="305"/>
      <c r="I75" s="306"/>
      <c r="J75" s="92"/>
      <c r="K75" s="92"/>
    </row>
    <row r="76" spans="1:11" ht="12" customHeight="1" x14ac:dyDescent="0.2">
      <c r="A76" s="304"/>
      <c r="B76" s="305"/>
      <c r="C76" s="305"/>
      <c r="D76" s="305"/>
      <c r="E76" s="305"/>
      <c r="F76" s="305"/>
      <c r="G76" s="305"/>
      <c r="H76" s="305"/>
      <c r="I76" s="306"/>
      <c r="J76" s="92"/>
      <c r="K76" s="92"/>
    </row>
  </sheetData>
  <mergeCells count="20">
    <mergeCell ref="H1:I1"/>
    <mergeCell ref="H3:I3"/>
    <mergeCell ref="G3:G5"/>
    <mergeCell ref="A2:A5"/>
    <mergeCell ref="B2:B5"/>
    <mergeCell ref="C2:E2"/>
    <mergeCell ref="C3:C5"/>
    <mergeCell ref="D3:D5"/>
    <mergeCell ref="E3:E5"/>
    <mergeCell ref="F3:F5"/>
    <mergeCell ref="H4:H5"/>
    <mergeCell ref="A1:G1"/>
    <mergeCell ref="G2:I2"/>
    <mergeCell ref="C6:G6"/>
    <mergeCell ref="H6:I6"/>
    <mergeCell ref="A75:I76"/>
    <mergeCell ref="A70:I73"/>
    <mergeCell ref="A69:I69"/>
    <mergeCell ref="A68:I68"/>
    <mergeCell ref="A74:I74"/>
  </mergeCells>
  <phoneticPr fontId="7" type="noConversion"/>
  <printOptions horizontalCentered="1"/>
  <pageMargins left="0.45" right="0.45" top="0.75" bottom="0.75" header="0" footer="0"/>
  <pageSetup scale="64" fitToWidth="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autoPageBreaks="0" fitToPage="1"/>
  </sheetPr>
  <dimension ref="A1:AH61"/>
  <sheetViews>
    <sheetView showOutlineSymbols="0" zoomScaleNormal="100" workbookViewId="0">
      <pane xSplit="1" ySplit="5" topLeftCell="B6" activePane="bottomRight" state="frozen"/>
      <selection pane="topRight" activeCell="B1" sqref="B1"/>
      <selection pane="bottomLeft" activeCell="A6" sqref="A6"/>
      <selection pane="bottomRight" sqref="A1:P1"/>
    </sheetView>
  </sheetViews>
  <sheetFormatPr defaultColWidth="12.7109375" defaultRowHeight="12" customHeight="1" x14ac:dyDescent="0.2"/>
  <cols>
    <col min="1" max="1" width="12.7109375" style="13" customWidth="1"/>
    <col min="2" max="16384" width="12.7109375" style="13"/>
  </cols>
  <sheetData>
    <row r="1" spans="1:34" s="1" customFormat="1" ht="12" customHeight="1" thickBot="1" x14ac:dyDescent="0.25">
      <c r="A1" s="201" t="s">
        <v>208</v>
      </c>
      <c r="B1" s="201"/>
      <c r="C1" s="201"/>
      <c r="D1" s="201"/>
      <c r="E1" s="201"/>
      <c r="F1" s="201"/>
      <c r="G1" s="201"/>
      <c r="H1" s="201"/>
      <c r="I1" s="201"/>
      <c r="J1" s="201"/>
      <c r="K1" s="201"/>
      <c r="L1" s="201"/>
      <c r="M1" s="201"/>
      <c r="N1" s="201"/>
      <c r="O1" s="201"/>
      <c r="P1" s="201"/>
      <c r="Q1" s="200" t="s">
        <v>19</v>
      </c>
      <c r="R1" s="200"/>
      <c r="S1" s="201" t="s">
        <v>215</v>
      </c>
      <c r="T1" s="201"/>
      <c r="U1" s="201"/>
      <c r="V1" s="201"/>
      <c r="W1" s="201"/>
      <c r="X1" s="201"/>
      <c r="Y1" s="201"/>
      <c r="Z1" s="201"/>
      <c r="AA1" s="201"/>
      <c r="AB1" s="201"/>
      <c r="AC1" s="201"/>
      <c r="AD1" s="201"/>
      <c r="AE1" s="201"/>
      <c r="AF1" s="201"/>
      <c r="AG1" s="200" t="s">
        <v>19</v>
      </c>
      <c r="AH1" s="200"/>
    </row>
    <row r="2" spans="1:34" ht="12" customHeight="1" thickTop="1" x14ac:dyDescent="0.2">
      <c r="A2" s="205" t="s">
        <v>1</v>
      </c>
      <c r="B2" s="194" t="s">
        <v>71</v>
      </c>
      <c r="C2" s="194" t="s">
        <v>9</v>
      </c>
      <c r="D2" s="194" t="s">
        <v>72</v>
      </c>
      <c r="E2" s="194" t="s">
        <v>10</v>
      </c>
      <c r="F2" s="197" t="s">
        <v>73</v>
      </c>
      <c r="G2" s="194" t="s">
        <v>11</v>
      </c>
      <c r="H2" s="194" t="s">
        <v>12</v>
      </c>
      <c r="I2" s="194" t="s">
        <v>13</v>
      </c>
      <c r="J2" s="194" t="s">
        <v>74</v>
      </c>
      <c r="K2" s="194" t="s">
        <v>75</v>
      </c>
      <c r="L2" s="194" t="s">
        <v>20</v>
      </c>
      <c r="M2" s="194" t="s">
        <v>14</v>
      </c>
      <c r="N2" s="194" t="s">
        <v>76</v>
      </c>
      <c r="O2" s="194" t="s">
        <v>21</v>
      </c>
      <c r="P2" s="194" t="s">
        <v>77</v>
      </c>
      <c r="Q2" s="194" t="s">
        <v>78</v>
      </c>
      <c r="R2" s="194" t="s">
        <v>180</v>
      </c>
      <c r="S2" s="194" t="s">
        <v>22</v>
      </c>
      <c r="T2" s="194" t="s">
        <v>0</v>
      </c>
      <c r="U2" s="194" t="s">
        <v>197</v>
      </c>
      <c r="V2" s="194" t="s">
        <v>79</v>
      </c>
      <c r="W2" s="194" t="s">
        <v>80</v>
      </c>
      <c r="X2" s="194" t="s">
        <v>15</v>
      </c>
      <c r="Y2" s="194" t="s">
        <v>16</v>
      </c>
      <c r="Z2" s="194" t="s">
        <v>81</v>
      </c>
      <c r="AA2" s="194" t="s">
        <v>82</v>
      </c>
      <c r="AB2" s="194" t="s">
        <v>23</v>
      </c>
      <c r="AC2" s="194" t="s">
        <v>17</v>
      </c>
      <c r="AD2" s="194" t="s">
        <v>83</v>
      </c>
      <c r="AE2" s="194" t="s">
        <v>195</v>
      </c>
      <c r="AF2" s="194" t="s">
        <v>18</v>
      </c>
      <c r="AG2" s="194" t="s">
        <v>84</v>
      </c>
      <c r="AH2" s="197" t="s">
        <v>181</v>
      </c>
    </row>
    <row r="3" spans="1:34" ht="12" customHeight="1" x14ac:dyDescent="0.2">
      <c r="A3" s="206"/>
      <c r="B3" s="195"/>
      <c r="C3" s="195"/>
      <c r="D3" s="195"/>
      <c r="E3" s="195"/>
      <c r="F3" s="198"/>
      <c r="G3" s="195"/>
      <c r="H3" s="195"/>
      <c r="I3" s="195"/>
      <c r="J3" s="195"/>
      <c r="K3" s="195"/>
      <c r="L3" s="195"/>
      <c r="M3" s="195"/>
      <c r="N3" s="195"/>
      <c r="O3" s="195"/>
      <c r="P3" s="195"/>
      <c r="Q3" s="195"/>
      <c r="R3" s="195"/>
      <c r="S3" s="195"/>
      <c r="T3" s="195"/>
      <c r="U3" s="195"/>
      <c r="V3" s="195"/>
      <c r="W3" s="195"/>
      <c r="X3" s="195"/>
      <c r="Y3" s="195"/>
      <c r="Z3" s="195"/>
      <c r="AA3" s="195"/>
      <c r="AB3" s="195"/>
      <c r="AC3" s="195"/>
      <c r="AD3" s="195"/>
      <c r="AE3" s="195"/>
      <c r="AF3" s="195"/>
      <c r="AG3" s="195"/>
      <c r="AH3" s="198"/>
    </row>
    <row r="4" spans="1:34" ht="23.25" customHeight="1" x14ac:dyDescent="0.2">
      <c r="A4" s="207"/>
      <c r="B4" s="196"/>
      <c r="C4" s="196"/>
      <c r="D4" s="196"/>
      <c r="E4" s="196"/>
      <c r="F4" s="199"/>
      <c r="G4" s="196"/>
      <c r="H4" s="196"/>
      <c r="I4" s="196"/>
      <c r="J4" s="196"/>
      <c r="K4" s="196"/>
      <c r="L4" s="196"/>
      <c r="M4" s="196"/>
      <c r="N4" s="196"/>
      <c r="O4" s="196"/>
      <c r="P4" s="196"/>
      <c r="Q4" s="196"/>
      <c r="R4" s="196"/>
      <c r="S4" s="196"/>
      <c r="T4" s="196"/>
      <c r="U4" s="196"/>
      <c r="V4" s="196"/>
      <c r="W4" s="196"/>
      <c r="X4" s="196"/>
      <c r="Y4" s="196"/>
      <c r="Z4" s="196"/>
      <c r="AA4" s="196"/>
      <c r="AB4" s="196"/>
      <c r="AC4" s="196"/>
      <c r="AD4" s="196"/>
      <c r="AE4" s="196"/>
      <c r="AF4" s="196"/>
      <c r="AG4" s="196"/>
      <c r="AH4" s="199"/>
    </row>
    <row r="5" spans="1:34" ht="12" customHeight="1" x14ac:dyDescent="0.2">
      <c r="A5" s="34"/>
      <c r="B5" s="214" t="s">
        <v>115</v>
      </c>
      <c r="C5" s="215"/>
      <c r="D5" s="215"/>
      <c r="E5" s="215"/>
      <c r="F5" s="215"/>
      <c r="G5" s="215"/>
      <c r="H5" s="215"/>
      <c r="I5" s="215"/>
      <c r="J5" s="215"/>
      <c r="K5" s="215"/>
      <c r="L5" s="215"/>
      <c r="M5" s="215"/>
      <c r="N5" s="215"/>
      <c r="O5" s="215"/>
      <c r="P5" s="215"/>
      <c r="Q5" s="215"/>
      <c r="R5" s="216"/>
      <c r="S5" s="214" t="s">
        <v>116</v>
      </c>
      <c r="T5" s="215"/>
      <c r="U5" s="215"/>
      <c r="V5" s="215"/>
      <c r="W5" s="215"/>
      <c r="X5" s="215"/>
      <c r="Y5" s="215"/>
      <c r="Z5" s="215"/>
      <c r="AA5" s="215"/>
      <c r="AB5" s="215"/>
      <c r="AC5" s="215"/>
      <c r="AD5" s="215"/>
      <c r="AE5" s="215"/>
      <c r="AF5" s="215"/>
      <c r="AG5" s="215"/>
      <c r="AH5" s="216"/>
    </row>
    <row r="6" spans="1:34" ht="12" customHeight="1" x14ac:dyDescent="0.2">
      <c r="A6" s="2">
        <v>1970</v>
      </c>
      <c r="B6" s="18">
        <f>+Artichokes!I17</f>
        <v>0.43358757778514723</v>
      </c>
      <c r="C6" s="18">
        <f>+Asparagus!I17</f>
        <v>0.40215794042486785</v>
      </c>
      <c r="D6" s="18">
        <f>Peppers!I17</f>
        <v>1.9898367243430934</v>
      </c>
      <c r="E6" s="18">
        <f>Broccoli!I17</f>
        <v>0.48994401420127581</v>
      </c>
      <c r="F6" s="18">
        <f>BrusselsSprouts!K17</f>
        <v>0.29187894192692593</v>
      </c>
      <c r="G6" s="18">
        <f>Cabbage!J17</f>
        <v>8.0653639076917099</v>
      </c>
      <c r="H6" s="18">
        <f>Carrots!I17</f>
        <v>5.7891949359186947</v>
      </c>
      <c r="I6" s="18">
        <f>Cauliflower!I17</f>
        <v>0.68197335310067697</v>
      </c>
      <c r="J6" s="18">
        <f>Celery!I17</f>
        <v>6.757970368491895</v>
      </c>
      <c r="K6" s="18" t="str">
        <f>Collards!K17</f>
        <v>NA</v>
      </c>
      <c r="L6" s="18">
        <f>SweetCorn!I17</f>
        <v>7.1579878274779087</v>
      </c>
      <c r="M6" s="18">
        <f>Cucumbers!I17</f>
        <v>2.5928447418215872</v>
      </c>
      <c r="N6" s="18">
        <f>Eggplant!I17</f>
        <v>0.30021653044105889</v>
      </c>
      <c r="O6" s="18">
        <f>Escarole!I17</f>
        <v>0.50079979712463174</v>
      </c>
      <c r="P6" s="18">
        <f>Garlic!J17</f>
        <v>0.35845853734662425</v>
      </c>
      <c r="Q6" s="18" t="str">
        <f>Kale!K17</f>
        <v>NA</v>
      </c>
      <c r="R6" s="18">
        <f>HeadLettuce!I17</f>
        <v>20.809936016230033</v>
      </c>
      <c r="S6" s="18" t="str">
        <f>Romaine!I17</f>
        <v>NA</v>
      </c>
      <c r="T6" s="18" t="str">
        <f>LimaBeans!I17</f>
        <v>NA</v>
      </c>
      <c r="U6" s="18">
        <f>Mushrooms!I17</f>
        <v>0.27032568224519127</v>
      </c>
      <c r="V6" s="18" t="str">
        <f>MustardGreens!K17</f>
        <v>NA</v>
      </c>
      <c r="W6" s="18" t="str">
        <f>Okra!K17</f>
        <v>NA</v>
      </c>
      <c r="X6" s="18">
        <f>Onions!L17</f>
        <v>9.5351423053664455</v>
      </c>
      <c r="Y6" s="18">
        <f>Potatoes!I17</f>
        <v>59.334373719836918</v>
      </c>
      <c r="Z6" s="18" t="str">
        <f>Pumpkin!L17</f>
        <v>NA</v>
      </c>
      <c r="AA6" s="18">
        <f>Radishes!I17</f>
        <v>0.48771531123812489</v>
      </c>
      <c r="AB6" s="18">
        <f>SnapBeans!I17</f>
        <v>1.4554844624778105</v>
      </c>
      <c r="AC6" s="18">
        <f>Spinach!I17</f>
        <v>0.26221641339757723</v>
      </c>
      <c r="AD6" s="18">
        <f>Squash!I17</f>
        <v>1.1961214716267095</v>
      </c>
      <c r="AE6" s="18">
        <f>SweetPotatoes!M17</f>
        <v>4.8714960107680003</v>
      </c>
      <c r="AF6" s="18">
        <f>Tomatoes!I17</f>
        <v>10.325626328931198</v>
      </c>
      <c r="AG6" s="18" t="str">
        <f>TurnipGreens!K17</f>
        <v>NA</v>
      </c>
      <c r="AH6" s="18">
        <f>SUM(B6:AG6)</f>
        <v>144.36065292021411</v>
      </c>
    </row>
    <row r="7" spans="1:34" ht="12" customHeight="1" x14ac:dyDescent="0.2">
      <c r="A7" s="3">
        <v>1971</v>
      </c>
      <c r="B7" s="19">
        <f>+Artichokes!I18</f>
        <v>0.47158108648229574</v>
      </c>
      <c r="C7" s="19">
        <f>+Asparagus!I18</f>
        <v>0.34455030073051746</v>
      </c>
      <c r="D7" s="19">
        <f>Peppers!I18</f>
        <v>2.0835688935332106</v>
      </c>
      <c r="E7" s="19">
        <f>Broccoli!I18</f>
        <v>0.66277249941009619</v>
      </c>
      <c r="F7" s="19">
        <f>BrusselsSprouts!K18</f>
        <v>0.27596048174669291</v>
      </c>
      <c r="G7" s="19">
        <f>Cabbage!J18</f>
        <v>8.2045256451620681</v>
      </c>
      <c r="H7" s="19">
        <f>Carrots!I18</f>
        <v>5.9327317117802565</v>
      </c>
      <c r="I7" s="19">
        <f>Cauliflower!I18</f>
        <v>0.63884889314796722</v>
      </c>
      <c r="J7" s="19">
        <f>Celery!I18</f>
        <v>6.7631006592475247</v>
      </c>
      <c r="K7" s="19" t="str">
        <f>Collards!K18</f>
        <v>NA</v>
      </c>
      <c r="L7" s="19">
        <f>SweetCorn!I18</f>
        <v>6.8589776607066328</v>
      </c>
      <c r="M7" s="19">
        <f>Cucumbers!I18</f>
        <v>2.5624840485213882</v>
      </c>
      <c r="N7" s="19">
        <f>Eggplant!I18</f>
        <v>0.29037710499323416</v>
      </c>
      <c r="O7" s="19">
        <f>Escarole!I18</f>
        <v>0.5088100317344133</v>
      </c>
      <c r="P7" s="19">
        <f>Garlic!J18</f>
        <v>0.24237473574720336</v>
      </c>
      <c r="Q7" s="19" t="str">
        <f>Kale!K18</f>
        <v>NA</v>
      </c>
      <c r="R7" s="19">
        <f>HeadLettuce!I18</f>
        <v>20.81764028873982</v>
      </c>
      <c r="S7" s="19" t="str">
        <f>Romaine!I18</f>
        <v>NA</v>
      </c>
      <c r="T7" s="19" t="str">
        <f>LimaBeans!I18</f>
        <v>NA</v>
      </c>
      <c r="U7" s="19">
        <f>Mushrooms!I18</f>
        <v>0.30232009144362748</v>
      </c>
      <c r="V7" s="19" t="str">
        <f>MustardGreens!K18</f>
        <v>NA</v>
      </c>
      <c r="W7" s="19" t="str">
        <f>Okra!K18</f>
        <v>NA</v>
      </c>
      <c r="X7" s="19">
        <f>Onions!L18</f>
        <v>10.082114600237887</v>
      </c>
      <c r="Y7" s="19">
        <f>Potatoes!I18</f>
        <v>53.826805803689666</v>
      </c>
      <c r="Z7" s="19" t="str">
        <f>Pumpkin!L18</f>
        <v>NA</v>
      </c>
      <c r="AA7" s="19">
        <f>Radishes!I18</f>
        <v>0.54744993041543666</v>
      </c>
      <c r="AB7" s="19">
        <f>SnapBeans!I18</f>
        <v>1.4218076576728418</v>
      </c>
      <c r="AC7" s="19">
        <f>Spinach!I18</f>
        <v>0.26824487987633688</v>
      </c>
      <c r="AD7" s="19">
        <f>Squash!I18</f>
        <v>1.254901498114716</v>
      </c>
      <c r="AE7" s="19">
        <f>SweetPotatoes!M18</f>
        <v>4.4336249945825168</v>
      </c>
      <c r="AF7" s="19">
        <f>Tomatoes!I18</f>
        <v>9.6415896099893565</v>
      </c>
      <c r="AG7" s="19" t="str">
        <f>TurnipGreens!K18</f>
        <v>NA</v>
      </c>
      <c r="AH7" s="19">
        <f t="shared" ref="AH7:AH42" si="0">SUM(B7:AG7)</f>
        <v>138.43716310770571</v>
      </c>
    </row>
    <row r="8" spans="1:34" ht="12" customHeight="1" x14ac:dyDescent="0.2">
      <c r="A8" s="3">
        <v>1972</v>
      </c>
      <c r="B8" s="19">
        <f>+Artichokes!I19</f>
        <v>0.52194420093760729</v>
      </c>
      <c r="C8" s="19">
        <f>+Asparagus!I19</f>
        <v>0.36686835385143124</v>
      </c>
      <c r="D8" s="19">
        <f>Peppers!I19</f>
        <v>2.2112855890536269</v>
      </c>
      <c r="E8" s="19">
        <f>Broccoli!I19</f>
        <v>0.64607234058771967</v>
      </c>
      <c r="F8" s="19">
        <f>BrusselsSprouts!K19</f>
        <v>0.25672403285436596</v>
      </c>
      <c r="G8" s="19">
        <f>Cabbage!J19</f>
        <v>7.7861845866524382</v>
      </c>
      <c r="H8" s="19">
        <f>Carrots!I19</f>
        <v>6.3446325799443537</v>
      </c>
      <c r="I8" s="19">
        <f>Cauliflower!I19</f>
        <v>0.76792316194686894</v>
      </c>
      <c r="J8" s="19">
        <f>Celery!I19</f>
        <v>6.6331442714487183</v>
      </c>
      <c r="K8" s="19" t="str">
        <f>Collards!K19</f>
        <v>NA</v>
      </c>
      <c r="L8" s="19">
        <f>SweetCorn!I19</f>
        <v>7.1492419102793781</v>
      </c>
      <c r="M8" s="19">
        <f>Cucumbers!I19</f>
        <v>2.7298090482905826</v>
      </c>
      <c r="N8" s="19">
        <f>Eggplant!I19</f>
        <v>0.34817242825018108</v>
      </c>
      <c r="O8" s="19">
        <f>Escarole!I19</f>
        <v>0.51368296680260706</v>
      </c>
      <c r="P8" s="19">
        <f>Garlic!J19</f>
        <v>0.312483039219423</v>
      </c>
      <c r="Q8" s="19" t="str">
        <f>Kale!K19</f>
        <v>NA</v>
      </c>
      <c r="R8" s="19">
        <f>HeadLettuce!I19</f>
        <v>20.868463429507948</v>
      </c>
      <c r="S8" s="19" t="str">
        <f>Romaine!I19</f>
        <v>NA</v>
      </c>
      <c r="T8" s="19" t="str">
        <f>LimaBeans!I19</f>
        <v>NA</v>
      </c>
      <c r="U8" s="19">
        <f>Mushrooms!I19</f>
        <v>0.34626890104682712</v>
      </c>
      <c r="V8" s="19" t="str">
        <f>MustardGreens!K19</f>
        <v>NA</v>
      </c>
      <c r="W8" s="19" t="str">
        <f>Okra!K19</f>
        <v>NA</v>
      </c>
      <c r="X8" s="19">
        <f>Onions!L19</f>
        <v>10.055818119449635</v>
      </c>
      <c r="Y8" s="19">
        <f>Potatoes!I19</f>
        <v>55.540063269428678</v>
      </c>
      <c r="Z8" s="19" t="str">
        <f>Pumpkin!L19</f>
        <v>NA</v>
      </c>
      <c r="AA8" s="19">
        <f>Radishes!I19</f>
        <v>0.48847524488318023</v>
      </c>
      <c r="AB8" s="19">
        <f>SnapBeans!I19</f>
        <v>1.4357777184891563</v>
      </c>
      <c r="AC8" s="19">
        <f>Spinach!I19</f>
        <v>0.24903761863017879</v>
      </c>
      <c r="AD8" s="19">
        <f>Squash!I19</f>
        <v>1.326138182719061</v>
      </c>
      <c r="AE8" s="19">
        <f>SweetPotatoes!M19</f>
        <v>4.369778366429089</v>
      </c>
      <c r="AF8" s="19">
        <f>Tomatoes!I19</f>
        <v>10.280170822693146</v>
      </c>
      <c r="AG8" s="19" t="str">
        <f>TurnipGreens!K19</f>
        <v>NA</v>
      </c>
      <c r="AH8" s="19">
        <f t="shared" si="0"/>
        <v>141.54816018339622</v>
      </c>
    </row>
    <row r="9" spans="1:34" ht="12" customHeight="1" x14ac:dyDescent="0.2">
      <c r="A9" s="3">
        <v>1973</v>
      </c>
      <c r="B9" s="19">
        <f>+Artichokes!I20</f>
        <v>0.45422799409180359</v>
      </c>
      <c r="C9" s="19">
        <f>+Asparagus!I20</f>
        <v>0.36431090704028618</v>
      </c>
      <c r="D9" s="19">
        <f>Peppers!I20</f>
        <v>2.331378091539293</v>
      </c>
      <c r="E9" s="19">
        <f>Broccoli!I20</f>
        <v>0.69767683298019434</v>
      </c>
      <c r="F9" s="19">
        <f>BrusselsSprouts!K20</f>
        <v>0.2461622677658806</v>
      </c>
      <c r="G9" s="19">
        <f>Cabbage!J20</f>
        <v>8.2401785672151728</v>
      </c>
      <c r="H9" s="19">
        <f>Carrots!I20</f>
        <v>6.501790863059143</v>
      </c>
      <c r="I9" s="19">
        <f>Cauliflower!I20</f>
        <v>0.69680853573939761</v>
      </c>
      <c r="J9" s="19">
        <f>Celery!I20</f>
        <v>7.0353429821291229</v>
      </c>
      <c r="K9" s="19" t="str">
        <f>Collards!K20</f>
        <v>NA</v>
      </c>
      <c r="L9" s="19">
        <f>SweetCorn!I20</f>
        <v>7.2771036624211343</v>
      </c>
      <c r="M9" s="19">
        <f>Cucumbers!I20</f>
        <v>2.5254425248573686</v>
      </c>
      <c r="N9" s="19">
        <f>Eggplant!I20</f>
        <v>0.39030904775162928</v>
      </c>
      <c r="O9" s="19">
        <f>Escarole!I20</f>
        <v>0.51899636164580076</v>
      </c>
      <c r="P9" s="19">
        <f>Garlic!J20</f>
        <v>0.42316211203865811</v>
      </c>
      <c r="Q9" s="19" t="str">
        <f>Kale!K20</f>
        <v>NA</v>
      </c>
      <c r="R9" s="19">
        <f>HeadLettuce!I20</f>
        <v>21.50407486232298</v>
      </c>
      <c r="S9" s="19" t="str">
        <f>Romaine!I20</f>
        <v>NA</v>
      </c>
      <c r="T9" s="19" t="str">
        <f>LimaBeans!I20</f>
        <v>NA</v>
      </c>
      <c r="U9" s="19">
        <f>Mushrooms!I20</f>
        <v>0.4557475175960376</v>
      </c>
      <c r="V9" s="19" t="str">
        <f>MustardGreens!K20</f>
        <v>NA</v>
      </c>
      <c r="W9" s="19" t="str">
        <f>Okra!K20</f>
        <v>NA</v>
      </c>
      <c r="X9" s="19">
        <f>Onions!L20</f>
        <v>9.6262735419448937</v>
      </c>
      <c r="Y9" s="19">
        <f>Potatoes!I20</f>
        <v>50.322082025775224</v>
      </c>
      <c r="Z9" s="19" t="str">
        <f>Pumpkin!L20</f>
        <v>NA</v>
      </c>
      <c r="AA9" s="19">
        <f>Radishes!I20</f>
        <v>0.54288397378119846</v>
      </c>
      <c r="AB9" s="19">
        <f>SnapBeans!I20</f>
        <v>1.3422931541369172</v>
      </c>
      <c r="AC9" s="19">
        <f>Spinach!I20</f>
        <v>0.26079118867060863</v>
      </c>
      <c r="AD9" s="19">
        <f>Squash!I20</f>
        <v>1.366880123071696</v>
      </c>
      <c r="AE9" s="19">
        <f>SweetPotatoes!M20</f>
        <v>4.5291563831644712</v>
      </c>
      <c r="AF9" s="19">
        <f>Tomatoes!I20</f>
        <v>10.611671731733903</v>
      </c>
      <c r="AG9" s="19" t="str">
        <f>TurnipGreens!K20</f>
        <v>NA</v>
      </c>
      <c r="AH9" s="19">
        <f t="shared" si="0"/>
        <v>138.26474525247281</v>
      </c>
    </row>
    <row r="10" spans="1:34" ht="12" customHeight="1" x14ac:dyDescent="0.2">
      <c r="A10" s="3">
        <v>1974</v>
      </c>
      <c r="B10" s="19">
        <f>+Artichokes!I21</f>
        <v>0.46966622087966559</v>
      </c>
      <c r="C10" s="19">
        <f>+Asparagus!I21</f>
        <v>0.3537593404846297</v>
      </c>
      <c r="D10" s="19">
        <f>Peppers!I21</f>
        <v>2.5067756506775654</v>
      </c>
      <c r="E10" s="19">
        <f>Broccoli!I21</f>
        <v>0.72359647235964719</v>
      </c>
      <c r="F10" s="19">
        <f>BrusselsSprouts!K21</f>
        <v>0.30673263067326306</v>
      </c>
      <c r="G10" s="19">
        <f>Cabbage!J21</f>
        <v>8.2074172098721547</v>
      </c>
      <c r="H10" s="19">
        <f>Carrots!I21</f>
        <v>6.7043730769590457</v>
      </c>
      <c r="I10" s="19">
        <f>Cauliflower!I21</f>
        <v>0.72488707248870732</v>
      </c>
      <c r="J10" s="19">
        <f>Celery!I21</f>
        <v>6.8371716638454272</v>
      </c>
      <c r="K10" s="19" t="str">
        <f>Collards!K21</f>
        <v>NA</v>
      </c>
      <c r="L10" s="19">
        <f>SweetCorn!I21</f>
        <v>7.113985803398581</v>
      </c>
      <c r="M10" s="19">
        <f>Cucumbers!I21</f>
        <v>2.7201548720154869</v>
      </c>
      <c r="N10" s="19">
        <f>Eggplant!I21</f>
        <v>0.36571679744124497</v>
      </c>
      <c r="O10" s="19">
        <f>Escarole!I21</f>
        <v>0.48060826545213087</v>
      </c>
      <c r="P10" s="19">
        <f>Garlic!J21</f>
        <v>0.52935928250114561</v>
      </c>
      <c r="Q10" s="19" t="str">
        <f>Kale!K21</f>
        <v>NA</v>
      </c>
      <c r="R10" s="19">
        <f>HeadLettuce!I21</f>
        <v>21.85600456386133</v>
      </c>
      <c r="S10" s="19" t="str">
        <f>Romaine!I21</f>
        <v>NA</v>
      </c>
      <c r="T10" s="19" t="str">
        <f>LimaBeans!I21</f>
        <v>NA</v>
      </c>
      <c r="U10" s="19">
        <f>Mushrooms!I21</f>
        <v>0.5579820787857156</v>
      </c>
      <c r="V10" s="19" t="str">
        <f>MustardGreens!K21</f>
        <v>NA</v>
      </c>
      <c r="W10" s="19">
        <f>Okra!K21</f>
        <v>0.14556887708436603</v>
      </c>
      <c r="X10" s="19">
        <f>Onions!L21</f>
        <v>10.514528603626772</v>
      </c>
      <c r="Y10" s="19">
        <f>Potatoes!I21</f>
        <v>47.376453842341036</v>
      </c>
      <c r="Z10" s="19" t="str">
        <f>Pumpkin!L21</f>
        <v>NA</v>
      </c>
      <c r="AA10" s="19">
        <f>Radishes!I21</f>
        <v>0.49122765999233114</v>
      </c>
      <c r="AB10" s="19">
        <f>SnapBeans!I21</f>
        <v>1.2795365062145199</v>
      </c>
      <c r="AC10" s="19">
        <f>Spinach!I21</f>
        <v>0.24977788584735378</v>
      </c>
      <c r="AD10" s="19">
        <f>Squash!I21</f>
        <v>1.4273181703405124</v>
      </c>
      <c r="AE10" s="19">
        <f>SweetPotatoes!M21</f>
        <v>4.4073292994285831</v>
      </c>
      <c r="AF10" s="19">
        <f>Tomatoes!I21</f>
        <v>10.066582107419078</v>
      </c>
      <c r="AG10" s="19" t="str">
        <f>TurnipGreens!K21</f>
        <v>NA</v>
      </c>
      <c r="AH10" s="19">
        <f t="shared" si="0"/>
        <v>136.41651395399029</v>
      </c>
    </row>
    <row r="11" spans="1:34" ht="12" customHeight="1" x14ac:dyDescent="0.2">
      <c r="A11" s="3">
        <v>1975</v>
      </c>
      <c r="B11" s="19">
        <f>+Artichokes!I22</f>
        <v>0.4555847258685114</v>
      </c>
      <c r="C11" s="19">
        <f>+Asparagus!I22</f>
        <v>0.37469720752131053</v>
      </c>
      <c r="D11" s="19">
        <f>Peppers!I22</f>
        <v>2.2858042440490247</v>
      </c>
      <c r="E11" s="19">
        <f>Broccoli!I22</f>
        <v>0.91116945173702268</v>
      </c>
      <c r="F11" s="19">
        <f>BrusselsSprouts!K22</f>
        <v>0.28412810860616827</v>
      </c>
      <c r="G11" s="19">
        <f>Cabbage!J22</f>
        <v>8.2883693795057702</v>
      </c>
      <c r="H11" s="19">
        <f>Carrots!I22</f>
        <v>6.2505452070397691</v>
      </c>
      <c r="I11" s="19">
        <f>Cauliflower!I22</f>
        <v>0.84429072152537599</v>
      </c>
      <c r="J11" s="19">
        <f>Celery!I22</f>
        <v>6.4580719534386253</v>
      </c>
      <c r="K11" s="19" t="str">
        <f>Collards!K22</f>
        <v>NA</v>
      </c>
      <c r="L11" s="19">
        <f>SweetCorn!I22</f>
        <v>7.1529187444726894</v>
      </c>
      <c r="M11" s="19">
        <f>Cucumbers!I22</f>
        <v>2.5805818319882574</v>
      </c>
      <c r="N11" s="19">
        <f>Eggplant!I22</f>
        <v>0.40088344376380375</v>
      </c>
      <c r="O11" s="19">
        <f>Escarole!I22</f>
        <v>0.46172438221444345</v>
      </c>
      <c r="P11" s="19">
        <f>Garlic!J22</f>
        <v>0.58504313039129885</v>
      </c>
      <c r="Q11" s="19" t="str">
        <f>Kale!K22</f>
        <v>NA</v>
      </c>
      <c r="R11" s="19">
        <f>HeadLettuce!I22</f>
        <v>21.889597310774956</v>
      </c>
      <c r="S11" s="19" t="str">
        <f>Romaine!I22</f>
        <v>NA</v>
      </c>
      <c r="T11" s="19" t="str">
        <f>LimaBeans!I22</f>
        <v>NA</v>
      </c>
      <c r="U11" s="19">
        <f>Mushrooms!I22</f>
        <v>0.62156571178657327</v>
      </c>
      <c r="V11" s="19" t="str">
        <f>MustardGreens!K22</f>
        <v>NA</v>
      </c>
      <c r="W11" s="19">
        <f>Okra!K22</f>
        <v>0.16112760761761882</v>
      </c>
      <c r="X11" s="19">
        <f>Onions!L22</f>
        <v>9.8734101021887</v>
      </c>
      <c r="Y11" s="19">
        <f>Potatoes!I22</f>
        <v>50.538437304663084</v>
      </c>
      <c r="Z11" s="19" t="str">
        <f>Pumpkin!L22</f>
        <v>NA</v>
      </c>
      <c r="AA11" s="19">
        <f>Radishes!I22</f>
        <v>0.61485926481550934</v>
      </c>
      <c r="AB11" s="19">
        <f>SnapBeans!I22</f>
        <v>1.3596884795784654</v>
      </c>
      <c r="AC11" s="19">
        <f>Spinach!I22</f>
        <v>0.25629129567121811</v>
      </c>
      <c r="AD11" s="19">
        <f>Squash!I22</f>
        <v>1.5009001125140644</v>
      </c>
      <c r="AE11" s="19">
        <f>SweetPotatoes!M22</f>
        <v>4.8289369504521398</v>
      </c>
      <c r="AF11" s="19">
        <f>Tomatoes!I22</f>
        <v>10.197052177818524</v>
      </c>
      <c r="AG11" s="19" t="str">
        <f>TurnipGreens!K22</f>
        <v>NA</v>
      </c>
      <c r="AH11" s="19">
        <f t="shared" si="0"/>
        <v>139.17567885000292</v>
      </c>
    </row>
    <row r="12" spans="1:34" ht="12" customHeight="1" x14ac:dyDescent="0.2">
      <c r="A12" s="2">
        <v>1976</v>
      </c>
      <c r="B12" s="18">
        <f>+Artichokes!I23</f>
        <v>0.50715252138418143</v>
      </c>
      <c r="C12" s="18">
        <f>+Asparagus!I23</f>
        <v>0.3924062170859452</v>
      </c>
      <c r="D12" s="18">
        <f>Peppers!I23</f>
        <v>2.453642763776458</v>
      </c>
      <c r="E12" s="18">
        <f>Broccoli!I23</f>
        <v>0.9907400188043205</v>
      </c>
      <c r="F12" s="18">
        <f>BrusselsSprouts!K23</f>
        <v>0.31857270621689182</v>
      </c>
      <c r="G12" s="18">
        <f>Cabbage!J23</f>
        <v>7.779182241383265</v>
      </c>
      <c r="H12" s="18">
        <f>Carrots!I23</f>
        <v>6.2181255303047678</v>
      </c>
      <c r="I12" s="18">
        <f>Cauliflower!I23</f>
        <v>0.94938885958676367</v>
      </c>
      <c r="J12" s="18">
        <f>Celery!I23</f>
        <v>6.8440151718760767</v>
      </c>
      <c r="K12" s="18" t="str">
        <f>Collards!K23</f>
        <v>NA</v>
      </c>
      <c r="L12" s="18">
        <f>SweetCorn!I23</f>
        <v>7.3717513243286632</v>
      </c>
      <c r="M12" s="18">
        <f>Cucumbers!I23</f>
        <v>2.8363519618409887</v>
      </c>
      <c r="N12" s="18">
        <f>Eggplant!I23</f>
        <v>0.41319054280276102</v>
      </c>
      <c r="O12" s="18">
        <f>Escarole!I23</f>
        <v>0.46561331896255187</v>
      </c>
      <c r="P12" s="18">
        <f>Garlic!J23</f>
        <v>0.38878216800055043</v>
      </c>
      <c r="Q12" s="18" t="str">
        <f>Kale!K23</f>
        <v>NA</v>
      </c>
      <c r="R12" s="18">
        <f>HeadLettuce!I23</f>
        <v>22.530538674983376</v>
      </c>
      <c r="S12" s="18" t="str">
        <f>Romaine!I23</f>
        <v>NA</v>
      </c>
      <c r="T12" s="18" t="str">
        <f>LimaBeans!I23</f>
        <v>NA</v>
      </c>
      <c r="U12" s="18">
        <f>Mushrooms!I23</f>
        <v>0.65488463575853884</v>
      </c>
      <c r="V12" s="18" t="str">
        <f>MustardGreens!K23</f>
        <v>NA</v>
      </c>
      <c r="W12" s="18">
        <f>Okra!K23</f>
        <v>0.10611879377164221</v>
      </c>
      <c r="X12" s="18">
        <f>Onions!L23</f>
        <v>10.345669273281812</v>
      </c>
      <c r="Y12" s="18">
        <f>Potatoes!I23</f>
        <v>47.46928006971357</v>
      </c>
      <c r="Z12" s="18" t="str">
        <f>Pumpkin!L23</f>
        <v>NA</v>
      </c>
      <c r="AA12" s="18">
        <f>Radishes!I23</f>
        <v>0.58324122273946832</v>
      </c>
      <c r="AB12" s="18">
        <f>SnapBeans!I23</f>
        <v>1.3610567110784964</v>
      </c>
      <c r="AC12" s="18">
        <f>Spinach!I23</f>
        <v>0.27646937418304401</v>
      </c>
      <c r="AD12" s="18">
        <f>Squash!I23</f>
        <v>1.5953612952048983</v>
      </c>
      <c r="AE12" s="18">
        <f>SweetPotatoes!M23</f>
        <v>4.8448551838007647</v>
      </c>
      <c r="AF12" s="18">
        <f>Tomatoes!I23</f>
        <v>10.672515949274199</v>
      </c>
      <c r="AG12" s="18" t="str">
        <f>TurnipGreens!K23</f>
        <v>NA</v>
      </c>
      <c r="AH12" s="18">
        <f t="shared" si="0"/>
        <v>138.36890653014399</v>
      </c>
    </row>
    <row r="13" spans="1:34" ht="12" customHeight="1" x14ac:dyDescent="0.2">
      <c r="A13" s="2">
        <v>1977</v>
      </c>
      <c r="B13" s="18">
        <f>+Artichokes!I24</f>
        <v>0.43071390625638517</v>
      </c>
      <c r="C13" s="18">
        <f>+Asparagus!I24</f>
        <v>0.30577757845198389</v>
      </c>
      <c r="D13" s="18">
        <f>Peppers!I24</f>
        <v>2.5752932042008916</v>
      </c>
      <c r="E13" s="18">
        <f>Broccoli!I24</f>
        <v>1.1291188209172764</v>
      </c>
      <c r="F13" s="18">
        <f>BrusselsSprouts!K24</f>
        <v>0.32081511448925948</v>
      </c>
      <c r="G13" s="18">
        <f>Cabbage!J24</f>
        <v>7.7026003568850223</v>
      </c>
      <c r="H13" s="18">
        <f>Carrots!I24</f>
        <v>5.150836137105598</v>
      </c>
      <c r="I13" s="18">
        <f>Cauliflower!I24</f>
        <v>1.0008763207243043</v>
      </c>
      <c r="J13" s="18">
        <f>Celery!I24</f>
        <v>6.5525439772247438</v>
      </c>
      <c r="K13" s="18" t="str">
        <f>Collards!K24</f>
        <v>NA</v>
      </c>
      <c r="L13" s="18">
        <f>SweetCorn!I24</f>
        <v>6.9519256807377454</v>
      </c>
      <c r="M13" s="18">
        <f>Cucumbers!I24</f>
        <v>3.2156702491384368</v>
      </c>
      <c r="N13" s="18">
        <f>Eggplant!I24</f>
        <v>0.39393567896694048</v>
      </c>
      <c r="O13" s="18">
        <f>Escarole!I24</f>
        <v>0.42458420170814443</v>
      </c>
      <c r="P13" s="18">
        <f>Garlic!J24</f>
        <v>0.48220669363736673</v>
      </c>
      <c r="Q13" s="18" t="str">
        <f>Kale!K24</f>
        <v>NA</v>
      </c>
      <c r="R13" s="18">
        <f>HeadLettuce!I24</f>
        <v>24.016522959148929</v>
      </c>
      <c r="S13" s="18" t="str">
        <f>Romaine!I24</f>
        <v>NA</v>
      </c>
      <c r="T13" s="18" t="str">
        <f>LimaBeans!I24</f>
        <v>NA</v>
      </c>
      <c r="U13" s="18">
        <f>Mushrooms!I24</f>
        <v>0.81949091838177934</v>
      </c>
      <c r="V13" s="18" t="str">
        <f>MustardGreens!K24</f>
        <v>NA</v>
      </c>
      <c r="W13" s="18">
        <f>Okra!K24</f>
        <v>0.15120639487102655</v>
      </c>
      <c r="X13" s="18">
        <f>Onions!L24</f>
        <v>10.40347077493087</v>
      </c>
      <c r="Y13" s="18">
        <f>Potatoes!I24</f>
        <v>48.073831065342652</v>
      </c>
      <c r="Z13" s="18" t="str">
        <f>Pumpkin!L24</f>
        <v>NA</v>
      </c>
      <c r="AA13" s="18">
        <f>Radishes!I24</f>
        <v>0.64082655660441612</v>
      </c>
      <c r="AB13" s="18">
        <f>SnapBeans!I24</f>
        <v>1.2642084281167278</v>
      </c>
      <c r="AC13" s="18">
        <f>Spinach!I24</f>
        <v>0.33403711422590915</v>
      </c>
      <c r="AD13" s="18">
        <f>Squash!I24</f>
        <v>1.7225981774345147</v>
      </c>
      <c r="AE13" s="18">
        <f>SweetPotatoes!M24</f>
        <v>4.2437579175350413</v>
      </c>
      <c r="AF13" s="18">
        <f>Tomatoes!I24</f>
        <v>10.503405527631347</v>
      </c>
      <c r="AG13" s="18" t="str">
        <f>TurnipGreens!K24</f>
        <v>NA</v>
      </c>
      <c r="AH13" s="18">
        <f t="shared" si="0"/>
        <v>138.81025375466731</v>
      </c>
    </row>
    <row r="14" spans="1:34" ht="12" customHeight="1" x14ac:dyDescent="0.2">
      <c r="A14" s="2">
        <v>1978</v>
      </c>
      <c r="B14" s="18">
        <f>+Artichokes!I25</f>
        <v>0.44998989150212282</v>
      </c>
      <c r="C14" s="18">
        <f>+Asparagus!I25</f>
        <v>0.26221704068108814</v>
      </c>
      <c r="D14" s="18">
        <f>Peppers!I25</f>
        <v>2.5448435429161895</v>
      </c>
      <c r="E14" s="18">
        <f>Broccoli!I25</f>
        <v>0.9083359615427814</v>
      </c>
      <c r="F14" s="18">
        <f>BrusselsSprouts!K25</f>
        <v>0.32446031852999979</v>
      </c>
      <c r="G14" s="18">
        <f>Cabbage!J25</f>
        <v>7.9494579149538387</v>
      </c>
      <c r="H14" s="18">
        <f>Carrots!I25</f>
        <v>5.1510209582855975</v>
      </c>
      <c r="I14" s="18">
        <f>Cauliflower!I25</f>
        <v>0.72455915717591046</v>
      </c>
      <c r="J14" s="18">
        <f>Celery!I25</f>
        <v>6.5754135723431508</v>
      </c>
      <c r="K14" s="18" t="str">
        <f>Collards!K25</f>
        <v>NA</v>
      </c>
      <c r="L14" s="18">
        <f>SweetCorn!I25</f>
        <v>6.0627125817103575</v>
      </c>
      <c r="M14" s="18">
        <f>Cucumbers!I25</f>
        <v>3.5025181391378575</v>
      </c>
      <c r="N14" s="18">
        <f>Eggplant!I25</f>
        <v>0.43992182761641624</v>
      </c>
      <c r="O14" s="18">
        <f>Escarole!I25</f>
        <v>0.43143068939955526</v>
      </c>
      <c r="P14" s="18">
        <f>Garlic!J25</f>
        <v>0.50539254666756528</v>
      </c>
      <c r="Q14" s="18" t="str">
        <f>Kale!K25</f>
        <v>NA</v>
      </c>
      <c r="R14" s="18">
        <f>HeadLettuce!I25</f>
        <v>23.314239504009706</v>
      </c>
      <c r="S14" s="18" t="str">
        <f>Romaine!I25</f>
        <v>NA</v>
      </c>
      <c r="T14" s="18" t="str">
        <f>LimaBeans!I25</f>
        <v>NA</v>
      </c>
      <c r="U14" s="18">
        <f>Mushrooms!I25</f>
        <v>0.97337474717465033</v>
      </c>
      <c r="V14" s="18" t="str">
        <f>MustardGreens!K25</f>
        <v>NA</v>
      </c>
      <c r="W14" s="18">
        <f>Okra!K25</f>
        <v>0.30862946775389172</v>
      </c>
      <c r="X14" s="18">
        <f>Onions!L25</f>
        <v>10.262147044949121</v>
      </c>
      <c r="Y14" s="18">
        <f>Potatoes!I25</f>
        <v>44.127268953433507</v>
      </c>
      <c r="Z14" s="18" t="str">
        <f>Pumpkin!L25</f>
        <v>NA</v>
      </c>
      <c r="AA14" s="18">
        <f>Radishes!I25</f>
        <v>0.53077083836104144</v>
      </c>
      <c r="AB14" s="18">
        <f>SnapBeans!I25</f>
        <v>1.2120313588067482</v>
      </c>
      <c r="AC14" s="18">
        <f>Spinach!I25</f>
        <v>0.29799088793943168</v>
      </c>
      <c r="AD14" s="18">
        <f>Squash!I25</f>
        <v>1.7819947435811037</v>
      </c>
      <c r="AE14" s="18">
        <f>SweetPotatoes!M25</f>
        <v>4.4125519652698966</v>
      </c>
      <c r="AF14" s="18">
        <f>Tomatoes!I25</f>
        <v>10.978982411213694</v>
      </c>
      <c r="AG14" s="18" t="str">
        <f>TurnipGreens!K25</f>
        <v>NA</v>
      </c>
      <c r="AH14" s="18">
        <f t="shared" si="0"/>
        <v>134.03225606495522</v>
      </c>
    </row>
    <row r="15" spans="1:34" ht="12" customHeight="1" x14ac:dyDescent="0.2">
      <c r="A15" s="2">
        <v>1979</v>
      </c>
      <c r="B15" s="18">
        <f>+Artichokes!I26</f>
        <v>0.56736797671680261</v>
      </c>
      <c r="C15" s="18">
        <f>+Asparagus!I26</f>
        <v>0.22805092088600562</v>
      </c>
      <c r="D15" s="18">
        <f>Peppers!I26</f>
        <v>2.7025038323965247</v>
      </c>
      <c r="E15" s="18">
        <f>Broccoli!I26</f>
        <v>1.1037138477261115</v>
      </c>
      <c r="F15" s="18">
        <f>BrusselsSprouts!K26</f>
        <v>0.33888605007664796</v>
      </c>
      <c r="G15" s="18">
        <f>Cabbage!J26</f>
        <v>7.4891291906422879</v>
      </c>
      <c r="H15" s="18">
        <f>Carrots!I26</f>
        <v>5.7112572482282102</v>
      </c>
      <c r="I15" s="18">
        <f>Cauliflower!I26</f>
        <v>0.99908022483392966</v>
      </c>
      <c r="J15" s="18">
        <f>Celery!I26</f>
        <v>6.5736997622803326</v>
      </c>
      <c r="K15" s="18" t="str">
        <f>Collards!K26</f>
        <v>NA</v>
      </c>
      <c r="L15" s="18">
        <f>SweetCorn!I26</f>
        <v>5.964091977516607</v>
      </c>
      <c r="M15" s="18">
        <f>Cucumbers!I26</f>
        <v>3.5270311701584061</v>
      </c>
      <c r="N15" s="18">
        <f>Eggplant!I26</f>
        <v>0.42829530559196638</v>
      </c>
      <c r="O15" s="18">
        <f>Escarole!I26</f>
        <v>0.4434915909444358</v>
      </c>
      <c r="P15" s="18">
        <f>Garlic!J26</f>
        <v>0.74612641354335618</v>
      </c>
      <c r="Q15" s="18" t="str">
        <f>Kale!K26</f>
        <v>NA</v>
      </c>
      <c r="R15" s="18">
        <f>HeadLettuce!I26</f>
        <v>23.341427651018638</v>
      </c>
      <c r="S15" s="18" t="str">
        <f>Romaine!I26</f>
        <v>NA</v>
      </c>
      <c r="T15" s="18" t="str">
        <f>LimaBeans!I26</f>
        <v>NA</v>
      </c>
      <c r="U15" s="18">
        <f>Mushrooms!I26</f>
        <v>1.0747927458066246</v>
      </c>
      <c r="V15" s="18" t="str">
        <f>MustardGreens!K26</f>
        <v>NA</v>
      </c>
      <c r="W15" s="18">
        <f>Okra!K26</f>
        <v>0.33704986532181014</v>
      </c>
      <c r="X15" s="18">
        <f>Onions!L26</f>
        <v>10.757237119815155</v>
      </c>
      <c r="Y15" s="18">
        <f>Potatoes!I26</f>
        <v>47.371746106507302</v>
      </c>
      <c r="Z15" s="18" t="str">
        <f>Pumpkin!L26</f>
        <v>NA</v>
      </c>
      <c r="AA15" s="18">
        <f>Radishes!I26</f>
        <v>0.57505687531503225</v>
      </c>
      <c r="AB15" s="18">
        <f>SnapBeans!I26</f>
        <v>1.2283841727577702</v>
      </c>
      <c r="AC15" s="18">
        <f>Spinach!I26</f>
        <v>0.35106551060809849</v>
      </c>
      <c r="AD15" s="18">
        <f>Squash!I26</f>
        <v>1.9398976028082027</v>
      </c>
      <c r="AE15" s="18">
        <f>SweetPotatoes!M26</f>
        <v>4.5599731137003401</v>
      </c>
      <c r="AF15" s="18">
        <f>Tomatoes!I26</f>
        <v>10.555428450823133</v>
      </c>
      <c r="AG15" s="18" t="str">
        <f>TurnipGreens!K26</f>
        <v>NA</v>
      </c>
      <c r="AH15" s="18">
        <f t="shared" si="0"/>
        <v>138.91478472602373</v>
      </c>
    </row>
    <row r="16" spans="1:34" ht="12" customHeight="1" x14ac:dyDescent="0.2">
      <c r="A16" s="2">
        <v>1980</v>
      </c>
      <c r="B16" s="18">
        <f>+Artichokes!I27</f>
        <v>0.54601143479444603</v>
      </c>
      <c r="C16" s="18">
        <f>+Asparagus!I27</f>
        <v>0.26750226148968503</v>
      </c>
      <c r="D16" s="18">
        <f>Peppers!I27</f>
        <v>2.654646373273144</v>
      </c>
      <c r="E16" s="18">
        <f>Broccoli!I27</f>
        <v>1.288881111511202</v>
      </c>
      <c r="F16" s="18">
        <f>BrusselsSprouts!K27</f>
        <v>0.26259627798319041</v>
      </c>
      <c r="G16" s="18">
        <f>Cabbage!J27</f>
        <v>7.4373863326980683</v>
      </c>
      <c r="H16" s="18">
        <f>Carrots!I27</f>
        <v>5.9662884343465397</v>
      </c>
      <c r="I16" s="18">
        <f>Cauliflower!I27</f>
        <v>1.0435172092778164</v>
      </c>
      <c r="J16" s="18">
        <f>Celery!I27</f>
        <v>6.8556289136945283</v>
      </c>
      <c r="K16" s="18" t="str">
        <f>Collards!K27</f>
        <v>NA</v>
      </c>
      <c r="L16" s="18">
        <f>SweetCorn!I27</f>
        <v>5.9784244223321013</v>
      </c>
      <c r="M16" s="18">
        <f>Cucumbers!I27</f>
        <v>3.5531296382494753</v>
      </c>
      <c r="N16" s="18">
        <f>Eggplant!I27</f>
        <v>0.42959521530260053</v>
      </c>
      <c r="O16" s="18">
        <f>Escarole!I27</f>
        <v>0.40627771971579879</v>
      </c>
      <c r="P16" s="18">
        <f>Garlic!J27</f>
        <v>0.69732432835951985</v>
      </c>
      <c r="Q16" s="18" t="str">
        <f>Kale!K27</f>
        <v>NA</v>
      </c>
      <c r="R16" s="18">
        <f>HeadLettuce!I27</f>
        <v>23.837054179145117</v>
      </c>
      <c r="S16" s="18" t="str">
        <f>Romaine!I27</f>
        <v>NA</v>
      </c>
      <c r="T16" s="18" t="str">
        <f>LimaBeans!I27</f>
        <v>NA</v>
      </c>
      <c r="U16" s="18">
        <f>Mushrooms!I27</f>
        <v>1.1374993004226082</v>
      </c>
      <c r="V16" s="18" t="str">
        <f>MustardGreens!K27</f>
        <v>NA</v>
      </c>
      <c r="W16" s="18">
        <f>Okra!K27</f>
        <v>0.27352713629537251</v>
      </c>
      <c r="X16" s="18">
        <f>Onions!L27</f>
        <v>10.699627622669345</v>
      </c>
      <c r="Y16" s="18">
        <f>Potatoes!I27</f>
        <v>49.076721322993421</v>
      </c>
      <c r="Z16" s="18" t="str">
        <f>Pumpkin!L27</f>
        <v>NA</v>
      </c>
      <c r="AA16" s="18">
        <f>Radishes!I27</f>
        <v>0.54814553248199671</v>
      </c>
      <c r="AB16" s="18">
        <f>SnapBeans!I27</f>
        <v>1.2356967583850769</v>
      </c>
      <c r="AC16" s="18">
        <f>Spinach!I27</f>
        <v>0.39093618775302258</v>
      </c>
      <c r="AD16" s="18">
        <f>Squash!I27</f>
        <v>2.077157680721569</v>
      </c>
      <c r="AE16" s="18">
        <f>SweetPotatoes!M27</f>
        <v>3.9480368869654678</v>
      </c>
      <c r="AF16" s="18">
        <f>Tomatoes!I27</f>
        <v>10.904766254182658</v>
      </c>
      <c r="AG16" s="18" t="str">
        <f>TurnipGreens!K27</f>
        <v>NA</v>
      </c>
      <c r="AH16" s="18">
        <f t="shared" si="0"/>
        <v>141.51637853504374</v>
      </c>
    </row>
    <row r="17" spans="1:34" ht="12" customHeight="1" x14ac:dyDescent="0.2">
      <c r="A17" s="3">
        <v>1981</v>
      </c>
      <c r="B17" s="19">
        <f>+Artichokes!I28</f>
        <v>0.69517667829157348</v>
      </c>
      <c r="C17" s="19">
        <f>+Asparagus!I28</f>
        <v>0.28248993329448702</v>
      </c>
      <c r="D17" s="19">
        <f>Peppers!I28</f>
        <v>2.5631789047076525</v>
      </c>
      <c r="E17" s="19">
        <f>Broccoli!I28</f>
        <v>1.5239964864371256</v>
      </c>
      <c r="F17" s="19">
        <f>BrusselsSprouts!K28</f>
        <v>0.33444944035205193</v>
      </c>
      <c r="G17" s="19">
        <f>Cabbage!J28</f>
        <v>7.58140112016559</v>
      </c>
      <c r="H17" s="19">
        <f>Carrots!I28</f>
        <v>5.9351686771087895</v>
      </c>
      <c r="I17" s="19">
        <f>Cauliflower!I28</f>
        <v>1.2585860518511431</v>
      </c>
      <c r="J17" s="19">
        <f>Celery!I28</f>
        <v>6.7629650470069498</v>
      </c>
      <c r="K17" s="19" t="str">
        <f>Collards!K28</f>
        <v>NA</v>
      </c>
      <c r="L17" s="19">
        <f>SweetCorn!I28</f>
        <v>5.7343676891366551</v>
      </c>
      <c r="M17" s="19">
        <f>Cucumbers!I28</f>
        <v>3.6797439621509267</v>
      </c>
      <c r="N17" s="19">
        <f>Eggplant!I28</f>
        <v>0.41249576024281853</v>
      </c>
      <c r="O17" s="19">
        <f>Escarole!I28</f>
        <v>0.398798083194907</v>
      </c>
      <c r="P17" s="19">
        <f>Garlic!J28</f>
        <v>0.53397458754772442</v>
      </c>
      <c r="Q17" s="19" t="str">
        <f>Kale!K28</f>
        <v>NA</v>
      </c>
      <c r="R17" s="19">
        <f>HeadLettuce!I28</f>
        <v>23.166894236539314</v>
      </c>
      <c r="S17" s="19" t="str">
        <f>Romaine!I28</f>
        <v>NA</v>
      </c>
      <c r="T17" s="19" t="str">
        <f>LimaBeans!I28</f>
        <v>NA</v>
      </c>
      <c r="U17" s="19">
        <f>Mushrooms!I28</f>
        <v>1.3083157544652022</v>
      </c>
      <c r="V17" s="19" t="str">
        <f>MustardGreens!K28</f>
        <v>NA</v>
      </c>
      <c r="W17" s="19">
        <f>Okra!K28</f>
        <v>0.30242872668133547</v>
      </c>
      <c r="X17" s="19">
        <f>Onions!L28</f>
        <v>10.090025221119642</v>
      </c>
      <c r="Y17" s="19">
        <f>Potatoes!I28</f>
        <v>44.01117382569597</v>
      </c>
      <c r="Z17" s="19" t="str">
        <f>Pumpkin!L28</f>
        <v>NA</v>
      </c>
      <c r="AA17" s="19">
        <f>Radishes!I28</f>
        <v>0.55727299485012394</v>
      </c>
      <c r="AB17" s="19">
        <f>SnapBeans!I28</f>
        <v>1.1816279797883167</v>
      </c>
      <c r="AC17" s="19">
        <f>Spinach!I28</f>
        <v>0.46362685647970914</v>
      </c>
      <c r="AD17" s="19">
        <f>Squash!I28</f>
        <v>2.092370459111347</v>
      </c>
      <c r="AE17" s="19">
        <f>SweetPotatoes!M28</f>
        <v>4.2043830951762864</v>
      </c>
      <c r="AF17" s="19">
        <f>Tomatoes!I28</f>
        <v>10.465357487628605</v>
      </c>
      <c r="AG17" s="19" t="str">
        <f>TurnipGreens!K28</f>
        <v>NA</v>
      </c>
      <c r="AH17" s="19">
        <f t="shared" si="0"/>
        <v>135.54026905902424</v>
      </c>
    </row>
    <row r="18" spans="1:34" ht="12" customHeight="1" x14ac:dyDescent="0.2">
      <c r="A18" s="3">
        <v>1982</v>
      </c>
      <c r="B18" s="19">
        <f>+Artichokes!I29</f>
        <v>0.76542715385808058</v>
      </c>
      <c r="C18" s="19">
        <f>+Asparagus!I29</f>
        <v>0.34346632900925123</v>
      </c>
      <c r="D18" s="19">
        <f>Peppers!I29</f>
        <v>2.7343876513859464</v>
      </c>
      <c r="E18" s="19">
        <f>Broccoli!I29</f>
        <v>1.8281004013988664</v>
      </c>
      <c r="F18" s="19">
        <f>BrusselsSprouts!K29</f>
        <v>0.29400313539028711</v>
      </c>
      <c r="G18" s="19">
        <f>Cabbage!J29</f>
        <v>7.9579310300273916</v>
      </c>
      <c r="H18" s="19">
        <f>Carrots!I29</f>
        <v>6.4051716712319324</v>
      </c>
      <c r="I18" s="19">
        <f>Cauliflower!I29</f>
        <v>1.2203903733181733</v>
      </c>
      <c r="J18" s="19">
        <f>Celery!I29</f>
        <v>6.8931020982996554</v>
      </c>
      <c r="K18" s="19" t="str">
        <f>Collards!K29</f>
        <v>NA</v>
      </c>
      <c r="L18" s="19">
        <f>SweetCorn!I29</f>
        <v>5.5361067755439564</v>
      </c>
      <c r="M18" s="19">
        <f>Cucumbers!I29</f>
        <v>3.8509655968439382</v>
      </c>
      <c r="N18" s="19">
        <f>Eggplant!I29</f>
        <v>0.46242699881130817</v>
      </c>
      <c r="O18" s="19">
        <f>Escarole!I29</f>
        <v>0.33955243165021448</v>
      </c>
      <c r="P18" s="19">
        <f>Garlic!J29</f>
        <v>0.61331541681740664</v>
      </c>
      <c r="Q18" s="19" t="str">
        <f>Kale!K29</f>
        <v>NA</v>
      </c>
      <c r="R18" s="19">
        <f>HeadLettuce!I29</f>
        <v>23.190720450669286</v>
      </c>
      <c r="S18" s="19" t="str">
        <f>Romaine!I29</f>
        <v>NA</v>
      </c>
      <c r="T18" s="19" t="str">
        <f>LimaBeans!I29</f>
        <v>NA</v>
      </c>
      <c r="U18" s="19">
        <f>Mushrooms!I29</f>
        <v>1.3684456619526988</v>
      </c>
      <c r="V18" s="19" t="str">
        <f>MustardGreens!K29</f>
        <v>NA</v>
      </c>
      <c r="W18" s="19">
        <f>Okra!K29</f>
        <v>0.27787012317604692</v>
      </c>
      <c r="X18" s="19">
        <f>Onions!L29</f>
        <v>11.509441487070818</v>
      </c>
      <c r="Y18" s="19">
        <f>Potatoes!I29</f>
        <v>45.226787947697552</v>
      </c>
      <c r="Z18" s="19" t="str">
        <f>Pumpkin!L29</f>
        <v>NA</v>
      </c>
      <c r="AA18" s="19">
        <f>Radishes!I29</f>
        <v>0.48575998200383491</v>
      </c>
      <c r="AB18" s="19">
        <f>SnapBeans!I29</f>
        <v>1.1842425965166159</v>
      </c>
      <c r="AC18" s="19">
        <f>Spinach!I29</f>
        <v>0.48397964633473561</v>
      </c>
      <c r="AD18" s="19">
        <f>Squash!I29</f>
        <v>2.2111142694712909</v>
      </c>
      <c r="AE18" s="19">
        <f>SweetPotatoes!M29</f>
        <v>4.8533042854431239</v>
      </c>
      <c r="AF18" s="19">
        <f>Tomatoes!I29</f>
        <v>10.950897763880993</v>
      </c>
      <c r="AG18" s="19" t="str">
        <f>TurnipGreens!K29</f>
        <v>NA</v>
      </c>
      <c r="AH18" s="19">
        <f t="shared" si="0"/>
        <v>140.98691127780342</v>
      </c>
    </row>
    <row r="19" spans="1:34" ht="12" customHeight="1" x14ac:dyDescent="0.2">
      <c r="A19" s="3">
        <v>1983</v>
      </c>
      <c r="B19" s="19">
        <f>+Artichokes!I30</f>
        <v>0.68309098746516339</v>
      </c>
      <c r="C19" s="19">
        <f>+Asparagus!I30</f>
        <v>0.39337779067633494</v>
      </c>
      <c r="D19" s="19">
        <f>Peppers!I30</f>
        <v>3.0595073984131931</v>
      </c>
      <c r="E19" s="19">
        <f>Broccoli!I30</f>
        <v>1.8682313375187254</v>
      </c>
      <c r="F19" s="19">
        <f>BrusselsSprouts!K30</f>
        <v>0.27014131033217104</v>
      </c>
      <c r="G19" s="19">
        <f>Cabbage!J30</f>
        <v>7.6317497129833942</v>
      </c>
      <c r="H19" s="19">
        <f>Carrots!I30</f>
        <v>6.29508294673228</v>
      </c>
      <c r="I19" s="19">
        <f>Cauliflower!I30</f>
        <v>1.3016256449871324</v>
      </c>
      <c r="J19" s="19">
        <f>Celery!I30</f>
        <v>6.5112224986876202</v>
      </c>
      <c r="K19" s="19" t="str">
        <f>Collards!K30</f>
        <v>NA</v>
      </c>
      <c r="L19" s="19">
        <f>SweetCorn!I30</f>
        <v>5.6533351543061041</v>
      </c>
      <c r="M19" s="19">
        <f>Cucumbers!I30</f>
        <v>4.1738403035333986</v>
      </c>
      <c r="N19" s="19">
        <f>Eggplant!I30</f>
        <v>0.46131784368371409</v>
      </c>
      <c r="O19" s="19">
        <f>Escarole!I30</f>
        <v>0.35530308526847254</v>
      </c>
      <c r="P19" s="19">
        <f>Garlic!J30</f>
        <v>0.80794308321987829</v>
      </c>
      <c r="Q19" s="19" t="str">
        <f>Kale!K30</f>
        <v>NA</v>
      </c>
      <c r="R19" s="19">
        <f>HeadLettuce!I30</f>
        <v>20.871783600148525</v>
      </c>
      <c r="S19" s="19" t="str">
        <f>Romaine!I30</f>
        <v>NA</v>
      </c>
      <c r="T19" s="19" t="str">
        <f>LimaBeans!I30</f>
        <v>NA</v>
      </c>
      <c r="U19" s="19">
        <f>Mushrooms!I30</f>
        <v>1.5616209380169892</v>
      </c>
      <c r="V19" s="19" t="str">
        <f>MustardGreens!K30</f>
        <v>NA</v>
      </c>
      <c r="W19" s="19">
        <f>Okra!K30</f>
        <v>0.39849989902136945</v>
      </c>
      <c r="X19" s="19">
        <f>Onions!L30</f>
        <v>11.435494543483546</v>
      </c>
      <c r="Y19" s="19">
        <f>Potatoes!I30</f>
        <v>47.800667671046959</v>
      </c>
      <c r="Z19" s="19" t="str">
        <f>Pumpkin!L30</f>
        <v>NA</v>
      </c>
      <c r="AA19" s="19">
        <f>Radishes!I30</f>
        <v>0.53019679194606473</v>
      </c>
      <c r="AB19" s="19">
        <f>SnapBeans!I30</f>
        <v>1.1645702433132599</v>
      </c>
      <c r="AC19" s="19">
        <f>Spinach!I30</f>
        <v>0.45138936615800646</v>
      </c>
      <c r="AD19" s="19">
        <f>Squash!I30</f>
        <v>2.3005071978216614</v>
      </c>
      <c r="AE19" s="19">
        <f>SweetPotatoes!M30</f>
        <v>4.0366751162792758</v>
      </c>
      <c r="AF19" s="19">
        <f>Tomatoes!I30</f>
        <v>11.449313934282797</v>
      </c>
      <c r="AG19" s="19" t="str">
        <f>TurnipGreens!K30</f>
        <v>NA</v>
      </c>
      <c r="AH19" s="19">
        <f t="shared" si="0"/>
        <v>141.46648839932604</v>
      </c>
    </row>
    <row r="20" spans="1:34" ht="12" customHeight="1" x14ac:dyDescent="0.2">
      <c r="A20" s="3">
        <v>1984</v>
      </c>
      <c r="B20" s="19">
        <f>+Artichokes!I31</f>
        <v>0.88770795606478581</v>
      </c>
      <c r="C20" s="19">
        <f>+Asparagus!I31</f>
        <v>0.36961675156971924</v>
      </c>
      <c r="D20" s="19">
        <f>Peppers!I31</f>
        <v>3.3347606072401712</v>
      </c>
      <c r="E20" s="19">
        <f>Broccoli!I31</f>
        <v>2.2611198910081747</v>
      </c>
      <c r="F20" s="19">
        <f>BrusselsSprouts!K31</f>
        <v>0.28221097703386538</v>
      </c>
      <c r="G20" s="19">
        <f>Cabbage!J31</f>
        <v>7.9678045509164468</v>
      </c>
      <c r="H20" s="19">
        <f>Carrots!I31</f>
        <v>6.4836850745510857</v>
      </c>
      <c r="I20" s="19">
        <f>Cauliflower!I31</f>
        <v>1.6784741144414168</v>
      </c>
      <c r="J20" s="19">
        <f>Celery!I31</f>
        <v>6.6169932049350964</v>
      </c>
      <c r="K20" s="19" t="str">
        <f>Collards!K31</f>
        <v>NA</v>
      </c>
      <c r="L20" s="19">
        <f>SweetCorn!I31</f>
        <v>5.9214986376021805</v>
      </c>
      <c r="M20" s="19">
        <f>Cucumbers!I31</f>
        <v>4.2806539509536785</v>
      </c>
      <c r="N20" s="19">
        <f>Eggplant!I31</f>
        <v>0.421920219337587</v>
      </c>
      <c r="O20" s="19">
        <f>Escarole!I31</f>
        <v>0.34842689593311554</v>
      </c>
      <c r="P20" s="19">
        <f>Garlic!J31</f>
        <v>0.62279536953983117</v>
      </c>
      <c r="Q20" s="19" t="str">
        <f>Kale!K31</f>
        <v>NA</v>
      </c>
      <c r="R20" s="19">
        <f>HeadLettuce!I31</f>
        <v>23.194911740315131</v>
      </c>
      <c r="S20" s="19" t="str">
        <f>Romaine!I31</f>
        <v>NA</v>
      </c>
      <c r="T20" s="19" t="str">
        <f>LimaBeans!I31</f>
        <v>NA</v>
      </c>
      <c r="U20" s="19">
        <f>Mushrooms!I31</f>
        <v>1.6733351945111201</v>
      </c>
      <c r="V20" s="19" t="str">
        <f>MustardGreens!K31</f>
        <v>NA</v>
      </c>
      <c r="W20" s="19">
        <f>Okra!K31</f>
        <v>0.39205815864741822</v>
      </c>
      <c r="X20" s="19">
        <f>Onions!L31</f>
        <v>12.291959229610573</v>
      </c>
      <c r="Y20" s="19">
        <f>Potatoes!I31</f>
        <v>46.365017008817496</v>
      </c>
      <c r="Z20" s="19" t="str">
        <f>Pumpkin!L31</f>
        <v>NA</v>
      </c>
      <c r="AA20" s="19">
        <f>Radishes!I31</f>
        <v>0.48019601344989082</v>
      </c>
      <c r="AB20" s="19">
        <f>SnapBeans!I31</f>
        <v>1.2620844686648498</v>
      </c>
      <c r="AC20" s="19">
        <f>Spinach!I31</f>
        <v>0.46663471547253366</v>
      </c>
      <c r="AD20" s="19">
        <f>Squash!I31</f>
        <v>2.3624722020072095</v>
      </c>
      <c r="AE20" s="19">
        <f>SweetPotatoes!M31</f>
        <v>4.34887395663712</v>
      </c>
      <c r="AF20" s="19">
        <f>Tomatoes!I31</f>
        <v>12.067663783911858</v>
      </c>
      <c r="AG20" s="19" t="str">
        <f>TurnipGreens!K31</f>
        <v>NA</v>
      </c>
      <c r="AH20" s="19">
        <f t="shared" si="0"/>
        <v>146.38287467317232</v>
      </c>
    </row>
    <row r="21" spans="1:34" ht="12" customHeight="1" x14ac:dyDescent="0.2">
      <c r="A21" s="3">
        <v>1985</v>
      </c>
      <c r="B21" s="19">
        <f>+Artichokes!I32</f>
        <v>0.95119220350070888</v>
      </c>
      <c r="C21" s="19">
        <f>+Asparagus!I32</f>
        <v>0.42347936393448132</v>
      </c>
      <c r="D21" s="19">
        <f>Peppers!I32</f>
        <v>3.4961126533761631</v>
      </c>
      <c r="E21" s="19">
        <f>Broccoli!I32</f>
        <v>2.3724677564097187</v>
      </c>
      <c r="F21" s="19">
        <f>BrusselsSprouts!K32</f>
        <v>0.30246659901201844</v>
      </c>
      <c r="G21" s="19">
        <f>Cabbage!J32</f>
        <v>8.1256344720002005</v>
      </c>
      <c r="H21" s="19">
        <f>Carrots!I32</f>
        <v>6.2963399394462929</v>
      </c>
      <c r="I21" s="19">
        <f>Cauliflower!I32</f>
        <v>1.6921154378401952</v>
      </c>
      <c r="J21" s="19">
        <f>Celery!I32</f>
        <v>6.3987272818766616</v>
      </c>
      <c r="K21" s="19" t="str">
        <f>Collards!K32</f>
        <v>NA</v>
      </c>
      <c r="L21" s="19">
        <f>SweetCorn!I32</f>
        <v>5.9001665646255654</v>
      </c>
      <c r="M21" s="19">
        <f>Cucumbers!I32</f>
        <v>4.0424043679182775</v>
      </c>
      <c r="N21" s="19">
        <f>Eggplant!I32</f>
        <v>0.41213422458547549</v>
      </c>
      <c r="O21" s="19">
        <f>Escarole!I32</f>
        <v>0.35023860843893884</v>
      </c>
      <c r="P21" s="19">
        <f>Garlic!J32</f>
        <v>0.8599112661763102</v>
      </c>
      <c r="Q21" s="19" t="str">
        <f>Kale!K32</f>
        <v>NA</v>
      </c>
      <c r="R21" s="19">
        <f>HeadLettuce!I32</f>
        <v>22.015088104803201</v>
      </c>
      <c r="S21" s="19">
        <f>Romaine!I32</f>
        <v>3.0368731810824183</v>
      </c>
      <c r="T21" s="19" t="str">
        <f>LimaBeans!I32</f>
        <v>NA</v>
      </c>
      <c r="U21" s="19">
        <f>Mushrooms!I32</f>
        <v>1.6852914223390096</v>
      </c>
      <c r="V21" s="19" t="str">
        <f>MustardGreens!K32</f>
        <v>NA</v>
      </c>
      <c r="W21" s="19">
        <f>Okra!K32</f>
        <v>0.33676478760745771</v>
      </c>
      <c r="X21" s="19">
        <f>Onions!L32</f>
        <v>12.806446537451878</v>
      </c>
      <c r="Y21" s="19">
        <f>Potatoes!I32</f>
        <v>44.450943614603332</v>
      </c>
      <c r="Z21" s="19" t="str">
        <f>Pumpkin!L32</f>
        <v>NA</v>
      </c>
      <c r="AA21" s="19">
        <f>Radishes!I32</f>
        <v>0.49669331779889286</v>
      </c>
      <c r="AB21" s="19">
        <f>SnapBeans!I32</f>
        <v>1.1842771715884026</v>
      </c>
      <c r="AC21" s="19">
        <f>Spinach!I32</f>
        <v>0.59285030936046901</v>
      </c>
      <c r="AD21" s="19">
        <f>Squash!I32</f>
        <v>2.4051798579252388</v>
      </c>
      <c r="AE21" s="19">
        <f>SweetPotatoes!M32</f>
        <v>4.7343665253696967</v>
      </c>
      <c r="AF21" s="19">
        <f>Tomatoes!I32</f>
        <v>12.623839876544245</v>
      </c>
      <c r="AG21" s="19" t="str">
        <f>TurnipGreens!K32</f>
        <v>NA</v>
      </c>
      <c r="AH21" s="19">
        <f t="shared" si="0"/>
        <v>147.99200544561523</v>
      </c>
    </row>
    <row r="22" spans="1:34" ht="12" customHeight="1" x14ac:dyDescent="0.2">
      <c r="A22" s="2">
        <v>1986</v>
      </c>
      <c r="B22" s="18">
        <f>+Artichokes!I33</f>
        <v>0.86990288841517383</v>
      </c>
      <c r="C22" s="18">
        <f>+Asparagus!I33</f>
        <v>0.54886025821625506</v>
      </c>
      <c r="D22" s="18">
        <f>Peppers!I33</f>
        <v>3.6482541107246593</v>
      </c>
      <c r="E22" s="18">
        <f>Broccoli!I33</f>
        <v>2.8029051198623733</v>
      </c>
      <c r="F22" s="18">
        <f>BrusselsSprouts!K33</f>
        <v>0.3004849346148572</v>
      </c>
      <c r="G22" s="18">
        <f>Cabbage!J33</f>
        <v>8.0360825012154535</v>
      </c>
      <c r="H22" s="18">
        <f>Carrots!I33</f>
        <v>6.289556245351152</v>
      </c>
      <c r="I22" s="18">
        <f>Cauliflower!I33</f>
        <v>2.0104965281673461</v>
      </c>
      <c r="J22" s="18">
        <f>Celery!I33</f>
        <v>6.0382699427802091</v>
      </c>
      <c r="K22" s="18" t="str">
        <f>Collards!K33</f>
        <v>NA</v>
      </c>
      <c r="L22" s="18">
        <f>SweetCorn!I33</f>
        <v>5.5757674807085786</v>
      </c>
      <c r="M22" s="18">
        <f>Cucumbers!I33</f>
        <v>4.2549584252714521</v>
      </c>
      <c r="N22" s="18">
        <f>Eggplant!I33</f>
        <v>0.419985788548562</v>
      </c>
      <c r="O22" s="18">
        <f>Escarole!I33</f>
        <v>0.32948128202251398</v>
      </c>
      <c r="P22" s="18">
        <f>Garlic!J33</f>
        <v>0.62049814877145737</v>
      </c>
      <c r="Q22" s="18" t="str">
        <f>Kale!K33</f>
        <v>NA</v>
      </c>
      <c r="R22" s="18">
        <f>HeadLettuce!I33</f>
        <v>20.401560766421081</v>
      </c>
      <c r="S22" s="18">
        <f>Romaine!I33</f>
        <v>2.2074123938815964</v>
      </c>
      <c r="T22" s="18" t="str">
        <f>LimaBeans!I33</f>
        <v>NA</v>
      </c>
      <c r="U22" s="18">
        <f>Mushrooms!I33</f>
        <v>1.7864153584156099</v>
      </c>
      <c r="V22" s="18" t="str">
        <f>MustardGreens!K33</f>
        <v>NA</v>
      </c>
      <c r="W22" s="18">
        <f>Okra!K33</f>
        <v>0.25104067104645311</v>
      </c>
      <c r="X22" s="18">
        <f>Onions!L33</f>
        <v>12.911858999131523</v>
      </c>
      <c r="Y22" s="18">
        <f>Potatoes!I33</f>
        <v>46.867515863221016</v>
      </c>
      <c r="Z22" s="18" t="str">
        <f>Pumpkin!L33</f>
        <v>NA</v>
      </c>
      <c r="AA22" s="18">
        <f>Radishes!I33</f>
        <v>0.44965761396558995</v>
      </c>
      <c r="AB22" s="18">
        <f>SnapBeans!I33</f>
        <v>1.1808874261897935</v>
      </c>
      <c r="AC22" s="18">
        <f>Spinach!I33</f>
        <v>0.51458902097711956</v>
      </c>
      <c r="AD22" s="18">
        <f>Squash!I33</f>
        <v>2.4977538427016719</v>
      </c>
      <c r="AE22" s="18">
        <f>SweetPotatoes!M33</f>
        <v>3.8358727806862349</v>
      </c>
      <c r="AF22" s="18">
        <f>Tomatoes!I33</f>
        <v>13.425977660595633</v>
      </c>
      <c r="AG22" s="18" t="str">
        <f>TurnipGreens!K33</f>
        <v>NA</v>
      </c>
      <c r="AH22" s="18">
        <f t="shared" si="0"/>
        <v>148.07604605190338</v>
      </c>
    </row>
    <row r="23" spans="1:34" ht="12" customHeight="1" x14ac:dyDescent="0.2">
      <c r="A23" s="2">
        <v>1987</v>
      </c>
      <c r="B23" s="18">
        <f>+Artichokes!I34</f>
        <v>0.92347325414737813</v>
      </c>
      <c r="C23" s="18">
        <f>+Asparagus!I34</f>
        <v>0.51518718801996677</v>
      </c>
      <c r="D23" s="18">
        <f>Peppers!I34</f>
        <v>3.8909902637518328</v>
      </c>
      <c r="E23" s="18">
        <f>Broccoli!I34</f>
        <v>2.8405138300851718</v>
      </c>
      <c r="F23" s="18">
        <f>BrusselsSprouts!K34</f>
        <v>0.23795324623976546</v>
      </c>
      <c r="G23" s="18">
        <f>Cabbage!J34</f>
        <v>8.4421006243719212</v>
      </c>
      <c r="H23" s="18">
        <f>Carrots!I34</f>
        <v>8.0471120739361783</v>
      </c>
      <c r="I23" s="18">
        <f>Cauliflower!I34</f>
        <v>1.9612197492627794</v>
      </c>
      <c r="J23" s="18">
        <f>Celery!I34</f>
        <v>6.1320232780349588</v>
      </c>
      <c r="K23" s="18" t="str">
        <f>Collards!K34</f>
        <v>NA</v>
      </c>
      <c r="L23" s="18">
        <f>SweetCorn!I34</f>
        <v>5.7609049274311799</v>
      </c>
      <c r="M23" s="18">
        <f>Cucumbers!I34</f>
        <v>4.6613070624866149</v>
      </c>
      <c r="N23" s="18">
        <f>Eggplant!I34</f>
        <v>0.42552840974613271</v>
      </c>
      <c r="O23" s="18">
        <f>Escarole!I34</f>
        <v>0.30728488822259931</v>
      </c>
      <c r="P23" s="18">
        <f>Garlic!J34</f>
        <v>0.9618758340060295</v>
      </c>
      <c r="Q23" s="18" t="str">
        <f>Kale!K34</f>
        <v>NA</v>
      </c>
      <c r="R23" s="18">
        <f>HeadLettuce!I34</f>
        <v>23.909186010115157</v>
      </c>
      <c r="S23" s="18">
        <f>Romaine!I34</f>
        <v>2.347943196981928</v>
      </c>
      <c r="T23" s="18" t="str">
        <f>LimaBeans!I34</f>
        <v>NA</v>
      </c>
      <c r="U23" s="18">
        <f>Mushrooms!I34</f>
        <v>1.8264766020084044</v>
      </c>
      <c r="V23" s="18" t="str">
        <f>MustardGreens!K34</f>
        <v>NA</v>
      </c>
      <c r="W23" s="18">
        <f>Okra!K34</f>
        <v>0.18806272181347919</v>
      </c>
      <c r="X23" s="18">
        <f>Onions!L34</f>
        <v>12.60644280983839</v>
      </c>
      <c r="Y23" s="18">
        <f>Potatoes!I34</f>
        <v>46.02137691306568</v>
      </c>
      <c r="Z23" s="18">
        <f>Pumpkin!L34</f>
        <v>2.7123210490766216</v>
      </c>
      <c r="AA23" s="18">
        <f>Radishes!I34</f>
        <v>0.49756822307118248</v>
      </c>
      <c r="AB23" s="18">
        <f>SnapBeans!I34</f>
        <v>1.1435329730976425</v>
      </c>
      <c r="AC23" s="18">
        <f>Spinach!I34</f>
        <v>0.51323587960287964</v>
      </c>
      <c r="AD23" s="18">
        <f>Squash!I34</f>
        <v>2.5914161216454423</v>
      </c>
      <c r="AE23" s="18">
        <f>SweetPotatoes!M34</f>
        <v>3.8720567285148002</v>
      </c>
      <c r="AF23" s="18">
        <f>Tomatoes!I34</f>
        <v>13.47235156751948</v>
      </c>
      <c r="AG23" s="18" t="str">
        <f>TurnipGreens!K34</f>
        <v>NA</v>
      </c>
      <c r="AH23" s="18">
        <f t="shared" si="0"/>
        <v>156.80944542609356</v>
      </c>
    </row>
    <row r="24" spans="1:34" ht="12" customHeight="1" x14ac:dyDescent="0.2">
      <c r="A24" s="2">
        <v>1988</v>
      </c>
      <c r="B24" s="18">
        <f>+Artichokes!I35</f>
        <v>0.85059239820260313</v>
      </c>
      <c r="C24" s="18">
        <f>+Asparagus!I35</f>
        <v>0.52974545038996645</v>
      </c>
      <c r="D24" s="18">
        <f>Peppers!I35</f>
        <v>4.1174919700760348</v>
      </c>
      <c r="E24" s="18">
        <f>Broccoli!I35</f>
        <v>3.4723906930426374</v>
      </c>
      <c r="F24" s="18">
        <f>BrusselsSprouts!K35</f>
        <v>0.23542471869758105</v>
      </c>
      <c r="G24" s="18">
        <f>Cabbage!J35</f>
        <v>8.3767219952575491</v>
      </c>
      <c r="H24" s="18">
        <f>Carrots!I35</f>
        <v>6.8816591230955719</v>
      </c>
      <c r="I24" s="18">
        <f>Cauliflower!I35</f>
        <v>2.0185698368711256</v>
      </c>
      <c r="J24" s="18">
        <f>Celery!I35</f>
        <v>6.6521563457826067</v>
      </c>
      <c r="K24" s="18" t="str">
        <f>Collards!K35</f>
        <v>NA</v>
      </c>
      <c r="L24" s="18">
        <f>SweetCorn!I35</f>
        <v>5.3538434664783834</v>
      </c>
      <c r="M24" s="18">
        <f>Cucumbers!I35</f>
        <v>4.438525677390917</v>
      </c>
      <c r="N24" s="18">
        <f>Eggplant!I35</f>
        <v>0.35115357459156571</v>
      </c>
      <c r="O24" s="18">
        <f>Escarole!I35</f>
        <v>0.32176833822407064</v>
      </c>
      <c r="P24" s="18">
        <f>Garlic!J35</f>
        <v>0.87988874423008634</v>
      </c>
      <c r="Q24" s="18" t="str">
        <f>Kale!K35</f>
        <v>NA</v>
      </c>
      <c r="R24" s="18">
        <f>HeadLettuce!I35</f>
        <v>25.147322066271872</v>
      </c>
      <c r="S24" s="18">
        <f>Romaine!I35</f>
        <v>2.976504054754491</v>
      </c>
      <c r="T24" s="18" t="str">
        <f>LimaBeans!I35</f>
        <v>NA</v>
      </c>
      <c r="U24" s="18">
        <f>Mushrooms!I35</f>
        <v>1.8808370317401766</v>
      </c>
      <c r="V24" s="18" t="str">
        <f>MustardGreens!K35</f>
        <v>NA</v>
      </c>
      <c r="W24" s="18">
        <f>Okra!K35</f>
        <v>0.36503112264826287</v>
      </c>
      <c r="X24" s="18">
        <f>Onions!L35</f>
        <v>13.675774076507729</v>
      </c>
      <c r="Y24" s="18">
        <f>Potatoes!I35</f>
        <v>47.629973267597471</v>
      </c>
      <c r="Z24" s="18">
        <f>Pumpkin!L35</f>
        <v>3.4253255341085063</v>
      </c>
      <c r="AA24" s="18">
        <f>Radishes!I35</f>
        <v>0.53330468873471182</v>
      </c>
      <c r="AB24" s="18">
        <f>SnapBeans!I35</f>
        <v>1.1181358332551086</v>
      </c>
      <c r="AC24" s="18">
        <f>Spinach!I35</f>
        <v>0.52418598066118416</v>
      </c>
      <c r="AD24" s="18">
        <f>Squash!I35</f>
        <v>2.7697377775782486</v>
      </c>
      <c r="AE24" s="18">
        <f>SweetPotatoes!M35</f>
        <v>3.5378925686059413</v>
      </c>
      <c r="AF24" s="18">
        <f>Tomatoes!I35</f>
        <v>14.308259904253102</v>
      </c>
      <c r="AG24" s="18" t="str">
        <f>TurnipGreens!K35</f>
        <v>NA</v>
      </c>
      <c r="AH24" s="18">
        <f t="shared" si="0"/>
        <v>162.3722162390475</v>
      </c>
    </row>
    <row r="25" spans="1:34" ht="12" customHeight="1" x14ac:dyDescent="0.2">
      <c r="A25" s="2">
        <v>1989</v>
      </c>
      <c r="B25" s="18">
        <f>+Artichokes!I36</f>
        <v>0.9061625008445795</v>
      </c>
      <c r="C25" s="18">
        <f>+Asparagus!I36</f>
        <v>0.51901479623355506</v>
      </c>
      <c r="D25" s="18">
        <f>Peppers!I36</f>
        <v>4.3134872605542123</v>
      </c>
      <c r="E25" s="18">
        <f>Broccoli!I36</f>
        <v>3.4999571099125912</v>
      </c>
      <c r="F25" s="18">
        <f>BrusselsSprouts!K36</f>
        <v>0.30983819973963178</v>
      </c>
      <c r="G25" s="18">
        <f>Cabbage!J36</f>
        <v>8.000646440353842</v>
      </c>
      <c r="H25" s="18">
        <f>Carrots!I36</f>
        <v>7.8429987628465838</v>
      </c>
      <c r="I25" s="18">
        <f>Cauliflower!I36</f>
        <v>2.1264645713222992</v>
      </c>
      <c r="J25" s="18">
        <f>Celery!I36</f>
        <v>6.951067752342909</v>
      </c>
      <c r="K25" s="18" t="str">
        <f>Collards!K36</f>
        <v>NA</v>
      </c>
      <c r="L25" s="18">
        <f>SweetCorn!I36</f>
        <v>6.0054193788357821</v>
      </c>
      <c r="M25" s="18">
        <f>Cucumbers!I36</f>
        <v>4.4009670820159936</v>
      </c>
      <c r="N25" s="18">
        <f>Eggplant!I36</f>
        <v>0.35913835903324143</v>
      </c>
      <c r="O25" s="18">
        <f>Escarole!I36</f>
        <v>0.297202789530286</v>
      </c>
      <c r="P25" s="18">
        <f>Garlic!J36</f>
        <v>0.82184174139450639</v>
      </c>
      <c r="Q25" s="18" t="str">
        <f>Kale!K36</f>
        <v>NA</v>
      </c>
      <c r="R25" s="18">
        <f>HeadLettuce!I36</f>
        <v>26.677406182532689</v>
      </c>
      <c r="S25" s="18">
        <f>Romaine!I36</f>
        <v>3.3140429041569974</v>
      </c>
      <c r="T25" s="18">
        <f>LimaBeans!I36</f>
        <v>5.9246419936767722E-4</v>
      </c>
      <c r="U25" s="18">
        <f>Mushrooms!I36</f>
        <v>1.9397904770071155</v>
      </c>
      <c r="V25" s="18" t="str">
        <f>MustardGreens!K36</f>
        <v>NA</v>
      </c>
      <c r="W25" s="18">
        <f>Okra!K36</f>
        <v>0.38574838553678714</v>
      </c>
      <c r="X25" s="18">
        <f>Onions!L36</f>
        <v>13.877182201162762</v>
      </c>
      <c r="Y25" s="18">
        <f>Potatoes!I36</f>
        <v>48.031894545301647</v>
      </c>
      <c r="Z25" s="18">
        <f>Pumpkin!L36</f>
        <v>4.3380056749264169</v>
      </c>
      <c r="AA25" s="18">
        <f>Radishes!I36</f>
        <v>0.68663875149981335</v>
      </c>
      <c r="AB25" s="18">
        <f>SnapBeans!I36</f>
        <v>1.1223126925471614</v>
      </c>
      <c r="AC25" s="18">
        <f>Spinach!I36</f>
        <v>0.56470042580641211</v>
      </c>
      <c r="AD25" s="18">
        <f>Squash!I36</f>
        <v>3.1067224632290515</v>
      </c>
      <c r="AE25" s="18">
        <f>SweetPotatoes!M36</f>
        <v>3.5322107451351532</v>
      </c>
      <c r="AF25" s="18">
        <f>Tomatoes!I36</f>
        <v>14.316894818712552</v>
      </c>
      <c r="AG25" s="18" t="str">
        <f>TurnipGreens!K36</f>
        <v>NA</v>
      </c>
      <c r="AH25" s="18">
        <f t="shared" si="0"/>
        <v>168.24834947671394</v>
      </c>
    </row>
    <row r="26" spans="1:34" ht="12" customHeight="1" x14ac:dyDescent="0.2">
      <c r="A26" s="2">
        <v>1990</v>
      </c>
      <c r="B26" s="18">
        <f>+Artichokes!I37</f>
        <v>0.78660835961612274</v>
      </c>
      <c r="C26" s="18">
        <f>+Asparagus!I37</f>
        <v>0.53404909207938212</v>
      </c>
      <c r="D26" s="18">
        <f>Peppers!I37</f>
        <v>5.4105799121208165</v>
      </c>
      <c r="E26" s="18">
        <f>Broccoli!I37</f>
        <v>3.0985617433994848</v>
      </c>
      <c r="F26" s="18">
        <f>BrusselsSprouts!K37</f>
        <v>0.29166999824092871</v>
      </c>
      <c r="G26" s="18">
        <f>Cabbage!J37</f>
        <v>7.753226600394993</v>
      </c>
      <c r="H26" s="18">
        <f>Carrots!I37</f>
        <v>8.0427322209073591</v>
      </c>
      <c r="I26" s="18">
        <f>Cauliflower!I37</f>
        <v>2.015575775990277</v>
      </c>
      <c r="J26" s="18">
        <f>Celery!I37</f>
        <v>6.6908453136743802</v>
      </c>
      <c r="K26" s="18" t="str">
        <f>Collards!K37</f>
        <v>NA</v>
      </c>
      <c r="L26" s="18">
        <f>SweetCorn!I37</f>
        <v>6.2029712311899319</v>
      </c>
      <c r="M26" s="18">
        <f>Cucumbers!I37</f>
        <v>4.3002596657764709</v>
      </c>
      <c r="N26" s="18">
        <f>Eggplant!I37</f>
        <v>0.35945021028896745</v>
      </c>
      <c r="O26" s="18">
        <f>Escarole!I37</f>
        <v>0.23609562041642013</v>
      </c>
      <c r="P26" s="18">
        <f>Garlic!J37</f>
        <v>1.1397881546551822</v>
      </c>
      <c r="Q26" s="18" t="str">
        <f>Kale!K37</f>
        <v>NA</v>
      </c>
      <c r="R26" s="18">
        <f>HeadLettuce!I37</f>
        <v>25.80459712040043</v>
      </c>
      <c r="S26" s="18">
        <f>Romaine!I37</f>
        <v>3.5063448215742081</v>
      </c>
      <c r="T26" s="18">
        <f>LimaBeans!I37</f>
        <v>9.3701101818239978E-4</v>
      </c>
      <c r="U26" s="18">
        <f>Mushrooms!I37</f>
        <v>1.8962680039121849</v>
      </c>
      <c r="V26" s="18" t="str">
        <f>MustardGreens!K37</f>
        <v>NA</v>
      </c>
      <c r="W26" s="18">
        <f>Okra!K37</f>
        <v>0.21428729570844196</v>
      </c>
      <c r="X26" s="18">
        <f>Onions!L37</f>
        <v>14.156642156138393</v>
      </c>
      <c r="Y26" s="18">
        <f>Potatoes!I37</f>
        <v>44.871151338627612</v>
      </c>
      <c r="Z26" s="18">
        <f>Pumpkin!L37</f>
        <v>3.9901170914804984</v>
      </c>
      <c r="AA26" s="18">
        <f>Radishes!I37</f>
        <v>0.63880781856379831</v>
      </c>
      <c r="AB26" s="18">
        <f>SnapBeans!I37</f>
        <v>1.0046722269841522</v>
      </c>
      <c r="AC26" s="18">
        <f>Spinach!I37</f>
        <v>0.66518843682535622</v>
      </c>
      <c r="AD26" s="18">
        <f>Squash!I37</f>
        <v>3.1551073270069407</v>
      </c>
      <c r="AE26" s="18">
        <f>SweetPotatoes!M37</f>
        <v>3.9593576950010405</v>
      </c>
      <c r="AF26" s="18">
        <f>Tomatoes!I37</f>
        <v>13.194555406545344</v>
      </c>
      <c r="AG26" s="18" t="str">
        <f>TurnipGreens!K37</f>
        <v>NA</v>
      </c>
      <c r="AH26" s="18">
        <f t="shared" si="0"/>
        <v>163.9204476485373</v>
      </c>
    </row>
    <row r="27" spans="1:34" ht="12" customHeight="1" x14ac:dyDescent="0.2">
      <c r="A27" s="3">
        <v>1991</v>
      </c>
      <c r="B27" s="19">
        <f>+Artichokes!I38</f>
        <v>0.76897580452162406</v>
      </c>
      <c r="C27" s="19">
        <f>+Asparagus!I38</f>
        <v>0.54655264910668155</v>
      </c>
      <c r="D27" s="19">
        <f>Peppers!I38</f>
        <v>5.7971082701990193</v>
      </c>
      <c r="E27" s="19">
        <f>Broccoli!I38</f>
        <v>2.799385010079174</v>
      </c>
      <c r="F27" s="19">
        <f>BrusselsSprouts!K38</f>
        <v>0.27510029862757546</v>
      </c>
      <c r="G27" s="19">
        <f>Cabbage!J38</f>
        <v>7.6296181374239147</v>
      </c>
      <c r="H27" s="19">
        <f>Carrots!I38</f>
        <v>7.4817480346202858</v>
      </c>
      <c r="I27" s="19">
        <f>Cauliflower!I38</f>
        <v>1.7954105241564859</v>
      </c>
      <c r="J27" s="19">
        <f>Celery!I38</f>
        <v>6.2614098219674714</v>
      </c>
      <c r="K27" s="19" t="str">
        <f>Collards!K38</f>
        <v>NA</v>
      </c>
      <c r="L27" s="19">
        <f>SweetCorn!I38</f>
        <v>5.4354714628017353</v>
      </c>
      <c r="M27" s="19">
        <f>Cucumbers!I38</f>
        <v>4.1932571204727553</v>
      </c>
      <c r="N27" s="19">
        <f>Eggplant!I38</f>
        <v>0.37030608340269749</v>
      </c>
      <c r="O27" s="19">
        <f>Escarole!I38</f>
        <v>0.22207675776451427</v>
      </c>
      <c r="P27" s="19">
        <f>Garlic!J38</f>
        <v>1.204599076872537</v>
      </c>
      <c r="Q27" s="19" t="str">
        <f>Kale!K38</f>
        <v>NA</v>
      </c>
      <c r="R27" s="19">
        <f>HeadLettuce!I38</f>
        <v>24.22170457846963</v>
      </c>
      <c r="S27" s="19">
        <f>Romaine!I38</f>
        <v>3.7169437154872127</v>
      </c>
      <c r="T27" s="19">
        <f>LimaBeans!I38</f>
        <v>7.6715964543399618E-5</v>
      </c>
      <c r="U27" s="19">
        <f>Mushrooms!I38</f>
        <v>1.8334375313030737</v>
      </c>
      <c r="V27" s="19" t="str">
        <f>MustardGreens!K38</f>
        <v>NA</v>
      </c>
      <c r="W27" s="19">
        <f>Okra!K38</f>
        <v>0.21678947188039122</v>
      </c>
      <c r="X27" s="19">
        <f>Onions!L38</f>
        <v>14.745583327240048</v>
      </c>
      <c r="Y27" s="19">
        <f>Potatoes!I38</f>
        <v>48.196960256865474</v>
      </c>
      <c r="Z27" s="19">
        <f>Pumpkin!L38</f>
        <v>3.98627167096764</v>
      </c>
      <c r="AA27" s="19">
        <f>Radishes!I38</f>
        <v>0.53116211567577798</v>
      </c>
      <c r="AB27" s="19">
        <f>SnapBeans!I38</f>
        <v>1.0560621422287793</v>
      </c>
      <c r="AC27" s="19">
        <f>Spinach!I38</f>
        <v>0.707422586343607</v>
      </c>
      <c r="AD27" s="19">
        <f>Squash!I38</f>
        <v>3.3046727768147441</v>
      </c>
      <c r="AE27" s="19">
        <f>SweetPotatoes!M38</f>
        <v>3.4799902204281774</v>
      </c>
      <c r="AF27" s="19">
        <f>Tomatoes!I38</f>
        <v>13.057197429909307</v>
      </c>
      <c r="AG27" s="19" t="str">
        <f>TurnipGreens!K38</f>
        <v>NA</v>
      </c>
      <c r="AH27" s="19">
        <f t="shared" si="0"/>
        <v>163.83529359159488</v>
      </c>
    </row>
    <row r="28" spans="1:34" ht="12" customHeight="1" x14ac:dyDescent="0.2">
      <c r="A28" s="3">
        <v>1992</v>
      </c>
      <c r="B28" s="19">
        <f>+Artichokes!I39</f>
        <v>0.81734782526567384</v>
      </c>
      <c r="C28" s="19">
        <f>+Asparagus!I39</f>
        <v>0.54204463105405332</v>
      </c>
      <c r="D28" s="19">
        <f>Peppers!I39</f>
        <v>6.5337235899487105</v>
      </c>
      <c r="E28" s="19">
        <f>Broccoli!I39</f>
        <v>3.1424698358077645</v>
      </c>
      <c r="F28" s="19">
        <f>BrusselsSprouts!K39</f>
        <v>0.25964016286873187</v>
      </c>
      <c r="G28" s="19">
        <f>Cabbage!J39</f>
        <v>8.0569245942295264</v>
      </c>
      <c r="H28" s="19">
        <f>Carrots!I39</f>
        <v>8.0412416287262456</v>
      </c>
      <c r="I28" s="19">
        <f>Cauliflower!I39</f>
        <v>1.6627714154476168</v>
      </c>
      <c r="J28" s="19">
        <f>Celery!I39</f>
        <v>6.8107234973179587</v>
      </c>
      <c r="K28" s="19" t="str">
        <f>Collards!K39</f>
        <v>NA</v>
      </c>
      <c r="L28" s="19">
        <f>SweetCorn!I39</f>
        <v>6.3192008778718067</v>
      </c>
      <c r="M28" s="19">
        <f>Cucumbers!I39</f>
        <v>4.5336261868319232</v>
      </c>
      <c r="N28" s="19">
        <f>Eggplant!I39</f>
        <v>0.42285923376957035</v>
      </c>
      <c r="O28" s="19">
        <f>Escarole!I39</f>
        <v>0.28800209450201253</v>
      </c>
      <c r="P28" s="19">
        <f>Garlic!J39</f>
        <v>1.1830472187598775</v>
      </c>
      <c r="Q28" s="19" t="str">
        <f>Kale!K39</f>
        <v>NA</v>
      </c>
      <c r="R28" s="19">
        <f>HeadLettuce!I39</f>
        <v>23.985255884372542</v>
      </c>
      <c r="S28" s="19">
        <f>Romaine!I39</f>
        <v>4.3427404048751637</v>
      </c>
      <c r="T28" s="19">
        <f>LimaBeans!I39</f>
        <v>4.404929659704003E-2</v>
      </c>
      <c r="U28" s="19">
        <f>Mushrooms!I39</f>
        <v>1.8907098553817576</v>
      </c>
      <c r="V28" s="19" t="str">
        <f>MustardGreens!K39</f>
        <v>NA</v>
      </c>
      <c r="W28" s="19">
        <f>Okra!K39</f>
        <v>0.24937271600445315</v>
      </c>
      <c r="X28" s="19">
        <f>Onions!L39</f>
        <v>15.13466518975042</v>
      </c>
      <c r="Y28" s="19">
        <f>Potatoes!I39</f>
        <v>46.395956633568709</v>
      </c>
      <c r="Z28" s="19">
        <f>Pumpkin!L39</f>
        <v>3.651784507422517</v>
      </c>
      <c r="AA28" s="19">
        <f>Radishes!I39</f>
        <v>0.46208530094124423</v>
      </c>
      <c r="AB28" s="19">
        <f>SnapBeans!I39</f>
        <v>1.3604558885766111</v>
      </c>
      <c r="AC28" s="19">
        <f>Spinach!I39</f>
        <v>0.71890223858867863</v>
      </c>
      <c r="AD28" s="19">
        <f>Squash!I39</f>
        <v>3.4253343467562498</v>
      </c>
      <c r="AE28" s="19">
        <f>SweetPotatoes!M39</f>
        <v>3.6680276353904731</v>
      </c>
      <c r="AF28" s="19">
        <f>Tomatoes!I39</f>
        <v>13.129105002841637</v>
      </c>
      <c r="AG28" s="19" t="str">
        <f>TurnipGreens!K39</f>
        <v>NA</v>
      </c>
      <c r="AH28" s="19">
        <f t="shared" si="0"/>
        <v>167.07206769346897</v>
      </c>
    </row>
    <row r="29" spans="1:34" ht="12" customHeight="1" x14ac:dyDescent="0.2">
      <c r="A29" s="3">
        <v>1993</v>
      </c>
      <c r="B29" s="19">
        <f>+Artichokes!I40</f>
        <v>0.80336522495859841</v>
      </c>
      <c r="C29" s="19">
        <f>+Asparagus!I40</f>
        <v>0.51628776484601646</v>
      </c>
      <c r="D29" s="19">
        <f>Peppers!I40</f>
        <v>7.0205081909926959</v>
      </c>
      <c r="E29" s="19">
        <f>Broccoli!I40</f>
        <v>3.0663521735221226</v>
      </c>
      <c r="F29" s="19">
        <f>BrusselsSprouts!K40</f>
        <v>0.319917004476379</v>
      </c>
      <c r="G29" s="19">
        <f>Cabbage!J40</f>
        <v>8.6699842847976036</v>
      </c>
      <c r="H29" s="19">
        <f>Carrots!I40</f>
        <v>10.521294864767249</v>
      </c>
      <c r="I29" s="19">
        <f>Cauliflower!I40</f>
        <v>1.923390520835335</v>
      </c>
      <c r="J29" s="19">
        <f>Celery!I40</f>
        <v>6.7531017176999484</v>
      </c>
      <c r="K29" s="19" t="str">
        <f>Collards!K40</f>
        <v>NA</v>
      </c>
      <c r="L29" s="19">
        <f>SweetCorn!I40</f>
        <v>6.4185767949126831</v>
      </c>
      <c r="M29" s="19">
        <f>Cucumbers!I40</f>
        <v>4.7948401879694913</v>
      </c>
      <c r="N29" s="19">
        <f>Eggplant!I40</f>
        <v>0.42431461451268943</v>
      </c>
      <c r="O29" s="19">
        <f>Escarole!I40</f>
        <v>0.27044806226201229</v>
      </c>
      <c r="P29" s="19">
        <f>Garlic!J40</f>
        <v>1.41394385326987</v>
      </c>
      <c r="Q29" s="19" t="str">
        <f>Kale!K40</f>
        <v>NA</v>
      </c>
      <c r="R29" s="19">
        <f>HeadLettuce!I40</f>
        <v>22.692032986225048</v>
      </c>
      <c r="S29" s="19">
        <f>Romaine!I40</f>
        <v>4.6887866442143284</v>
      </c>
      <c r="T29" s="19">
        <f>LimaBeans!I40</f>
        <v>3.4642946341088547E-2</v>
      </c>
      <c r="U29" s="19">
        <f>Mushrooms!I40</f>
        <v>1.8782897772366529</v>
      </c>
      <c r="V29" s="19" t="str">
        <f>MustardGreens!K40</f>
        <v>NA</v>
      </c>
      <c r="W29" s="19">
        <f>Okra!K40</f>
        <v>0.33758058179505485</v>
      </c>
      <c r="X29" s="19">
        <f>Onions!L40</f>
        <v>16.143107150485736</v>
      </c>
      <c r="Y29" s="19">
        <f>Potatoes!I40</f>
        <v>48.126853550863572</v>
      </c>
      <c r="Z29" s="19">
        <f>Pumpkin!L40</f>
        <v>4.6130201152062407</v>
      </c>
      <c r="AA29" s="19">
        <f>Radishes!I40</f>
        <v>0.50129683151908699</v>
      </c>
      <c r="AB29" s="19">
        <f>SnapBeans!I40</f>
        <v>1.4242748962363834</v>
      </c>
      <c r="AC29" s="19">
        <f>Spinach!I40</f>
        <v>0.58506223911164046</v>
      </c>
      <c r="AD29" s="19">
        <f>Squash!I40</f>
        <v>3.4061445541822444</v>
      </c>
      <c r="AE29" s="19">
        <f>SweetPotatoes!M40</f>
        <v>3.2937310446293062</v>
      </c>
      <c r="AF29" s="19">
        <f>Tomatoes!I40</f>
        <v>13.857326019096654</v>
      </c>
      <c r="AG29" s="19" t="str">
        <f>TurnipGreens!K40</f>
        <v>NA</v>
      </c>
      <c r="AH29" s="19">
        <f t="shared" si="0"/>
        <v>174.49847459696574</v>
      </c>
    </row>
    <row r="30" spans="1:34" ht="12" customHeight="1" x14ac:dyDescent="0.2">
      <c r="A30" s="3">
        <v>1994</v>
      </c>
      <c r="B30" s="19">
        <f>+Artichokes!I41</f>
        <v>1.1776558706281604</v>
      </c>
      <c r="C30" s="19">
        <f>+Asparagus!I41</f>
        <v>0.5090880757755204</v>
      </c>
      <c r="D30" s="19">
        <f>Peppers!I41</f>
        <v>6.4945025019266618</v>
      </c>
      <c r="E30" s="19">
        <f>Broccoli!I41</f>
        <v>4.075870905419154</v>
      </c>
      <c r="F30" s="19">
        <f>BrusselsSprouts!K41</f>
        <v>0.29789398563597991</v>
      </c>
      <c r="G30" s="19">
        <f>Cabbage!J41</f>
        <v>8.4465193441670863</v>
      </c>
      <c r="H30" s="19">
        <f>Carrots!I41</f>
        <v>12.296678077331878</v>
      </c>
      <c r="I30" s="19">
        <f>Cauliflower!I41</f>
        <v>1.8596547168951854</v>
      </c>
      <c r="J30" s="19">
        <f>Celery!I41</f>
        <v>6.730070243360819</v>
      </c>
      <c r="K30" s="19" t="str">
        <f>Collards!K41</f>
        <v>NA</v>
      </c>
      <c r="L30" s="19">
        <f>SweetCorn!I41</f>
        <v>7.5024723421248432</v>
      </c>
      <c r="M30" s="19">
        <f>Cucumbers!I41</f>
        <v>4.9336768400674176</v>
      </c>
      <c r="N30" s="19">
        <f>Eggplant!I41</f>
        <v>0.46462898009383691</v>
      </c>
      <c r="O30" s="19">
        <f>Escarole!I41</f>
        <v>0.29594366823440993</v>
      </c>
      <c r="P30" s="19">
        <f>Garlic!J41</f>
        <v>1.4556798051184352</v>
      </c>
      <c r="Q30" s="19" t="str">
        <f>Kale!K41</f>
        <v>NA</v>
      </c>
      <c r="R30" s="19">
        <f>HeadLettuce!I41</f>
        <v>23.256156507083318</v>
      </c>
      <c r="S30" s="19">
        <f>Romaine!I41</f>
        <v>5.2807487907119768</v>
      </c>
      <c r="T30" s="19">
        <f>LimaBeans!I41</f>
        <v>5.2733870845290701E-2</v>
      </c>
      <c r="U30" s="19">
        <f>Mushrooms!I41</f>
        <v>1.9221034666465582</v>
      </c>
      <c r="V30" s="19" t="str">
        <f>MustardGreens!K41</f>
        <v>NA</v>
      </c>
      <c r="W30" s="19">
        <f>Okra!K41</f>
        <v>0.21395060088437418</v>
      </c>
      <c r="X30" s="19">
        <f>Onions!L41</f>
        <v>15.902709327379201</v>
      </c>
      <c r="Y30" s="19">
        <f>Potatoes!I41</f>
        <v>47.643708120439122</v>
      </c>
      <c r="Z30" s="19">
        <f>Pumpkin!L41</f>
        <v>4.9422742067690066</v>
      </c>
      <c r="AA30" s="19">
        <f>Radishes!I41</f>
        <v>0.42268195645621709</v>
      </c>
      <c r="AB30" s="19">
        <f>SnapBeans!I41</f>
        <v>1.4463493142926556</v>
      </c>
      <c r="AC30" s="19">
        <f>Spinach!I41</f>
        <v>0.66216760078349213</v>
      </c>
      <c r="AD30" s="19">
        <f>Squash!I41</f>
        <v>3.5367778244624888</v>
      </c>
      <c r="AE30" s="19">
        <f>SweetPotatoes!M41</f>
        <v>4.0163157002080201</v>
      </c>
      <c r="AF30" s="19">
        <f>Tomatoes!I41</f>
        <v>13.780520703700329</v>
      </c>
      <c r="AG30" s="19" t="str">
        <f>TurnipGreens!K41</f>
        <v>NA</v>
      </c>
      <c r="AH30" s="19">
        <f t="shared" si="0"/>
        <v>179.61953334744146</v>
      </c>
    </row>
    <row r="31" spans="1:34" ht="12" customHeight="1" x14ac:dyDescent="0.2">
      <c r="A31" s="3">
        <v>1995</v>
      </c>
      <c r="B31" s="19">
        <f>+Artichokes!I42</f>
        <v>0.86004876821767962</v>
      </c>
      <c r="C31" s="19">
        <f>+Asparagus!I42</f>
        <v>0.50664663850508529</v>
      </c>
      <c r="D31" s="19">
        <f>Peppers!I42</f>
        <v>6.4496815256754685</v>
      </c>
      <c r="E31" s="19">
        <f>Broccoli!I42</f>
        <v>3.9624612089721891</v>
      </c>
      <c r="F31" s="19">
        <f>BrusselsSprouts!K42</f>
        <v>0.30821175208304419</v>
      </c>
      <c r="G31" s="19">
        <f>Cabbage!J42</f>
        <v>7.55443610278477</v>
      </c>
      <c r="H31" s="19">
        <f>Carrots!I42</f>
        <v>10.855353500414544</v>
      </c>
      <c r="I31" s="19">
        <f>Cauliflower!I42</f>
        <v>1.506199424513331</v>
      </c>
      <c r="J31" s="19">
        <f>Celery!I42</f>
        <v>6.4490531024133668</v>
      </c>
      <c r="K31" s="19" t="str">
        <f>Collards!K42</f>
        <v>NA</v>
      </c>
      <c r="L31" s="19">
        <f>SweetCorn!I42</f>
        <v>7.1969854030470026</v>
      </c>
      <c r="M31" s="19">
        <f>Cucumbers!I42</f>
        <v>5.1602303823947597</v>
      </c>
      <c r="N31" s="19">
        <f>Eggplant!I42</f>
        <v>0.42542495601316044</v>
      </c>
      <c r="O31" s="19">
        <f>Escarole!I42</f>
        <v>0.27367230357109362</v>
      </c>
      <c r="P31" s="19">
        <f>Garlic!J42</f>
        <v>1.4983364596851332</v>
      </c>
      <c r="Q31" s="19" t="str">
        <f>Kale!K42</f>
        <v>NA</v>
      </c>
      <c r="R31" s="19">
        <f>HeadLettuce!I42</f>
        <v>20.615405942218736</v>
      </c>
      <c r="S31" s="19">
        <f>Romaine!I42</f>
        <v>5.481927158543952</v>
      </c>
      <c r="T31" s="19">
        <f>LimaBeans!I42</f>
        <v>5.7638703916985848E-2</v>
      </c>
      <c r="U31" s="19">
        <f>Mushrooms!I42</f>
        <v>1.9245716467703478</v>
      </c>
      <c r="V31" s="19" t="str">
        <f>MustardGreens!K42</f>
        <v>NA</v>
      </c>
      <c r="W31" s="19">
        <f>Okra!K42</f>
        <v>0.33619985740157643</v>
      </c>
      <c r="X31" s="19">
        <f>Onions!L42</f>
        <v>16.714587290110696</v>
      </c>
      <c r="Y31" s="19">
        <f>Potatoes!I42</f>
        <v>47.253082522555403</v>
      </c>
      <c r="Z31" s="19">
        <f>Pumpkin!L42</f>
        <v>5.3066906350821785</v>
      </c>
      <c r="AA31" s="19">
        <f>Radishes!I42</f>
        <v>0.40142109120750896</v>
      </c>
      <c r="AB31" s="19">
        <f>SnapBeans!I42</f>
        <v>1.5373943307435181</v>
      </c>
      <c r="AC31" s="19">
        <f>Spinach!I42</f>
        <v>0.59053103898978454</v>
      </c>
      <c r="AD31" s="19">
        <f>Squash!I42</f>
        <v>3.371190556105824</v>
      </c>
      <c r="AE31" s="19">
        <f>SweetPotatoes!M42</f>
        <v>3.7868369240546005</v>
      </c>
      <c r="AF31" s="19">
        <f>Tomatoes!I42</f>
        <v>14.316109277565396</v>
      </c>
      <c r="AG31" s="19" t="str">
        <f>TurnipGreens!K42</f>
        <v>NA</v>
      </c>
      <c r="AH31" s="19">
        <f t="shared" si="0"/>
        <v>174.70032850355716</v>
      </c>
    </row>
    <row r="32" spans="1:34" ht="12" customHeight="1" x14ac:dyDescent="0.2">
      <c r="A32" s="2">
        <v>1996</v>
      </c>
      <c r="B32" s="18">
        <f>+Artichokes!I43</f>
        <v>0.92015469103561087</v>
      </c>
      <c r="C32" s="18">
        <f>+Asparagus!I43</f>
        <v>0.52588734546681659</v>
      </c>
      <c r="D32" s="18">
        <f>Peppers!I43</f>
        <v>7.4234059801557342</v>
      </c>
      <c r="E32" s="18">
        <f>Broccoli!I43</f>
        <v>4.154776970559988</v>
      </c>
      <c r="F32" s="18">
        <f>BrusselsSprouts!K43</f>
        <v>0.30397490237960162</v>
      </c>
      <c r="G32" s="18">
        <f>Cabbage!J43</f>
        <v>7.6799427348173879</v>
      </c>
      <c r="H32" s="18">
        <f>Carrots!I43</f>
        <v>11.998973987288027</v>
      </c>
      <c r="I32" s="18">
        <f>Cauliflower!I43</f>
        <v>1.5833305521253993</v>
      </c>
      <c r="J32" s="18">
        <f>Celery!I43</f>
        <v>6.5353485981599535</v>
      </c>
      <c r="K32" s="18" t="str">
        <f>Collards!K43</f>
        <v>NA</v>
      </c>
      <c r="L32" s="18">
        <f>SweetCorn!I43</f>
        <v>7.6600057270633792</v>
      </c>
      <c r="M32" s="18">
        <f>Cucumbers!I43</f>
        <v>5.4559108765996589</v>
      </c>
      <c r="N32" s="18">
        <f>Eggplant!I43</f>
        <v>0.53899809765377305</v>
      </c>
      <c r="O32" s="18">
        <f>Escarole!I43</f>
        <v>0.28720063842071891</v>
      </c>
      <c r="P32" s="18">
        <f>Garlic!J43</f>
        <v>1.8586535950939498</v>
      </c>
      <c r="Q32" s="18" t="str">
        <f>Kale!K43</f>
        <v>NA</v>
      </c>
      <c r="R32" s="18">
        <f>HeadLettuce!I43</f>
        <v>20.06469072723025</v>
      </c>
      <c r="S32" s="18">
        <f>Romaine!I43</f>
        <v>5.4103769348863615</v>
      </c>
      <c r="T32" s="18">
        <f>LimaBeans!I43</f>
        <v>3.4116150659887941E-2</v>
      </c>
      <c r="U32" s="18">
        <f>Mushrooms!I43</f>
        <v>1.9773454783372053</v>
      </c>
      <c r="V32" s="18" t="str">
        <f>MustardGreens!K43</f>
        <v>NA</v>
      </c>
      <c r="W32" s="18">
        <f>Okra!K43</f>
        <v>0.29630502344814907</v>
      </c>
      <c r="X32" s="18">
        <f>Onions!L43</f>
        <v>17.223504496326775</v>
      </c>
      <c r="Y32" s="18">
        <f>Potatoes!I43</f>
        <v>47.944744021270687</v>
      </c>
      <c r="Z32" s="18">
        <f>Pumpkin!L43</f>
        <v>5.1973666044454854</v>
      </c>
      <c r="AA32" s="18">
        <f>Radishes!I43</f>
        <v>0.39480891965275694</v>
      </c>
      <c r="AB32" s="18">
        <f>SnapBeans!I43</f>
        <v>1.3645388989383203</v>
      </c>
      <c r="AC32" s="18">
        <f>Spinach!I43</f>
        <v>0.55264104751415644</v>
      </c>
      <c r="AD32" s="18">
        <f>Squash!I43</f>
        <v>3.3206382004472186</v>
      </c>
      <c r="AE32" s="18">
        <f>SweetPotatoes!M43</f>
        <v>3.8586443694312149</v>
      </c>
      <c r="AF32" s="18">
        <f>Tomatoes!I43</f>
        <v>14.792807158829225</v>
      </c>
      <c r="AG32" s="18" t="str">
        <f>TurnipGreens!K43</f>
        <v>NA</v>
      </c>
      <c r="AH32" s="18">
        <f t="shared" si="0"/>
        <v>179.35909272823764</v>
      </c>
    </row>
    <row r="33" spans="1:34" ht="12" customHeight="1" x14ac:dyDescent="0.2">
      <c r="A33" s="2">
        <v>1997</v>
      </c>
      <c r="B33" s="18">
        <f>+Artichokes!I44</f>
        <v>0.9390310117305215</v>
      </c>
      <c r="C33" s="18">
        <f>+Asparagus!I44</f>
        <v>0.5995047936331126</v>
      </c>
      <c r="D33" s="18">
        <f>Peppers!I44</f>
        <v>6.7472413439332399</v>
      </c>
      <c r="E33" s="18">
        <f>Broccoli!I44</f>
        <v>4.5680530310136609</v>
      </c>
      <c r="F33" s="18">
        <f>BrusselsSprouts!K44</f>
        <v>0.22788298059447745</v>
      </c>
      <c r="G33" s="18">
        <f>Cabbage!J44</f>
        <v>8.3824757847950995</v>
      </c>
      <c r="H33" s="18">
        <f>Carrots!I44</f>
        <v>13.690338011813333</v>
      </c>
      <c r="I33" s="18">
        <f>Cauliflower!I44</f>
        <v>1.6241718942369701</v>
      </c>
      <c r="J33" s="18">
        <f>Celery!I44</f>
        <v>6.0907340258398319</v>
      </c>
      <c r="K33" s="18">
        <f>Collards!K44</f>
        <v>0.69957085067714142</v>
      </c>
      <c r="L33" s="18">
        <f>SweetCorn!I44</f>
        <v>7.627203814709504</v>
      </c>
      <c r="M33" s="18">
        <f>Cucumbers!I44</f>
        <v>5.9090309224951643</v>
      </c>
      <c r="N33" s="18">
        <f>Eggplant!I44</f>
        <v>0.58514741015418892</v>
      </c>
      <c r="O33" s="18">
        <f>Escarole!I44</f>
        <v>0.26948913655683887</v>
      </c>
      <c r="P33" s="18">
        <f>Garlic!J44</f>
        <v>1.6160425844881503</v>
      </c>
      <c r="Q33" s="18">
        <f>Kale!K44</f>
        <v>0.37272761915928954</v>
      </c>
      <c r="R33" s="18">
        <f>HeadLettuce!I44</f>
        <v>22.228505886293021</v>
      </c>
      <c r="S33" s="18">
        <f>Romaine!I44</f>
        <v>6.1331117307776886</v>
      </c>
      <c r="T33" s="18">
        <f>LimaBeans!I44</f>
        <v>2.6968400070352352E-2</v>
      </c>
      <c r="U33" s="18">
        <f>Mushrooms!I44</f>
        <v>2.2007559965227004</v>
      </c>
      <c r="V33" s="18">
        <f>MustardGreens!K44</f>
        <v>0.60002204373570978</v>
      </c>
      <c r="W33" s="18">
        <f>Okra!K44</f>
        <v>0.20273751460321282</v>
      </c>
      <c r="X33" s="18">
        <f>Onions!L44</f>
        <v>17.709047942217929</v>
      </c>
      <c r="Y33" s="18">
        <f>Potatoes!I44</f>
        <v>45.414494482312243</v>
      </c>
      <c r="Z33" s="18">
        <f>Pumpkin!L44</f>
        <v>5.0835454921894252</v>
      </c>
      <c r="AA33" s="18">
        <f>Radishes!I44</f>
        <v>0.49105789794512522</v>
      </c>
      <c r="AB33" s="18">
        <f>SnapBeans!I44</f>
        <v>1.2687606635838657</v>
      </c>
      <c r="AC33" s="18">
        <f>Spinach!I44</f>
        <v>0.97451849797737022</v>
      </c>
      <c r="AD33" s="18">
        <f>Squash!I44</f>
        <v>3.4654082502059276</v>
      </c>
      <c r="AE33" s="18">
        <f>SweetPotatoes!M44</f>
        <v>3.8348432743224969</v>
      </c>
      <c r="AF33" s="18">
        <f>Tomatoes!I44</f>
        <v>14.700732412096208</v>
      </c>
      <c r="AG33" s="18">
        <f>TurnipGreens!K44</f>
        <v>0.46485431201266336</v>
      </c>
      <c r="AH33" s="18">
        <f t="shared" si="0"/>
        <v>184.74801001269651</v>
      </c>
    </row>
    <row r="34" spans="1:34" ht="12" customHeight="1" x14ac:dyDescent="0.2">
      <c r="A34" s="2">
        <v>1998</v>
      </c>
      <c r="B34" s="18">
        <f>+Artichokes!I45</f>
        <v>1.0973219264806333</v>
      </c>
      <c r="C34" s="18">
        <f>+Asparagus!I45</f>
        <v>0.66524894891621245</v>
      </c>
      <c r="D34" s="18">
        <f>Peppers!I45</f>
        <v>7.14176759283332</v>
      </c>
      <c r="E34" s="18">
        <f>Broccoli!I45</f>
        <v>4.6413808746355691</v>
      </c>
      <c r="F34" s="18">
        <f>BrusselsSprouts!K45</f>
        <v>0.25889212827988339</v>
      </c>
      <c r="G34" s="18">
        <f>Cabbage!J45</f>
        <v>7.8382679504554256</v>
      </c>
      <c r="H34" s="18">
        <f>Carrots!I45</f>
        <v>9.2408695274432748</v>
      </c>
      <c r="I34" s="18">
        <f>Cauliflower!I45</f>
        <v>1.3421074552269887</v>
      </c>
      <c r="J34" s="18">
        <f>Celery!I45</f>
        <v>6.014673071003025</v>
      </c>
      <c r="K34" s="18">
        <f>Collards!K45</f>
        <v>0.69286434999909463</v>
      </c>
      <c r="L34" s="18">
        <f>SweetCorn!I45</f>
        <v>8.5868308738025814</v>
      </c>
      <c r="M34" s="18">
        <f>Cucumbers!I45</f>
        <v>5.9710790104123275</v>
      </c>
      <c r="N34" s="18">
        <f>Eggplant!I45</f>
        <v>0.62977672346667157</v>
      </c>
      <c r="O34" s="18">
        <f>Escarole!I45</f>
        <v>0.27379561925284751</v>
      </c>
      <c r="P34" s="18">
        <f>Garlic!J45</f>
        <v>2.0932493706710251</v>
      </c>
      <c r="Q34" s="18">
        <f>Kale!K45</f>
        <v>0.35570370316715866</v>
      </c>
      <c r="R34" s="18">
        <f>HeadLettuce!I45</f>
        <v>20.762205742353732</v>
      </c>
      <c r="S34" s="18">
        <f>Romaine!I45</f>
        <v>6.1515324422432682</v>
      </c>
      <c r="T34" s="18">
        <f>LimaBeans!I45</f>
        <v>1.4660558100791338E-2</v>
      </c>
      <c r="U34" s="18">
        <f>Mushrooms!I45</f>
        <v>2.3283856727702399</v>
      </c>
      <c r="V34" s="18">
        <f>MustardGreens!K45</f>
        <v>0.60282787099578072</v>
      </c>
      <c r="W34" s="18">
        <f>Okra!K45</f>
        <v>0.25096635519575061</v>
      </c>
      <c r="X34" s="18">
        <f>Onions!L45</f>
        <v>17.296127971960178</v>
      </c>
      <c r="Y34" s="18">
        <f>Potatoes!I45</f>
        <v>44.989517407712</v>
      </c>
      <c r="Z34" s="18">
        <f>Pumpkin!L45</f>
        <v>5.7208879084960991</v>
      </c>
      <c r="AA34" s="18">
        <f>Radishes!I45</f>
        <v>0.43135546062329105</v>
      </c>
      <c r="AB34" s="18">
        <f>SnapBeans!I45</f>
        <v>1.5421400808358836</v>
      </c>
      <c r="AC34" s="18">
        <f>Spinach!I45</f>
        <v>0.85347522271517295</v>
      </c>
      <c r="AD34" s="18">
        <f>Squash!I45</f>
        <v>3.744236889955634</v>
      </c>
      <c r="AE34" s="18">
        <f>SweetPotatoes!M45</f>
        <v>3.4629239775287015</v>
      </c>
      <c r="AF34" s="18">
        <f>Tomatoes!I45</f>
        <v>15.722428648027087</v>
      </c>
      <c r="AG34" s="18">
        <f>TurnipGreens!K45</f>
        <v>0.45301634463900914</v>
      </c>
      <c r="AH34" s="18">
        <f t="shared" si="0"/>
        <v>181.1705176801986</v>
      </c>
    </row>
    <row r="35" spans="1:34" ht="12" customHeight="1" x14ac:dyDescent="0.2">
      <c r="A35" s="2">
        <v>1999</v>
      </c>
      <c r="B35" s="18">
        <f>+Artichokes!I46</f>
        <v>1.2283620618023956</v>
      </c>
      <c r="C35" s="18">
        <f>+Asparagus!I46</f>
        <v>0.81364556579960245</v>
      </c>
      <c r="D35" s="18">
        <f>Peppers!I46</f>
        <v>7.1016229364137571</v>
      </c>
      <c r="E35" s="18">
        <f>Broccoli!I46</f>
        <v>5.6665153338226597</v>
      </c>
      <c r="F35" s="18">
        <f>BrusselsSprouts!K46</f>
        <v>0.23716858518770473</v>
      </c>
      <c r="G35" s="18">
        <f>Cabbage!J46</f>
        <v>7.0248313942247442</v>
      </c>
      <c r="H35" s="18">
        <f>Carrots!I46</f>
        <v>8.9750255772212153</v>
      </c>
      <c r="I35" s="18">
        <f>Cauliflower!I46</f>
        <v>1.6232872052847347</v>
      </c>
      <c r="J35" s="18">
        <f>Celery!I46</f>
        <v>6.0745034013140229</v>
      </c>
      <c r="K35" s="18">
        <f>Collards!K46</f>
        <v>0.68636817701713249</v>
      </c>
      <c r="L35" s="18">
        <f>SweetCorn!I46</f>
        <v>8.3673353320324377</v>
      </c>
      <c r="M35" s="18">
        <f>Cucumbers!I46</f>
        <v>6.1908711875257341</v>
      </c>
      <c r="N35" s="18">
        <f>Eggplant!I46</f>
        <v>0.59941781986788167</v>
      </c>
      <c r="O35" s="18">
        <f>Escarole!I46</f>
        <v>0.20259230359655558</v>
      </c>
      <c r="P35" s="18">
        <f>Garlic!J46</f>
        <v>2.6668540453601746</v>
      </c>
      <c r="Q35" s="18">
        <f>Kale!K46</f>
        <v>0.33909814353998469</v>
      </c>
      <c r="R35" s="18">
        <f>HeadLettuce!I46</f>
        <v>23.16542922404626</v>
      </c>
      <c r="S35" s="18">
        <f>Romaine!I46</f>
        <v>7.0601661397805184</v>
      </c>
      <c r="T35" s="18">
        <f>LimaBeans!I46</f>
        <v>2.2530867362466209E-2</v>
      </c>
      <c r="U35" s="18">
        <f>Mushrooms!I46</f>
        <v>2.3548132396976134</v>
      </c>
      <c r="V35" s="18">
        <f>MustardGreens!K46</f>
        <v>0.60561921695698095</v>
      </c>
      <c r="W35" s="18">
        <f>Okra!K46</f>
        <v>0.23871629515267606</v>
      </c>
      <c r="X35" s="18">
        <f>Onions!L46</f>
        <v>17.36960654031796</v>
      </c>
      <c r="Y35" s="18">
        <f>Potatoes!I46</f>
        <v>45.798899187912419</v>
      </c>
      <c r="Z35" s="18">
        <f>Pumpkin!L46</f>
        <v>5.3284645258733612</v>
      </c>
      <c r="AA35" s="18">
        <f>Radishes!I46</f>
        <v>0.38006377913675504</v>
      </c>
      <c r="AB35" s="18">
        <f>SnapBeans!I46</f>
        <v>1.78147093632181</v>
      </c>
      <c r="AC35" s="18">
        <f>Spinach!I46</f>
        <v>0.85503748824719361</v>
      </c>
      <c r="AD35" s="18">
        <f>Squash!I46</f>
        <v>3.6881456185860824</v>
      </c>
      <c r="AE35" s="18">
        <f>SweetPotatoes!M46</f>
        <v>3.3464449685637048</v>
      </c>
      <c r="AF35" s="18">
        <f>Tomatoes!I46</f>
        <v>16.207817545068835</v>
      </c>
      <c r="AG35" s="18">
        <f>TurnipGreens!K46</f>
        <v>0.45226042334203403</v>
      </c>
      <c r="AH35" s="18">
        <f t="shared" si="0"/>
        <v>186.45298506637741</v>
      </c>
    </row>
    <row r="36" spans="1:34" ht="12" customHeight="1" x14ac:dyDescent="0.2">
      <c r="A36" s="2">
        <v>2000</v>
      </c>
      <c r="B36" s="18">
        <f>+Artichokes!I47</f>
        <v>1.1548166832685876</v>
      </c>
      <c r="C36" s="18">
        <f>+Asparagus!I47</f>
        <v>0.87055321533155117</v>
      </c>
      <c r="D36" s="18">
        <f>Peppers!I47</f>
        <v>7.5307943154698025</v>
      </c>
      <c r="E36" s="18">
        <f>Broccoli!I47</f>
        <v>5.4173720452219483</v>
      </c>
      <c r="F36" s="18">
        <f>BrusselsSprouts!K47</f>
        <v>0.26045778364678007</v>
      </c>
      <c r="G36" s="18">
        <f>Cabbage!J47</f>
        <v>8.2768476286629973</v>
      </c>
      <c r="H36" s="18">
        <f>Carrots!I47</f>
        <v>8.9277300164314681</v>
      </c>
      <c r="I36" s="18">
        <f>Cauliflower!I47</f>
        <v>1.5980559762055349</v>
      </c>
      <c r="J36" s="18">
        <f>Celery!I47</f>
        <v>5.8301441700515264</v>
      </c>
      <c r="K36" s="18">
        <f>Collards!K47</f>
        <v>0.68023499831789946</v>
      </c>
      <c r="L36" s="18">
        <f>SweetCorn!I47</f>
        <v>8.3164949471112148</v>
      </c>
      <c r="M36" s="18">
        <f>Cucumbers!I47</f>
        <v>5.8432083395364485</v>
      </c>
      <c r="N36" s="18">
        <f>Eggplant!I47</f>
        <v>0.72629193335340059</v>
      </c>
      <c r="O36" s="18">
        <f>Escarole!I47</f>
        <v>0.31017995472847348</v>
      </c>
      <c r="P36" s="18">
        <f>Garlic!J47</f>
        <v>1.7984412231459534</v>
      </c>
      <c r="Q36" s="18">
        <f>Kale!K47</f>
        <v>0.33855092869663761</v>
      </c>
      <c r="R36" s="18">
        <f>HeadLettuce!I47</f>
        <v>21.81838415197479</v>
      </c>
      <c r="S36" s="18">
        <f>Romaine!I47</f>
        <v>7.79805362758787</v>
      </c>
      <c r="T36" s="18">
        <f>LimaBeans!I47</f>
        <v>4.5162656704422946E-2</v>
      </c>
      <c r="U36" s="18">
        <f>Mushrooms!I47</f>
        <v>2.4478049305186205</v>
      </c>
      <c r="V36" s="18">
        <f>MustardGreens!K47</f>
        <v>0.64673912282876211</v>
      </c>
      <c r="W36" s="18">
        <f>Okra!K47</f>
        <v>0.18882953116387913</v>
      </c>
      <c r="X36" s="18">
        <f>Onions!L47</f>
        <v>17.741340610901247</v>
      </c>
      <c r="Y36" s="18">
        <f>Potatoes!I47</f>
        <v>45.261314484267935</v>
      </c>
      <c r="Z36" s="18">
        <f>Pumpkin!L47</f>
        <v>4.1389963179474831</v>
      </c>
      <c r="AA36" s="18">
        <f>Radishes!I47</f>
        <v>0.46620324672185137</v>
      </c>
      <c r="AB36" s="18">
        <f>SnapBeans!I47</f>
        <v>1.8950713381822686</v>
      </c>
      <c r="AC36" s="18">
        <f>Spinach!I47</f>
        <v>1.2097715368734174</v>
      </c>
      <c r="AD36" s="18">
        <f>Squash!I47</f>
        <v>3.9877462081427839</v>
      </c>
      <c r="AE36" s="18">
        <f>SweetPotatoes!M47</f>
        <v>3.7841561148396692</v>
      </c>
      <c r="AF36" s="18">
        <f>Tomatoes!I47</f>
        <v>16.137109604086618</v>
      </c>
      <c r="AG36" s="18">
        <f>TurnipGreens!K47</f>
        <v>0.45342351753811283</v>
      </c>
      <c r="AH36" s="18">
        <f t="shared" si="0"/>
        <v>185.90028115945995</v>
      </c>
    </row>
    <row r="37" spans="1:34" ht="12" customHeight="1" x14ac:dyDescent="0.2">
      <c r="A37" s="3">
        <v>2001</v>
      </c>
      <c r="B37" s="19">
        <f>+Artichokes!I48</f>
        <v>1.1435521648528753</v>
      </c>
      <c r="C37" s="19">
        <f>+Asparagus!I48</f>
        <v>0.83704807333342657</v>
      </c>
      <c r="D37" s="19">
        <f>Peppers!I48</f>
        <v>7.469899520133616</v>
      </c>
      <c r="E37" s="19">
        <f>Broccoli!I48</f>
        <v>4.966798346531065</v>
      </c>
      <c r="F37" s="19">
        <f>BrusselsSprouts!K48</f>
        <v>0.21146414708845923</v>
      </c>
      <c r="G37" s="19">
        <f>Cabbage!J48</f>
        <v>8.2100570617432886</v>
      </c>
      <c r="H37" s="19">
        <f>Carrots!I48</f>
        <v>9.0986916822632953</v>
      </c>
      <c r="I37" s="19">
        <f>Cauliflower!I48</f>
        <v>1.3977847934558287</v>
      </c>
      <c r="J37" s="19">
        <f>Celery!I48</f>
        <v>5.9634656847984191</v>
      </c>
      <c r="K37" s="19">
        <f>Collards!K48</f>
        <v>0.67462683330035234</v>
      </c>
      <c r="L37" s="19">
        <f>SweetCorn!I48</f>
        <v>8.4393373345130751</v>
      </c>
      <c r="M37" s="19">
        <f>Cucumbers!I48</f>
        <v>5.7663134229906703</v>
      </c>
      <c r="N37" s="19">
        <f>Eggplant!I48</f>
        <v>0.74915281910523857</v>
      </c>
      <c r="O37" s="19">
        <f>Escarole!I48</f>
        <v>0.31518759100987276</v>
      </c>
      <c r="P37" s="19">
        <f>Garlic!J48</f>
        <v>1.95671659889574</v>
      </c>
      <c r="Q37" s="19">
        <f>Kale!K48</f>
        <v>0.32279032861558443</v>
      </c>
      <c r="R37" s="19">
        <f>HeadLettuce!I48</f>
        <v>21.378917304834658</v>
      </c>
      <c r="S37" s="19">
        <f>Romaine!I48</f>
        <v>7.4653308582617948</v>
      </c>
      <c r="T37" s="19">
        <f>LimaBeans!I48</f>
        <v>4.9102843117623286E-2</v>
      </c>
      <c r="U37" s="19">
        <f>Mushrooms!I48</f>
        <v>2.4386171199363118</v>
      </c>
      <c r="V37" s="19">
        <f>MustardGreens!K48</f>
        <v>0.68736850972103336</v>
      </c>
      <c r="W37" s="19">
        <f>Okra!K48</f>
        <v>0.24173981819806403</v>
      </c>
      <c r="X37" s="19">
        <f>Onions!L48</f>
        <v>17.359592644041722</v>
      </c>
      <c r="Y37" s="19">
        <f>Potatoes!I48</f>
        <v>44.707578723337875</v>
      </c>
      <c r="Z37" s="19">
        <f>Pumpkin!L48</f>
        <v>3.6921099557346984</v>
      </c>
      <c r="AA37" s="19">
        <f>Radishes!I48</f>
        <v>0.49231244266421176</v>
      </c>
      <c r="AB37" s="19">
        <f>SnapBeans!I48</f>
        <v>2.0355103395802567</v>
      </c>
      <c r="AC37" s="19">
        <f>Spinach!I48</f>
        <v>0.9441659861443078</v>
      </c>
      <c r="AD37" s="19">
        <f>Squash!I48</f>
        <v>3.777194764487624</v>
      </c>
      <c r="AE37" s="19">
        <f>SweetPotatoes!M48</f>
        <v>3.9321049291470178</v>
      </c>
      <c r="AF37" s="19">
        <f>Tomatoes!I48</f>
        <v>16.322595439578446</v>
      </c>
      <c r="AG37" s="19">
        <f>TurnipGreens!K48</f>
        <v>0.36518999772664046</v>
      </c>
      <c r="AH37" s="19">
        <f t="shared" si="0"/>
        <v>183.41231807914309</v>
      </c>
    </row>
    <row r="38" spans="1:34" ht="12" customHeight="1" x14ac:dyDescent="0.2">
      <c r="A38" s="3">
        <v>2002</v>
      </c>
      <c r="B38" s="19">
        <f>+Artichokes!I49</f>
        <v>1.2311354868827638</v>
      </c>
      <c r="C38" s="19">
        <f>+Asparagus!I49</f>
        <v>0.87686116018927529</v>
      </c>
      <c r="D38" s="19">
        <f>Peppers!I49</f>
        <v>7.6034043537403235</v>
      </c>
      <c r="E38" s="19">
        <f>Broccoli!I49</f>
        <v>4.9232311785913971</v>
      </c>
      <c r="F38" s="19">
        <f>BrusselsSprouts!K49</f>
        <v>0.18474372058720653</v>
      </c>
      <c r="G38" s="19">
        <f>Cabbage!J49</f>
        <v>7.7144221736687513</v>
      </c>
      <c r="H38" s="19">
        <f>Carrots!I49</f>
        <v>8.1648449679171975</v>
      </c>
      <c r="I38" s="19">
        <f>Cauliflower!I49</f>
        <v>1.3113145985583621</v>
      </c>
      <c r="J38" s="19">
        <f>Celery!I49</f>
        <v>5.8608239916348781</v>
      </c>
      <c r="K38" s="19">
        <f>Collards!K49</f>
        <v>0.6691044414721774</v>
      </c>
      <c r="L38" s="19">
        <f>SweetCorn!I49</f>
        <v>8.2560348861642439</v>
      </c>
      <c r="M38" s="19">
        <f>Cucumbers!I49</f>
        <v>6.0935149185877195</v>
      </c>
      <c r="N38" s="19">
        <f>Eggplant!I49</f>
        <v>0.64715878753544476</v>
      </c>
      <c r="O38" s="19">
        <f>Escarole!I49</f>
        <v>0.27876293962220372</v>
      </c>
      <c r="P38" s="19">
        <f>Garlic!J49</f>
        <v>2.0249393435022665</v>
      </c>
      <c r="Q38" s="19">
        <f>Kale!K49</f>
        <v>0.30422821090528701</v>
      </c>
      <c r="R38" s="19">
        <f>HeadLettuce!I49</f>
        <v>20.964584679677934</v>
      </c>
      <c r="S38" s="19">
        <f>Romaine!I49</f>
        <v>8.9223675678190162</v>
      </c>
      <c r="T38" s="19">
        <f>LimaBeans!I49</f>
        <v>6.3557691145588555E-2</v>
      </c>
      <c r="U38" s="19">
        <f>Mushrooms!I49</f>
        <v>2.4740776779878462</v>
      </c>
      <c r="V38" s="19">
        <f>MustardGreens!K49</f>
        <v>0.61485385271596993</v>
      </c>
      <c r="W38" s="19">
        <f>Okra!K49</f>
        <v>0.19716181310034187</v>
      </c>
      <c r="X38" s="19">
        <f>Onions!L49</f>
        <v>18.163932223945192</v>
      </c>
      <c r="Y38" s="19">
        <f>Potatoes!I49</f>
        <v>42.495795313607005</v>
      </c>
      <c r="Z38" s="19">
        <f>Pumpkin!L49</f>
        <v>3.6114674582713846</v>
      </c>
      <c r="AA38" s="19">
        <f>Radishes!I49</f>
        <v>0.49754478195383733</v>
      </c>
      <c r="AB38" s="19">
        <f>SnapBeans!I49</f>
        <v>1.9677348544264885</v>
      </c>
      <c r="AC38" s="19">
        <f>Spinach!I49</f>
        <v>1.25963510794186</v>
      </c>
      <c r="AD38" s="19">
        <f>Squash!I49</f>
        <v>4.1471817466714498</v>
      </c>
      <c r="AE38" s="19">
        <f>SweetPotatoes!M49</f>
        <v>3.3803550426810283</v>
      </c>
      <c r="AF38" s="19">
        <f>Tomatoes!I49</f>
        <v>17.26475481746369</v>
      </c>
      <c r="AG38" s="19">
        <f>TurnipGreens!K49</f>
        <v>0.40291780195081639</v>
      </c>
      <c r="AH38" s="19">
        <f t="shared" si="0"/>
        <v>182.57244759091896</v>
      </c>
    </row>
    <row r="39" spans="1:34" ht="12" customHeight="1" x14ac:dyDescent="0.2">
      <c r="A39" s="3">
        <v>2003</v>
      </c>
      <c r="B39" s="19">
        <f>+Artichokes!I50</f>
        <v>1.3355182624265323</v>
      </c>
      <c r="C39" s="19">
        <f>+Asparagus!I50</f>
        <v>0.94931966751907804</v>
      </c>
      <c r="D39" s="19">
        <f>Peppers!I50</f>
        <v>7.7410781825710719</v>
      </c>
      <c r="E39" s="19">
        <f>Broccoli!I50</f>
        <v>4.9194869501830123</v>
      </c>
      <c r="F39" s="19">
        <f>BrusselsSprouts!K50</f>
        <v>0.218443935226244</v>
      </c>
      <c r="G39" s="19">
        <f>Cabbage!J50</f>
        <v>6.8789793586288601</v>
      </c>
      <c r="H39" s="19">
        <f>Carrots!I50</f>
        <v>8.5154352730187401</v>
      </c>
      <c r="I39" s="19">
        <f>Cauliflower!I50</f>
        <v>1.4344889538125198</v>
      </c>
      <c r="J39" s="19">
        <f>Celery!I50</f>
        <v>5.8297698054664346</v>
      </c>
      <c r="K39" s="19">
        <f>Collards!K50</f>
        <v>0.76521394358461747</v>
      </c>
      <c r="L39" s="19">
        <f>SweetCorn!I50</f>
        <v>8.4323436693411153</v>
      </c>
      <c r="M39" s="19">
        <f>Cucumbers!I50</f>
        <v>5.6650399477498823</v>
      </c>
      <c r="N39" s="19">
        <f>Eggplant!I50</f>
        <v>0.65291802100266727</v>
      </c>
      <c r="O39" s="19">
        <f>Escarole!I50</f>
        <v>0.29129501190418244</v>
      </c>
      <c r="P39" s="19">
        <f>Garlic!J50</f>
        <v>2.2900119862852515</v>
      </c>
      <c r="Q39" s="19">
        <f>Kale!K50</f>
        <v>0.27209788364334903</v>
      </c>
      <c r="R39" s="19">
        <f>HeadLettuce!I50</f>
        <v>20.6752963485017</v>
      </c>
      <c r="S39" s="19">
        <f>Romaine!I50</f>
        <v>10.063118094755598</v>
      </c>
      <c r="T39" s="19">
        <f>LimaBeans!I50</f>
        <v>5.5389702951447593E-2</v>
      </c>
      <c r="U39" s="19">
        <f>Mushrooms!I50</f>
        <v>2.4966724441801684</v>
      </c>
      <c r="V39" s="19">
        <f>MustardGreens!K50</f>
        <v>0.70315657939613729</v>
      </c>
      <c r="W39" s="19">
        <f>Okra!K50</f>
        <v>0.29478709767987671</v>
      </c>
      <c r="X39" s="19">
        <f>Onions!L50</f>
        <v>18.336701464157557</v>
      </c>
      <c r="Y39" s="19">
        <f>Potatoes!I50</f>
        <v>44.907261887430877</v>
      </c>
      <c r="Z39" s="19">
        <f>Pumpkin!L50</f>
        <v>3.3848310829460138</v>
      </c>
      <c r="AA39" s="19">
        <f>Radishes!I50</f>
        <v>0.33952173104088729</v>
      </c>
      <c r="AB39" s="19">
        <f>SnapBeans!I50</f>
        <v>1.8488843470155798</v>
      </c>
      <c r="AC39" s="19">
        <f>Spinach!I50</f>
        <v>1.4139273094608185</v>
      </c>
      <c r="AD39" s="19">
        <f>Squash!I50</f>
        <v>3.8570647531586539</v>
      </c>
      <c r="AE39" s="19">
        <f>SweetPotatoes!M50</f>
        <v>4.2261412606791184</v>
      </c>
      <c r="AF39" s="19">
        <f>Tomatoes!I50</f>
        <v>16.499978917860822</v>
      </c>
      <c r="AG39" s="19">
        <f>TurnipGreens!K50</f>
        <v>0.45984220820031418</v>
      </c>
      <c r="AH39" s="19">
        <f t="shared" si="0"/>
        <v>185.75401608177913</v>
      </c>
    </row>
    <row r="40" spans="1:34" ht="12" customHeight="1" x14ac:dyDescent="0.2">
      <c r="A40" s="3">
        <v>2004</v>
      </c>
      <c r="B40" s="19">
        <f>+Artichokes!I51</f>
        <v>1.2678759538168305</v>
      </c>
      <c r="C40" s="19">
        <f>+Asparagus!I51</f>
        <v>1.0234925597907623</v>
      </c>
      <c r="D40" s="19">
        <f>Peppers!I51</f>
        <v>7.9458429596177389</v>
      </c>
      <c r="E40" s="19">
        <f>Broccoli!I51</f>
        <v>4.8886183877694913</v>
      </c>
      <c r="F40" s="19">
        <f>BrusselsSprouts!K51</f>
        <v>0.22556015656962225</v>
      </c>
      <c r="G40" s="19">
        <f>Cabbage!J51</f>
        <v>7.4799660938625072</v>
      </c>
      <c r="H40" s="19">
        <f>Carrots!I51</f>
        <v>8.459447684485534</v>
      </c>
      <c r="I40" s="19">
        <f>Cauliflower!I51</f>
        <v>1.434476063757026</v>
      </c>
      <c r="J40" s="19">
        <f>Celery!I51</f>
        <v>5.7942447625585478</v>
      </c>
      <c r="K40" s="19">
        <f>Collards!K51</f>
        <v>0.74699311773123278</v>
      </c>
      <c r="L40" s="19">
        <f>SweetCorn!I51</f>
        <v>8.245333295895362</v>
      </c>
      <c r="M40" s="19">
        <f>Cucumbers!I51</f>
        <v>5.915496130255657</v>
      </c>
      <c r="N40" s="19">
        <f>Eggplant!I51</f>
        <v>0.65226305984513866</v>
      </c>
      <c r="O40" s="19">
        <f>Escarole!I51</f>
        <v>0.28056095669376724</v>
      </c>
      <c r="P40" s="19">
        <f>Garlic!J51</f>
        <v>2.0792912392275711</v>
      </c>
      <c r="Q40" s="19">
        <f>Kale!K51</f>
        <v>0.28309150214759193</v>
      </c>
      <c r="R40" s="19">
        <f>HeadLettuce!I51</f>
        <v>19.76996162516501</v>
      </c>
      <c r="S40" s="19">
        <f>Romaine!I51</f>
        <v>11.144499542272737</v>
      </c>
      <c r="T40" s="19">
        <f>LimaBeans!I51</f>
        <v>6.0843777593431347E-2</v>
      </c>
      <c r="U40" s="19">
        <f>Mushrooms!I51</f>
        <v>2.4625309851864809</v>
      </c>
      <c r="V40" s="19">
        <f>MustardGreens!K51</f>
        <v>0.68638605395200858</v>
      </c>
      <c r="W40" s="19">
        <f>Okra!K51</f>
        <v>0.3437219558527998</v>
      </c>
      <c r="X40" s="19">
        <f>Onions!L51</f>
        <v>20.602191446822196</v>
      </c>
      <c r="Y40" s="19">
        <f>Potatoes!I51</f>
        <v>44.00498734078689</v>
      </c>
      <c r="Z40" s="19">
        <f>Pumpkin!L51</f>
        <v>4.0612240000844757</v>
      </c>
      <c r="AA40" s="19">
        <f>Radishes!I51</f>
        <v>0.47051675115159042</v>
      </c>
      <c r="AB40" s="19">
        <f>SnapBeans!I51</f>
        <v>1.7692557912570874</v>
      </c>
      <c r="AC40" s="19">
        <f>Spinach!I51</f>
        <v>1.6238137234147445</v>
      </c>
      <c r="AD40" s="19">
        <f>Squash!I51</f>
        <v>3.833379309622432</v>
      </c>
      <c r="AE40" s="19">
        <f>SweetPotatoes!M51</f>
        <v>4.2327960483493019</v>
      </c>
      <c r="AF40" s="19">
        <f>Tomatoes!I51</f>
        <v>16.957331986634031</v>
      </c>
      <c r="AG40" s="19">
        <f>TurnipGreens!K51</f>
        <v>0.44707035856400051</v>
      </c>
      <c r="AH40" s="19">
        <f t="shared" si="0"/>
        <v>189.19306462073362</v>
      </c>
    </row>
    <row r="41" spans="1:34" ht="12" customHeight="1" x14ac:dyDescent="0.2">
      <c r="A41" s="3">
        <v>2005</v>
      </c>
      <c r="B41" s="19">
        <f>+Artichokes!I52</f>
        <v>1.2975160645970101</v>
      </c>
      <c r="C41" s="19">
        <f>+Asparagus!I52</f>
        <v>1.0158272825228303</v>
      </c>
      <c r="D41" s="19">
        <f>Peppers!I52</f>
        <v>8.4691827811226439</v>
      </c>
      <c r="E41" s="19">
        <f>Broccoli!I52</f>
        <v>4.9142931634522791</v>
      </c>
      <c r="F41" s="19">
        <f>BrusselsSprouts!K52</f>
        <v>0.26463507052434876</v>
      </c>
      <c r="G41" s="19">
        <f>Cabbage!J52</f>
        <v>7.2143795948289515</v>
      </c>
      <c r="H41" s="19">
        <f>Carrots!I52</f>
        <v>8.4047718779053504</v>
      </c>
      <c r="I41" s="19">
        <f>Cauliflower!I52</f>
        <v>1.6105965344531765</v>
      </c>
      <c r="J41" s="19">
        <f>Celery!I52</f>
        <v>5.5081663991075125</v>
      </c>
      <c r="K41" s="19">
        <f>Collards!K52</f>
        <v>0.65213165343983848</v>
      </c>
      <c r="L41" s="19">
        <f>SweetCorn!I52</f>
        <v>7.9594243318872078</v>
      </c>
      <c r="M41" s="19">
        <f>Cucumbers!I52</f>
        <v>5.6979952880724207</v>
      </c>
      <c r="N41" s="19">
        <f>Eggplant!I52</f>
        <v>0.76487624138308408</v>
      </c>
      <c r="O41" s="19">
        <f>Escarole!I52</f>
        <v>0.22754249638342389</v>
      </c>
      <c r="P41" s="19">
        <f>Garlic!J52</f>
        <v>1.9736432322373842</v>
      </c>
      <c r="Q41" s="19">
        <f>Kale!K52</f>
        <v>0.30915610918684128</v>
      </c>
      <c r="R41" s="19">
        <f>HeadLettuce!I52</f>
        <v>19.449146061489238</v>
      </c>
      <c r="S41" s="19">
        <f>Romaine!I52</f>
        <v>8.9892758322450099</v>
      </c>
      <c r="T41" s="19">
        <f>LimaBeans!I52</f>
        <v>3.1054936331000628E-2</v>
      </c>
      <c r="U41" s="19">
        <f>Mushrooms!I52</f>
        <v>2.4903505815430957</v>
      </c>
      <c r="V41" s="19">
        <f>MustardGreens!K52</f>
        <v>0.59921808096633022</v>
      </c>
      <c r="W41" s="19">
        <f>Okra!K52</f>
        <v>0.38988282541747993</v>
      </c>
      <c r="X41" s="19">
        <f>Onions!L52</f>
        <v>19.64360324763695</v>
      </c>
      <c r="Y41" s="19">
        <f>Potatoes!I52</f>
        <v>39.620156627410374</v>
      </c>
      <c r="Z41" s="19">
        <f>Pumpkin!L52</f>
        <v>4.3117583793468706</v>
      </c>
      <c r="AA41" s="19">
        <f>Radishes!I52</f>
        <v>0.48648279874224293</v>
      </c>
      <c r="AB41" s="19">
        <f>SnapBeans!I52</f>
        <v>1.6928375614907076</v>
      </c>
      <c r="AC41" s="19">
        <f>Spinach!I52</f>
        <v>2.0496863519131492</v>
      </c>
      <c r="AD41" s="19">
        <f>Squash!I52</f>
        <v>3.9752278667357022</v>
      </c>
      <c r="AE41" s="19">
        <f>SweetPotatoes!M52</f>
        <v>4.0863177699971027</v>
      </c>
      <c r="AF41" s="19">
        <f>Tomatoes!I52</f>
        <v>17.128517968574204</v>
      </c>
      <c r="AG41" s="19">
        <f>TurnipGreens!K52</f>
        <v>0.39009233883910155</v>
      </c>
      <c r="AH41" s="19">
        <f t="shared" si="0"/>
        <v>181.61774734978286</v>
      </c>
    </row>
    <row r="42" spans="1:34" ht="12" customHeight="1" x14ac:dyDescent="0.2">
      <c r="A42" s="2">
        <v>2006</v>
      </c>
      <c r="B42" s="18">
        <f>+Artichokes!I53</f>
        <v>1.5602449360863151</v>
      </c>
      <c r="C42" s="18">
        <f>+Asparagus!I53</f>
        <v>1.031830465057497</v>
      </c>
      <c r="D42" s="18">
        <f>Peppers!I53</f>
        <v>8.7008417008751877</v>
      </c>
      <c r="E42" s="18">
        <f>Broccoli!I53</f>
        <v>5.3002432349361399</v>
      </c>
      <c r="F42" s="18">
        <f>BrusselsSprouts!K53</f>
        <v>0.25969020567275142</v>
      </c>
      <c r="G42" s="18">
        <f>Cabbage!J53</f>
        <v>7.2087156311714393</v>
      </c>
      <c r="H42" s="18">
        <f>Carrots!I53</f>
        <v>7.8649965434801627</v>
      </c>
      <c r="I42" s="18">
        <f>Cauliflower!I53</f>
        <v>1.5615907334050565</v>
      </c>
      <c r="J42" s="18">
        <f>Celery!I53</f>
        <v>5.6574146324283952</v>
      </c>
      <c r="K42" s="18">
        <f>Collards!K53</f>
        <v>0.5692621113584635</v>
      </c>
      <c r="L42" s="18">
        <f>SweetCorn!I53</f>
        <v>7.6601369354906552</v>
      </c>
      <c r="M42" s="18">
        <f>Cucumbers!I53</f>
        <v>5.6491877700298989</v>
      </c>
      <c r="N42" s="18">
        <f>Eggplant!I53</f>
        <v>0.76597558952824463</v>
      </c>
      <c r="O42" s="18">
        <f>Escarole!I53</f>
        <v>0.28128955403975958</v>
      </c>
      <c r="P42" s="18">
        <f>Garlic!J53</f>
        <v>2.1823847788376645</v>
      </c>
      <c r="Q42" s="18">
        <f>Kale!K53</f>
        <v>0.27700500553812091</v>
      </c>
      <c r="R42" s="18">
        <f>HeadLettuce!I53</f>
        <v>18.649964915913792</v>
      </c>
      <c r="S42" s="18">
        <f>Romaine!I53</f>
        <v>11.141586909935279</v>
      </c>
      <c r="T42" s="18">
        <f>LimaBeans!I53</f>
        <v>3.2578313359392229E-2</v>
      </c>
      <c r="U42" s="18">
        <f>Mushrooms!I53</f>
        <v>2.4260107673209199</v>
      </c>
      <c r="V42" s="18">
        <f>MustardGreens!K53</f>
        <v>0.44954501354659404</v>
      </c>
      <c r="W42" s="18">
        <f>Okra!K53</f>
        <v>0.35828214111005724</v>
      </c>
      <c r="X42" s="18">
        <f>Onions!L53</f>
        <v>18.720812893545265</v>
      </c>
      <c r="Y42" s="18">
        <f>Potatoes!I53</f>
        <v>37.034822557003928</v>
      </c>
      <c r="Z42" s="18">
        <f>Pumpkin!L53</f>
        <v>4.2099536175989201</v>
      </c>
      <c r="AA42" s="18">
        <f>Radishes!I53</f>
        <v>0.50787571066826775</v>
      </c>
      <c r="AB42" s="18">
        <f>SnapBeans!I53</f>
        <v>1.9556475310690371</v>
      </c>
      <c r="AC42" s="18">
        <f>Spinach!I53</f>
        <v>1.7266847773543323</v>
      </c>
      <c r="AD42" s="18">
        <f>Squash!I53</f>
        <v>4.1189361570426613</v>
      </c>
      <c r="AE42" s="18">
        <f>SweetPotatoes!M53</f>
        <v>4.1890382575676428</v>
      </c>
      <c r="AF42" s="18">
        <f>Tomatoes!I53</f>
        <v>16.804743935638562</v>
      </c>
      <c r="AG42" s="18">
        <f>TurnipGreens!K53</f>
        <v>0.46608080497445059</v>
      </c>
      <c r="AH42" s="18">
        <f t="shared" si="0"/>
        <v>179.32337413158487</v>
      </c>
    </row>
    <row r="43" spans="1:34" ht="12" customHeight="1" x14ac:dyDescent="0.2">
      <c r="A43" s="2">
        <v>2007</v>
      </c>
      <c r="B43" s="18">
        <f>+Artichokes!I54</f>
        <v>1.440177731602071</v>
      </c>
      <c r="C43" s="18">
        <f>+Asparagus!I54</f>
        <v>1.05616455788287</v>
      </c>
      <c r="D43" s="18">
        <f>Peppers!I54</f>
        <v>8.6151769013883364</v>
      </c>
      <c r="E43" s="18">
        <f>Broccoli!I54</f>
        <v>5.1851334811395837</v>
      </c>
      <c r="F43" s="18">
        <f>BrusselsSprouts!K54</f>
        <v>0.27688497597902351</v>
      </c>
      <c r="G43" s="18">
        <f>Cabbage!J54</f>
        <v>7.3942962909318819</v>
      </c>
      <c r="H43" s="18">
        <f>Carrots!I54</f>
        <v>7.8082053330785115</v>
      </c>
      <c r="I43" s="18">
        <f>Cauliflower!I54</f>
        <v>1.5457922545368843</v>
      </c>
      <c r="J43" s="18">
        <f>Celery!I54</f>
        <v>5.8477877356140384</v>
      </c>
      <c r="K43" s="18">
        <f>Collards!K54</f>
        <v>0.59759170165553399</v>
      </c>
      <c r="L43" s="18">
        <f>SweetCorn!I54</f>
        <v>8.4865735266605835</v>
      </c>
      <c r="M43" s="18">
        <f>Cucumbers!I54</f>
        <v>5.9091365375900073</v>
      </c>
      <c r="N43" s="18">
        <f>Eggplant!I54</f>
        <v>0.76961776775432122</v>
      </c>
      <c r="O43" s="18">
        <f>Escarole!I54</f>
        <v>0.23978046692252325</v>
      </c>
      <c r="P43" s="18">
        <f>Garlic!J54</f>
        <v>2.2031929005627764</v>
      </c>
      <c r="Q43" s="18">
        <f>Kale!K54</f>
        <v>0.29664982479901636</v>
      </c>
      <c r="R43" s="18">
        <f>HeadLettuce!I54</f>
        <v>17.089344752860939</v>
      </c>
      <c r="S43" s="18">
        <f>Romaine!I54</f>
        <v>10.734529191404826</v>
      </c>
      <c r="T43" s="18">
        <f>LimaBeans!I54</f>
        <v>2.5667249739678048E-2</v>
      </c>
      <c r="U43" s="18">
        <f>Mushrooms!I54</f>
        <v>2.3324606470207963</v>
      </c>
      <c r="V43" s="18">
        <f>MustardGreens!K54</f>
        <v>0.34775921223123302</v>
      </c>
      <c r="W43" s="18">
        <f>Okra!K54</f>
        <v>0.39722641850921425</v>
      </c>
      <c r="X43" s="18">
        <f>Onions!L54</f>
        <v>20.315550893396395</v>
      </c>
      <c r="Y43" s="18">
        <f>Potatoes!I54</f>
        <v>37.162847494060806</v>
      </c>
      <c r="Z43" s="18">
        <f>Pumpkin!L54</f>
        <v>4.470032845929186</v>
      </c>
      <c r="AA43" s="18">
        <f>Radishes!I54</f>
        <v>0.5034819048031558</v>
      </c>
      <c r="AB43" s="18">
        <f>SnapBeans!I54</f>
        <v>2.0660262761936297</v>
      </c>
      <c r="AC43" s="18">
        <f>Spinach!I54</f>
        <v>1.4207039488166637</v>
      </c>
      <c r="AD43" s="18">
        <f>Squash!I54</f>
        <v>3.7128239133742764</v>
      </c>
      <c r="AE43" s="18">
        <f>SweetPotatoes!M54</f>
        <v>4.581027826774843</v>
      </c>
      <c r="AF43" s="18">
        <f>Tomatoes!I54</f>
        <v>16.32705955697919</v>
      </c>
      <c r="AG43" s="18">
        <f>TurnipGreens!K54</f>
        <v>0.40303943475011295</v>
      </c>
      <c r="AH43" s="18">
        <f t="shared" ref="AH43:AH48" si="1">SUM(B43:AG43)</f>
        <v>179.56174355494289</v>
      </c>
    </row>
    <row r="44" spans="1:34" ht="12" customHeight="1" x14ac:dyDescent="0.2">
      <c r="A44" s="2">
        <v>2008</v>
      </c>
      <c r="B44" s="18">
        <f>+Artichokes!I55</f>
        <v>1.4293011951291861</v>
      </c>
      <c r="C44" s="18">
        <f>+Asparagus!I55</f>
        <v>1.078016334509754</v>
      </c>
      <c r="D44" s="18">
        <f>Peppers!I55</f>
        <v>8.7207298872383028</v>
      </c>
      <c r="E44" s="18">
        <f>Broccoli!I55</f>
        <v>5.5520811265696937</v>
      </c>
      <c r="F44" s="18">
        <f>BrusselsSprouts!K55</f>
        <v>0.29747768934681912</v>
      </c>
      <c r="G44" s="18">
        <f>Cabbage!J55</f>
        <v>7.48778852919461</v>
      </c>
      <c r="H44" s="18">
        <f>Carrots!I55</f>
        <v>7.8250287334951922</v>
      </c>
      <c r="I44" s="18">
        <f>Cauliflower!I55</f>
        <v>1.4464766459006608</v>
      </c>
      <c r="J44" s="18">
        <f>Celery!I55</f>
        <v>5.787100682737627</v>
      </c>
      <c r="K44" s="18">
        <f>Collards!K55</f>
        <v>0.61479980158603142</v>
      </c>
      <c r="L44" s="18">
        <f>SweetCorn!I55</f>
        <v>8.4110424605120375</v>
      </c>
      <c r="M44" s="18">
        <f>Cucumbers!I55</f>
        <v>5.8767348993748021</v>
      </c>
      <c r="N44" s="18">
        <f>Eggplant!I55</f>
        <v>0.69888035419389982</v>
      </c>
      <c r="O44" s="18">
        <f>Escarole!I55</f>
        <v>0.19284354621217092</v>
      </c>
      <c r="P44" s="18">
        <f>Garlic!J55</f>
        <v>2.2395736645476219</v>
      </c>
      <c r="Q44" s="18">
        <f>Kale!K55</f>
        <v>0.3296577510838955</v>
      </c>
      <c r="R44" s="18">
        <f>HeadLettuce!I55</f>
        <v>15.670083542483111</v>
      </c>
      <c r="S44" s="18">
        <f>Romaine!I55</f>
        <v>9.6782807150935746</v>
      </c>
      <c r="T44" s="18">
        <f>LimaBeans!I55</f>
        <v>1.9157444401305821E-2</v>
      </c>
      <c r="U44" s="18">
        <f>Mushrooms!I55</f>
        <v>2.3145467663511319</v>
      </c>
      <c r="V44" s="18">
        <f>MustardGreens!K55</f>
        <v>0.28524031404110833</v>
      </c>
      <c r="W44" s="18">
        <f>Okra!K55</f>
        <v>0.39526953607489268</v>
      </c>
      <c r="X44" s="18">
        <f>Onions!L55</f>
        <v>18.973733356710003</v>
      </c>
      <c r="Y44" s="18">
        <f>Potatoes!I55</f>
        <v>36.319224975381893</v>
      </c>
      <c r="Z44" s="18">
        <f>Pumpkin!L55</f>
        <v>4.2096602943982075</v>
      </c>
      <c r="AA44" s="18">
        <f>Radishes!I55</f>
        <v>0.49476949849311502</v>
      </c>
      <c r="AB44" s="18">
        <f>SnapBeans!I55</f>
        <v>1.8600497741547648</v>
      </c>
      <c r="AC44" s="18">
        <f>Spinach!I55</f>
        <v>1.5028391264330843</v>
      </c>
      <c r="AD44" s="18">
        <f>Squash!I55</f>
        <v>3.7312751849364809</v>
      </c>
      <c r="AE44" s="18">
        <f>SweetPotatoes!M55</f>
        <v>4.5620005588689354</v>
      </c>
      <c r="AF44" s="18">
        <f>Tomatoes!I55</f>
        <v>15.736551379883661</v>
      </c>
      <c r="AG44" s="18">
        <f>TurnipGreens!K55</f>
        <v>0.32524784852340172</v>
      </c>
      <c r="AH44" s="18">
        <f t="shared" si="1"/>
        <v>174.06546361786096</v>
      </c>
    </row>
    <row r="45" spans="1:34" ht="12" customHeight="1" x14ac:dyDescent="0.2">
      <c r="A45" s="2">
        <v>2009</v>
      </c>
      <c r="B45" s="18">
        <f>+Artichokes!I56</f>
        <v>1.4119565215397274</v>
      </c>
      <c r="C45" s="18">
        <f>+Asparagus!I56</f>
        <v>1.1778651090680288</v>
      </c>
      <c r="D45" s="18">
        <f>Peppers!I56</f>
        <v>9.0165031421153827</v>
      </c>
      <c r="E45" s="18">
        <f>Broccoli!I56</f>
        <v>5.7106877156794917</v>
      </c>
      <c r="F45" s="18">
        <f>BrusselsSprouts!K56</f>
        <v>0.25842470379857552</v>
      </c>
      <c r="G45" s="18">
        <f>Cabbage!J56</f>
        <v>6.7436649176976342</v>
      </c>
      <c r="H45" s="18">
        <f>Carrots!I56</f>
        <v>7.1646025198864711</v>
      </c>
      <c r="I45" s="18">
        <f>Cauliflower!I56</f>
        <v>1.5943254014790882</v>
      </c>
      <c r="J45" s="18">
        <f>Celery!I56</f>
        <v>5.7418015879851136</v>
      </c>
      <c r="K45" s="18">
        <f>Collards!K56</f>
        <v>0.62276518137691161</v>
      </c>
      <c r="L45" s="18">
        <f>SweetCorn!I56</f>
        <v>8.4402044215503089</v>
      </c>
      <c r="M45" s="18">
        <f>Cucumbers!I56</f>
        <v>6.2594191011415106</v>
      </c>
      <c r="N45" s="18">
        <f>Eggplant!I56</f>
        <v>0.72472002918237977</v>
      </c>
      <c r="O45" s="18">
        <f>Escarole!I56</f>
        <v>0.16130076247040362</v>
      </c>
      <c r="P45" s="18">
        <f>Garlic!J56</f>
        <v>1.9816410899151624</v>
      </c>
      <c r="Q45" s="18">
        <f>Kale!K56</f>
        <v>0.35724581539166772</v>
      </c>
      <c r="R45" s="18">
        <f>HeadLettuce!I56</f>
        <v>14.978827906595679</v>
      </c>
      <c r="S45" s="18">
        <f>Romaine!I56</f>
        <v>9.296069190590357</v>
      </c>
      <c r="T45" s="18">
        <f>LimaBeans!I56</f>
        <v>1.6740863336172331E-2</v>
      </c>
      <c r="U45" s="18">
        <f>Mushrooms!I56</f>
        <v>2.2900369885378362</v>
      </c>
      <c r="V45" s="18">
        <f>MustardGreens!K56</f>
        <v>0.27231953733348024</v>
      </c>
      <c r="W45" s="18">
        <f>Okra!K56</f>
        <v>0.39857958277340672</v>
      </c>
      <c r="X45" s="18">
        <f>Onions!L56</f>
        <v>18.406680322918568</v>
      </c>
      <c r="Y45" s="18">
        <f>Potatoes!I56</f>
        <v>35.180791743684274</v>
      </c>
      <c r="Z45" s="18">
        <f>Pumpkin!L56</f>
        <v>3.6075932210702342</v>
      </c>
      <c r="AA45" s="18">
        <f>Radishes!I56</f>
        <v>0.44388991570762648</v>
      </c>
      <c r="AB45" s="18">
        <f>SnapBeans!I56</f>
        <v>1.6444047707761484</v>
      </c>
      <c r="AC45" s="18">
        <f>Spinach!I56</f>
        <v>1.7828522164136629</v>
      </c>
      <c r="AD45" s="18">
        <f>Squash!I56</f>
        <v>3.9518489555132041</v>
      </c>
      <c r="AE45" s="18">
        <f>SweetPotatoes!M56</f>
        <v>4.7269366765462717</v>
      </c>
      <c r="AF45" s="18">
        <f>Tomatoes!I56</f>
        <v>16.650927173597257</v>
      </c>
      <c r="AG45" s="18">
        <f>TurnipGreens!K56</f>
        <v>0.30218830178197781</v>
      </c>
      <c r="AH45" s="18">
        <f t="shared" si="1"/>
        <v>171.317815387454</v>
      </c>
    </row>
    <row r="46" spans="1:34" ht="12" customHeight="1" x14ac:dyDescent="0.2">
      <c r="A46" s="2">
        <v>2010</v>
      </c>
      <c r="B46" s="18">
        <f>+Artichokes!I57</f>
        <v>1.3647792598090078</v>
      </c>
      <c r="C46" s="18">
        <f>+Asparagus!I57</f>
        <v>1.2433311654835359</v>
      </c>
      <c r="D46" s="18">
        <f>Peppers!I57</f>
        <v>9.5046701877102606</v>
      </c>
      <c r="E46" s="18">
        <f>Broccoli!I57</f>
        <v>5.4775606775278414</v>
      </c>
      <c r="F46" s="18">
        <f>BrusselsSprouts!K57</f>
        <v>0.25574476406807889</v>
      </c>
      <c r="G46" s="18">
        <f>Cabbage!J57</f>
        <v>6.9381933177974888</v>
      </c>
      <c r="H46" s="18">
        <f>Carrots!I57</f>
        <v>7.524913785746568</v>
      </c>
      <c r="I46" s="18">
        <f>Cauliflower!I57</f>
        <v>1.22750373551814</v>
      </c>
      <c r="J46" s="18">
        <f>Celery!I57</f>
        <v>5.7013090817718286</v>
      </c>
      <c r="K46" s="18">
        <f>Collards!K57</f>
        <v>0.8198298723927373</v>
      </c>
      <c r="L46" s="18">
        <f>SweetCorn!I57</f>
        <v>8.5084855926691318</v>
      </c>
      <c r="M46" s="18">
        <f>Cucumbers!I57</f>
        <v>6.1929230079124471</v>
      </c>
      <c r="N46" s="18">
        <f>Eggplant!I57</f>
        <v>0.6678977660884009</v>
      </c>
      <c r="O46" s="18">
        <f>Escarole!I57</f>
        <v>0.15998079111395905</v>
      </c>
      <c r="P46" s="18">
        <f>Garlic!J57</f>
        <v>1.8983945698368527</v>
      </c>
      <c r="Q46" s="18">
        <f>Kale!K57</f>
        <v>0.40212118183102519</v>
      </c>
      <c r="R46" s="18">
        <f>HeadLettuce!I57</f>
        <v>14.811776847482522</v>
      </c>
      <c r="S46" s="18">
        <f>Romaine!I57</f>
        <v>11.170220052317665</v>
      </c>
      <c r="T46" s="18">
        <f>LimaBeans!I57</f>
        <v>1.084303591960287E-2</v>
      </c>
      <c r="U46" s="18">
        <f>Mushrooms!I57</f>
        <v>2.4457322502865115</v>
      </c>
      <c r="V46" s="18">
        <f>MustardGreens!K57</f>
        <v>0.27212451838985702</v>
      </c>
      <c r="W46" s="18">
        <f>Okra!K57</f>
        <v>0.3624846050745984</v>
      </c>
      <c r="X46" s="18">
        <f>Onions!L57</f>
        <v>18.408002087803077</v>
      </c>
      <c r="Y46" s="18">
        <f>Potatoes!I57</f>
        <v>35.339792541357959</v>
      </c>
      <c r="Z46" s="18">
        <f>Pumpkin!L57</f>
        <v>3.9334735468329938</v>
      </c>
      <c r="AA46" s="18">
        <f>Radishes!I57</f>
        <v>0.48131646574483183</v>
      </c>
      <c r="AB46" s="18">
        <f>SnapBeans!I57</f>
        <v>1.7637185324786844</v>
      </c>
      <c r="AC46" s="18">
        <f>Spinach!I57</f>
        <v>1.4785718314145966</v>
      </c>
      <c r="AD46" s="18">
        <f>Squash!I57</f>
        <v>3.8827494247107177</v>
      </c>
      <c r="AE46" s="18">
        <f>SweetPotatoes!M57</f>
        <v>5.7052334239105793</v>
      </c>
      <c r="AF46" s="18">
        <f>Tomatoes!I57</f>
        <v>17.470132196015474</v>
      </c>
      <c r="AG46" s="18">
        <f>TurnipGreens!K57</f>
        <v>0.29651542053585955</v>
      </c>
      <c r="AH46" s="18">
        <f t="shared" si="1"/>
        <v>175.72032553755284</v>
      </c>
    </row>
    <row r="47" spans="1:34" ht="12" customHeight="1" x14ac:dyDescent="0.2">
      <c r="A47" s="33">
        <v>2011</v>
      </c>
      <c r="B47" s="32">
        <f>+Artichokes!I58</f>
        <v>1.5798110742907665</v>
      </c>
      <c r="C47" s="32">
        <f>+Asparagus!I58</f>
        <v>1.2575690012536391</v>
      </c>
      <c r="D47" s="32">
        <f>Peppers!I58</f>
        <v>9.7218964071417631</v>
      </c>
      <c r="E47" s="32">
        <f>Broccoli!I58</f>
        <v>5.4677939439934384</v>
      </c>
      <c r="F47" s="32">
        <f>BrusselsSprouts!K58</f>
        <v>0.32509419806170081</v>
      </c>
      <c r="G47" s="32">
        <f>Cabbage!J58</f>
        <v>6.1033780474571566</v>
      </c>
      <c r="H47" s="32">
        <f>Carrots!I58</f>
        <v>7.2796245148639445</v>
      </c>
      <c r="I47" s="32">
        <f>Cauliflower!I58</f>
        <v>1.1474625024908822</v>
      </c>
      <c r="J47" s="32">
        <f>Celery!I58</f>
        <v>5.559645318795666</v>
      </c>
      <c r="K47" s="32">
        <f>Collards!K58</f>
        <v>0.76975388944431622</v>
      </c>
      <c r="L47" s="32">
        <f>SweetCorn!I58</f>
        <v>7.5155351410792761</v>
      </c>
      <c r="M47" s="32">
        <f>Cucumbers!I58</f>
        <v>5.871276177781958</v>
      </c>
      <c r="N47" s="32">
        <f>Eggplant!I58</f>
        <v>0.64109481289260972</v>
      </c>
      <c r="O47" s="32">
        <f>Escarole!I58</f>
        <v>0.24943295419466663</v>
      </c>
      <c r="P47" s="32">
        <f>Garlic!J58</f>
        <v>1.8793794642003181</v>
      </c>
      <c r="Q47" s="32">
        <f>Kale!K58</f>
        <v>0.45170140663320546</v>
      </c>
      <c r="R47" s="32">
        <f>HeadLettuce!I58</f>
        <v>14.688904689893207</v>
      </c>
      <c r="S47" s="32">
        <f>Romaine!I58</f>
        <v>10.910081262897396</v>
      </c>
      <c r="T47" s="32">
        <f>LimaBeans!I58</f>
        <v>4.5298237877202576E-3</v>
      </c>
      <c r="U47" s="32">
        <f>Mushrooms!I58</f>
        <v>2.5983483472274513</v>
      </c>
      <c r="V47" s="32">
        <f>MustardGreens!K58</f>
        <v>0.26217090377199509</v>
      </c>
      <c r="W47" s="32">
        <f>Okra!K58</f>
        <v>0.40735913840250632</v>
      </c>
      <c r="X47" s="32">
        <f>Onions!L58</f>
        <v>17.977790223183977</v>
      </c>
      <c r="Y47" s="32">
        <f>Potatoes!I58</f>
        <v>32.702410816952579</v>
      </c>
      <c r="Z47" s="32">
        <f>Pumpkin!L58</f>
        <v>3.9282652817607309</v>
      </c>
      <c r="AA47" s="32">
        <f>Radishes!I58</f>
        <v>0.4024774422559621</v>
      </c>
      <c r="AB47" s="32">
        <f>SnapBeans!I58</f>
        <v>1.6237252567240736</v>
      </c>
      <c r="AC47" s="32">
        <f>Spinach!I58</f>
        <v>1.5744931697147833</v>
      </c>
      <c r="AD47" s="32">
        <f>Squash!I58</f>
        <v>3.9553016697214245</v>
      </c>
      <c r="AE47" s="32">
        <f>SweetPotatoes!M58</f>
        <v>6.398405293825304</v>
      </c>
      <c r="AF47" s="32">
        <f>Tomatoes!I58</f>
        <v>17.826117828146796</v>
      </c>
      <c r="AG47" s="32">
        <f>TurnipGreens!K58</f>
        <v>0.28007879145946807</v>
      </c>
      <c r="AH47" s="32">
        <f t="shared" si="1"/>
        <v>171.36090879430066</v>
      </c>
    </row>
    <row r="48" spans="1:34" s="29" customFormat="1" ht="12" customHeight="1" x14ac:dyDescent="0.2">
      <c r="A48" s="3">
        <v>2012</v>
      </c>
      <c r="B48" s="19">
        <f>+Artichokes!I59</f>
        <v>1.3584255561260909</v>
      </c>
      <c r="C48" s="19">
        <f>+Asparagus!I59</f>
        <v>1.3181195238054695</v>
      </c>
      <c r="D48" s="19">
        <f>Peppers!I59</f>
        <v>9.8901851210669918</v>
      </c>
      <c r="E48" s="19">
        <f>Broccoli!I59</f>
        <v>5.8009242178233498</v>
      </c>
      <c r="F48" s="19">
        <f>BrusselsSprouts!K59</f>
        <v>0.37562405293365553</v>
      </c>
      <c r="G48" s="19">
        <f>Cabbage!J59</f>
        <v>5.8222293627645865</v>
      </c>
      <c r="H48" s="19">
        <f>Carrots!I59</f>
        <v>7.7106835255097952</v>
      </c>
      <c r="I48" s="19">
        <f>Cauliflower!I59</f>
        <v>1.0818631461376089</v>
      </c>
      <c r="J48" s="19">
        <f>Celery!I59</f>
        <v>5.5404745203331354</v>
      </c>
      <c r="K48" s="19">
        <f>Collards!K59</f>
        <v>0.97090273371468461</v>
      </c>
      <c r="L48" s="19">
        <f>SweetCorn!I59</f>
        <v>7.9864991888885282</v>
      </c>
      <c r="M48" s="19">
        <f>Cucumbers!I59</f>
        <v>6.5539642629176065</v>
      </c>
      <c r="N48" s="19">
        <f>Eggplant!I59</f>
        <v>0.72549795776968229</v>
      </c>
      <c r="O48" s="19">
        <f>Escarole!I59</f>
        <v>0.23174230614812397</v>
      </c>
      <c r="P48" s="19">
        <f>Garlic!J59</f>
        <v>1.8599504425354836</v>
      </c>
      <c r="Q48" s="19">
        <f>Kale!K59</f>
        <v>0.40860761144111096</v>
      </c>
      <c r="R48" s="19">
        <f>HeadLettuce!I59</f>
        <v>14.832449020099249</v>
      </c>
      <c r="S48" s="19">
        <f>Romaine!I59</f>
        <v>11.095255937560411</v>
      </c>
      <c r="T48" s="19">
        <f>LimaBeans!I59</f>
        <v>2.6117867204930359E-3</v>
      </c>
      <c r="U48" s="19">
        <f>Mushrooms!I59</f>
        <v>2.577625077314472</v>
      </c>
      <c r="V48" s="19">
        <f>MustardGreens!K59</f>
        <v>0.20944220684513412</v>
      </c>
      <c r="W48" s="19">
        <f>Okra!K59</f>
        <v>0.3720312261363094</v>
      </c>
      <c r="X48" s="19">
        <f>Onions!L59</f>
        <v>18.146908943487912</v>
      </c>
      <c r="Y48" s="19">
        <f>Potatoes!I59</f>
        <v>33.17535547873959</v>
      </c>
      <c r="Z48" s="19">
        <f>Pumpkin!L59</f>
        <v>4.5353773287509478</v>
      </c>
      <c r="AA48" s="19">
        <f>Radishes!I59</f>
        <v>0.31630391738176916</v>
      </c>
      <c r="AB48" s="19">
        <f>SnapBeans!I59</f>
        <v>1.5345544410184875</v>
      </c>
      <c r="AC48" s="19">
        <f>Spinach!I59</f>
        <v>1.3687498389313746</v>
      </c>
      <c r="AD48" s="19">
        <f>Squash!I59</f>
        <v>4.180946644076533</v>
      </c>
      <c r="AE48" s="19">
        <f>SweetPotatoes!M59</f>
        <v>6.2039891358801595</v>
      </c>
      <c r="AF48" s="19">
        <f>Tomatoes!I59</f>
        <v>17.672762333275351</v>
      </c>
      <c r="AG48" s="19">
        <f>TurnipGreens!K59</f>
        <v>0.22131232277013149</v>
      </c>
      <c r="AH48" s="19">
        <f t="shared" si="1"/>
        <v>174.08136916890422</v>
      </c>
    </row>
    <row r="49" spans="1:34" s="93" customFormat="1" ht="12" customHeight="1" x14ac:dyDescent="0.2">
      <c r="A49" s="3">
        <v>2013</v>
      </c>
      <c r="B49" s="19">
        <f>+Artichokes!I60</f>
        <v>1.1934437016276385</v>
      </c>
      <c r="C49" s="19">
        <f>+Asparagus!I60</f>
        <v>1.2879599933554242</v>
      </c>
      <c r="D49" s="19">
        <f>Peppers!I60</f>
        <v>9.2284123342804456</v>
      </c>
      <c r="E49" s="19">
        <f>Broccoli!I60</f>
        <v>6.3759621248927854</v>
      </c>
      <c r="F49" s="19">
        <f>BrusselsSprouts!K60</f>
        <v>0.39785144529524369</v>
      </c>
      <c r="G49" s="19">
        <f>Cabbage!J60</f>
        <v>6.4471307235607886</v>
      </c>
      <c r="H49" s="19">
        <f>Carrots!I60</f>
        <v>7.7776737942492389</v>
      </c>
      <c r="I49" s="19">
        <f>Cauliflower!I60</f>
        <v>1.2244310327162531</v>
      </c>
      <c r="J49" s="19">
        <f>Celery!I60</f>
        <v>5.0963545516705171</v>
      </c>
      <c r="K49" s="19">
        <f>Collards!K60</f>
        <v>1.1191548922859298</v>
      </c>
      <c r="L49" s="19">
        <f>SweetCorn!I60</f>
        <v>8.1654862186537738</v>
      </c>
      <c r="M49" s="19">
        <f>Cucumbers!I60</f>
        <v>6.7384008352727687</v>
      </c>
      <c r="N49" s="19">
        <f>Eggplant!I60</f>
        <v>0.76367157028608557</v>
      </c>
      <c r="O49" s="19">
        <f>Escarole!I60</f>
        <v>0.17211672981049222</v>
      </c>
      <c r="P49" s="19">
        <f>Garlic!J60</f>
        <v>1.8305095853751867</v>
      </c>
      <c r="Q49" s="19">
        <f>Kale!K60</f>
        <v>0.49103316105247641</v>
      </c>
      <c r="R49" s="19">
        <f>HeadLettuce!I60</f>
        <v>13.110058457611137</v>
      </c>
      <c r="S49" s="19">
        <f>Romaine!I60</f>
        <v>10.625988474696774</v>
      </c>
      <c r="T49" s="19">
        <f>LimaBeans!I60</f>
        <v>2.1490610194942928E-3</v>
      </c>
      <c r="U49" s="19">
        <f>Mushrooms!I60</f>
        <v>2.5861019962476743</v>
      </c>
      <c r="V49" s="19">
        <f>MustardGreens!K60</f>
        <v>0.23340989124471742</v>
      </c>
      <c r="W49" s="19">
        <f>Okra!K60</f>
        <v>0.2715726657500146</v>
      </c>
      <c r="X49" s="19">
        <f>Onions!L60</f>
        <v>17.380130248798711</v>
      </c>
      <c r="Y49" s="19">
        <f>Potatoes!I60</f>
        <v>33.188884004351316</v>
      </c>
      <c r="Z49" s="19">
        <f>Pumpkin!L60</f>
        <v>4.2140561557011695</v>
      </c>
      <c r="AA49" s="19">
        <f>Radishes!I60</f>
        <v>0.45868583077869335</v>
      </c>
      <c r="AB49" s="19">
        <f>SnapBeans!I60</f>
        <v>1.5252057905957319</v>
      </c>
      <c r="AC49" s="19">
        <f>Spinach!I60</f>
        <v>1.4008235201581398</v>
      </c>
      <c r="AD49" s="19">
        <f>Squash!I60</f>
        <v>3.9932174570274435</v>
      </c>
      <c r="AE49" s="19">
        <f>SweetPotatoes!M60</f>
        <v>5.6592641921807845</v>
      </c>
      <c r="AF49" s="19">
        <f>Tomatoes!I60</f>
        <v>17.204610947480717</v>
      </c>
      <c r="AG49" s="19">
        <f>TurnipGreens!K60</f>
        <v>0.20346632229760014</v>
      </c>
      <c r="AH49" s="19">
        <f t="shared" ref="AH49" si="2">SUM(B49:AG49)</f>
        <v>170.36721771032515</v>
      </c>
    </row>
    <row r="50" spans="1:34" s="93" customFormat="1" ht="12" customHeight="1" x14ac:dyDescent="0.2">
      <c r="A50" s="3">
        <v>2014</v>
      </c>
      <c r="B50" s="19">
        <f>+Artichokes!I61</f>
        <v>1.3363174717528328</v>
      </c>
      <c r="C50" s="19">
        <f>+Asparagus!I61</f>
        <v>1.5034381058947563</v>
      </c>
      <c r="D50" s="19">
        <f>Peppers!I61</f>
        <v>9.8590714863224829</v>
      </c>
      <c r="E50" s="19">
        <f>Broccoli!I61</f>
        <v>6.1177502459161399</v>
      </c>
      <c r="F50" s="19">
        <f>BrusselsSprouts!K61</f>
        <v>0.42501400036163278</v>
      </c>
      <c r="G50" s="19">
        <f>Cabbage!J61</f>
        <v>6.2264933687476214</v>
      </c>
      <c r="H50" s="19">
        <f>Carrots!I61</f>
        <v>8.2321263956475814</v>
      </c>
      <c r="I50" s="19">
        <f>Cauliflower!I61</f>
        <v>1.1885260926256818</v>
      </c>
      <c r="J50" s="19">
        <f>Celery!I61</f>
        <v>5.1539892324532879</v>
      </c>
      <c r="K50" s="19">
        <f>Collards!K61</f>
        <v>1.3535299061080337</v>
      </c>
      <c r="L50" s="19">
        <f>SweetCorn!I61</f>
        <v>7.0348175241939126</v>
      </c>
      <c r="M50" s="19">
        <f>Cucumbers!I61</f>
        <v>6.8379457411634768</v>
      </c>
      <c r="N50" s="19">
        <f>Eggplant!I61</f>
        <v>0.76244397953002607</v>
      </c>
      <c r="O50" s="19">
        <f>Escarole!I61</f>
        <v>0.15556545679200151</v>
      </c>
      <c r="P50" s="19">
        <f>Garlic!J61</f>
        <v>1.8151971984200572</v>
      </c>
      <c r="Q50" s="19">
        <f>Kale!K61</f>
        <v>0.45366718372122466</v>
      </c>
      <c r="R50" s="19">
        <f>HeadLettuce!I61</f>
        <v>13.475060684085904</v>
      </c>
      <c r="S50" s="19">
        <f>Romaine!I61</f>
        <v>10.043553172356702</v>
      </c>
      <c r="T50" s="19">
        <f>LimaBeans!I61</f>
        <v>1.8677569007422973E-3</v>
      </c>
      <c r="U50" s="19">
        <f>Mushrooms!I61</f>
        <v>2.7416861517126621</v>
      </c>
      <c r="V50" s="19">
        <f>MustardGreens!K61</f>
        <v>0.48671120399569812</v>
      </c>
      <c r="W50" s="19">
        <f>Okra!K61</f>
        <v>0.36229272048354594</v>
      </c>
      <c r="X50" s="19">
        <f>Onions!L61</f>
        <v>17.266035542648684</v>
      </c>
      <c r="Y50" s="19">
        <f>Potatoes!I61</f>
        <v>32.274781109925108</v>
      </c>
      <c r="Z50" s="19">
        <f>Pumpkin!L61</f>
        <v>4.7998090505699222</v>
      </c>
      <c r="AA50" s="19">
        <f>Radishes!I61</f>
        <v>0.4843059032830162</v>
      </c>
      <c r="AB50" s="19">
        <f>SnapBeans!I61</f>
        <v>1.3839230098839208</v>
      </c>
      <c r="AC50" s="19">
        <f>Spinach!I61</f>
        <v>1.4710548018920602</v>
      </c>
      <c r="AD50" s="19">
        <f>Squash!I61</f>
        <v>4.1373193498806806</v>
      </c>
      <c r="AE50" s="19">
        <f>SweetPotatoes!M61</f>
        <v>6.743279225143576</v>
      </c>
      <c r="AF50" s="19">
        <f>Tomatoes!I61</f>
        <v>17.538650863694155</v>
      </c>
      <c r="AG50" s="19">
        <f>TurnipGreens!K61</f>
        <v>0.34651194402934765</v>
      </c>
      <c r="AH50" s="19">
        <f t="shared" ref="AH50" si="3">SUM(B50:AG50)</f>
        <v>172.01273588013646</v>
      </c>
    </row>
    <row r="51" spans="1:34" s="93" customFormat="1" ht="12" customHeight="1" x14ac:dyDescent="0.2">
      <c r="A51" s="33">
        <v>2015</v>
      </c>
      <c r="B51" s="32">
        <f>+Artichokes!I62</f>
        <v>1.3150064767048293</v>
      </c>
      <c r="C51" s="32">
        <f>+Asparagus!I62</f>
        <v>1.3254769092220788</v>
      </c>
      <c r="D51" s="32">
        <f>Peppers!I62</f>
        <v>9.8748388007349988</v>
      </c>
      <c r="E51" s="32">
        <f>Broccoli!I62</f>
        <v>6.8174056118148929</v>
      </c>
      <c r="F51" s="32">
        <f>BrusselsSprouts!K62</f>
        <v>0.63987675784273768</v>
      </c>
      <c r="G51" s="32">
        <f>Cabbage!J62</f>
        <v>5.8492797171901962</v>
      </c>
      <c r="H51" s="32">
        <f>Carrots!I62</f>
        <v>8.5333352081885092</v>
      </c>
      <c r="I51" s="32">
        <f>Cauliflower!I62</f>
        <v>1.4525862037320199</v>
      </c>
      <c r="J51" s="32">
        <f>Celery!I62</f>
        <v>4.7852529251191509</v>
      </c>
      <c r="K51" s="32">
        <f>Collards!K62</f>
        <v>1.1474926392225551</v>
      </c>
      <c r="L51" s="32">
        <f>SweetCorn!I62</f>
        <v>7.9270464864461951</v>
      </c>
      <c r="M51" s="32">
        <f>Cucumbers!I62</f>
        <v>6.9584135824483919</v>
      </c>
      <c r="N51" s="32">
        <f>Eggplant!I62</f>
        <v>0.76264959724812909</v>
      </c>
      <c r="O51" s="32">
        <f>Escarole!I62</f>
        <v>7.6954369903099423E-2</v>
      </c>
      <c r="P51" s="32">
        <f>Garlic!J62</f>
        <v>1.9294342177928867</v>
      </c>
      <c r="Q51" s="32">
        <f>Kale!K62</f>
        <v>0.51145140921970245</v>
      </c>
      <c r="R51" s="32">
        <f>HeadLettuce!I62</f>
        <v>12.615528618489192</v>
      </c>
      <c r="S51" s="32">
        <f>Romaine!I62</f>
        <v>11.06131551355862</v>
      </c>
      <c r="T51" s="32">
        <f>LimaBeans!I62</f>
        <v>9.9054597279127224E-4</v>
      </c>
      <c r="U51" s="32">
        <f>Mushrooms!I62</f>
        <v>2.8081805207856032</v>
      </c>
      <c r="V51" s="32">
        <f>MustardGreens!K62</f>
        <v>0.39799335954540754</v>
      </c>
      <c r="W51" s="32">
        <f>Okra!K62</f>
        <v>0.34712030302982949</v>
      </c>
      <c r="X51" s="32">
        <f>Onions!L62</f>
        <v>17.168162204070132</v>
      </c>
      <c r="Y51" s="32">
        <f>Potatoes!I62</f>
        <v>32.789672252556834</v>
      </c>
      <c r="Z51" s="32">
        <f>Pumpkin!L62</f>
        <v>2.8168339528838127</v>
      </c>
      <c r="AA51" s="32">
        <f>Radishes!I62</f>
        <v>0.47569647378657931</v>
      </c>
      <c r="AB51" s="32">
        <f>SnapBeans!I62</f>
        <v>1.4964035188054523</v>
      </c>
      <c r="AC51" s="32">
        <f>Spinach!I62</f>
        <v>1.5199086096156909</v>
      </c>
      <c r="AD51" s="32">
        <f>Squash!I62</f>
        <v>4.1790186736070716</v>
      </c>
      <c r="AE51" s="32">
        <f>SweetPotatoes!M62</f>
        <v>6.8080798594940592</v>
      </c>
      <c r="AF51" s="32">
        <f>Tomatoes!I62</f>
        <v>17.475165004677883</v>
      </c>
      <c r="AG51" s="32">
        <f>TurnipGreens!K62</f>
        <v>0.24124826129732385</v>
      </c>
      <c r="AH51" s="32">
        <f t="shared" ref="AH51" si="4">SUM(B51:AG51)</f>
        <v>172.10781858500667</v>
      </c>
    </row>
    <row r="52" spans="1:34" s="93" customFormat="1" ht="12" customHeight="1" x14ac:dyDescent="0.2">
      <c r="A52" s="128">
        <v>2016</v>
      </c>
      <c r="B52" s="140">
        <f>+Artichokes!I63</f>
        <v>1.296824555166483</v>
      </c>
      <c r="C52" s="140">
        <f>+Asparagus!I63</f>
        <v>1.4233766269503758</v>
      </c>
      <c r="D52" s="140">
        <f>Peppers!I63</f>
        <v>10.190544907095395</v>
      </c>
      <c r="E52" s="140">
        <f>Broccoli!I63</f>
        <v>6.8573845832754703</v>
      </c>
      <c r="F52" s="140">
        <f>BrusselsSprouts!K63</f>
        <v>0.76549733340112014</v>
      </c>
      <c r="G52" s="140">
        <f>Cabbage!J63</f>
        <v>5.4937067286535832</v>
      </c>
      <c r="H52" s="140">
        <f>Carrots!I63</f>
        <v>7.587190111687355</v>
      </c>
      <c r="I52" s="140">
        <f>Cauliflower!I63</f>
        <v>1.5258079337245694</v>
      </c>
      <c r="J52" s="140">
        <f>Celery!I63</f>
        <v>4.6854601217404994</v>
      </c>
      <c r="K52" s="140">
        <f>Collards!K63</f>
        <v>0.96338375499553486</v>
      </c>
      <c r="L52" s="140">
        <f>SweetCorn!I63</f>
        <v>6.5293829198277784</v>
      </c>
      <c r="M52" s="140">
        <f>Cucumbers!I63</f>
        <v>7.470261752162326</v>
      </c>
      <c r="N52" s="140">
        <f>Eggplant!I63</f>
        <v>0.77787100994778358</v>
      </c>
      <c r="O52" s="140">
        <f>Escarole!I63</f>
        <v>3.4380179735523743E-2</v>
      </c>
      <c r="P52" s="140">
        <f>Garlic!J63</f>
        <v>2.3444240752465397</v>
      </c>
      <c r="Q52" s="140">
        <f>Kale!K63</f>
        <v>0.47031546356108328</v>
      </c>
      <c r="R52" s="140">
        <f>HeadLettuce!I63</f>
        <v>15.570003841683944</v>
      </c>
      <c r="S52" s="140">
        <f>Romaine!I63</f>
        <v>13.516389282002459</v>
      </c>
      <c r="T52" s="140">
        <f>LimaBeans!I63</f>
        <v>3.2833540041905837E-3</v>
      </c>
      <c r="U52" s="140">
        <f>Mushrooms!I63</f>
        <v>2.783536451012913</v>
      </c>
      <c r="V52" s="140">
        <f>MustardGreens!K63</f>
        <v>0.3923148233167687</v>
      </c>
      <c r="W52" s="140">
        <f>Okra!K63</f>
        <v>0.4836599215301895</v>
      </c>
      <c r="X52" s="140">
        <f>Onions!L63</f>
        <v>21.380023632188067</v>
      </c>
      <c r="Y52" s="140">
        <f>Potatoes!I63</f>
        <v>32.380146128036507</v>
      </c>
      <c r="Z52" s="140">
        <f>Pumpkin!L63</f>
        <v>6.3205638400657786</v>
      </c>
      <c r="AA52" s="140">
        <f>Radishes!I63</f>
        <v>0.50024074199248503</v>
      </c>
      <c r="AB52" s="140">
        <f>SnapBeans!I63</f>
        <v>1.5972737094657783</v>
      </c>
      <c r="AC52" s="140">
        <f>Spinach!I63</f>
        <v>1.7361799486998735</v>
      </c>
      <c r="AD52" s="140">
        <f>Squash!I63</f>
        <v>5.1594112336679823</v>
      </c>
      <c r="AE52" s="140">
        <f>SweetPotatoes!M63</f>
        <v>6.5009194131280905</v>
      </c>
      <c r="AF52" s="140">
        <f>Tomatoes!I63</f>
        <v>17.263927822571674</v>
      </c>
      <c r="AG52" s="140">
        <f>TurnipGreens!K63</f>
        <v>0.22383097594653836</v>
      </c>
      <c r="AH52" s="140">
        <f t="shared" ref="AH52" si="5">SUM(B52:AG52)</f>
        <v>184.22751717648467</v>
      </c>
    </row>
    <row r="53" spans="1:34" s="93" customFormat="1" ht="12" customHeight="1" x14ac:dyDescent="0.2">
      <c r="A53" s="125">
        <v>2017</v>
      </c>
      <c r="B53" s="159">
        <f>+Artichokes!I64</f>
        <v>1.326524467410964</v>
      </c>
      <c r="C53" s="159">
        <f>+Asparagus!I64</f>
        <v>1.472987373824181</v>
      </c>
      <c r="D53" s="159">
        <f>Peppers!I64</f>
        <v>10.400163933540904</v>
      </c>
      <c r="E53" s="159">
        <f>Broccoli!I64</f>
        <v>6.547803157861491</v>
      </c>
      <c r="F53" s="159">
        <f>BrusselsSprouts!K64</f>
        <v>0.78096645455084102</v>
      </c>
      <c r="G53" s="159">
        <f>Cabbage!J64</f>
        <v>5.7665374541924477</v>
      </c>
      <c r="H53" s="159">
        <f>Carrots!I64</f>
        <v>7.1333030931085224</v>
      </c>
      <c r="I53" s="159">
        <f>Cauliflower!I64</f>
        <v>2.1812426985941586</v>
      </c>
      <c r="J53" s="159">
        <f>Celery!I64</f>
        <v>4.4094591129706533</v>
      </c>
      <c r="K53" s="159">
        <f>Collards!K64</f>
        <v>0.96637193367334973</v>
      </c>
      <c r="L53" s="159">
        <f>SweetCorn!I64</f>
        <v>6.6424971438059632</v>
      </c>
      <c r="M53" s="159">
        <f>Cucumbers!I64</f>
        <v>6.8352312417698062</v>
      </c>
      <c r="N53" s="159">
        <f>Eggplant!I64</f>
        <v>0.87319887756011172</v>
      </c>
      <c r="O53" s="159">
        <f>Escarole!I64</f>
        <v>0.17038083340419749</v>
      </c>
      <c r="P53" s="159">
        <f>Garlic!J64</f>
        <v>2.4049272420628038</v>
      </c>
      <c r="Q53" s="159">
        <f>Kale!K64</f>
        <v>0.90845957971115521</v>
      </c>
      <c r="R53" s="159">
        <f>HeadLettuce!I64</f>
        <v>14.145481123457204</v>
      </c>
      <c r="S53" s="159">
        <f>Romaine!I64</f>
        <v>14.025837580424559</v>
      </c>
      <c r="T53" s="159">
        <f>LimaBeans!I64</f>
        <v>4.1528543223521902E-3</v>
      </c>
      <c r="U53" s="159">
        <f>Mushrooms!I64</f>
        <v>2.7869900754767363</v>
      </c>
      <c r="V53" s="159">
        <f>MustardGreens!K64</f>
        <v>0.64192329193075948</v>
      </c>
      <c r="W53" s="159">
        <f>Okra!K64</f>
        <v>0.42504440941367871</v>
      </c>
      <c r="X53" s="159">
        <f>Onions!L64</f>
        <v>23.560882219954529</v>
      </c>
      <c r="Y53" s="159">
        <f>Potatoes!I64</f>
        <v>33.462029836578211</v>
      </c>
      <c r="Z53" s="159">
        <f>Pumpkin!L64</f>
        <v>5.9995929045719718</v>
      </c>
      <c r="AA53" s="159">
        <f>Radishes!I64</f>
        <v>0.51882279737627934</v>
      </c>
      <c r="AB53" s="159">
        <f>SnapBeans!I64</f>
        <v>1.460494532932636</v>
      </c>
      <c r="AC53" s="159">
        <f>Spinach!I64</f>
        <v>1.6334559585214876</v>
      </c>
      <c r="AD53" s="159">
        <f>Squash!I64</f>
        <v>5.1181171350367816</v>
      </c>
      <c r="AE53" s="159">
        <f>SweetPotatoes!M64</f>
        <v>7.2086221563142594</v>
      </c>
      <c r="AF53" s="159">
        <f>Tomatoes!I64</f>
        <v>17.114095345543969</v>
      </c>
      <c r="AG53" s="159">
        <f>TurnipGreens!K64</f>
        <v>0.3119956711749779</v>
      </c>
      <c r="AH53" s="159">
        <f t="shared" ref="AH53:AH56" si="6">SUM(B53:AG53)</f>
        <v>187.23759249107198</v>
      </c>
    </row>
    <row r="54" spans="1:34" s="93" customFormat="1" ht="12" customHeight="1" x14ac:dyDescent="0.2">
      <c r="A54" s="128">
        <v>2018</v>
      </c>
      <c r="B54" s="140">
        <f>+Artichokes!I65</f>
        <v>1.2581417727042854</v>
      </c>
      <c r="C54" s="140">
        <f>+Asparagus!I65</f>
        <v>1.5999663895834144</v>
      </c>
      <c r="D54" s="140">
        <f>Peppers!I65</f>
        <v>10.273920615601277</v>
      </c>
      <c r="E54" s="140">
        <f>Broccoli!I65</f>
        <v>5.4666194695994248</v>
      </c>
      <c r="F54" s="140">
        <f>BrusselsSprouts!K65</f>
        <v>0.77106025176278536</v>
      </c>
      <c r="G54" s="140">
        <f>Cabbage!J65</f>
        <v>5.2874193894795907</v>
      </c>
      <c r="H54" s="140">
        <f>Carrots!I65</f>
        <v>11.842979476550129</v>
      </c>
      <c r="I54" s="140">
        <f>Cauliflower!I65</f>
        <v>2.3051207719608624</v>
      </c>
      <c r="J54" s="140">
        <f>Celery!I65</f>
        <v>4.5540262683179122</v>
      </c>
      <c r="K54" s="140">
        <f>Collards!K65</f>
        <v>1.0781094290741853</v>
      </c>
      <c r="L54" s="140">
        <f>SweetCorn!I65</f>
        <v>6.2630336124531993</v>
      </c>
      <c r="M54" s="140">
        <f>Cucumbers!I65</f>
        <v>7.354852641837093</v>
      </c>
      <c r="N54" s="140">
        <f>Eggplant!I65</f>
        <v>0.72827259997131577</v>
      </c>
      <c r="O54" s="140">
        <f>Escarole!I65</f>
        <v>0.1560366806508876</v>
      </c>
      <c r="P54" s="140">
        <f>Garlic!J65</f>
        <v>1.9258259364416188</v>
      </c>
      <c r="Q54" s="140">
        <f>Kale!K65</f>
        <v>0.83551743993296479</v>
      </c>
      <c r="R54" s="140">
        <f>HeadLettuce!I65</f>
        <v>11.405661759120264</v>
      </c>
      <c r="S54" s="140">
        <f>Romaine!I65</f>
        <v>11.279441202958475</v>
      </c>
      <c r="T54" s="140">
        <f>LimaBeans!I65</f>
        <v>3.3119999999999998E-3</v>
      </c>
      <c r="U54" s="140">
        <f>Mushrooms!I65</f>
        <v>2.6216838752106795</v>
      </c>
      <c r="V54" s="140">
        <f>MustardGreens!K65</f>
        <v>0.64768916290196665</v>
      </c>
      <c r="W54" s="140">
        <f>Okra!K65</f>
        <v>0.47146887154425321</v>
      </c>
      <c r="X54" s="140">
        <f>Onions!L65</f>
        <v>19.323551215894486</v>
      </c>
      <c r="Y54" s="140">
        <f>Potatoes!I65</f>
        <v>31.723892214804465</v>
      </c>
      <c r="Z54" s="140">
        <f>Pumpkin!L65</f>
        <v>5.850108442008235</v>
      </c>
      <c r="AA54" s="140">
        <f>Radishes!I65</f>
        <v>0.52752870371011917</v>
      </c>
      <c r="AB54" s="140">
        <f>SnapBeans!I65</f>
        <v>1.5345126902213269</v>
      </c>
      <c r="AC54" s="140">
        <f>Spinach!I65</f>
        <v>1.6456746970741996</v>
      </c>
      <c r="AD54" s="140">
        <f>Squash!I65</f>
        <v>5.0818726900020499</v>
      </c>
      <c r="AE54" s="140">
        <f>SweetPotatoes!M65</f>
        <v>5.0033714745351077</v>
      </c>
      <c r="AF54" s="140">
        <f>Tomatoes!I65</f>
        <v>17.253002062602249</v>
      </c>
      <c r="AG54" s="140">
        <f>TurnipGreens!K65</f>
        <v>0.32052592780205141</v>
      </c>
      <c r="AH54" s="140">
        <f t="shared" si="6"/>
        <v>176.39419973631087</v>
      </c>
    </row>
    <row r="55" spans="1:34" s="93" customFormat="1" ht="12" customHeight="1" x14ac:dyDescent="0.2">
      <c r="A55" s="128">
        <v>2019</v>
      </c>
      <c r="B55" s="140">
        <f>+Artichokes!I66</f>
        <v>1.2697702553983261</v>
      </c>
      <c r="C55" s="140">
        <f>+Asparagus!I66</f>
        <v>1.6007072617239928</v>
      </c>
      <c r="D55" s="140">
        <f>Peppers!I66</f>
        <v>10.011048125626258</v>
      </c>
      <c r="E55" s="140">
        <f>Broccoli!I66</f>
        <v>5.4414203716483396</v>
      </c>
      <c r="F55" s="140">
        <f>BrusselsSprouts!K66</f>
        <v>0.7880438219372502</v>
      </c>
      <c r="G55" s="140">
        <f>Cabbage!J66</f>
        <v>5.9076835869424578</v>
      </c>
      <c r="H55" s="140">
        <f>Carrots!I66</f>
        <v>8.217075229397329</v>
      </c>
      <c r="I55" s="140">
        <f>Cauliflower!I66</f>
        <v>2.7852782944765249</v>
      </c>
      <c r="J55" s="140">
        <f>Celery!I66</f>
        <v>4.8160013458362192</v>
      </c>
      <c r="K55" s="140">
        <f>Collards!K66</f>
        <v>1.079459516985084</v>
      </c>
      <c r="L55" s="140">
        <f>SweetCorn!I66</f>
        <v>4.6994440676247624</v>
      </c>
      <c r="M55" s="140">
        <f>Cucumbers!I66</f>
        <v>7.2051199054798944</v>
      </c>
      <c r="N55" s="140">
        <f>Eggplant!I66</f>
        <v>0.72370785206398558</v>
      </c>
      <c r="O55" s="140">
        <f>Escarole!I66</f>
        <v>0.15443465476011772</v>
      </c>
      <c r="P55" s="140">
        <f>Garlic!J66</f>
        <v>1.470959194737665</v>
      </c>
      <c r="Q55" s="140">
        <f>Kale!K66</f>
        <v>0.68061842375466353</v>
      </c>
      <c r="R55" s="140">
        <f>HeadLettuce!I66</f>
        <v>11.941841757717217</v>
      </c>
      <c r="S55" s="140">
        <f>Romaine!I66</f>
        <v>11.48828329051253</v>
      </c>
      <c r="T55" s="140">
        <f>LimaBeans!I66</f>
        <v>2.7600000000000003E-3</v>
      </c>
      <c r="U55" s="140">
        <f>Mushrooms!I66</f>
        <v>2.6387123817564477</v>
      </c>
      <c r="V55" s="140">
        <f>MustardGreens!K66</f>
        <v>0.65584658273874863</v>
      </c>
      <c r="W55" s="140">
        <f>Okra!K66</f>
        <v>0.48955627030626464</v>
      </c>
      <c r="X55" s="140">
        <f>Onions!L66</f>
        <v>18.21727687903347</v>
      </c>
      <c r="Y55" s="140">
        <f>Potatoes!I66</f>
        <v>28.870452553756056</v>
      </c>
      <c r="Z55" s="140">
        <f>Pumpkin!L66</f>
        <v>5.1706656098381165</v>
      </c>
      <c r="AA55" s="140">
        <f>Radishes!I66</f>
        <v>0.52164209920918048</v>
      </c>
      <c r="AB55" s="140">
        <f>SnapBeans!I66</f>
        <v>1.3013873031918561</v>
      </c>
      <c r="AC55" s="140">
        <f>Spinach!I66</f>
        <v>2.1402626974668633</v>
      </c>
      <c r="AD55" s="140">
        <f>Squash!I66</f>
        <v>5.1925739455183857</v>
      </c>
      <c r="AE55" s="140">
        <f>SweetPotatoes!M66</f>
        <v>6.3865237320323169</v>
      </c>
      <c r="AF55" s="140">
        <f>Tomatoes!I66</f>
        <v>15.584848061349183</v>
      </c>
      <c r="AG55" s="140">
        <f>TurnipGreens!K66</f>
        <v>0.32775825721062263</v>
      </c>
      <c r="AH55" s="140">
        <f t="shared" si="6"/>
        <v>167.78116333003013</v>
      </c>
    </row>
    <row r="56" spans="1:34" s="93" customFormat="1" ht="12" customHeight="1" thickBot="1" x14ac:dyDescent="0.25">
      <c r="A56" s="148">
        <v>2020</v>
      </c>
      <c r="B56" s="160">
        <f>+Artichokes!I67</f>
        <v>1.1170232778387634</v>
      </c>
      <c r="C56" s="160">
        <f>+Asparagus!I67</f>
        <v>1.6612012483217335</v>
      </c>
      <c r="D56" s="160">
        <f>Peppers!I67</f>
        <v>10.124587877193205</v>
      </c>
      <c r="E56" s="160">
        <f>Broccoli!I67</f>
        <v>5.3916127357977901</v>
      </c>
      <c r="F56" s="160">
        <f>BrusselsSprouts!K67</f>
        <v>0.86754670860957772</v>
      </c>
      <c r="G56" s="160">
        <f>Cabbage!J67</f>
        <v>5.8126434455144631</v>
      </c>
      <c r="H56" s="160">
        <f>Carrots!I67</f>
        <v>7.4814063476439348</v>
      </c>
      <c r="I56" s="160">
        <f>Cauliflower!I67</f>
        <v>2.3974243021343065</v>
      </c>
      <c r="J56" s="160">
        <f>Celery!I67</f>
        <v>5.2675118823730926</v>
      </c>
      <c r="K56" s="160">
        <f>Collards!K67</f>
        <v>1.1126817025372018</v>
      </c>
      <c r="L56" s="160">
        <f>SweetCorn!I67</f>
        <v>4.2938716217031949</v>
      </c>
      <c r="M56" s="160">
        <f>Cucumbers!I67</f>
        <v>6.9051077679645703</v>
      </c>
      <c r="N56" s="160">
        <f>Eggplant!I67</f>
        <v>0.8663224486659773</v>
      </c>
      <c r="O56" s="160">
        <f>Escarole!I67</f>
        <v>0.18652929667953766</v>
      </c>
      <c r="P56" s="160">
        <f>Garlic!J67</f>
        <v>1.382362240950143</v>
      </c>
      <c r="Q56" s="160">
        <f>Kale!K67</f>
        <v>0.81381762242951461</v>
      </c>
      <c r="R56" s="160">
        <f>HeadLettuce!I67</f>
        <v>11.460798083663615</v>
      </c>
      <c r="S56" s="160">
        <f>Romaine!I67</f>
        <v>13.406183371957496</v>
      </c>
      <c r="T56" s="160">
        <f>LimaBeans!I67</f>
        <v>2.3E-3</v>
      </c>
      <c r="U56" s="160" t="s">
        <v>3</v>
      </c>
      <c r="V56" s="160">
        <f>MustardGreens!K67</f>
        <v>0.48908888407752993</v>
      </c>
      <c r="W56" s="160">
        <f>Okra!K67</f>
        <v>0.51542706789584825</v>
      </c>
      <c r="X56" s="160">
        <f>Onions!L67</f>
        <v>19.210378153823338</v>
      </c>
      <c r="Y56" s="160">
        <f>Potatoes!I67</f>
        <v>30.21476199996135</v>
      </c>
      <c r="Z56" s="160">
        <f>Pumpkin!L67</f>
        <v>5.3660679594885856</v>
      </c>
      <c r="AA56" s="160">
        <f>Radishes!I67</f>
        <v>0.73369825280190926</v>
      </c>
      <c r="AB56" s="160">
        <f>SnapBeans!I67</f>
        <v>1.2233169703119933</v>
      </c>
      <c r="AC56" s="160">
        <f>Spinach!I67</f>
        <v>1.5741103112694832</v>
      </c>
      <c r="AD56" s="160">
        <f>Squash!I67</f>
        <v>5.1467765087135593</v>
      </c>
      <c r="AE56" s="160">
        <f>SweetPotatoes!M67</f>
        <v>6.0167600666291081</v>
      </c>
      <c r="AF56" s="160">
        <f>Tomatoes!I67</f>
        <v>16.419082302241549</v>
      </c>
      <c r="AG56" s="160">
        <f>TurnipGreens!K67</f>
        <v>0.25099902957218106</v>
      </c>
      <c r="AH56" s="160">
        <f t="shared" si="6"/>
        <v>167.71139948876456</v>
      </c>
    </row>
    <row r="57" spans="1:34" ht="12" customHeight="1" thickTop="1" x14ac:dyDescent="0.2">
      <c r="A57" s="208" t="s">
        <v>8</v>
      </c>
      <c r="B57" s="209"/>
      <c r="C57" s="209"/>
      <c r="D57" s="209"/>
      <c r="E57" s="209"/>
      <c r="F57" s="209"/>
      <c r="G57" s="209"/>
      <c r="H57" s="209"/>
      <c r="I57" s="209"/>
      <c r="J57" s="209"/>
      <c r="K57" s="209"/>
      <c r="L57" s="209"/>
      <c r="M57" s="210"/>
      <c r="N57" s="35"/>
      <c r="O57" s="35"/>
      <c r="P57" s="35"/>
      <c r="Q57" s="35"/>
      <c r="R57" s="35"/>
      <c r="S57" s="35"/>
      <c r="T57" s="35"/>
      <c r="U57" s="35"/>
      <c r="V57" s="35"/>
      <c r="W57" s="35"/>
      <c r="X57" s="35"/>
      <c r="Y57" s="35"/>
      <c r="Z57" s="35"/>
      <c r="AA57" s="35"/>
      <c r="AB57" s="35"/>
      <c r="AC57" s="35"/>
      <c r="AD57" s="35"/>
      <c r="AE57" s="35"/>
      <c r="AF57" s="35"/>
      <c r="AG57" s="35"/>
      <c r="AH57" s="35"/>
    </row>
    <row r="58" spans="1:34" s="17" customFormat="1" ht="12" customHeight="1" x14ac:dyDescent="0.2">
      <c r="A58" s="211"/>
      <c r="B58" s="212"/>
      <c r="C58" s="212"/>
      <c r="D58" s="212"/>
      <c r="E58" s="212"/>
      <c r="F58" s="212"/>
      <c r="G58" s="212"/>
      <c r="H58" s="212"/>
      <c r="I58" s="212"/>
      <c r="J58" s="212"/>
      <c r="K58" s="212"/>
      <c r="L58" s="212"/>
      <c r="M58" s="213"/>
      <c r="N58"/>
      <c r="O58" s="29"/>
      <c r="P58" s="29"/>
      <c r="Q58" s="29"/>
      <c r="R58" s="29"/>
      <c r="S58" s="29"/>
      <c r="T58" s="29"/>
      <c r="U58" s="29"/>
      <c r="V58" s="29"/>
      <c r="W58" s="29"/>
      <c r="X58" s="29"/>
      <c r="Y58" s="29"/>
      <c r="Z58" s="29"/>
      <c r="AA58" s="29"/>
      <c r="AB58" s="29"/>
      <c r="AC58" s="29"/>
      <c r="AD58" s="29"/>
      <c r="AE58" s="29"/>
      <c r="AF58" s="29"/>
      <c r="AG58" s="29"/>
      <c r="AH58" s="29"/>
    </row>
    <row r="59" spans="1:34" s="17" customFormat="1" ht="12" customHeight="1" x14ac:dyDescent="0.2">
      <c r="A59" s="211" t="s">
        <v>196</v>
      </c>
      <c r="B59" s="212"/>
      <c r="C59" s="212"/>
      <c r="D59" s="212"/>
      <c r="E59" s="212"/>
      <c r="F59" s="212"/>
      <c r="G59" s="212"/>
      <c r="H59" s="212"/>
      <c r="I59" s="212"/>
      <c r="J59" s="212"/>
      <c r="K59" s="212"/>
      <c r="L59" s="212"/>
      <c r="M59" s="213"/>
      <c r="N59"/>
      <c r="O59" s="29"/>
      <c r="P59" s="29"/>
      <c r="Q59" s="29"/>
      <c r="R59" s="29"/>
      <c r="S59" s="29"/>
      <c r="T59" s="29"/>
      <c r="U59" s="29"/>
      <c r="V59" s="29"/>
      <c r="W59" s="29"/>
      <c r="X59" s="29"/>
      <c r="Y59" s="29"/>
      <c r="Z59" s="29"/>
      <c r="AA59" s="29"/>
      <c r="AB59" s="29"/>
      <c r="AC59" s="29"/>
      <c r="AD59" s="29"/>
      <c r="AE59" s="29"/>
      <c r="AF59" s="29"/>
      <c r="AG59" s="29"/>
      <c r="AH59" s="29"/>
    </row>
    <row r="60" spans="1:34" ht="12" customHeight="1" x14ac:dyDescent="0.2">
      <c r="A60" s="211"/>
      <c r="B60" s="212"/>
      <c r="C60" s="212"/>
      <c r="D60" s="212"/>
      <c r="E60" s="212"/>
      <c r="F60" s="212"/>
      <c r="G60" s="212"/>
      <c r="H60" s="212"/>
      <c r="I60" s="212"/>
      <c r="J60" s="212"/>
      <c r="K60" s="212"/>
      <c r="L60" s="212"/>
      <c r="M60" s="213"/>
      <c r="N60" s="29"/>
      <c r="O60" s="29"/>
      <c r="P60" s="29"/>
      <c r="Q60" s="29"/>
      <c r="R60" s="29"/>
      <c r="S60" s="29"/>
      <c r="T60" s="29"/>
      <c r="U60" s="29"/>
      <c r="V60" s="29"/>
      <c r="W60" s="29"/>
      <c r="X60" s="29"/>
      <c r="Y60" s="29"/>
      <c r="Z60" s="29"/>
      <c r="AA60" s="29"/>
      <c r="AB60" s="29"/>
      <c r="AC60" s="29"/>
      <c r="AD60" s="29"/>
      <c r="AE60" s="29"/>
      <c r="AF60" s="29"/>
      <c r="AG60" s="29"/>
      <c r="AH60" s="29"/>
    </row>
    <row r="61" spans="1:34" ht="12" customHeight="1" x14ac:dyDescent="0.2">
      <c r="A61" s="211" t="s">
        <v>198</v>
      </c>
      <c r="B61" s="212"/>
      <c r="C61" s="212"/>
      <c r="D61" s="212"/>
      <c r="E61" s="212"/>
      <c r="F61" s="212"/>
      <c r="G61" s="212"/>
      <c r="H61" s="212"/>
      <c r="I61" s="212"/>
      <c r="J61" s="212"/>
      <c r="K61" s="212"/>
      <c r="L61" s="212"/>
      <c r="M61" s="213"/>
      <c r="N61" s="29"/>
      <c r="O61" s="29"/>
      <c r="P61" s="29"/>
      <c r="Q61" s="29"/>
      <c r="R61" s="29"/>
      <c r="S61" s="29"/>
      <c r="T61" s="29"/>
      <c r="U61" s="29"/>
      <c r="V61" s="29"/>
      <c r="W61" s="29"/>
      <c r="X61" s="29"/>
      <c r="Y61" s="29"/>
      <c r="Z61" s="29"/>
      <c r="AA61" s="29"/>
      <c r="AB61" s="29"/>
      <c r="AC61" s="29"/>
      <c r="AD61" s="29"/>
      <c r="AE61" s="29"/>
      <c r="AF61" s="29"/>
      <c r="AG61" s="29"/>
      <c r="AH61" s="29"/>
    </row>
  </sheetData>
  <mergeCells count="45">
    <mergeCell ref="A57:M57"/>
    <mergeCell ref="A58:M58"/>
    <mergeCell ref="A59:M59"/>
    <mergeCell ref="A60:M60"/>
    <mergeCell ref="A61:M61"/>
    <mergeCell ref="Q1:R1"/>
    <mergeCell ref="AG1:AH1"/>
    <mergeCell ref="A1:P1"/>
    <mergeCell ref="S1:AF1"/>
    <mergeCell ref="B5:R5"/>
    <mergeCell ref="S5:AH5"/>
    <mergeCell ref="A2:A4"/>
    <mergeCell ref="B2:B4"/>
    <mergeCell ref="C2:C4"/>
    <mergeCell ref="D2:D4"/>
    <mergeCell ref="E2:E4"/>
    <mergeCell ref="F2:F4"/>
    <mergeCell ref="G2:G4"/>
    <mergeCell ref="H2:H4"/>
    <mergeCell ref="I2:I4"/>
    <mergeCell ref="J2:J4"/>
    <mergeCell ref="K2:K4"/>
    <mergeCell ref="L2:L4"/>
    <mergeCell ref="M2:M4"/>
    <mergeCell ref="N2:N4"/>
    <mergeCell ref="O2:O4"/>
    <mergeCell ref="P2:P4"/>
    <mergeCell ref="Q2:Q4"/>
    <mergeCell ref="S2:S4"/>
    <mergeCell ref="T2:T4"/>
    <mergeCell ref="U2:U4"/>
    <mergeCell ref="R2:R4"/>
    <mergeCell ref="V2:V4"/>
    <mergeCell ref="W2:W4"/>
    <mergeCell ref="X2:X4"/>
    <mergeCell ref="Y2:Y4"/>
    <mergeCell ref="Z2:Z4"/>
    <mergeCell ref="AF2:AF4"/>
    <mergeCell ref="AG2:AG4"/>
    <mergeCell ref="AH2:AH4"/>
    <mergeCell ref="AA2:AA4"/>
    <mergeCell ref="AB2:AB4"/>
    <mergeCell ref="AC2:AC4"/>
    <mergeCell ref="AD2:AD4"/>
    <mergeCell ref="AE2:AE4"/>
  </mergeCells>
  <phoneticPr fontId="7" type="noConversion"/>
  <printOptions horizontalCentered="1"/>
  <pageMargins left="0.45" right="0.45" top="0.75" bottom="0.75" header="0" footer="0"/>
  <pageSetup scale="57" fitToWidth="2" orientation="landscape"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pageSetUpPr autoPageBreaks="0" fitToPage="1"/>
  </sheetPr>
  <dimension ref="A1:M74"/>
  <sheetViews>
    <sheetView showOutlineSymbols="0" zoomScaleNormal="100" workbookViewId="0">
      <pane ySplit="6" topLeftCell="A7" activePane="bottomLeft" state="frozen"/>
      <selection pane="bottomLeft" sqref="A1:J1"/>
    </sheetView>
  </sheetViews>
  <sheetFormatPr defaultColWidth="12.7109375" defaultRowHeight="12" customHeight="1" x14ac:dyDescent="0.2"/>
  <cols>
    <col min="1" max="1" width="12.7109375" style="13" customWidth="1"/>
    <col min="2" max="16384" width="12.7109375" style="13"/>
  </cols>
  <sheetData>
    <row r="1" spans="1:13" s="1" customFormat="1" ht="12" customHeight="1" thickBot="1" x14ac:dyDescent="0.25">
      <c r="A1" s="201" t="s">
        <v>171</v>
      </c>
      <c r="B1" s="201"/>
      <c r="C1" s="201"/>
      <c r="D1" s="201"/>
      <c r="E1" s="201"/>
      <c r="F1" s="201"/>
      <c r="G1" s="201"/>
      <c r="H1" s="201"/>
      <c r="I1" s="201"/>
      <c r="J1" s="201"/>
      <c r="K1" s="200" t="s">
        <v>19</v>
      </c>
      <c r="L1" s="200"/>
    </row>
    <row r="2" spans="1:13" ht="12" customHeight="1" thickTop="1" x14ac:dyDescent="0.2">
      <c r="A2" s="257" t="s">
        <v>1</v>
      </c>
      <c r="B2" s="258" t="s">
        <v>85</v>
      </c>
      <c r="C2" s="218" t="s">
        <v>2</v>
      </c>
      <c r="D2" s="218"/>
      <c r="E2" s="218"/>
      <c r="F2" s="218"/>
      <c r="G2" s="244" t="s">
        <v>146</v>
      </c>
      <c r="H2" s="245"/>
      <c r="I2" s="246"/>
      <c r="J2" s="244" t="s">
        <v>147</v>
      </c>
      <c r="K2" s="245"/>
      <c r="L2" s="245"/>
    </row>
    <row r="3" spans="1:13" ht="12" customHeight="1" x14ac:dyDescent="0.2">
      <c r="A3" s="217"/>
      <c r="B3" s="259"/>
      <c r="C3" s="217" t="s">
        <v>86</v>
      </c>
      <c r="D3" s="217" t="s">
        <v>87</v>
      </c>
      <c r="E3" s="217" t="s">
        <v>89</v>
      </c>
      <c r="F3" s="217" t="s">
        <v>90</v>
      </c>
      <c r="G3" s="217" t="s">
        <v>95</v>
      </c>
      <c r="H3" s="312" t="s">
        <v>109</v>
      </c>
      <c r="I3" s="217" t="s">
        <v>91</v>
      </c>
      <c r="J3" s="217" t="s">
        <v>98</v>
      </c>
      <c r="K3" s="226" t="s">
        <v>28</v>
      </c>
      <c r="L3" s="227"/>
    </row>
    <row r="4" spans="1:13" ht="12" customHeight="1" x14ac:dyDescent="0.2">
      <c r="A4" s="217"/>
      <c r="B4" s="259"/>
      <c r="C4" s="217"/>
      <c r="D4" s="217"/>
      <c r="E4" s="217"/>
      <c r="F4" s="217"/>
      <c r="G4" s="217"/>
      <c r="H4" s="198"/>
      <c r="I4" s="217"/>
      <c r="J4" s="217"/>
      <c r="K4" s="217" t="s">
        <v>4</v>
      </c>
      <c r="L4" s="14" t="s">
        <v>110</v>
      </c>
      <c r="M4" s="4"/>
    </row>
    <row r="5" spans="1:13" ht="12" customHeight="1" x14ac:dyDescent="0.2">
      <c r="A5" s="217"/>
      <c r="B5" s="259"/>
      <c r="C5" s="217"/>
      <c r="D5" s="217"/>
      <c r="E5" s="217"/>
      <c r="F5" s="217"/>
      <c r="G5" s="217"/>
      <c r="H5" s="199"/>
      <c r="I5" s="217"/>
      <c r="J5" s="217"/>
      <c r="K5" s="217"/>
      <c r="L5" s="14" t="s">
        <v>187</v>
      </c>
    </row>
    <row r="6" spans="1:13" ht="12" customHeight="1" x14ac:dyDescent="0.2">
      <c r="A6" s="95"/>
      <c r="B6" s="96" t="s">
        <v>124</v>
      </c>
      <c r="C6" s="273" t="s">
        <v>119</v>
      </c>
      <c r="D6" s="274"/>
      <c r="E6" s="274"/>
      <c r="F6" s="274"/>
      <c r="G6" s="274"/>
      <c r="H6" s="274"/>
      <c r="I6" s="274"/>
      <c r="J6" s="274"/>
      <c r="K6" s="273" t="s">
        <v>133</v>
      </c>
      <c r="L6" s="274"/>
      <c r="M6" s="95"/>
    </row>
    <row r="7" spans="1:13" ht="12" customHeight="1" x14ac:dyDescent="0.2">
      <c r="A7" s="2">
        <v>1960</v>
      </c>
      <c r="B7" s="20">
        <v>180.67099999999999</v>
      </c>
      <c r="C7" s="8" t="s">
        <v>3</v>
      </c>
      <c r="D7" s="8" t="s">
        <v>3</v>
      </c>
      <c r="E7" s="8" t="s">
        <v>3</v>
      </c>
      <c r="F7" s="8" t="s">
        <v>3</v>
      </c>
      <c r="G7" s="8" t="s">
        <v>3</v>
      </c>
      <c r="H7" s="8" t="s">
        <v>3</v>
      </c>
      <c r="I7" s="8" t="s">
        <v>3</v>
      </c>
      <c r="J7" s="8" t="s">
        <v>3</v>
      </c>
      <c r="K7" s="8" t="s">
        <v>3</v>
      </c>
      <c r="L7" s="8" t="s">
        <v>3</v>
      </c>
    </row>
    <row r="8" spans="1:13" ht="12" customHeight="1" x14ac:dyDescent="0.2">
      <c r="A8" s="3">
        <v>1961</v>
      </c>
      <c r="B8" s="21">
        <v>183.691</v>
      </c>
      <c r="C8" s="9" t="s">
        <v>3</v>
      </c>
      <c r="D8" s="9" t="s">
        <v>3</v>
      </c>
      <c r="E8" s="9" t="s">
        <v>3</v>
      </c>
      <c r="F8" s="9" t="s">
        <v>3</v>
      </c>
      <c r="G8" s="9" t="s">
        <v>3</v>
      </c>
      <c r="H8" s="9" t="s">
        <v>3</v>
      </c>
      <c r="I8" s="9" t="s">
        <v>3</v>
      </c>
      <c r="J8" s="9" t="s">
        <v>3</v>
      </c>
      <c r="K8" s="9" t="s">
        <v>3</v>
      </c>
      <c r="L8" s="9" t="s">
        <v>3</v>
      </c>
    </row>
    <row r="9" spans="1:13" ht="12" customHeight="1" x14ac:dyDescent="0.2">
      <c r="A9" s="3">
        <v>1962</v>
      </c>
      <c r="B9" s="21">
        <v>186.53800000000001</v>
      </c>
      <c r="C9" s="9" t="s">
        <v>3</v>
      </c>
      <c r="D9" s="9" t="s">
        <v>3</v>
      </c>
      <c r="E9" s="9" t="s">
        <v>3</v>
      </c>
      <c r="F9" s="9" t="s">
        <v>3</v>
      </c>
      <c r="G9" s="9" t="s">
        <v>3</v>
      </c>
      <c r="H9" s="9" t="s">
        <v>3</v>
      </c>
      <c r="I9" s="9" t="s">
        <v>3</v>
      </c>
      <c r="J9" s="9" t="s">
        <v>3</v>
      </c>
      <c r="K9" s="9" t="s">
        <v>3</v>
      </c>
      <c r="L9" s="9" t="s">
        <v>3</v>
      </c>
    </row>
    <row r="10" spans="1:13" ht="12" customHeight="1" x14ac:dyDescent="0.2">
      <c r="A10" s="3">
        <v>1963</v>
      </c>
      <c r="B10" s="21">
        <v>189.24199999999999</v>
      </c>
      <c r="C10" s="9" t="s">
        <v>3</v>
      </c>
      <c r="D10" s="9" t="s">
        <v>3</v>
      </c>
      <c r="E10" s="9" t="s">
        <v>3</v>
      </c>
      <c r="F10" s="9" t="s">
        <v>3</v>
      </c>
      <c r="G10" s="9" t="s">
        <v>3</v>
      </c>
      <c r="H10" s="9" t="s">
        <v>3</v>
      </c>
      <c r="I10" s="9" t="s">
        <v>3</v>
      </c>
      <c r="J10" s="9" t="s">
        <v>3</v>
      </c>
      <c r="K10" s="9" t="s">
        <v>3</v>
      </c>
      <c r="L10" s="9" t="s">
        <v>3</v>
      </c>
    </row>
    <row r="11" spans="1:13" ht="12" customHeight="1" x14ac:dyDescent="0.2">
      <c r="A11" s="3">
        <v>1964</v>
      </c>
      <c r="B11" s="21">
        <v>191.88900000000001</v>
      </c>
      <c r="C11" s="9" t="s">
        <v>3</v>
      </c>
      <c r="D11" s="9" t="s">
        <v>3</v>
      </c>
      <c r="E11" s="9" t="s">
        <v>3</v>
      </c>
      <c r="F11" s="9" t="s">
        <v>3</v>
      </c>
      <c r="G11" s="9" t="s">
        <v>3</v>
      </c>
      <c r="H11" s="9" t="s">
        <v>3</v>
      </c>
      <c r="I11" s="9" t="s">
        <v>3</v>
      </c>
      <c r="J11" s="9" t="s">
        <v>3</v>
      </c>
      <c r="K11" s="9" t="s">
        <v>3</v>
      </c>
      <c r="L11" s="9" t="s">
        <v>3</v>
      </c>
    </row>
    <row r="12" spans="1:13" ht="12" customHeight="1" x14ac:dyDescent="0.2">
      <c r="A12" s="3">
        <v>1965</v>
      </c>
      <c r="B12" s="21">
        <v>194.303</v>
      </c>
      <c r="C12" s="9" t="s">
        <v>3</v>
      </c>
      <c r="D12" s="9" t="s">
        <v>3</v>
      </c>
      <c r="E12" s="9" t="s">
        <v>3</v>
      </c>
      <c r="F12" s="9" t="s">
        <v>3</v>
      </c>
      <c r="G12" s="9" t="s">
        <v>3</v>
      </c>
      <c r="H12" s="9" t="s">
        <v>3</v>
      </c>
      <c r="I12" s="9" t="s">
        <v>3</v>
      </c>
      <c r="J12" s="9" t="s">
        <v>3</v>
      </c>
      <c r="K12" s="9" t="s">
        <v>3</v>
      </c>
      <c r="L12" s="9" t="s">
        <v>3</v>
      </c>
    </row>
    <row r="13" spans="1:13" ht="12" customHeight="1" x14ac:dyDescent="0.2">
      <c r="A13" s="2">
        <v>1966</v>
      </c>
      <c r="B13" s="20">
        <v>196.56</v>
      </c>
      <c r="C13" s="8" t="s">
        <v>3</v>
      </c>
      <c r="D13" s="8" t="s">
        <v>3</v>
      </c>
      <c r="E13" s="8" t="s">
        <v>3</v>
      </c>
      <c r="F13" s="8" t="s">
        <v>3</v>
      </c>
      <c r="G13" s="8" t="s">
        <v>3</v>
      </c>
      <c r="H13" s="8" t="s">
        <v>3</v>
      </c>
      <c r="I13" s="8" t="s">
        <v>3</v>
      </c>
      <c r="J13" s="8" t="s">
        <v>3</v>
      </c>
      <c r="K13" s="8" t="s">
        <v>3</v>
      </c>
      <c r="L13" s="8" t="s">
        <v>3</v>
      </c>
    </row>
    <row r="14" spans="1:13" ht="12" customHeight="1" x14ac:dyDescent="0.2">
      <c r="A14" s="2">
        <v>1967</v>
      </c>
      <c r="B14" s="20">
        <v>198.71199999999999</v>
      </c>
      <c r="C14" s="8" t="s">
        <v>3</v>
      </c>
      <c r="D14" s="8" t="s">
        <v>3</v>
      </c>
      <c r="E14" s="8" t="s">
        <v>3</v>
      </c>
      <c r="F14" s="8" t="s">
        <v>3</v>
      </c>
      <c r="G14" s="8" t="s">
        <v>3</v>
      </c>
      <c r="H14" s="8" t="s">
        <v>3</v>
      </c>
      <c r="I14" s="8" t="s">
        <v>3</v>
      </c>
      <c r="J14" s="8" t="s">
        <v>3</v>
      </c>
      <c r="K14" s="8" t="s">
        <v>3</v>
      </c>
      <c r="L14" s="8" t="s">
        <v>3</v>
      </c>
    </row>
    <row r="15" spans="1:13" ht="12" customHeight="1" x14ac:dyDescent="0.2">
      <c r="A15" s="2">
        <v>1968</v>
      </c>
      <c r="B15" s="20">
        <v>200.70599999999999</v>
      </c>
      <c r="C15" s="8" t="s">
        <v>3</v>
      </c>
      <c r="D15" s="8" t="s">
        <v>3</v>
      </c>
      <c r="E15" s="8" t="s">
        <v>3</v>
      </c>
      <c r="F15" s="8" t="s">
        <v>3</v>
      </c>
      <c r="G15" s="8" t="s">
        <v>3</v>
      </c>
      <c r="H15" s="8" t="s">
        <v>3</v>
      </c>
      <c r="I15" s="8" t="s">
        <v>3</v>
      </c>
      <c r="J15" s="8" t="s">
        <v>3</v>
      </c>
      <c r="K15" s="8" t="s">
        <v>3</v>
      </c>
      <c r="L15" s="8" t="s">
        <v>3</v>
      </c>
    </row>
    <row r="16" spans="1:13" ht="12" customHeight="1" x14ac:dyDescent="0.2">
      <c r="A16" s="2">
        <v>1969</v>
      </c>
      <c r="B16" s="20">
        <v>202.67699999999999</v>
      </c>
      <c r="C16" s="8" t="s">
        <v>3</v>
      </c>
      <c r="D16" s="8" t="s">
        <v>3</v>
      </c>
      <c r="E16" s="8" t="s">
        <v>3</v>
      </c>
      <c r="F16" s="8" t="s">
        <v>3</v>
      </c>
      <c r="G16" s="8" t="s">
        <v>3</v>
      </c>
      <c r="H16" s="8" t="s">
        <v>3</v>
      </c>
      <c r="I16" s="8" t="s">
        <v>3</v>
      </c>
      <c r="J16" s="8" t="s">
        <v>3</v>
      </c>
      <c r="K16" s="8" t="s">
        <v>3</v>
      </c>
      <c r="L16" s="8" t="s">
        <v>3</v>
      </c>
    </row>
    <row r="17" spans="1:12" ht="12" customHeight="1" x14ac:dyDescent="0.2">
      <c r="A17" s="2">
        <v>1970</v>
      </c>
      <c r="B17" s="20">
        <v>205.05199999999999</v>
      </c>
      <c r="C17" s="8" t="s">
        <v>3</v>
      </c>
      <c r="D17" s="8" t="s">
        <v>3</v>
      </c>
      <c r="E17" s="8" t="s">
        <v>3</v>
      </c>
      <c r="F17" s="8" t="s">
        <v>3</v>
      </c>
      <c r="G17" s="8" t="s">
        <v>3</v>
      </c>
      <c r="H17" s="8" t="s">
        <v>3</v>
      </c>
      <c r="I17" s="8" t="s">
        <v>3</v>
      </c>
      <c r="J17" s="8" t="s">
        <v>3</v>
      </c>
      <c r="K17" s="8" t="s">
        <v>3</v>
      </c>
      <c r="L17" s="8" t="s">
        <v>3</v>
      </c>
    </row>
    <row r="18" spans="1:12" ht="12" customHeight="1" x14ac:dyDescent="0.2">
      <c r="A18" s="3">
        <v>1971</v>
      </c>
      <c r="B18" s="21">
        <v>207.661</v>
      </c>
      <c r="C18" s="9" t="s">
        <v>3</v>
      </c>
      <c r="D18" s="9" t="s">
        <v>3</v>
      </c>
      <c r="E18" s="9" t="s">
        <v>3</v>
      </c>
      <c r="F18" s="9" t="s">
        <v>3</v>
      </c>
      <c r="G18" s="9" t="s">
        <v>3</v>
      </c>
      <c r="H18" s="9" t="s">
        <v>3</v>
      </c>
      <c r="I18" s="9" t="s">
        <v>3</v>
      </c>
      <c r="J18" s="9" t="s">
        <v>3</v>
      </c>
      <c r="K18" s="9" t="s">
        <v>3</v>
      </c>
      <c r="L18" s="9" t="s">
        <v>3</v>
      </c>
    </row>
    <row r="19" spans="1:12" ht="12" customHeight="1" x14ac:dyDescent="0.2">
      <c r="A19" s="3">
        <v>1972</v>
      </c>
      <c r="B19" s="21">
        <v>209.89599999999999</v>
      </c>
      <c r="C19" s="9" t="s">
        <v>3</v>
      </c>
      <c r="D19" s="9" t="s">
        <v>3</v>
      </c>
      <c r="E19" s="9" t="s">
        <v>3</v>
      </c>
      <c r="F19" s="9" t="s">
        <v>3</v>
      </c>
      <c r="G19" s="9" t="s">
        <v>3</v>
      </c>
      <c r="H19" s="9" t="s">
        <v>3</v>
      </c>
      <c r="I19" s="9" t="s">
        <v>3</v>
      </c>
      <c r="J19" s="9" t="s">
        <v>3</v>
      </c>
      <c r="K19" s="9" t="s">
        <v>3</v>
      </c>
      <c r="L19" s="9" t="s">
        <v>3</v>
      </c>
    </row>
    <row r="20" spans="1:12" ht="12" customHeight="1" x14ac:dyDescent="0.2">
      <c r="A20" s="3">
        <v>1973</v>
      </c>
      <c r="B20" s="21">
        <v>211.90899999999999</v>
      </c>
      <c r="C20" s="9" t="s">
        <v>3</v>
      </c>
      <c r="D20" s="9" t="s">
        <v>3</v>
      </c>
      <c r="E20" s="9" t="s">
        <v>3</v>
      </c>
      <c r="F20" s="9" t="s">
        <v>3</v>
      </c>
      <c r="G20" s="9" t="s">
        <v>3</v>
      </c>
      <c r="H20" s="9" t="s">
        <v>3</v>
      </c>
      <c r="I20" s="9" t="s">
        <v>3</v>
      </c>
      <c r="J20" s="9" t="s">
        <v>3</v>
      </c>
      <c r="K20" s="9" t="s">
        <v>3</v>
      </c>
      <c r="L20" s="9" t="s">
        <v>3</v>
      </c>
    </row>
    <row r="21" spans="1:12" ht="12" customHeight="1" x14ac:dyDescent="0.2">
      <c r="A21" s="3">
        <v>1974</v>
      </c>
      <c r="B21" s="21">
        <v>213.85400000000001</v>
      </c>
      <c r="C21" s="9" t="s">
        <v>3</v>
      </c>
      <c r="D21" s="9" t="s">
        <v>3</v>
      </c>
      <c r="E21" s="9" t="s">
        <v>3</v>
      </c>
      <c r="F21" s="9" t="s">
        <v>3</v>
      </c>
      <c r="G21" s="9" t="s">
        <v>3</v>
      </c>
      <c r="H21" s="9" t="s">
        <v>3</v>
      </c>
      <c r="I21" s="9" t="s">
        <v>3</v>
      </c>
      <c r="J21" s="9" t="s">
        <v>3</v>
      </c>
      <c r="K21" s="9" t="s">
        <v>3</v>
      </c>
      <c r="L21" s="9" t="s">
        <v>3</v>
      </c>
    </row>
    <row r="22" spans="1:12" ht="12" customHeight="1" x14ac:dyDescent="0.2">
      <c r="A22" s="3">
        <v>1975</v>
      </c>
      <c r="B22" s="21">
        <v>215.97300000000001</v>
      </c>
      <c r="C22" s="9" t="s">
        <v>3</v>
      </c>
      <c r="D22" s="9" t="s">
        <v>3</v>
      </c>
      <c r="E22" s="9" t="s">
        <v>3</v>
      </c>
      <c r="F22" s="9" t="s">
        <v>3</v>
      </c>
      <c r="G22" s="9" t="s">
        <v>3</v>
      </c>
      <c r="H22" s="9" t="s">
        <v>3</v>
      </c>
      <c r="I22" s="9" t="s">
        <v>3</v>
      </c>
      <c r="J22" s="9" t="s">
        <v>3</v>
      </c>
      <c r="K22" s="9" t="s">
        <v>3</v>
      </c>
      <c r="L22" s="9" t="s">
        <v>3</v>
      </c>
    </row>
    <row r="23" spans="1:12" ht="12" customHeight="1" x14ac:dyDescent="0.2">
      <c r="A23" s="2">
        <v>1976</v>
      </c>
      <c r="B23" s="20">
        <v>218.035</v>
      </c>
      <c r="C23" s="8" t="s">
        <v>3</v>
      </c>
      <c r="D23" s="8" t="s">
        <v>3</v>
      </c>
      <c r="E23" s="8" t="s">
        <v>3</v>
      </c>
      <c r="F23" s="8" t="s">
        <v>3</v>
      </c>
      <c r="G23" s="8" t="s">
        <v>3</v>
      </c>
      <c r="H23" s="8" t="s">
        <v>3</v>
      </c>
      <c r="I23" s="8" t="s">
        <v>3</v>
      </c>
      <c r="J23" s="8" t="s">
        <v>3</v>
      </c>
      <c r="K23" s="8" t="s">
        <v>3</v>
      </c>
      <c r="L23" s="8" t="s">
        <v>3</v>
      </c>
    </row>
    <row r="24" spans="1:12" ht="12" customHeight="1" x14ac:dyDescent="0.2">
      <c r="A24" s="2">
        <v>1977</v>
      </c>
      <c r="B24" s="20">
        <v>220.23899999999998</v>
      </c>
      <c r="C24" s="8" t="s">
        <v>3</v>
      </c>
      <c r="D24" s="8" t="s">
        <v>3</v>
      </c>
      <c r="E24" s="8" t="s">
        <v>3</v>
      </c>
      <c r="F24" s="8" t="s">
        <v>3</v>
      </c>
      <c r="G24" s="8" t="s">
        <v>3</v>
      </c>
      <c r="H24" s="8" t="s">
        <v>3</v>
      </c>
      <c r="I24" s="8" t="s">
        <v>3</v>
      </c>
      <c r="J24" s="8" t="s">
        <v>3</v>
      </c>
      <c r="K24" s="8" t="s">
        <v>3</v>
      </c>
      <c r="L24" s="8" t="s">
        <v>3</v>
      </c>
    </row>
    <row r="25" spans="1:12" ht="12" customHeight="1" x14ac:dyDescent="0.2">
      <c r="A25" s="2">
        <v>1978</v>
      </c>
      <c r="B25" s="20">
        <v>222.58500000000001</v>
      </c>
      <c r="C25" s="8" t="s">
        <v>3</v>
      </c>
      <c r="D25" s="8" t="s">
        <v>3</v>
      </c>
      <c r="E25" s="8" t="s">
        <v>3</v>
      </c>
      <c r="F25" s="8" t="s">
        <v>3</v>
      </c>
      <c r="G25" s="8" t="s">
        <v>3</v>
      </c>
      <c r="H25" s="8" t="s">
        <v>3</v>
      </c>
      <c r="I25" s="8" t="s">
        <v>3</v>
      </c>
      <c r="J25" s="8" t="s">
        <v>3</v>
      </c>
      <c r="K25" s="8" t="s">
        <v>3</v>
      </c>
      <c r="L25" s="8" t="s">
        <v>3</v>
      </c>
    </row>
    <row r="26" spans="1:12" ht="12" customHeight="1" x14ac:dyDescent="0.2">
      <c r="A26" s="2">
        <v>1979</v>
      </c>
      <c r="B26" s="20">
        <v>225.05500000000001</v>
      </c>
      <c r="C26" s="8" t="s">
        <v>3</v>
      </c>
      <c r="D26" s="8" t="s">
        <v>3</v>
      </c>
      <c r="E26" s="8" t="s">
        <v>3</v>
      </c>
      <c r="F26" s="8" t="s">
        <v>3</v>
      </c>
      <c r="G26" s="8" t="s">
        <v>3</v>
      </c>
      <c r="H26" s="8" t="s">
        <v>3</v>
      </c>
      <c r="I26" s="8" t="s">
        <v>3</v>
      </c>
      <c r="J26" s="8" t="s">
        <v>3</v>
      </c>
      <c r="K26" s="8" t="s">
        <v>3</v>
      </c>
      <c r="L26" s="8" t="s">
        <v>3</v>
      </c>
    </row>
    <row r="27" spans="1:12" ht="12" customHeight="1" x14ac:dyDescent="0.2">
      <c r="A27" s="2">
        <v>1980</v>
      </c>
      <c r="B27" s="20">
        <v>227.726</v>
      </c>
      <c r="C27" s="8" t="s">
        <v>3</v>
      </c>
      <c r="D27" s="8" t="s">
        <v>3</v>
      </c>
      <c r="E27" s="8" t="s">
        <v>3</v>
      </c>
      <c r="F27" s="8" t="s">
        <v>3</v>
      </c>
      <c r="G27" s="8" t="s">
        <v>3</v>
      </c>
      <c r="H27" s="8" t="s">
        <v>3</v>
      </c>
      <c r="I27" s="8" t="s">
        <v>3</v>
      </c>
      <c r="J27" s="8" t="s">
        <v>3</v>
      </c>
      <c r="K27" s="8" t="s">
        <v>3</v>
      </c>
      <c r="L27" s="8" t="s">
        <v>3</v>
      </c>
    </row>
    <row r="28" spans="1:12" ht="12" customHeight="1" x14ac:dyDescent="0.2">
      <c r="A28" s="3">
        <v>1981</v>
      </c>
      <c r="B28" s="21">
        <v>229.96600000000001</v>
      </c>
      <c r="C28" s="9" t="s">
        <v>3</v>
      </c>
      <c r="D28" s="9" t="s">
        <v>3</v>
      </c>
      <c r="E28" s="9" t="s">
        <v>3</v>
      </c>
      <c r="F28" s="9" t="s">
        <v>3</v>
      </c>
      <c r="G28" s="9" t="s">
        <v>3</v>
      </c>
      <c r="H28" s="9" t="s">
        <v>3</v>
      </c>
      <c r="I28" s="9" t="s">
        <v>3</v>
      </c>
      <c r="J28" s="9" t="s">
        <v>3</v>
      </c>
      <c r="K28" s="9" t="s">
        <v>3</v>
      </c>
      <c r="L28" s="9" t="s">
        <v>3</v>
      </c>
    </row>
    <row r="29" spans="1:12" ht="12" customHeight="1" x14ac:dyDescent="0.2">
      <c r="A29" s="3">
        <v>1982</v>
      </c>
      <c r="B29" s="21">
        <v>232.18799999999999</v>
      </c>
      <c r="C29" s="9" t="s">
        <v>3</v>
      </c>
      <c r="D29" s="9" t="s">
        <v>3</v>
      </c>
      <c r="E29" s="9" t="s">
        <v>3</v>
      </c>
      <c r="F29" s="9" t="s">
        <v>3</v>
      </c>
      <c r="G29" s="9" t="s">
        <v>3</v>
      </c>
      <c r="H29" s="9" t="s">
        <v>3</v>
      </c>
      <c r="I29" s="9" t="s">
        <v>3</v>
      </c>
      <c r="J29" s="9" t="s">
        <v>3</v>
      </c>
      <c r="K29" s="9" t="s">
        <v>3</v>
      </c>
      <c r="L29" s="9" t="s">
        <v>3</v>
      </c>
    </row>
    <row r="30" spans="1:12" ht="12" customHeight="1" x14ac:dyDescent="0.2">
      <c r="A30" s="3">
        <v>1983</v>
      </c>
      <c r="B30" s="21">
        <v>234.30699999999999</v>
      </c>
      <c r="C30" s="9" t="s">
        <v>3</v>
      </c>
      <c r="D30" s="9" t="s">
        <v>3</v>
      </c>
      <c r="E30" s="9" t="s">
        <v>3</v>
      </c>
      <c r="F30" s="9" t="s">
        <v>3</v>
      </c>
      <c r="G30" s="9" t="s">
        <v>3</v>
      </c>
      <c r="H30" s="9" t="s">
        <v>3</v>
      </c>
      <c r="I30" s="9" t="s">
        <v>3</v>
      </c>
      <c r="J30" s="9" t="s">
        <v>3</v>
      </c>
      <c r="K30" s="9" t="s">
        <v>3</v>
      </c>
      <c r="L30" s="9" t="s">
        <v>3</v>
      </c>
    </row>
    <row r="31" spans="1:12" ht="12" customHeight="1" x14ac:dyDescent="0.2">
      <c r="A31" s="3">
        <v>1984</v>
      </c>
      <c r="B31" s="21">
        <v>236.34800000000001</v>
      </c>
      <c r="C31" s="9" t="s">
        <v>3</v>
      </c>
      <c r="D31" s="9" t="s">
        <v>3</v>
      </c>
      <c r="E31" s="9" t="s">
        <v>3</v>
      </c>
      <c r="F31" s="9" t="s">
        <v>3</v>
      </c>
      <c r="G31" s="9" t="s">
        <v>3</v>
      </c>
      <c r="H31" s="9" t="s">
        <v>3</v>
      </c>
      <c r="I31" s="9" t="s">
        <v>3</v>
      </c>
      <c r="J31" s="9" t="s">
        <v>3</v>
      </c>
      <c r="K31" s="9" t="s">
        <v>3</v>
      </c>
      <c r="L31" s="9" t="s">
        <v>3</v>
      </c>
    </row>
    <row r="32" spans="1:12" ht="12" customHeight="1" x14ac:dyDescent="0.2">
      <c r="A32" s="3">
        <v>1985</v>
      </c>
      <c r="B32" s="21">
        <v>238.46600000000001</v>
      </c>
      <c r="C32" s="9" t="s">
        <v>3</v>
      </c>
      <c r="D32" s="9" t="s">
        <v>3</v>
      </c>
      <c r="E32" s="9" t="s">
        <v>3</v>
      </c>
      <c r="F32" s="9" t="s">
        <v>3</v>
      </c>
      <c r="G32" s="9" t="s">
        <v>3</v>
      </c>
      <c r="H32" s="9" t="s">
        <v>3</v>
      </c>
      <c r="I32" s="9" t="s">
        <v>3</v>
      </c>
      <c r="J32" s="9" t="s">
        <v>3</v>
      </c>
      <c r="K32" s="9" t="s">
        <v>3</v>
      </c>
      <c r="L32" s="9" t="s">
        <v>3</v>
      </c>
    </row>
    <row r="33" spans="1:12" ht="12" customHeight="1" x14ac:dyDescent="0.2">
      <c r="A33" s="2">
        <v>1986</v>
      </c>
      <c r="B33" s="20">
        <v>240.65100000000001</v>
      </c>
      <c r="C33" s="8" t="s">
        <v>3</v>
      </c>
      <c r="D33" s="8" t="s">
        <v>3</v>
      </c>
      <c r="E33" s="8" t="s">
        <v>3</v>
      </c>
      <c r="F33" s="8" t="s">
        <v>3</v>
      </c>
      <c r="G33" s="8" t="s">
        <v>3</v>
      </c>
      <c r="H33" s="8" t="s">
        <v>3</v>
      </c>
      <c r="I33" s="8" t="s">
        <v>3</v>
      </c>
      <c r="J33" s="8" t="s">
        <v>3</v>
      </c>
      <c r="K33" s="8" t="s">
        <v>3</v>
      </c>
      <c r="L33" s="8" t="s">
        <v>3</v>
      </c>
    </row>
    <row r="34" spans="1:12" ht="12" customHeight="1" x14ac:dyDescent="0.2">
      <c r="A34" s="2">
        <v>1987</v>
      </c>
      <c r="B34" s="20">
        <v>242.804</v>
      </c>
      <c r="C34" s="168">
        <v>813.04</v>
      </c>
      <c r="D34" s="170" t="s">
        <v>3</v>
      </c>
      <c r="E34" s="170" t="s">
        <v>3</v>
      </c>
      <c r="F34" s="170">
        <f t="shared" ref="F34:F60" si="0">SUM(C34,D34,E34)</f>
        <v>813.04</v>
      </c>
      <c r="G34" s="170" t="s">
        <v>3</v>
      </c>
      <c r="H34" s="8">
        <v>81.304000000000002</v>
      </c>
      <c r="I34" s="8" t="s">
        <v>3</v>
      </c>
      <c r="J34" s="168">
        <f t="shared" ref="J34:J35" si="1">F34-SUM(G34,H34,I34)</f>
        <v>731.73599999999999</v>
      </c>
      <c r="K34" s="142">
        <f t="shared" ref="K34:K58" si="2">IF(J34=0,0,IF(B34=0,0,J34/B34))</f>
        <v>3.0136900545295795</v>
      </c>
      <c r="L34" s="142">
        <f t="shared" ref="L34:L46" si="3">K34*0.9</f>
        <v>2.7123210490766216</v>
      </c>
    </row>
    <row r="35" spans="1:12" ht="12" customHeight="1" x14ac:dyDescent="0.2">
      <c r="A35" s="2">
        <v>1988</v>
      </c>
      <c r="B35" s="20">
        <v>245.02099999999999</v>
      </c>
      <c r="C35" s="168">
        <v>1036.1440588800003</v>
      </c>
      <c r="D35" s="170" t="s">
        <v>3</v>
      </c>
      <c r="E35" s="170" t="s">
        <v>3</v>
      </c>
      <c r="F35" s="170">
        <f t="shared" si="0"/>
        <v>1036.1440588800003</v>
      </c>
      <c r="G35" s="170" t="s">
        <v>3</v>
      </c>
      <c r="H35" s="8">
        <v>103.61440588800004</v>
      </c>
      <c r="I35" s="8" t="s">
        <v>3</v>
      </c>
      <c r="J35" s="168">
        <f t="shared" si="1"/>
        <v>932.52965299200025</v>
      </c>
      <c r="K35" s="142">
        <f t="shared" si="2"/>
        <v>3.8059172601205624</v>
      </c>
      <c r="L35" s="142">
        <f t="shared" si="3"/>
        <v>3.4253255341085063</v>
      </c>
    </row>
    <row r="36" spans="1:12" ht="12" customHeight="1" x14ac:dyDescent="0.2">
      <c r="A36" s="2">
        <v>1989</v>
      </c>
      <c r="B36" s="20">
        <v>247.34200000000001</v>
      </c>
      <c r="C36" s="168">
        <v>1318.2721238399999</v>
      </c>
      <c r="D36" s="170">
        <v>7.4820336239999996</v>
      </c>
      <c r="E36" s="170" t="s">
        <v>3</v>
      </c>
      <c r="F36" s="170">
        <f t="shared" si="0"/>
        <v>1325.7541574639999</v>
      </c>
      <c r="G36" s="170">
        <v>1.7369454715000001</v>
      </c>
      <c r="H36" s="8">
        <v>131.82721238400001</v>
      </c>
      <c r="I36" s="8" t="s">
        <v>3</v>
      </c>
      <c r="J36" s="168">
        <f t="shared" ref="J36:J62" si="4">F36-SUM(G36,H36,I36)</f>
        <v>1192.1899996084999</v>
      </c>
      <c r="K36" s="142">
        <f t="shared" si="2"/>
        <v>4.8200063054737967</v>
      </c>
      <c r="L36" s="142">
        <f t="shared" si="3"/>
        <v>4.3380056749264169</v>
      </c>
    </row>
    <row r="37" spans="1:12" ht="12" customHeight="1" x14ac:dyDescent="0.2">
      <c r="A37" s="2">
        <v>1990</v>
      </c>
      <c r="B37" s="20">
        <v>250.13200000000001</v>
      </c>
      <c r="C37" s="168">
        <v>1244.2868860799999</v>
      </c>
      <c r="D37" s="170">
        <v>7.8838944040000003</v>
      </c>
      <c r="E37" s="170" t="s">
        <v>3</v>
      </c>
      <c r="F37" s="170">
        <f t="shared" si="0"/>
        <v>1252.170780484</v>
      </c>
      <c r="G37" s="170">
        <v>18.791015957999999</v>
      </c>
      <c r="H37" s="8">
        <v>124.428688608</v>
      </c>
      <c r="I37" s="8" t="s">
        <v>3</v>
      </c>
      <c r="J37" s="168">
        <f t="shared" si="4"/>
        <v>1108.951075918</v>
      </c>
      <c r="K37" s="142">
        <f t="shared" si="2"/>
        <v>4.4334634349783313</v>
      </c>
      <c r="L37" s="142">
        <f t="shared" si="3"/>
        <v>3.9901170914804984</v>
      </c>
    </row>
    <row r="38" spans="1:12" ht="12" customHeight="1" x14ac:dyDescent="0.2">
      <c r="A38" s="3">
        <v>1991</v>
      </c>
      <c r="B38" s="21">
        <v>253.49299999999999</v>
      </c>
      <c r="C38" s="171">
        <v>1260.0695788800001</v>
      </c>
      <c r="D38" s="172">
        <v>7.833321744</v>
      </c>
      <c r="E38" s="172" t="s">
        <v>3</v>
      </c>
      <c r="F38" s="172">
        <f t="shared" si="0"/>
        <v>1267.902900624</v>
      </c>
      <c r="G38" s="172">
        <v>19.127093082000002</v>
      </c>
      <c r="H38" s="171">
        <v>126.00695788800002</v>
      </c>
      <c r="I38" s="172" t="s">
        <v>3</v>
      </c>
      <c r="J38" s="172">
        <f t="shared" si="4"/>
        <v>1122.768849654</v>
      </c>
      <c r="K38" s="190">
        <f t="shared" si="2"/>
        <v>4.4291907455196</v>
      </c>
      <c r="L38" s="143">
        <f t="shared" si="3"/>
        <v>3.98627167096764</v>
      </c>
    </row>
    <row r="39" spans="1:12" ht="12" customHeight="1" x14ac:dyDescent="0.2">
      <c r="A39" s="3">
        <v>1992</v>
      </c>
      <c r="B39" s="21">
        <v>256.89400000000001</v>
      </c>
      <c r="C39" s="171">
        <v>1175.4214080000002</v>
      </c>
      <c r="D39" s="172">
        <v>8.6359233540000009</v>
      </c>
      <c r="E39" s="172" t="s">
        <v>3</v>
      </c>
      <c r="F39" s="172">
        <f t="shared" si="0"/>
        <v>1184.0573313540001</v>
      </c>
      <c r="G39" s="172">
        <v>24.157935832000003</v>
      </c>
      <c r="H39" s="171">
        <v>117.54214080000003</v>
      </c>
      <c r="I39" s="172" t="s">
        <v>3</v>
      </c>
      <c r="J39" s="172">
        <f t="shared" si="4"/>
        <v>1042.3572547220001</v>
      </c>
      <c r="K39" s="190">
        <f t="shared" si="2"/>
        <v>4.0575383415805746</v>
      </c>
      <c r="L39" s="143">
        <f t="shared" si="3"/>
        <v>3.651784507422517</v>
      </c>
    </row>
    <row r="40" spans="1:12" ht="12" customHeight="1" x14ac:dyDescent="0.2">
      <c r="A40" s="3">
        <v>1993</v>
      </c>
      <c r="B40" s="21">
        <v>260.255</v>
      </c>
      <c r="C40" s="171">
        <v>1503.18610848</v>
      </c>
      <c r="D40" s="172">
        <v>8.9689823519999994</v>
      </c>
      <c r="E40" s="172" t="s">
        <v>3</v>
      </c>
      <c r="F40" s="172">
        <f t="shared" si="0"/>
        <v>1512.155090832</v>
      </c>
      <c r="G40" s="172">
        <v>27.879202114000002</v>
      </c>
      <c r="H40" s="171">
        <v>150.31861084800002</v>
      </c>
      <c r="I40" s="172" t="s">
        <v>3</v>
      </c>
      <c r="J40" s="172">
        <f t="shared" si="4"/>
        <v>1333.9572778700001</v>
      </c>
      <c r="K40" s="190">
        <f t="shared" si="2"/>
        <v>5.125577905784712</v>
      </c>
      <c r="L40" s="143">
        <f t="shared" si="3"/>
        <v>4.6130201152062407</v>
      </c>
    </row>
    <row r="41" spans="1:12" ht="12" customHeight="1" x14ac:dyDescent="0.2">
      <c r="A41" s="3">
        <v>1994</v>
      </c>
      <c r="B41" s="21">
        <v>263.43599999999998</v>
      </c>
      <c r="C41" s="171">
        <v>1625.9237735999998</v>
      </c>
      <c r="D41" s="172">
        <v>9.5710750980000014</v>
      </c>
      <c r="E41" s="172" t="s">
        <v>3</v>
      </c>
      <c r="F41" s="172">
        <f t="shared" si="0"/>
        <v>1635.4948486979997</v>
      </c>
      <c r="G41" s="172">
        <v>26.265862521999999</v>
      </c>
      <c r="H41" s="171">
        <v>162.59237736</v>
      </c>
      <c r="I41" s="172" t="s">
        <v>3</v>
      </c>
      <c r="J41" s="172">
        <f t="shared" si="4"/>
        <v>1446.6366088159998</v>
      </c>
      <c r="K41" s="190">
        <f t="shared" si="2"/>
        <v>5.4914157852988961</v>
      </c>
      <c r="L41" s="143">
        <f t="shared" si="3"/>
        <v>4.9422742067690066</v>
      </c>
    </row>
    <row r="42" spans="1:12" ht="12" customHeight="1" x14ac:dyDescent="0.2">
      <c r="A42" s="3">
        <v>1995</v>
      </c>
      <c r="B42" s="21">
        <v>266.55700000000002</v>
      </c>
      <c r="C42" s="171">
        <v>1764.2496076800003</v>
      </c>
      <c r="D42" s="172">
        <v>12.235979630000001</v>
      </c>
      <c r="E42" s="172" t="s">
        <v>3</v>
      </c>
      <c r="F42" s="172">
        <f t="shared" si="0"/>
        <v>1776.4855873100003</v>
      </c>
      <c r="G42" s="172">
        <v>28.354475857999997</v>
      </c>
      <c r="H42" s="171">
        <v>176.42496076800003</v>
      </c>
      <c r="I42" s="172" t="s">
        <v>3</v>
      </c>
      <c r="J42" s="172">
        <f t="shared" si="4"/>
        <v>1571.7061506840002</v>
      </c>
      <c r="K42" s="190">
        <f t="shared" si="2"/>
        <v>5.896322927869087</v>
      </c>
      <c r="L42" s="143">
        <f t="shared" si="3"/>
        <v>5.3066906350821785</v>
      </c>
    </row>
    <row r="43" spans="1:12" ht="12" customHeight="1" x14ac:dyDescent="0.2">
      <c r="A43" s="2">
        <v>1996</v>
      </c>
      <c r="B43" s="20">
        <v>269.66699999999997</v>
      </c>
      <c r="C43" s="168">
        <v>1746.9790800000003</v>
      </c>
      <c r="D43" s="170">
        <v>12.623735690000004</v>
      </c>
      <c r="E43" s="170" t="s">
        <v>3</v>
      </c>
      <c r="F43" s="170">
        <f t="shared" si="0"/>
        <v>1759.6028156900004</v>
      </c>
      <c r="G43" s="170">
        <v>27.617952000000006</v>
      </c>
      <c r="H43" s="8">
        <v>174.69790800000004</v>
      </c>
      <c r="I43" s="8" t="s">
        <v>3</v>
      </c>
      <c r="J43" s="168">
        <f t="shared" si="4"/>
        <v>1557.2869556900005</v>
      </c>
      <c r="K43" s="142">
        <f t="shared" si="2"/>
        <v>5.7748517827172057</v>
      </c>
      <c r="L43" s="142">
        <f t="shared" si="3"/>
        <v>5.1973666044454854</v>
      </c>
    </row>
    <row r="44" spans="1:12" ht="12" customHeight="1" x14ac:dyDescent="0.2">
      <c r="A44" s="2">
        <v>1997</v>
      </c>
      <c r="B44" s="20">
        <v>272.91199999999998</v>
      </c>
      <c r="C44" s="168">
        <v>1730.0882592000003</v>
      </c>
      <c r="D44" s="170">
        <v>11.563184280000002</v>
      </c>
      <c r="E44" s="170" t="s">
        <v>3</v>
      </c>
      <c r="F44" s="170">
        <f t="shared" si="0"/>
        <v>1741.6514434800004</v>
      </c>
      <c r="G44" s="170">
        <v>27.130876044000001</v>
      </c>
      <c r="H44" s="8">
        <v>173.00882592000005</v>
      </c>
      <c r="I44" s="8" t="s">
        <v>3</v>
      </c>
      <c r="J44" s="168">
        <f t="shared" si="4"/>
        <v>1541.5117415160003</v>
      </c>
      <c r="K44" s="142">
        <f t="shared" si="2"/>
        <v>5.6483838802104724</v>
      </c>
      <c r="L44" s="142">
        <f t="shared" si="3"/>
        <v>5.0835454921894252</v>
      </c>
    </row>
    <row r="45" spans="1:12" ht="12" customHeight="1" x14ac:dyDescent="0.2">
      <c r="A45" s="2">
        <v>1998</v>
      </c>
      <c r="B45" s="20">
        <v>276.11500000000001</v>
      </c>
      <c r="C45" s="168">
        <v>1966.9899043200003</v>
      </c>
      <c r="D45" s="170">
        <v>12.678469350000002</v>
      </c>
      <c r="E45" s="170" t="s">
        <v>3</v>
      </c>
      <c r="F45" s="170">
        <f t="shared" si="0"/>
        <v>1979.6683736700004</v>
      </c>
      <c r="G45" s="170">
        <v>27.832755622000004</v>
      </c>
      <c r="H45" s="8">
        <v>196.69899043200004</v>
      </c>
      <c r="I45" s="8" t="s">
        <v>3</v>
      </c>
      <c r="J45" s="168">
        <f t="shared" si="4"/>
        <v>1755.1366276160004</v>
      </c>
      <c r="K45" s="142">
        <f t="shared" si="2"/>
        <v>6.3565421205512207</v>
      </c>
      <c r="L45" s="142">
        <f t="shared" si="3"/>
        <v>5.7208879084960991</v>
      </c>
    </row>
    <row r="46" spans="1:12" ht="12" customHeight="1" x14ac:dyDescent="0.2">
      <c r="A46" s="2">
        <v>1999</v>
      </c>
      <c r="B46" s="20">
        <v>279.29500000000002</v>
      </c>
      <c r="C46" s="168">
        <v>1853.1371040000004</v>
      </c>
      <c r="D46" s="170">
        <v>15.697191142000001</v>
      </c>
      <c r="E46" s="170" t="s">
        <v>3</v>
      </c>
      <c r="F46" s="170">
        <f t="shared" si="0"/>
        <v>1868.8342951420004</v>
      </c>
      <c r="G46" s="170">
        <v>29.950029460000007</v>
      </c>
      <c r="H46" s="8">
        <v>185.31371040000005</v>
      </c>
      <c r="I46" s="8" t="s">
        <v>3</v>
      </c>
      <c r="J46" s="168">
        <f t="shared" si="4"/>
        <v>1653.5705552820004</v>
      </c>
      <c r="K46" s="142">
        <f t="shared" si="2"/>
        <v>5.9205161398592896</v>
      </c>
      <c r="L46" s="142">
        <f t="shared" si="3"/>
        <v>5.3284645258733612</v>
      </c>
    </row>
    <row r="47" spans="1:12" ht="12" customHeight="1" x14ac:dyDescent="0.2">
      <c r="A47" s="2">
        <v>2000</v>
      </c>
      <c r="B47" s="20">
        <v>282.38499999999999</v>
      </c>
      <c r="C47" s="168">
        <v>1460.2445</v>
      </c>
      <c r="D47" s="170">
        <v>16.913831412</v>
      </c>
      <c r="E47" s="170" t="s">
        <v>3</v>
      </c>
      <c r="F47" s="170">
        <f t="shared" si="0"/>
        <v>1477.1583314120001</v>
      </c>
      <c r="G47" s="170">
        <v>32.477797807999998</v>
      </c>
      <c r="H47" s="8">
        <v>146.02445</v>
      </c>
      <c r="I47" s="8" t="s">
        <v>3</v>
      </c>
      <c r="J47" s="168">
        <f t="shared" si="4"/>
        <v>1298.6560836040001</v>
      </c>
      <c r="K47" s="142">
        <f t="shared" si="2"/>
        <v>4.5988847977194256</v>
      </c>
      <c r="L47" s="142">
        <f t="shared" ref="L47:L53" si="5">K47*0.9</f>
        <v>4.1389963179474831</v>
      </c>
    </row>
    <row r="48" spans="1:12" ht="12" customHeight="1" x14ac:dyDescent="0.2">
      <c r="A48" s="3">
        <v>2001</v>
      </c>
      <c r="B48" s="21">
        <v>285.30901899999998</v>
      </c>
      <c r="C48" s="171">
        <v>1320.606</v>
      </c>
      <c r="D48" s="172">
        <v>16.121550950000003</v>
      </c>
      <c r="E48" s="172" t="s">
        <v>3</v>
      </c>
      <c r="F48" s="172">
        <f t="shared" si="0"/>
        <v>1336.72755095</v>
      </c>
      <c r="G48" s="172">
        <v>34.23109593800001</v>
      </c>
      <c r="H48" s="171">
        <v>132.06059999999999</v>
      </c>
      <c r="I48" s="172" t="s">
        <v>3</v>
      </c>
      <c r="J48" s="172">
        <f t="shared" si="4"/>
        <v>1170.435855012</v>
      </c>
      <c r="K48" s="190">
        <f t="shared" si="2"/>
        <v>4.1023443952607757</v>
      </c>
      <c r="L48" s="143">
        <f t="shared" si="5"/>
        <v>3.6921099557346984</v>
      </c>
    </row>
    <row r="49" spans="1:13" ht="12" customHeight="1" x14ac:dyDescent="0.2">
      <c r="A49" s="3">
        <v>2002</v>
      </c>
      <c r="B49" s="21">
        <v>288.10481800000002</v>
      </c>
      <c r="C49" s="171">
        <v>1301.0260999999998</v>
      </c>
      <c r="D49" s="172">
        <v>18.255747891999999</v>
      </c>
      <c r="E49" s="172" t="s">
        <v>3</v>
      </c>
      <c r="F49" s="172">
        <f t="shared" si="0"/>
        <v>1319.2818478919999</v>
      </c>
      <c r="G49" s="172">
        <v>33.089043693999997</v>
      </c>
      <c r="H49" s="171">
        <v>130.10261</v>
      </c>
      <c r="I49" s="172" t="s">
        <v>3</v>
      </c>
      <c r="J49" s="172">
        <f t="shared" si="4"/>
        <v>1156.0901941979998</v>
      </c>
      <c r="K49" s="190">
        <f t="shared" si="2"/>
        <v>4.0127416203015382</v>
      </c>
      <c r="L49" s="143">
        <f t="shared" si="5"/>
        <v>3.6114674582713846</v>
      </c>
    </row>
    <row r="50" spans="1:13" ht="12" customHeight="1" x14ac:dyDescent="0.2">
      <c r="A50" s="3">
        <v>2003</v>
      </c>
      <c r="B50" s="21">
        <v>290.81963400000001</v>
      </c>
      <c r="C50" s="171">
        <v>1232.1404627184982</v>
      </c>
      <c r="D50" s="172">
        <v>18.300233596000005</v>
      </c>
      <c r="E50" s="172" t="s">
        <v>3</v>
      </c>
      <c r="F50" s="172">
        <f t="shared" si="0"/>
        <v>1250.4406963144982</v>
      </c>
      <c r="G50" s="172">
        <v>33.476275938000001</v>
      </c>
      <c r="H50" s="171">
        <v>123.21404627184982</v>
      </c>
      <c r="I50" s="172" t="s">
        <v>3</v>
      </c>
      <c r="J50" s="172">
        <f t="shared" si="4"/>
        <v>1093.7503741046482</v>
      </c>
      <c r="K50" s="190">
        <f t="shared" si="2"/>
        <v>3.7609234254955708</v>
      </c>
      <c r="L50" s="143">
        <f t="shared" si="5"/>
        <v>3.3848310829460138</v>
      </c>
    </row>
    <row r="51" spans="1:13" ht="12" customHeight="1" x14ac:dyDescent="0.2">
      <c r="A51" s="3">
        <v>2004</v>
      </c>
      <c r="B51" s="21">
        <v>293.46318500000001</v>
      </c>
      <c r="C51" s="171">
        <v>1482.4389699918897</v>
      </c>
      <c r="D51" s="172">
        <v>22.137443490000006</v>
      </c>
      <c r="E51" s="172" t="s">
        <v>3</v>
      </c>
      <c r="F51" s="172">
        <f t="shared" si="0"/>
        <v>1504.5764134818896</v>
      </c>
      <c r="G51" s="172">
        <v>32.088371968000004</v>
      </c>
      <c r="H51" s="171">
        <v>148.24389699918899</v>
      </c>
      <c r="I51" s="172" t="s">
        <v>3</v>
      </c>
      <c r="J51" s="172">
        <f t="shared" si="4"/>
        <v>1324.2441445147006</v>
      </c>
      <c r="K51" s="190">
        <f t="shared" si="2"/>
        <v>4.5124711112049729</v>
      </c>
      <c r="L51" s="143">
        <f t="shared" si="5"/>
        <v>4.0612240000844757</v>
      </c>
    </row>
    <row r="52" spans="1:13" ht="12" customHeight="1" x14ac:dyDescent="0.2">
      <c r="A52" s="3">
        <v>2005</v>
      </c>
      <c r="B52" s="21">
        <v>296.186216</v>
      </c>
      <c r="C52" s="171">
        <v>1589.1721851649902</v>
      </c>
      <c r="D52" s="172">
        <v>20.690163812000005</v>
      </c>
      <c r="E52" s="172" t="s">
        <v>3</v>
      </c>
      <c r="F52" s="172">
        <f t="shared" si="0"/>
        <v>1609.8623489769902</v>
      </c>
      <c r="G52" s="172">
        <v>31.963576366000009</v>
      </c>
      <c r="H52" s="171">
        <v>158.91721851649902</v>
      </c>
      <c r="I52" s="172" t="s">
        <v>3</v>
      </c>
      <c r="J52" s="172">
        <f t="shared" si="4"/>
        <v>1418.9815540944912</v>
      </c>
      <c r="K52" s="190">
        <f t="shared" si="2"/>
        <v>4.7908426437187446</v>
      </c>
      <c r="L52" s="143">
        <f t="shared" si="5"/>
        <v>4.3117583793468706</v>
      </c>
    </row>
    <row r="53" spans="1:13" ht="12" customHeight="1" x14ac:dyDescent="0.2">
      <c r="A53" s="2">
        <v>2006</v>
      </c>
      <c r="B53" s="20">
        <v>298.99582500000002</v>
      </c>
      <c r="C53" s="168">
        <v>1568.5769484868194</v>
      </c>
      <c r="D53" s="170">
        <v>22.043619272000001</v>
      </c>
      <c r="E53" s="170" t="s">
        <v>3</v>
      </c>
      <c r="F53" s="170">
        <f t="shared" si="0"/>
        <v>1590.6205677588196</v>
      </c>
      <c r="G53" s="170">
        <v>35.142256125999999</v>
      </c>
      <c r="H53" s="8">
        <v>156.85769484868194</v>
      </c>
      <c r="I53" s="8" t="s">
        <v>3</v>
      </c>
      <c r="J53" s="168">
        <f t="shared" si="4"/>
        <v>1398.6206167841376</v>
      </c>
      <c r="K53" s="142">
        <f t="shared" si="2"/>
        <v>4.6777262417765781</v>
      </c>
      <c r="L53" s="142">
        <f t="shared" si="5"/>
        <v>4.2099536175989201</v>
      </c>
    </row>
    <row r="54" spans="1:13" ht="12" customHeight="1" x14ac:dyDescent="0.2">
      <c r="A54" s="2">
        <v>2007</v>
      </c>
      <c r="B54" s="20">
        <v>302.003917</v>
      </c>
      <c r="C54" s="168">
        <v>1670.3127384218171</v>
      </c>
      <c r="D54" s="170">
        <v>22.521381590000004</v>
      </c>
      <c r="E54" s="170" t="s">
        <v>3</v>
      </c>
      <c r="F54" s="170">
        <f t="shared" si="0"/>
        <v>1692.834120011817</v>
      </c>
      <c r="G54" s="170">
        <v>25.839036626000002</v>
      </c>
      <c r="H54" s="8">
        <v>167.03127384218172</v>
      </c>
      <c r="I54" s="8" t="s">
        <v>3</v>
      </c>
      <c r="J54" s="168">
        <f t="shared" si="4"/>
        <v>1499.9638095436353</v>
      </c>
      <c r="K54" s="142">
        <f t="shared" si="2"/>
        <v>4.9667031621435402</v>
      </c>
      <c r="L54" s="142">
        <f t="shared" ref="L54:L58" si="6">K54*0.9</f>
        <v>4.470032845929186</v>
      </c>
    </row>
    <row r="55" spans="1:13" ht="12" customHeight="1" x14ac:dyDescent="0.2">
      <c r="A55" s="2">
        <v>2008</v>
      </c>
      <c r="B55" s="20">
        <v>304.79776099999998</v>
      </c>
      <c r="C55" s="168">
        <v>1586.1612086972518</v>
      </c>
      <c r="D55" s="170">
        <v>23.828630420000003</v>
      </c>
      <c r="E55" s="170" t="s">
        <v>3</v>
      </c>
      <c r="F55" s="170">
        <f t="shared" si="0"/>
        <v>1609.9898391172519</v>
      </c>
      <c r="G55" s="170">
        <v>25.712571244000003</v>
      </c>
      <c r="H55" s="8">
        <v>158.61612086972519</v>
      </c>
      <c r="I55" s="8" t="s">
        <v>3</v>
      </c>
      <c r="J55" s="168">
        <f t="shared" si="4"/>
        <v>1425.6611470035268</v>
      </c>
      <c r="K55" s="142">
        <f t="shared" si="2"/>
        <v>4.6774003271091189</v>
      </c>
      <c r="L55" s="142">
        <f t="shared" si="6"/>
        <v>4.2096602943982075</v>
      </c>
    </row>
    <row r="56" spans="1:13" ht="12" customHeight="1" x14ac:dyDescent="0.2">
      <c r="A56" s="2">
        <v>2009</v>
      </c>
      <c r="B56" s="20">
        <v>307.43940600000002</v>
      </c>
      <c r="C56" s="168">
        <v>1375.1426997245178</v>
      </c>
      <c r="D56" s="170">
        <v>22.670076154000004</v>
      </c>
      <c r="E56" s="170" t="s">
        <v>3</v>
      </c>
      <c r="F56" s="170">
        <f t="shared" si="0"/>
        <v>1397.8127758785179</v>
      </c>
      <c r="G56" s="170">
        <v>27.9470426</v>
      </c>
      <c r="H56" s="8">
        <v>137.51426997245179</v>
      </c>
      <c r="I56" s="8" t="s">
        <v>3</v>
      </c>
      <c r="J56" s="168">
        <f t="shared" si="4"/>
        <v>1232.3514633060661</v>
      </c>
      <c r="K56" s="142">
        <f t="shared" si="2"/>
        <v>4.0084369123002599</v>
      </c>
      <c r="L56" s="142">
        <f t="shared" si="6"/>
        <v>3.6075932210702342</v>
      </c>
    </row>
    <row r="57" spans="1:13" ht="12" customHeight="1" x14ac:dyDescent="0.2">
      <c r="A57" s="2">
        <v>2010</v>
      </c>
      <c r="B57" s="20">
        <v>309.74127900000002</v>
      </c>
      <c r="C57" s="168">
        <v>1515.7563094181703</v>
      </c>
      <c r="D57" s="170">
        <v>22.525754400000004</v>
      </c>
      <c r="E57" s="170" t="s">
        <v>3</v>
      </c>
      <c r="F57" s="170">
        <f t="shared" si="0"/>
        <v>1538.2820638181704</v>
      </c>
      <c r="G57" s="170">
        <v>32.974069199999995</v>
      </c>
      <c r="H57" s="8">
        <v>151.57563094181702</v>
      </c>
      <c r="I57" s="8" t="s">
        <v>3</v>
      </c>
      <c r="J57" s="168">
        <f t="shared" si="4"/>
        <v>1353.7323636763533</v>
      </c>
      <c r="K57" s="142">
        <f t="shared" si="2"/>
        <v>4.3705261631477708</v>
      </c>
      <c r="L57" s="142">
        <f t="shared" si="6"/>
        <v>3.9334735468329938</v>
      </c>
    </row>
    <row r="58" spans="1:13" ht="12" customHeight="1" x14ac:dyDescent="0.2">
      <c r="A58" s="33">
        <v>2011</v>
      </c>
      <c r="B58" s="31">
        <v>311.97391399999998</v>
      </c>
      <c r="C58" s="171">
        <v>1524.4401682484047</v>
      </c>
      <c r="D58" s="172">
        <v>24.352704800000005</v>
      </c>
      <c r="E58" s="172" t="s">
        <v>3</v>
      </c>
      <c r="F58" s="172">
        <f t="shared" si="0"/>
        <v>1548.7928730484048</v>
      </c>
      <c r="G58" s="172">
        <v>34.6640838</v>
      </c>
      <c r="H58" s="171">
        <v>152.44401682484047</v>
      </c>
      <c r="I58" s="172" t="s">
        <v>3</v>
      </c>
      <c r="J58" s="172">
        <f t="shared" si="4"/>
        <v>1361.6847724235643</v>
      </c>
      <c r="K58" s="190">
        <f t="shared" si="2"/>
        <v>4.3647392019563673</v>
      </c>
      <c r="L58" s="144">
        <f t="shared" si="6"/>
        <v>3.9282652817607309</v>
      </c>
    </row>
    <row r="59" spans="1:13" s="93" customFormat="1" ht="12" customHeight="1" x14ac:dyDescent="0.2">
      <c r="A59" s="33">
        <v>2012</v>
      </c>
      <c r="B59" s="31">
        <v>314.16755799999999</v>
      </c>
      <c r="C59" s="171">
        <v>1746.5240592247546</v>
      </c>
      <c r="D59" s="172">
        <v>39.387053078560001</v>
      </c>
      <c r="E59" s="172" t="s">
        <v>3</v>
      </c>
      <c r="F59" s="172">
        <f t="shared" si="0"/>
        <v>1785.9111123033147</v>
      </c>
      <c r="G59" s="172">
        <v>28.071573067230005</v>
      </c>
      <c r="H59" s="171">
        <v>174.65240592247548</v>
      </c>
      <c r="I59" s="172" t="s">
        <v>3</v>
      </c>
      <c r="J59" s="172">
        <f t="shared" si="4"/>
        <v>1583.1871333136091</v>
      </c>
      <c r="K59" s="190">
        <f t="shared" ref="K59:K60" si="7">IF(J59=0,0,IF(B59=0,0,J59/B59))</f>
        <v>5.0393081430566085</v>
      </c>
      <c r="L59" s="144">
        <f t="shared" ref="L59:L60" si="8">K59*0.9</f>
        <v>4.5353773287509478</v>
      </c>
      <c r="M59"/>
    </row>
    <row r="60" spans="1:13" s="93" customFormat="1" ht="12" customHeight="1" x14ac:dyDescent="0.2">
      <c r="A60" s="33">
        <v>2013</v>
      </c>
      <c r="B60" s="31">
        <v>316.29476599999998</v>
      </c>
      <c r="C60" s="171">
        <v>1628.8896096287122</v>
      </c>
      <c r="D60" s="172">
        <v>42.037799981760003</v>
      </c>
      <c r="E60" s="172" t="s">
        <v>3</v>
      </c>
      <c r="F60" s="172">
        <f t="shared" si="0"/>
        <v>1670.9274096104721</v>
      </c>
      <c r="G60" s="172">
        <v>27.056331227200005</v>
      </c>
      <c r="H60" s="171">
        <v>162.88896096287124</v>
      </c>
      <c r="I60" s="172" t="s">
        <v>3</v>
      </c>
      <c r="J60" s="172">
        <f t="shared" si="4"/>
        <v>1480.9821174204008</v>
      </c>
      <c r="K60" s="190">
        <f t="shared" si="7"/>
        <v>4.6822846174457435</v>
      </c>
      <c r="L60" s="144">
        <f t="shared" si="8"/>
        <v>4.2140561557011695</v>
      </c>
      <c r="M60" s="83"/>
    </row>
    <row r="61" spans="1:13" s="93" customFormat="1" ht="12" customHeight="1" x14ac:dyDescent="0.2">
      <c r="A61" s="33">
        <v>2014</v>
      </c>
      <c r="B61" s="31">
        <v>318.576955</v>
      </c>
      <c r="C61" s="171">
        <v>1888.2302125795909</v>
      </c>
      <c r="D61" s="172">
        <v>36.274656542739997</v>
      </c>
      <c r="E61" s="172" t="s">
        <v>3</v>
      </c>
      <c r="F61" s="172">
        <f t="shared" ref="F61" si="9">SUM(C61,D61,E61)</f>
        <v>1924.504869122331</v>
      </c>
      <c r="G61" s="172">
        <v>36.672345739919997</v>
      </c>
      <c r="H61" s="171">
        <v>188.82302125795911</v>
      </c>
      <c r="I61" s="172" t="s">
        <v>3</v>
      </c>
      <c r="J61" s="172">
        <f t="shared" si="4"/>
        <v>1699.009502124452</v>
      </c>
      <c r="K61" s="190">
        <f t="shared" ref="K61" si="10">IF(J61=0,0,IF(B61=0,0,J61/B61))</f>
        <v>5.3331211672999137</v>
      </c>
      <c r="L61" s="144">
        <f t="shared" ref="L61" si="11">K61*0.9</f>
        <v>4.7998090505699222</v>
      </c>
      <c r="M61" s="83"/>
    </row>
    <row r="62" spans="1:13" s="93" customFormat="1" ht="12" customHeight="1" x14ac:dyDescent="0.2">
      <c r="A62" s="33">
        <v>2015</v>
      </c>
      <c r="B62" s="31">
        <v>320.87070299999999</v>
      </c>
      <c r="C62" s="171">
        <v>1091.3740082042243</v>
      </c>
      <c r="D62" s="172">
        <v>60.120357776159999</v>
      </c>
      <c r="E62" s="172" t="s">
        <v>3</v>
      </c>
      <c r="F62" s="172">
        <f t="shared" ref="F62" si="12">SUM(C62,D62,E62)</f>
        <v>1151.4943659803844</v>
      </c>
      <c r="G62" s="172">
        <v>38.090864386520003</v>
      </c>
      <c r="H62" s="171">
        <v>109.13740082042244</v>
      </c>
      <c r="I62" s="172" t="s">
        <v>3</v>
      </c>
      <c r="J62" s="172">
        <f t="shared" si="4"/>
        <v>1004.266100773442</v>
      </c>
      <c r="K62" s="190">
        <f t="shared" ref="K62" si="13">IF(J62=0,0,IF(B62=0,0,J62/B62))</f>
        <v>3.1298155032042363</v>
      </c>
      <c r="L62" s="144">
        <f t="shared" ref="L62" si="14">K62*0.9</f>
        <v>2.8168339528838127</v>
      </c>
      <c r="M62" s="83"/>
    </row>
    <row r="63" spans="1:13" s="93" customFormat="1" ht="12" customHeight="1" x14ac:dyDescent="0.2">
      <c r="A63" s="128">
        <v>2016</v>
      </c>
      <c r="B63" s="129">
        <v>323.16101099999997</v>
      </c>
      <c r="C63" s="168">
        <v>2489.8099063150357</v>
      </c>
      <c r="D63" s="170">
        <v>71.659599001320004</v>
      </c>
      <c r="E63" s="170" t="s">
        <v>3</v>
      </c>
      <c r="F63" s="170">
        <f t="shared" ref="F63:F64" si="15">SUM(C63,D63,E63)</f>
        <v>2561.4695053163559</v>
      </c>
      <c r="G63" s="170">
        <v>42.977625078519999</v>
      </c>
      <c r="H63" s="8">
        <v>248.98099063150357</v>
      </c>
      <c r="I63" s="8" t="s">
        <v>3</v>
      </c>
      <c r="J63" s="168">
        <f t="shared" ref="J63:J64" si="16">F63-SUM(G63,H63,I63)</f>
        <v>2269.5108896063325</v>
      </c>
      <c r="K63" s="142">
        <f t="shared" ref="K63:K64" si="17">IF(J63=0,0,IF(B63=0,0,J63/B63))</f>
        <v>7.0228487111841984</v>
      </c>
      <c r="L63" s="145">
        <f t="shared" ref="L63:L64" si="18">K63*0.9</f>
        <v>6.3205638400657786</v>
      </c>
      <c r="M63" s="83"/>
    </row>
    <row r="64" spans="1:13" s="93" customFormat="1" ht="12" customHeight="1" x14ac:dyDescent="0.2">
      <c r="A64" s="125">
        <v>2017</v>
      </c>
      <c r="B64" s="126">
        <v>325.20603</v>
      </c>
      <c r="C64" s="168">
        <v>2384.8955598687517</v>
      </c>
      <c r="D64" s="170">
        <v>62.577757300740004</v>
      </c>
      <c r="E64" s="170" t="s">
        <v>3</v>
      </c>
      <c r="F64" s="170">
        <f t="shared" si="15"/>
        <v>2447.4733171694916</v>
      </c>
      <c r="G64" s="170">
        <v>41.090661058150005</v>
      </c>
      <c r="H64" s="8">
        <v>238.48955598687519</v>
      </c>
      <c r="I64" s="8" t="s">
        <v>3</v>
      </c>
      <c r="J64" s="168">
        <f t="shared" si="16"/>
        <v>2167.8931001244664</v>
      </c>
      <c r="K64" s="142">
        <f t="shared" si="17"/>
        <v>6.6662143384133019</v>
      </c>
      <c r="L64" s="146">
        <f t="shared" si="18"/>
        <v>5.9995929045719718</v>
      </c>
      <c r="M64" s="83"/>
    </row>
    <row r="65" spans="1:13" s="93" customFormat="1" ht="12" customHeight="1" x14ac:dyDescent="0.2">
      <c r="A65" s="128">
        <v>2018</v>
      </c>
      <c r="B65" s="129">
        <v>326.92397599999998</v>
      </c>
      <c r="C65" s="168">
        <v>2313.6143356163648</v>
      </c>
      <c r="D65" s="170">
        <v>76.712876846540013</v>
      </c>
      <c r="E65" s="170" t="s">
        <v>3</v>
      </c>
      <c r="F65" s="170">
        <f t="shared" ref="F65:F67" si="19">SUM(C65,D65,E65)</f>
        <v>2390.3272124629048</v>
      </c>
      <c r="G65" s="170">
        <v>33.920543465160002</v>
      </c>
      <c r="H65" s="8">
        <v>231.36143356163649</v>
      </c>
      <c r="I65" s="8" t="s">
        <v>3</v>
      </c>
      <c r="J65" s="168">
        <f t="shared" ref="J65:J67" si="20">F65-SUM(G65,H65,I65)</f>
        <v>2125.0452354361082</v>
      </c>
      <c r="K65" s="142">
        <f t="shared" ref="K65:K67" si="21">IF(J65=0,0,IF(B65=0,0,J65/B65))</f>
        <v>6.5001204911202608</v>
      </c>
      <c r="L65" s="145">
        <f t="shared" ref="L65:L67" si="22">K65*0.9</f>
        <v>5.850108442008235</v>
      </c>
      <c r="M65" s="83"/>
    </row>
    <row r="66" spans="1:13" s="93" customFormat="1" ht="12" customHeight="1" x14ac:dyDescent="0.2">
      <c r="A66" s="128">
        <v>2019</v>
      </c>
      <c r="B66" s="129">
        <v>328.475998</v>
      </c>
      <c r="C66" s="168">
        <v>2025.2358257596245</v>
      </c>
      <c r="D66" s="170">
        <v>92.076143897320023</v>
      </c>
      <c r="E66" s="170" t="s">
        <v>3</v>
      </c>
      <c r="F66" s="170">
        <f t="shared" si="19"/>
        <v>2117.3119696569447</v>
      </c>
      <c r="G66" s="170">
        <v>27.633335396699998</v>
      </c>
      <c r="H66" s="8">
        <v>202.52358257596245</v>
      </c>
      <c r="I66" s="8" t="s">
        <v>3</v>
      </c>
      <c r="J66" s="168">
        <f t="shared" si="20"/>
        <v>1887.1550516842822</v>
      </c>
      <c r="K66" s="142">
        <f t="shared" si="21"/>
        <v>5.7451840109312409</v>
      </c>
      <c r="L66" s="145">
        <f t="shared" si="22"/>
        <v>5.1706656098381165</v>
      </c>
      <c r="M66" s="83"/>
    </row>
    <row r="67" spans="1:13" s="93" customFormat="1" ht="12" customHeight="1" thickBot="1" x14ac:dyDescent="0.25">
      <c r="A67" s="148">
        <v>2020</v>
      </c>
      <c r="B67" s="149">
        <v>330.11398000000003</v>
      </c>
      <c r="C67" s="168">
        <v>2075.3819159855916</v>
      </c>
      <c r="D67" s="170">
        <v>121.56163346689998</v>
      </c>
      <c r="E67" s="170" t="s">
        <v>3</v>
      </c>
      <c r="F67" s="170">
        <f t="shared" si="19"/>
        <v>2196.9435494524914</v>
      </c>
      <c r="G67" s="170">
        <v>21.167523345869999</v>
      </c>
      <c r="H67" s="8">
        <v>207.53819159855917</v>
      </c>
      <c r="I67" s="8" t="s">
        <v>3</v>
      </c>
      <c r="J67" s="168">
        <f t="shared" si="20"/>
        <v>1968.2378345080622</v>
      </c>
      <c r="K67" s="142">
        <f t="shared" si="21"/>
        <v>5.9622977327650952</v>
      </c>
      <c r="L67" s="152">
        <f t="shared" si="22"/>
        <v>5.3660679594885856</v>
      </c>
      <c r="M67" s="83"/>
    </row>
    <row r="68" spans="1:13" ht="12" customHeight="1" thickTop="1" x14ac:dyDescent="0.2">
      <c r="A68" s="254" t="s">
        <v>8</v>
      </c>
      <c r="B68" s="255"/>
      <c r="C68" s="255"/>
      <c r="D68" s="255"/>
      <c r="E68" s="255"/>
      <c r="F68" s="255"/>
      <c r="G68" s="255"/>
      <c r="H68" s="255"/>
      <c r="I68" s="255"/>
      <c r="J68" s="255"/>
      <c r="K68" s="255"/>
      <c r="L68" s="256"/>
      <c r="M68" s="98"/>
    </row>
    <row r="69" spans="1:13" ht="12" customHeight="1" x14ac:dyDescent="0.2">
      <c r="A69" s="248"/>
      <c r="B69" s="249"/>
      <c r="C69" s="249"/>
      <c r="D69" s="249"/>
      <c r="E69" s="249"/>
      <c r="F69" s="249"/>
      <c r="G69" s="249"/>
      <c r="H69" s="249"/>
      <c r="I69" s="249"/>
      <c r="J69" s="249"/>
      <c r="K69" s="249"/>
      <c r="L69" s="250"/>
      <c r="M69" s="98"/>
    </row>
    <row r="70" spans="1:13" ht="12" customHeight="1" x14ac:dyDescent="0.2">
      <c r="A70" s="251" t="s">
        <v>241</v>
      </c>
      <c r="B70" s="252"/>
      <c r="C70" s="252"/>
      <c r="D70" s="252"/>
      <c r="E70" s="252"/>
      <c r="F70" s="252"/>
      <c r="G70" s="252"/>
      <c r="H70" s="252"/>
      <c r="I70" s="252"/>
      <c r="J70" s="252"/>
      <c r="K70" s="252"/>
      <c r="L70" s="253"/>
      <c r="M70" s="98"/>
    </row>
    <row r="71" spans="1:13" s="93" customFormat="1" ht="12" customHeight="1" x14ac:dyDescent="0.2">
      <c r="A71" s="251"/>
      <c r="B71" s="252"/>
      <c r="C71" s="252"/>
      <c r="D71" s="252"/>
      <c r="E71" s="252"/>
      <c r="F71" s="252"/>
      <c r="G71" s="252"/>
      <c r="H71" s="252"/>
      <c r="I71" s="252"/>
      <c r="J71" s="252"/>
      <c r="K71" s="252"/>
      <c r="L71" s="253"/>
      <c r="M71" s="108"/>
    </row>
    <row r="72" spans="1:13" ht="25.5" customHeight="1" x14ac:dyDescent="0.2">
      <c r="A72" s="251"/>
      <c r="B72" s="252"/>
      <c r="C72" s="252"/>
      <c r="D72" s="252"/>
      <c r="E72" s="252"/>
      <c r="F72" s="252"/>
      <c r="G72" s="252"/>
      <c r="H72" s="252"/>
      <c r="I72" s="252"/>
      <c r="J72" s="252"/>
      <c r="K72" s="252"/>
      <c r="L72" s="253"/>
      <c r="M72" s="98"/>
    </row>
    <row r="73" spans="1:13" ht="12" customHeight="1" x14ac:dyDescent="0.2">
      <c r="A73" s="275"/>
      <c r="B73" s="276"/>
      <c r="C73" s="276"/>
      <c r="D73" s="276"/>
      <c r="E73" s="276"/>
      <c r="F73" s="276"/>
      <c r="G73" s="276"/>
      <c r="H73" s="276"/>
      <c r="I73" s="276"/>
      <c r="J73" s="276"/>
      <c r="K73" s="276"/>
      <c r="L73" s="277"/>
      <c r="M73" s="98"/>
    </row>
    <row r="74" spans="1:13" ht="12" customHeight="1" x14ac:dyDescent="0.2">
      <c r="A74" s="223" t="s">
        <v>198</v>
      </c>
      <c r="B74" s="224"/>
      <c r="C74" s="224"/>
      <c r="D74" s="224"/>
      <c r="E74" s="224"/>
      <c r="F74" s="224"/>
      <c r="G74" s="224"/>
      <c r="H74" s="224"/>
      <c r="I74" s="224"/>
      <c r="J74" s="224"/>
      <c r="K74" s="224"/>
      <c r="L74" s="225"/>
      <c r="M74" s="97"/>
    </row>
  </sheetData>
  <mergeCells count="24">
    <mergeCell ref="J2:L2"/>
    <mergeCell ref="G2:I2"/>
    <mergeCell ref="K1:L1"/>
    <mergeCell ref="G3:G5"/>
    <mergeCell ref="H3:H5"/>
    <mergeCell ref="I3:I5"/>
    <mergeCell ref="A1:J1"/>
    <mergeCell ref="C2:F2"/>
    <mergeCell ref="A2:A5"/>
    <mergeCell ref="B2:B5"/>
    <mergeCell ref="C3:C5"/>
    <mergeCell ref="D3:D5"/>
    <mergeCell ref="J3:J5"/>
    <mergeCell ref="K3:L3"/>
    <mergeCell ref="K4:K5"/>
    <mergeCell ref="E3:E5"/>
    <mergeCell ref="F3:F5"/>
    <mergeCell ref="C6:J6"/>
    <mergeCell ref="K6:L6"/>
    <mergeCell ref="A70:L72"/>
    <mergeCell ref="A74:L74"/>
    <mergeCell ref="A68:L68"/>
    <mergeCell ref="A69:L69"/>
    <mergeCell ref="A73:L73"/>
  </mergeCells>
  <phoneticPr fontId="7" type="noConversion"/>
  <printOptions horizontalCentered="1"/>
  <pageMargins left="0.45" right="0.45" top="0.75" bottom="0.75" header="0" footer="0"/>
  <pageSetup scale="64" fitToWidth="2"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pageSetUpPr autoPageBreaks="0" fitToPage="1"/>
  </sheetPr>
  <dimension ref="A1:J76"/>
  <sheetViews>
    <sheetView showOutlineSymbols="0" zoomScaleNormal="100" workbookViewId="0">
      <pane ySplit="6" topLeftCell="A7" activePane="bottomLeft" state="frozen"/>
      <selection pane="bottomLeft" sqref="A1:G1"/>
    </sheetView>
  </sheetViews>
  <sheetFormatPr defaultColWidth="12.7109375" defaultRowHeight="12" customHeight="1" x14ac:dyDescent="0.2"/>
  <cols>
    <col min="1" max="1" width="12.7109375" style="13" customWidth="1"/>
    <col min="2" max="16384" width="12.7109375" style="13"/>
  </cols>
  <sheetData>
    <row r="1" spans="1:10" s="1" customFormat="1" ht="12" customHeight="1" thickBot="1" x14ac:dyDescent="0.25">
      <c r="A1" s="201" t="s">
        <v>172</v>
      </c>
      <c r="B1" s="201"/>
      <c r="C1" s="201"/>
      <c r="D1" s="201"/>
      <c r="E1" s="201"/>
      <c r="F1" s="201"/>
      <c r="G1" s="201"/>
      <c r="H1" s="200" t="s">
        <v>19</v>
      </c>
      <c r="I1" s="200"/>
    </row>
    <row r="2" spans="1:10" ht="12" customHeight="1" thickTop="1" x14ac:dyDescent="0.2">
      <c r="A2" s="257" t="s">
        <v>1</v>
      </c>
      <c r="B2" s="258" t="s">
        <v>85</v>
      </c>
      <c r="C2" s="218" t="s">
        <v>2</v>
      </c>
      <c r="D2" s="218"/>
      <c r="E2" s="218"/>
      <c r="F2" s="117" t="s">
        <v>146</v>
      </c>
      <c r="G2" s="244" t="s">
        <v>147</v>
      </c>
      <c r="H2" s="245"/>
      <c r="I2" s="245"/>
    </row>
    <row r="3" spans="1:10" ht="12" customHeight="1" x14ac:dyDescent="0.2">
      <c r="A3" s="217"/>
      <c r="B3" s="259"/>
      <c r="C3" s="217" t="s">
        <v>86</v>
      </c>
      <c r="D3" s="217" t="s">
        <v>87</v>
      </c>
      <c r="E3" s="217" t="s">
        <v>88</v>
      </c>
      <c r="F3" s="217" t="s">
        <v>203</v>
      </c>
      <c r="G3" s="217" t="s">
        <v>137</v>
      </c>
      <c r="H3" s="226" t="s">
        <v>28</v>
      </c>
      <c r="I3" s="227"/>
    </row>
    <row r="4" spans="1:10" ht="12" customHeight="1" x14ac:dyDescent="0.2">
      <c r="A4" s="217"/>
      <c r="B4" s="259"/>
      <c r="C4" s="217"/>
      <c r="D4" s="217"/>
      <c r="E4" s="217"/>
      <c r="F4" s="217"/>
      <c r="G4" s="217"/>
      <c r="H4" s="217" t="s">
        <v>4</v>
      </c>
      <c r="I4" s="14" t="s">
        <v>96</v>
      </c>
      <c r="J4" s="4"/>
    </row>
    <row r="5" spans="1:10" ht="12" customHeight="1" x14ac:dyDescent="0.2">
      <c r="A5" s="217"/>
      <c r="B5" s="259"/>
      <c r="C5" s="217"/>
      <c r="D5" s="217"/>
      <c r="E5" s="217"/>
      <c r="F5" s="217"/>
      <c r="G5" s="217"/>
      <c r="H5" s="217"/>
      <c r="I5" s="14" t="s">
        <v>189</v>
      </c>
    </row>
    <row r="6" spans="1:10" ht="12" customHeight="1" x14ac:dyDescent="0.2">
      <c r="A6" s="99"/>
      <c r="B6" s="167" t="s">
        <v>121</v>
      </c>
      <c r="C6" s="290" t="s">
        <v>122</v>
      </c>
      <c r="D6" s="291"/>
      <c r="E6" s="291"/>
      <c r="F6" s="291"/>
      <c r="G6" s="292"/>
      <c r="H6" s="214" t="s">
        <v>118</v>
      </c>
      <c r="I6" s="222"/>
      <c r="J6" s="99"/>
    </row>
    <row r="7" spans="1:10" ht="12" customHeight="1" x14ac:dyDescent="0.2">
      <c r="A7" s="2">
        <v>1960</v>
      </c>
      <c r="B7" s="20">
        <v>180.67099999999999</v>
      </c>
      <c r="C7" s="8" t="s">
        <v>3</v>
      </c>
      <c r="D7" s="8" t="s">
        <v>3</v>
      </c>
      <c r="E7" s="8" t="s">
        <v>3</v>
      </c>
      <c r="F7" s="8" t="s">
        <v>3</v>
      </c>
      <c r="G7" s="8" t="s">
        <v>3</v>
      </c>
      <c r="H7" s="8" t="s">
        <v>3</v>
      </c>
      <c r="I7" s="8" t="s">
        <v>3</v>
      </c>
    </row>
    <row r="8" spans="1:10" ht="12" customHeight="1" x14ac:dyDescent="0.2">
      <c r="A8" s="3">
        <v>1961</v>
      </c>
      <c r="B8" s="21">
        <v>183.691</v>
      </c>
      <c r="C8" s="9" t="s">
        <v>3</v>
      </c>
      <c r="D8" s="9" t="s">
        <v>3</v>
      </c>
      <c r="E8" s="9" t="s">
        <v>3</v>
      </c>
      <c r="F8" s="9" t="s">
        <v>3</v>
      </c>
      <c r="G8" s="9" t="s">
        <v>3</v>
      </c>
      <c r="H8" s="9" t="s">
        <v>3</v>
      </c>
      <c r="I8" s="9" t="s">
        <v>3</v>
      </c>
    </row>
    <row r="9" spans="1:10" ht="12" customHeight="1" x14ac:dyDescent="0.2">
      <c r="A9" s="3">
        <v>1962</v>
      </c>
      <c r="B9" s="21">
        <v>186.53800000000001</v>
      </c>
      <c r="C9" s="9" t="s">
        <v>3</v>
      </c>
      <c r="D9" s="9" t="s">
        <v>3</v>
      </c>
      <c r="E9" s="9" t="s">
        <v>3</v>
      </c>
      <c r="F9" s="9" t="s">
        <v>3</v>
      </c>
      <c r="G9" s="9" t="s">
        <v>3</v>
      </c>
      <c r="H9" s="9" t="s">
        <v>3</v>
      </c>
      <c r="I9" s="9" t="s">
        <v>3</v>
      </c>
    </row>
    <row r="10" spans="1:10" ht="12" customHeight="1" x14ac:dyDescent="0.2">
      <c r="A10" s="3">
        <v>1963</v>
      </c>
      <c r="B10" s="21">
        <v>189.24199999999999</v>
      </c>
      <c r="C10" s="9" t="s">
        <v>3</v>
      </c>
      <c r="D10" s="9" t="s">
        <v>3</v>
      </c>
      <c r="E10" s="9" t="s">
        <v>3</v>
      </c>
      <c r="F10" s="9" t="s">
        <v>3</v>
      </c>
      <c r="G10" s="9" t="s">
        <v>3</v>
      </c>
      <c r="H10" s="9" t="s">
        <v>3</v>
      </c>
      <c r="I10" s="9" t="s">
        <v>3</v>
      </c>
    </row>
    <row r="11" spans="1:10" ht="12" customHeight="1" x14ac:dyDescent="0.2">
      <c r="A11" s="3">
        <v>1964</v>
      </c>
      <c r="B11" s="21">
        <v>191.88900000000001</v>
      </c>
      <c r="C11" s="9" t="s">
        <v>3</v>
      </c>
      <c r="D11" s="9" t="s">
        <v>3</v>
      </c>
      <c r="E11" s="9" t="s">
        <v>3</v>
      </c>
      <c r="F11" s="9" t="s">
        <v>3</v>
      </c>
      <c r="G11" s="9" t="s">
        <v>3</v>
      </c>
      <c r="H11" s="9" t="s">
        <v>3</v>
      </c>
      <c r="I11" s="9" t="s">
        <v>3</v>
      </c>
    </row>
    <row r="12" spans="1:10" ht="12" customHeight="1" x14ac:dyDescent="0.2">
      <c r="A12" s="3">
        <v>1965</v>
      </c>
      <c r="B12" s="21">
        <v>194.303</v>
      </c>
      <c r="C12" s="9" t="s">
        <v>3</v>
      </c>
      <c r="D12" s="9" t="s">
        <v>3</v>
      </c>
      <c r="E12" s="9" t="s">
        <v>3</v>
      </c>
      <c r="F12" s="9" t="s">
        <v>3</v>
      </c>
      <c r="G12" s="9" t="s">
        <v>3</v>
      </c>
      <c r="H12" s="9" t="s">
        <v>3</v>
      </c>
      <c r="I12" s="9" t="s">
        <v>3</v>
      </c>
    </row>
    <row r="13" spans="1:10" ht="12" customHeight="1" x14ac:dyDescent="0.2">
      <c r="A13" s="2">
        <v>1966</v>
      </c>
      <c r="B13" s="20">
        <v>196.56</v>
      </c>
      <c r="C13" s="8" t="s">
        <v>3</v>
      </c>
      <c r="D13" s="8" t="s">
        <v>3</v>
      </c>
      <c r="E13" s="8" t="s">
        <v>3</v>
      </c>
      <c r="F13" s="8" t="s">
        <v>3</v>
      </c>
      <c r="G13" s="8" t="s">
        <v>3</v>
      </c>
      <c r="H13" s="8" t="s">
        <v>3</v>
      </c>
      <c r="I13" s="8" t="s">
        <v>3</v>
      </c>
    </row>
    <row r="14" spans="1:10" ht="12" customHeight="1" x14ac:dyDescent="0.2">
      <c r="A14" s="2">
        <v>1967</v>
      </c>
      <c r="B14" s="20">
        <v>198.71199999999999</v>
      </c>
      <c r="C14" s="8" t="s">
        <v>3</v>
      </c>
      <c r="D14" s="8" t="s">
        <v>3</v>
      </c>
      <c r="E14" s="8" t="s">
        <v>3</v>
      </c>
      <c r="F14" s="8" t="s">
        <v>3</v>
      </c>
      <c r="G14" s="8" t="s">
        <v>3</v>
      </c>
      <c r="H14" s="8" t="s">
        <v>3</v>
      </c>
      <c r="I14" s="8" t="s">
        <v>3</v>
      </c>
    </row>
    <row r="15" spans="1:10" ht="12" customHeight="1" x14ac:dyDescent="0.2">
      <c r="A15" s="2">
        <v>1968</v>
      </c>
      <c r="B15" s="20">
        <v>200.70599999999999</v>
      </c>
      <c r="C15" s="8" t="s">
        <v>3</v>
      </c>
      <c r="D15" s="8" t="s">
        <v>3</v>
      </c>
      <c r="E15" s="8" t="s">
        <v>3</v>
      </c>
      <c r="F15" s="8" t="s">
        <v>3</v>
      </c>
      <c r="G15" s="8" t="s">
        <v>3</v>
      </c>
      <c r="H15" s="8" t="s">
        <v>3</v>
      </c>
      <c r="I15" s="8" t="s">
        <v>3</v>
      </c>
    </row>
    <row r="16" spans="1:10" ht="12" customHeight="1" x14ac:dyDescent="0.2">
      <c r="A16" s="2">
        <v>1969</v>
      </c>
      <c r="B16" s="20">
        <v>202.67699999999999</v>
      </c>
      <c r="C16" s="8" t="s">
        <v>3</v>
      </c>
      <c r="D16" s="8" t="s">
        <v>3</v>
      </c>
      <c r="E16" s="8" t="s">
        <v>3</v>
      </c>
      <c r="F16" s="8" t="s">
        <v>3</v>
      </c>
      <c r="G16" s="8" t="s">
        <v>3</v>
      </c>
      <c r="H16" s="8" t="s">
        <v>3</v>
      </c>
      <c r="I16" s="8" t="s">
        <v>3</v>
      </c>
    </row>
    <row r="17" spans="1:9" ht="12" customHeight="1" x14ac:dyDescent="0.2">
      <c r="A17" s="2">
        <v>1970</v>
      </c>
      <c r="B17" s="20">
        <v>205.05199999999999</v>
      </c>
      <c r="C17" s="8">
        <v>83.7</v>
      </c>
      <c r="D17" s="8">
        <v>19.399999999999999</v>
      </c>
      <c r="E17" s="8">
        <f t="shared" ref="E17:E67" si="0">SUM(C17,D17)</f>
        <v>103.1</v>
      </c>
      <c r="F17" s="8" t="s">
        <v>3</v>
      </c>
      <c r="G17" s="8">
        <f t="shared" ref="G17:G24" si="1">E17-SUM(F17)</f>
        <v>103.1</v>
      </c>
      <c r="H17" s="142">
        <f t="shared" ref="H17:H58" si="2">IF(G17=0,0,IF(B17=0,0,G17/B17))</f>
        <v>0.50279928993621126</v>
      </c>
      <c r="I17" s="142">
        <f>H17*0.97</f>
        <v>0.48771531123812489</v>
      </c>
    </row>
    <row r="18" spans="1:9" ht="12" customHeight="1" x14ac:dyDescent="0.2">
      <c r="A18" s="3">
        <v>1971</v>
      </c>
      <c r="B18" s="21">
        <v>207.661</v>
      </c>
      <c r="C18" s="9">
        <v>107.2</v>
      </c>
      <c r="D18" s="9">
        <v>10</v>
      </c>
      <c r="E18" s="9">
        <f t="shared" si="0"/>
        <v>117.2</v>
      </c>
      <c r="F18" s="9" t="s">
        <v>3</v>
      </c>
      <c r="G18" s="9">
        <f t="shared" si="1"/>
        <v>117.2</v>
      </c>
      <c r="H18" s="143">
        <f t="shared" si="2"/>
        <v>0.56438137156230583</v>
      </c>
      <c r="I18" s="143">
        <f>H18*0.97</f>
        <v>0.54744993041543666</v>
      </c>
    </row>
    <row r="19" spans="1:9" ht="12" customHeight="1" x14ac:dyDescent="0.2">
      <c r="A19" s="3">
        <v>1972</v>
      </c>
      <c r="B19" s="21">
        <v>209.89599999999999</v>
      </c>
      <c r="C19" s="9">
        <v>97</v>
      </c>
      <c r="D19" s="9">
        <v>8.6999999999999993</v>
      </c>
      <c r="E19" s="9">
        <f t="shared" si="0"/>
        <v>105.7</v>
      </c>
      <c r="F19" s="9" t="s">
        <v>3</v>
      </c>
      <c r="G19" s="9">
        <f t="shared" si="1"/>
        <v>105.7</v>
      </c>
      <c r="H19" s="143">
        <f t="shared" si="2"/>
        <v>0.50358272668369097</v>
      </c>
      <c r="I19" s="143">
        <f t="shared" ref="I19:I31" si="3">H19*0.97</f>
        <v>0.48847524488318023</v>
      </c>
    </row>
    <row r="20" spans="1:9" ht="12" customHeight="1" x14ac:dyDescent="0.2">
      <c r="A20" s="3">
        <v>1973</v>
      </c>
      <c r="B20" s="21">
        <v>211.90899999999999</v>
      </c>
      <c r="C20" s="9">
        <v>111.5</v>
      </c>
      <c r="D20" s="9">
        <v>7.1</v>
      </c>
      <c r="E20" s="9">
        <f t="shared" si="0"/>
        <v>118.6</v>
      </c>
      <c r="F20" s="9" t="s">
        <v>3</v>
      </c>
      <c r="G20" s="9">
        <f t="shared" si="1"/>
        <v>118.6</v>
      </c>
      <c r="H20" s="143">
        <f t="shared" si="2"/>
        <v>0.55967419977443145</v>
      </c>
      <c r="I20" s="143">
        <f t="shared" si="3"/>
        <v>0.54288397378119846</v>
      </c>
    </row>
    <row r="21" spans="1:9" ht="12" customHeight="1" x14ac:dyDescent="0.2">
      <c r="A21" s="3">
        <v>1974</v>
      </c>
      <c r="B21" s="21">
        <v>213.85400000000001</v>
      </c>
      <c r="C21" s="9">
        <v>99.5</v>
      </c>
      <c r="D21" s="9">
        <v>8.8000000000000007</v>
      </c>
      <c r="E21" s="9">
        <f t="shared" si="0"/>
        <v>108.3</v>
      </c>
      <c r="F21" s="9" t="s">
        <v>3</v>
      </c>
      <c r="G21" s="9">
        <f t="shared" si="1"/>
        <v>108.3</v>
      </c>
      <c r="H21" s="143">
        <f t="shared" si="2"/>
        <v>0.50642026803333107</v>
      </c>
      <c r="I21" s="143">
        <f t="shared" si="3"/>
        <v>0.49122765999233114</v>
      </c>
    </row>
    <row r="22" spans="1:9" ht="12" customHeight="1" x14ac:dyDescent="0.2">
      <c r="A22" s="3">
        <v>1975</v>
      </c>
      <c r="B22" s="21">
        <v>215.97300000000001</v>
      </c>
      <c r="C22" s="9">
        <v>123.6</v>
      </c>
      <c r="D22" s="9">
        <v>13.3</v>
      </c>
      <c r="E22" s="9">
        <f t="shared" si="0"/>
        <v>136.9</v>
      </c>
      <c r="F22" s="9" t="s">
        <v>3</v>
      </c>
      <c r="G22" s="9">
        <f t="shared" si="1"/>
        <v>136.9</v>
      </c>
      <c r="H22" s="143">
        <f t="shared" si="2"/>
        <v>0.63387553073763847</v>
      </c>
      <c r="I22" s="143">
        <f>H22*0.97</f>
        <v>0.61485926481550934</v>
      </c>
    </row>
    <row r="23" spans="1:9" ht="12" customHeight="1" x14ac:dyDescent="0.2">
      <c r="A23" s="2">
        <v>1976</v>
      </c>
      <c r="B23" s="20">
        <v>218.035</v>
      </c>
      <c r="C23" s="8">
        <v>117.1</v>
      </c>
      <c r="D23" s="8">
        <v>14</v>
      </c>
      <c r="E23" s="8">
        <f t="shared" si="0"/>
        <v>131.1</v>
      </c>
      <c r="F23" s="8" t="s">
        <v>3</v>
      </c>
      <c r="G23" s="8">
        <f t="shared" si="1"/>
        <v>131.1</v>
      </c>
      <c r="H23" s="142">
        <f t="shared" si="2"/>
        <v>0.60127961107161687</v>
      </c>
      <c r="I23" s="142">
        <f t="shared" si="3"/>
        <v>0.58324122273946832</v>
      </c>
    </row>
    <row r="24" spans="1:9" ht="12" customHeight="1" x14ac:dyDescent="0.2">
      <c r="A24" s="2">
        <v>1977</v>
      </c>
      <c r="B24" s="20">
        <v>220.23899999999998</v>
      </c>
      <c r="C24" s="8">
        <v>136.5</v>
      </c>
      <c r="D24" s="8">
        <v>9</v>
      </c>
      <c r="E24" s="8">
        <f t="shared" si="0"/>
        <v>145.5</v>
      </c>
      <c r="F24" s="8" t="s">
        <v>3</v>
      </c>
      <c r="G24" s="8">
        <f t="shared" si="1"/>
        <v>145.5</v>
      </c>
      <c r="H24" s="142">
        <f t="shared" si="2"/>
        <v>0.66064593464372801</v>
      </c>
      <c r="I24" s="142">
        <f t="shared" si="3"/>
        <v>0.64082655660441612</v>
      </c>
    </row>
    <row r="25" spans="1:9" ht="12" customHeight="1" x14ac:dyDescent="0.2">
      <c r="A25" s="2">
        <v>1978</v>
      </c>
      <c r="B25" s="20">
        <v>222.58500000000001</v>
      </c>
      <c r="C25" s="8">
        <v>132.5</v>
      </c>
      <c r="D25" s="8">
        <v>13.4</v>
      </c>
      <c r="E25" s="8">
        <f t="shared" si="0"/>
        <v>145.9</v>
      </c>
      <c r="F25" s="8">
        <v>24.104508189079997</v>
      </c>
      <c r="G25" s="8">
        <f t="shared" ref="G25:G59" si="4">E25-F25</f>
        <v>121.79549181092001</v>
      </c>
      <c r="H25" s="142">
        <f t="shared" si="2"/>
        <v>0.54718643130004274</v>
      </c>
      <c r="I25" s="142">
        <f t="shared" si="3"/>
        <v>0.53077083836104144</v>
      </c>
    </row>
    <row r="26" spans="1:9" ht="12" customHeight="1" x14ac:dyDescent="0.2">
      <c r="A26" s="2">
        <v>1979</v>
      </c>
      <c r="B26" s="20">
        <v>225.05500000000001</v>
      </c>
      <c r="C26" s="8">
        <v>142.4</v>
      </c>
      <c r="D26" s="8">
        <v>15</v>
      </c>
      <c r="E26" s="8">
        <f t="shared" si="0"/>
        <v>157.4</v>
      </c>
      <c r="F26" s="8">
        <v>23.977912294820001</v>
      </c>
      <c r="G26" s="8">
        <f t="shared" si="4"/>
        <v>133.42208770517999</v>
      </c>
      <c r="H26" s="142">
        <f t="shared" si="2"/>
        <v>0.59284213950003328</v>
      </c>
      <c r="I26" s="142">
        <f t="shared" si="3"/>
        <v>0.57505687531503225</v>
      </c>
    </row>
    <row r="27" spans="1:9" ht="12" customHeight="1" x14ac:dyDescent="0.2">
      <c r="A27" s="2">
        <v>1980</v>
      </c>
      <c r="B27" s="20">
        <v>227.726</v>
      </c>
      <c r="C27" s="8">
        <v>139.1</v>
      </c>
      <c r="D27" s="8">
        <v>15.6</v>
      </c>
      <c r="E27" s="8">
        <f t="shared" si="0"/>
        <v>154.69999999999999</v>
      </c>
      <c r="F27" s="8">
        <v>26.01238192784</v>
      </c>
      <c r="G27" s="8">
        <f t="shared" si="4"/>
        <v>128.68761807215998</v>
      </c>
      <c r="H27" s="142">
        <f t="shared" si="2"/>
        <v>0.56509848709484201</v>
      </c>
      <c r="I27" s="142">
        <f>H27*0.97</f>
        <v>0.54814553248199671</v>
      </c>
    </row>
    <row r="28" spans="1:9" ht="12" customHeight="1" x14ac:dyDescent="0.2">
      <c r="A28" s="3">
        <v>1981</v>
      </c>
      <c r="B28" s="21">
        <v>229.96600000000001</v>
      </c>
      <c r="C28" s="9">
        <v>153.69999999999999</v>
      </c>
      <c r="D28" s="9">
        <v>6.4</v>
      </c>
      <c r="E28" s="9">
        <f t="shared" si="0"/>
        <v>160.1</v>
      </c>
      <c r="F28" s="9">
        <v>27.982637594119996</v>
      </c>
      <c r="G28" s="9">
        <f t="shared" si="4"/>
        <v>132.11736240587999</v>
      </c>
      <c r="H28" s="143">
        <f t="shared" si="2"/>
        <v>0.5745082421135298</v>
      </c>
      <c r="I28" s="143">
        <f t="shared" si="3"/>
        <v>0.55727299485012394</v>
      </c>
    </row>
    <row r="29" spans="1:9" ht="12" customHeight="1" x14ac:dyDescent="0.2">
      <c r="A29" s="3">
        <v>1982</v>
      </c>
      <c r="B29" s="21">
        <v>232.18799999999999</v>
      </c>
      <c r="C29" s="9">
        <v>131.1</v>
      </c>
      <c r="D29" s="9">
        <v>7.8</v>
      </c>
      <c r="E29" s="9">
        <f t="shared" si="0"/>
        <v>138.9</v>
      </c>
      <c r="F29" s="9">
        <v>22.624083812879999</v>
      </c>
      <c r="G29" s="9">
        <f t="shared" si="4"/>
        <v>116.27591618712</v>
      </c>
      <c r="H29" s="143">
        <f t="shared" si="2"/>
        <v>0.50078348660189165</v>
      </c>
      <c r="I29" s="143">
        <f t="shared" si="3"/>
        <v>0.48575998200383491</v>
      </c>
    </row>
    <row r="30" spans="1:9" ht="12" customHeight="1" x14ac:dyDescent="0.2">
      <c r="A30" s="3">
        <v>1983</v>
      </c>
      <c r="B30" s="21">
        <v>234.30699999999999</v>
      </c>
      <c r="C30" s="9">
        <v>139.5</v>
      </c>
      <c r="D30" s="9">
        <v>10.7</v>
      </c>
      <c r="E30" s="9">
        <f t="shared" si="0"/>
        <v>150.19999999999999</v>
      </c>
      <c r="F30" s="9">
        <v>22.129051824219999</v>
      </c>
      <c r="G30" s="9">
        <f t="shared" si="4"/>
        <v>128.07094817577999</v>
      </c>
      <c r="H30" s="143">
        <f t="shared" si="2"/>
        <v>0.5465946308722317</v>
      </c>
      <c r="I30" s="143">
        <f t="shared" si="3"/>
        <v>0.53019679194606473</v>
      </c>
    </row>
    <row r="31" spans="1:9" ht="12" customHeight="1" x14ac:dyDescent="0.2">
      <c r="A31" s="3">
        <v>1984</v>
      </c>
      <c r="B31" s="21">
        <v>236.34800000000001</v>
      </c>
      <c r="C31" s="9">
        <v>124.7</v>
      </c>
      <c r="D31" s="9">
        <v>15.9</v>
      </c>
      <c r="E31" s="9">
        <f t="shared" si="0"/>
        <v>140.6</v>
      </c>
      <c r="F31" s="9">
        <v>23.596528467159999</v>
      </c>
      <c r="G31" s="9">
        <f t="shared" si="4"/>
        <v>117.00347153284</v>
      </c>
      <c r="H31" s="143">
        <f t="shared" si="2"/>
        <v>0.4950474365462792</v>
      </c>
      <c r="I31" s="143">
        <f t="shared" si="3"/>
        <v>0.48019601344989082</v>
      </c>
    </row>
    <row r="32" spans="1:9" ht="12" customHeight="1" x14ac:dyDescent="0.2">
      <c r="A32" s="3">
        <v>1985</v>
      </c>
      <c r="B32" s="21">
        <v>238.46600000000001</v>
      </c>
      <c r="C32" s="9">
        <v>131.30000000000001</v>
      </c>
      <c r="D32" s="9">
        <v>14.7</v>
      </c>
      <c r="E32" s="9">
        <f t="shared" si="0"/>
        <v>146</v>
      </c>
      <c r="F32" s="9">
        <v>23.892300286359998</v>
      </c>
      <c r="G32" s="9">
        <f t="shared" si="4"/>
        <v>122.10769971364</v>
      </c>
      <c r="H32" s="143">
        <f t="shared" si="2"/>
        <v>0.51205496680298235</v>
      </c>
      <c r="I32" s="143">
        <f>H32*0.97</f>
        <v>0.49669331779889286</v>
      </c>
    </row>
    <row r="33" spans="1:9" ht="12" customHeight="1" x14ac:dyDescent="0.2">
      <c r="A33" s="2">
        <v>1986</v>
      </c>
      <c r="B33" s="20">
        <v>240.65100000000001</v>
      </c>
      <c r="C33" s="8">
        <v>115.2</v>
      </c>
      <c r="D33" s="8">
        <v>18.8</v>
      </c>
      <c r="E33" s="8">
        <f t="shared" si="0"/>
        <v>134</v>
      </c>
      <c r="F33" s="8">
        <v>22.442727362439996</v>
      </c>
      <c r="G33" s="8">
        <f t="shared" si="4"/>
        <v>111.55727263756</v>
      </c>
      <c r="H33" s="142">
        <f t="shared" si="2"/>
        <v>0.46356455047998968</v>
      </c>
      <c r="I33" s="142">
        <f>H33*0.97</f>
        <v>0.44965761396558995</v>
      </c>
    </row>
    <row r="34" spans="1:9" ht="12" customHeight="1" x14ac:dyDescent="0.2">
      <c r="A34" s="2">
        <v>1987</v>
      </c>
      <c r="B34" s="20">
        <v>242.804</v>
      </c>
      <c r="C34" s="8">
        <v>125</v>
      </c>
      <c r="D34" s="8">
        <v>22.2</v>
      </c>
      <c r="E34" s="8">
        <f t="shared" si="0"/>
        <v>147.19999999999999</v>
      </c>
      <c r="F34" s="8">
        <v>22.652005325179999</v>
      </c>
      <c r="G34" s="8">
        <f t="shared" si="4"/>
        <v>124.54799467481999</v>
      </c>
      <c r="H34" s="142">
        <f t="shared" si="2"/>
        <v>0.51295693100121909</v>
      </c>
      <c r="I34" s="142">
        <f t="shared" ref="I34:I47" si="5">H34*0.97</f>
        <v>0.49756822307118248</v>
      </c>
    </row>
    <row r="35" spans="1:9" ht="12" customHeight="1" x14ac:dyDescent="0.2">
      <c r="A35" s="2">
        <v>1988</v>
      </c>
      <c r="B35" s="20">
        <v>245.02099999999999</v>
      </c>
      <c r="C35" s="8">
        <v>136.6</v>
      </c>
      <c r="D35" s="8">
        <v>23</v>
      </c>
      <c r="E35" s="8">
        <f t="shared" si="0"/>
        <v>159.6</v>
      </c>
      <c r="F35" s="8">
        <v>24.887785424259999</v>
      </c>
      <c r="G35" s="8">
        <f t="shared" si="4"/>
        <v>134.71221457574001</v>
      </c>
      <c r="H35" s="142">
        <f t="shared" si="2"/>
        <v>0.54979864818011526</v>
      </c>
      <c r="I35" s="142">
        <f t="shared" si="5"/>
        <v>0.53330468873471182</v>
      </c>
    </row>
    <row r="36" spans="1:9" ht="12" customHeight="1" x14ac:dyDescent="0.2">
      <c r="A36" s="2">
        <v>1989</v>
      </c>
      <c r="B36" s="20">
        <v>247.34200000000001</v>
      </c>
      <c r="C36" s="8">
        <v>174.3</v>
      </c>
      <c r="D36" s="8">
        <v>23.3</v>
      </c>
      <c r="E36" s="8">
        <f t="shared" si="0"/>
        <v>197.60000000000002</v>
      </c>
      <c r="F36" s="8">
        <v>22.512781367559999</v>
      </c>
      <c r="G36" s="8">
        <f t="shared" si="4"/>
        <v>175.08721863244003</v>
      </c>
      <c r="H36" s="142">
        <f t="shared" si="2"/>
        <v>0.70787500154619931</v>
      </c>
      <c r="I36" s="142">
        <f t="shared" si="5"/>
        <v>0.68663875149981335</v>
      </c>
    </row>
    <row r="37" spans="1:9" ht="12" customHeight="1" x14ac:dyDescent="0.2">
      <c r="A37" s="2">
        <v>1990</v>
      </c>
      <c r="B37" s="20">
        <v>250.13200000000001</v>
      </c>
      <c r="C37" s="8">
        <v>164.9</v>
      </c>
      <c r="D37" s="8">
        <v>24.1</v>
      </c>
      <c r="E37" s="8">
        <f t="shared" si="0"/>
        <v>189</v>
      </c>
      <c r="F37" s="8">
        <v>24.271879099999996</v>
      </c>
      <c r="G37" s="8">
        <f t="shared" si="4"/>
        <v>164.72812089999999</v>
      </c>
      <c r="H37" s="142">
        <f t="shared" si="2"/>
        <v>0.65856476140597764</v>
      </c>
      <c r="I37" s="142">
        <f>H37*0.97</f>
        <v>0.63880781856379831</v>
      </c>
    </row>
    <row r="38" spans="1:9" ht="12" customHeight="1" x14ac:dyDescent="0.2">
      <c r="A38" s="3">
        <v>1991</v>
      </c>
      <c r="B38" s="21">
        <v>253.49299999999999</v>
      </c>
      <c r="C38" s="9">
        <v>136.9</v>
      </c>
      <c r="D38" s="9">
        <v>27.2</v>
      </c>
      <c r="E38" s="9">
        <f t="shared" si="0"/>
        <v>164.1</v>
      </c>
      <c r="F38" s="9">
        <v>25.289816299999998</v>
      </c>
      <c r="G38" s="9">
        <f t="shared" si="4"/>
        <v>138.81018369999998</v>
      </c>
      <c r="H38" s="143">
        <f t="shared" si="2"/>
        <v>0.54758980997502882</v>
      </c>
      <c r="I38" s="143">
        <f t="shared" si="5"/>
        <v>0.53116211567577798</v>
      </c>
    </row>
    <row r="39" spans="1:9" ht="12" customHeight="1" x14ac:dyDescent="0.2">
      <c r="A39" s="3">
        <v>1992</v>
      </c>
      <c r="B39" s="21">
        <v>256.89400000000001</v>
      </c>
      <c r="C39" s="9">
        <v>118.4</v>
      </c>
      <c r="D39" s="9">
        <v>26.2</v>
      </c>
      <c r="E39" s="9">
        <f t="shared" si="0"/>
        <v>144.6</v>
      </c>
      <c r="F39" s="9">
        <v>22.221709999999998</v>
      </c>
      <c r="G39" s="9">
        <f t="shared" si="4"/>
        <v>122.37828999999999</v>
      </c>
      <c r="H39" s="143">
        <f t="shared" si="2"/>
        <v>0.4763765989084992</v>
      </c>
      <c r="I39" s="143">
        <f t="shared" si="5"/>
        <v>0.46208530094124423</v>
      </c>
    </row>
    <row r="40" spans="1:9" ht="12" customHeight="1" x14ac:dyDescent="0.2">
      <c r="A40" s="3">
        <v>1993</v>
      </c>
      <c r="B40" s="21">
        <v>260.255</v>
      </c>
      <c r="C40" s="9">
        <v>121.2</v>
      </c>
      <c r="D40" s="9">
        <v>35.1</v>
      </c>
      <c r="E40" s="9">
        <f t="shared" si="0"/>
        <v>156.30000000000001</v>
      </c>
      <c r="F40" s="9">
        <v>21.799992899999999</v>
      </c>
      <c r="G40" s="9">
        <f t="shared" si="4"/>
        <v>134.5000071</v>
      </c>
      <c r="H40" s="143">
        <f t="shared" si="2"/>
        <v>0.5168008572361722</v>
      </c>
      <c r="I40" s="143">
        <f t="shared" si="5"/>
        <v>0.50129683151908699</v>
      </c>
    </row>
    <row r="41" spans="1:9" ht="12" customHeight="1" x14ac:dyDescent="0.2">
      <c r="A41" s="3">
        <v>1994</v>
      </c>
      <c r="B41" s="21">
        <v>263.43599999999998</v>
      </c>
      <c r="C41" s="9">
        <v>101.8</v>
      </c>
      <c r="D41" s="9">
        <v>33.299999999999997</v>
      </c>
      <c r="E41" s="9">
        <f t="shared" si="0"/>
        <v>135.1</v>
      </c>
      <c r="F41" s="9">
        <v>20.306552699999997</v>
      </c>
      <c r="G41" s="9">
        <f t="shared" si="4"/>
        <v>114.7934473</v>
      </c>
      <c r="H41" s="143">
        <f t="shared" si="2"/>
        <v>0.43575459428475988</v>
      </c>
      <c r="I41" s="143">
        <f t="shared" si="5"/>
        <v>0.42268195645621709</v>
      </c>
    </row>
    <row r="42" spans="1:9" ht="12" customHeight="1" x14ac:dyDescent="0.2">
      <c r="A42" s="3">
        <v>1995</v>
      </c>
      <c r="B42" s="21">
        <v>266.55700000000002</v>
      </c>
      <c r="C42" s="9">
        <v>94.6</v>
      </c>
      <c r="D42" s="9">
        <v>37.299999999999997</v>
      </c>
      <c r="E42" s="9">
        <f t="shared" si="0"/>
        <v>131.89999999999998</v>
      </c>
      <c r="F42" s="9">
        <v>21.589070299999999</v>
      </c>
      <c r="G42" s="9">
        <f t="shared" si="4"/>
        <v>110.31092969999997</v>
      </c>
      <c r="H42" s="143">
        <f t="shared" si="2"/>
        <v>0.41383617650258658</v>
      </c>
      <c r="I42" s="143">
        <f>H42*0.97</f>
        <v>0.40142109120750896</v>
      </c>
    </row>
    <row r="43" spans="1:9" ht="12" customHeight="1" x14ac:dyDescent="0.2">
      <c r="A43" s="2">
        <v>1996</v>
      </c>
      <c r="B43" s="20">
        <v>269.66699999999997</v>
      </c>
      <c r="C43" s="8">
        <v>104</v>
      </c>
      <c r="D43" s="8">
        <v>28</v>
      </c>
      <c r="E43" s="8">
        <f t="shared" si="0"/>
        <v>132</v>
      </c>
      <c r="F43" s="8">
        <v>22.240271199999999</v>
      </c>
      <c r="G43" s="8">
        <f t="shared" si="4"/>
        <v>109.7597288</v>
      </c>
      <c r="H43" s="142">
        <f t="shared" si="2"/>
        <v>0.40701950479665666</v>
      </c>
      <c r="I43" s="142">
        <f t="shared" si="5"/>
        <v>0.39480891965275694</v>
      </c>
    </row>
    <row r="44" spans="1:9" ht="12" customHeight="1" x14ac:dyDescent="0.2">
      <c r="A44" s="2">
        <v>1997</v>
      </c>
      <c r="B44" s="20">
        <v>272.91199999999998</v>
      </c>
      <c r="C44" s="8">
        <v>134</v>
      </c>
      <c r="D44" s="8">
        <v>28</v>
      </c>
      <c r="E44" s="8">
        <f t="shared" si="0"/>
        <v>162</v>
      </c>
      <c r="F44" s="8">
        <v>23.8395948</v>
      </c>
      <c r="G44" s="8">
        <f t="shared" si="4"/>
        <v>138.16040520000001</v>
      </c>
      <c r="H44" s="142">
        <f t="shared" si="2"/>
        <v>0.50624525561353118</v>
      </c>
      <c r="I44" s="142">
        <f t="shared" si="5"/>
        <v>0.49105789794512522</v>
      </c>
    </row>
    <row r="45" spans="1:9" ht="12" customHeight="1" x14ac:dyDescent="0.2">
      <c r="A45" s="2">
        <v>1998</v>
      </c>
      <c r="B45" s="20">
        <v>276.11500000000001</v>
      </c>
      <c r="C45" s="8">
        <v>105.3</v>
      </c>
      <c r="D45" s="8">
        <v>38</v>
      </c>
      <c r="E45" s="8">
        <f t="shared" si="0"/>
        <v>143.30000000000001</v>
      </c>
      <c r="F45" s="8">
        <v>20.512666999999997</v>
      </c>
      <c r="G45" s="8">
        <f t="shared" si="4"/>
        <v>122.78733300000002</v>
      </c>
      <c r="H45" s="142">
        <f t="shared" si="2"/>
        <v>0.44469635115803202</v>
      </c>
      <c r="I45" s="142">
        <f t="shared" si="5"/>
        <v>0.43135546062329105</v>
      </c>
    </row>
    <row r="46" spans="1:9" ht="12" customHeight="1" x14ac:dyDescent="0.2">
      <c r="A46" s="2">
        <v>1999</v>
      </c>
      <c r="B46" s="20">
        <v>279.29500000000002</v>
      </c>
      <c r="C46" s="8">
        <v>99.5</v>
      </c>
      <c r="D46" s="8">
        <v>32.5</v>
      </c>
      <c r="E46" s="8">
        <f t="shared" si="0"/>
        <v>132</v>
      </c>
      <c r="F46" s="8">
        <v>22.567099800000001</v>
      </c>
      <c r="G46" s="8">
        <f t="shared" si="4"/>
        <v>109.43290020000001</v>
      </c>
      <c r="H46" s="142">
        <f t="shared" si="2"/>
        <v>0.39181832900696395</v>
      </c>
      <c r="I46" s="142">
        <f t="shared" si="5"/>
        <v>0.38006377913675504</v>
      </c>
    </row>
    <row r="47" spans="1:9" ht="12" customHeight="1" x14ac:dyDescent="0.2">
      <c r="A47" s="2">
        <v>2000</v>
      </c>
      <c r="B47" s="20">
        <v>282.38499999999999</v>
      </c>
      <c r="C47" s="8">
        <v>122.5</v>
      </c>
      <c r="D47" s="8">
        <v>35.096309200000007</v>
      </c>
      <c r="E47" s="8">
        <f t="shared" si="0"/>
        <v>157.59630920000001</v>
      </c>
      <c r="F47" s="8">
        <v>21.875892885000003</v>
      </c>
      <c r="G47" s="8">
        <f t="shared" si="4"/>
        <v>135.72041631499999</v>
      </c>
      <c r="H47" s="142">
        <f t="shared" si="2"/>
        <v>0.48062190383696018</v>
      </c>
      <c r="I47" s="142">
        <f t="shared" si="5"/>
        <v>0.46620324672185137</v>
      </c>
    </row>
    <row r="48" spans="1:9" ht="12" customHeight="1" x14ac:dyDescent="0.2">
      <c r="A48" s="3">
        <v>2001</v>
      </c>
      <c r="B48" s="21">
        <v>285.30901899999998</v>
      </c>
      <c r="C48" s="9">
        <v>135.9</v>
      </c>
      <c r="D48" s="9">
        <v>30.965444360000003</v>
      </c>
      <c r="E48" s="9">
        <f t="shared" si="0"/>
        <v>166.86544436</v>
      </c>
      <c r="F48" s="9">
        <v>22.060104094</v>
      </c>
      <c r="G48" s="9">
        <f t="shared" si="4"/>
        <v>144.805340266</v>
      </c>
      <c r="H48" s="143">
        <f t="shared" si="2"/>
        <v>0.50753860068475443</v>
      </c>
      <c r="I48" s="143">
        <f t="shared" ref="I48:I53" si="6">H48*0.97</f>
        <v>0.49231244266421176</v>
      </c>
    </row>
    <row r="49" spans="1:10" ht="12" customHeight="1" x14ac:dyDescent="0.2">
      <c r="A49" s="3">
        <v>2002</v>
      </c>
      <c r="B49" s="21">
        <v>288.10481800000002</v>
      </c>
      <c r="C49" s="9">
        <v>136.44800000000001</v>
      </c>
      <c r="D49" s="9">
        <v>35.048356509999998</v>
      </c>
      <c r="E49" s="9">
        <f t="shared" si="0"/>
        <v>171.49635651</v>
      </c>
      <c r="F49" s="9">
        <v>23.717955631999999</v>
      </c>
      <c r="G49" s="9">
        <f t="shared" si="4"/>
        <v>147.77840087800001</v>
      </c>
      <c r="H49" s="143">
        <f t="shared" si="2"/>
        <v>0.51293276490086326</v>
      </c>
      <c r="I49" s="143">
        <f t="shared" si="6"/>
        <v>0.49754478195383733</v>
      </c>
    </row>
    <row r="50" spans="1:10" ht="12" customHeight="1" x14ac:dyDescent="0.2">
      <c r="A50" s="3">
        <v>2003</v>
      </c>
      <c r="B50" s="21">
        <v>290.81963400000001</v>
      </c>
      <c r="C50" s="9">
        <v>90.596841554502362</v>
      </c>
      <c r="D50" s="9">
        <v>36.709473750000001</v>
      </c>
      <c r="E50" s="9">
        <f t="shared" si="0"/>
        <v>127.30631530450236</v>
      </c>
      <c r="F50" s="9">
        <v>25.512928132999999</v>
      </c>
      <c r="G50" s="9">
        <f t="shared" si="4"/>
        <v>101.79338717150236</v>
      </c>
      <c r="H50" s="143">
        <f t="shared" si="2"/>
        <v>0.35002240313493538</v>
      </c>
      <c r="I50" s="143">
        <f t="shared" si="6"/>
        <v>0.33952173104088729</v>
      </c>
    </row>
    <row r="51" spans="1:10" ht="12" customHeight="1" x14ac:dyDescent="0.2">
      <c r="A51" s="3">
        <v>2004</v>
      </c>
      <c r="B51" s="21">
        <v>293.46318500000001</v>
      </c>
      <c r="C51" s="9">
        <v>123.65499685308058</v>
      </c>
      <c r="D51" s="9">
        <v>41.43102683</v>
      </c>
      <c r="E51" s="9">
        <f t="shared" si="0"/>
        <v>165.08602368308058</v>
      </c>
      <c r="F51" s="9">
        <v>22.736184107</v>
      </c>
      <c r="G51" s="9">
        <f t="shared" si="4"/>
        <v>142.34983957608057</v>
      </c>
      <c r="H51" s="143">
        <f t="shared" si="2"/>
        <v>0.48506881562019633</v>
      </c>
      <c r="I51" s="143">
        <f t="shared" si="6"/>
        <v>0.47051675115159042</v>
      </c>
    </row>
    <row r="52" spans="1:10" ht="12" customHeight="1" x14ac:dyDescent="0.2">
      <c r="A52" s="3">
        <v>2005</v>
      </c>
      <c r="B52" s="21">
        <v>296.186216</v>
      </c>
      <c r="C52" s="9">
        <v>127.19940807582938</v>
      </c>
      <c r="D52" s="9">
        <v>42.517432700000008</v>
      </c>
      <c r="E52" s="9">
        <f t="shared" si="0"/>
        <v>169.71684077582938</v>
      </c>
      <c r="F52" s="9">
        <v>21.170965199999998</v>
      </c>
      <c r="G52" s="9">
        <f t="shared" si="4"/>
        <v>148.54587557582937</v>
      </c>
      <c r="H52" s="143">
        <f t="shared" si="2"/>
        <v>0.50152865849715766</v>
      </c>
      <c r="I52" s="143">
        <f t="shared" si="6"/>
        <v>0.48648279874224293</v>
      </c>
    </row>
    <row r="53" spans="1:10" ht="12" customHeight="1" x14ac:dyDescent="0.2">
      <c r="A53" s="2">
        <v>2006</v>
      </c>
      <c r="B53" s="20">
        <v>298.99582500000002</v>
      </c>
      <c r="C53" s="8">
        <v>131.4740335165877</v>
      </c>
      <c r="D53" s="8">
        <v>45.655797450000009</v>
      </c>
      <c r="E53" s="8">
        <f t="shared" si="0"/>
        <v>177.12983096658769</v>
      </c>
      <c r="F53" s="8">
        <v>20.580638071000003</v>
      </c>
      <c r="G53" s="8">
        <f t="shared" si="4"/>
        <v>156.54919289558768</v>
      </c>
      <c r="H53" s="142">
        <f t="shared" si="2"/>
        <v>0.52358320687450288</v>
      </c>
      <c r="I53" s="142">
        <f t="shared" si="6"/>
        <v>0.50787571066826775</v>
      </c>
    </row>
    <row r="54" spans="1:10" ht="12" customHeight="1" x14ac:dyDescent="0.2">
      <c r="A54" s="2">
        <v>2007</v>
      </c>
      <c r="B54" s="20">
        <v>302.003917</v>
      </c>
      <c r="C54" s="8">
        <v>133.45181345971562</v>
      </c>
      <c r="D54" s="8">
        <v>45.833309049999997</v>
      </c>
      <c r="E54" s="8">
        <f t="shared" si="0"/>
        <v>179.28512250971562</v>
      </c>
      <c r="F54" s="8">
        <v>22.528929324999996</v>
      </c>
      <c r="G54" s="8">
        <f t="shared" si="4"/>
        <v>156.75619318471561</v>
      </c>
      <c r="H54" s="142">
        <f t="shared" si="2"/>
        <v>0.51905351010634615</v>
      </c>
      <c r="I54" s="142">
        <f t="shared" ref="I54:I59" si="7">H54*0.97</f>
        <v>0.5034819048031558</v>
      </c>
    </row>
    <row r="55" spans="1:10" ht="12" customHeight="1" x14ac:dyDescent="0.2">
      <c r="A55" s="2">
        <v>2008</v>
      </c>
      <c r="B55" s="20">
        <v>304.79776099999998</v>
      </c>
      <c r="C55" s="8">
        <v>130.74113289099523</v>
      </c>
      <c r="D55" s="8">
        <v>45.469011030000004</v>
      </c>
      <c r="E55" s="8">
        <f t="shared" si="0"/>
        <v>176.21014392099522</v>
      </c>
      <c r="F55" s="8">
        <v>20.741447682032</v>
      </c>
      <c r="G55" s="8">
        <f t="shared" si="4"/>
        <v>155.46869623896322</v>
      </c>
      <c r="H55" s="142">
        <f t="shared" si="2"/>
        <v>0.51007164793104642</v>
      </c>
      <c r="I55" s="142">
        <f t="shared" si="7"/>
        <v>0.49476949849311502</v>
      </c>
    </row>
    <row r="56" spans="1:10" ht="12" customHeight="1" x14ac:dyDescent="0.2">
      <c r="A56" s="2">
        <v>2009</v>
      </c>
      <c r="B56" s="20">
        <v>307.43940600000002</v>
      </c>
      <c r="C56" s="8">
        <v>121.51713668246445</v>
      </c>
      <c r="D56" s="8">
        <v>41.425958000000001</v>
      </c>
      <c r="E56" s="8">
        <f t="shared" si="0"/>
        <v>162.94309468246445</v>
      </c>
      <c r="F56" s="8">
        <v>22.253144152007998</v>
      </c>
      <c r="G56" s="8">
        <f t="shared" si="4"/>
        <v>140.68995053045646</v>
      </c>
      <c r="H56" s="142">
        <f t="shared" si="2"/>
        <v>0.45761846980167681</v>
      </c>
      <c r="I56" s="142">
        <f t="shared" si="7"/>
        <v>0.44388991570762648</v>
      </c>
    </row>
    <row r="57" spans="1:10" ht="12" customHeight="1" x14ac:dyDescent="0.2">
      <c r="A57" s="2">
        <v>2010</v>
      </c>
      <c r="B57" s="20">
        <v>309.74127900000002</v>
      </c>
      <c r="C57" s="8">
        <v>122.60587222748815</v>
      </c>
      <c r="D57" s="8">
        <v>51.595511113960001</v>
      </c>
      <c r="E57" s="8">
        <f t="shared" si="0"/>
        <v>174.20138334144815</v>
      </c>
      <c r="F57" s="8">
        <v>20.506973337773999</v>
      </c>
      <c r="G57" s="8">
        <f t="shared" si="4"/>
        <v>153.69441000367414</v>
      </c>
      <c r="H57" s="142">
        <f t="shared" si="2"/>
        <v>0.49620254200498126</v>
      </c>
      <c r="I57" s="142">
        <f t="shared" si="7"/>
        <v>0.48131646574483183</v>
      </c>
    </row>
    <row r="58" spans="1:10" ht="12" customHeight="1" x14ac:dyDescent="0.2">
      <c r="A58" s="33">
        <v>2011</v>
      </c>
      <c r="B58" s="31">
        <v>311.97391399999998</v>
      </c>
      <c r="C58" s="39">
        <v>102.38465516587678</v>
      </c>
      <c r="D58" s="39">
        <v>52.362734306300013</v>
      </c>
      <c r="E58" s="39">
        <f t="shared" si="0"/>
        <v>154.74738947217679</v>
      </c>
      <c r="F58" s="39">
        <v>25.301551371865997</v>
      </c>
      <c r="G58" s="39">
        <f t="shared" si="4"/>
        <v>129.44583810031079</v>
      </c>
      <c r="H58" s="144">
        <f t="shared" si="2"/>
        <v>0.41492519820202278</v>
      </c>
      <c r="I58" s="144">
        <f t="shared" si="7"/>
        <v>0.4024774422559621</v>
      </c>
    </row>
    <row r="59" spans="1:10" s="93" customFormat="1" ht="12" customHeight="1" x14ac:dyDescent="0.2">
      <c r="A59" s="33">
        <v>2012</v>
      </c>
      <c r="B59" s="31">
        <v>314.16755799999999</v>
      </c>
      <c r="C59" s="39">
        <v>74.569360379146914</v>
      </c>
      <c r="D59" s="39">
        <v>51.363774687279999</v>
      </c>
      <c r="E59" s="39">
        <f t="shared" si="0"/>
        <v>125.93313506642691</v>
      </c>
      <c r="F59" s="39">
        <v>23.487331654401999</v>
      </c>
      <c r="G59" s="39">
        <f t="shared" si="4"/>
        <v>102.44580341202492</v>
      </c>
      <c r="H59" s="144">
        <f t="shared" ref="H59" si="8">IF(G59=0,0,IF(B59=0,0,G59/B59))</f>
        <v>0.32608651276471046</v>
      </c>
      <c r="I59" s="144">
        <f t="shared" si="7"/>
        <v>0.31630391738176916</v>
      </c>
      <c r="J59"/>
    </row>
    <row r="60" spans="1:10" s="93" customFormat="1" ht="12" customHeight="1" x14ac:dyDescent="0.2">
      <c r="A60" s="33">
        <v>2013</v>
      </c>
      <c r="B60" s="31">
        <v>316.29476599999998</v>
      </c>
      <c r="C60" s="39">
        <v>122.39764094786727</v>
      </c>
      <c r="D60" s="39">
        <v>53.070005062359996</v>
      </c>
      <c r="E60" s="39">
        <f t="shared" si="0"/>
        <v>175.46764601022727</v>
      </c>
      <c r="F60" s="39">
        <v>25.900710429131998</v>
      </c>
      <c r="G60" s="39">
        <f t="shared" ref="G60" si="9">E60-F60</f>
        <v>149.56693558109527</v>
      </c>
      <c r="H60" s="144">
        <f t="shared" ref="H60" si="10">IF(G60=0,0,IF(B60=0,0,G60/B60))</f>
        <v>0.47287199049349832</v>
      </c>
      <c r="I60" s="144">
        <f t="shared" ref="I60" si="11">H60*0.97</f>
        <v>0.45868583077869335</v>
      </c>
      <c r="J60" s="83"/>
    </row>
    <row r="61" spans="1:10" s="93" customFormat="1" ht="12" customHeight="1" x14ac:dyDescent="0.2">
      <c r="A61" s="33">
        <v>2014</v>
      </c>
      <c r="B61" s="31">
        <v>318.576955</v>
      </c>
      <c r="C61" s="39">
        <v>135.08801061611373</v>
      </c>
      <c r="D61" s="39">
        <v>51.150111735360007</v>
      </c>
      <c r="E61" s="39">
        <f t="shared" si="0"/>
        <v>186.23812235147375</v>
      </c>
      <c r="F61" s="39">
        <v>27.177606932475996</v>
      </c>
      <c r="G61" s="39">
        <f t="shared" ref="G61" si="12">E61-F61</f>
        <v>159.06051541899774</v>
      </c>
      <c r="H61" s="144">
        <f t="shared" ref="H61" si="13">IF(G61=0,0,IF(B61=0,0,G61/B61))</f>
        <v>0.49928443637424352</v>
      </c>
      <c r="I61" s="144">
        <f t="shared" ref="I61" si="14">H61*0.97</f>
        <v>0.4843059032830162</v>
      </c>
      <c r="J61" s="83"/>
    </row>
    <row r="62" spans="1:10" s="93" customFormat="1" ht="12" customHeight="1" x14ac:dyDescent="0.2">
      <c r="A62" s="33">
        <v>2015</v>
      </c>
      <c r="B62" s="31">
        <v>320.87070299999999</v>
      </c>
      <c r="C62" s="39">
        <v>119.78689592417059</v>
      </c>
      <c r="D62" s="39">
        <v>60.446019833319994</v>
      </c>
      <c r="E62" s="39">
        <f t="shared" si="0"/>
        <v>180.23291575749059</v>
      </c>
      <c r="F62" s="39">
        <v>22.875119923964</v>
      </c>
      <c r="G62" s="39">
        <f t="shared" ref="G62" si="15">E62-F62</f>
        <v>157.35779583352658</v>
      </c>
      <c r="H62" s="144">
        <f t="shared" ref="H62" si="16">IF(G62=0,0,IF(B62=0,0,G62/B62))</f>
        <v>0.49040873586245293</v>
      </c>
      <c r="I62" s="144">
        <f t="shared" ref="I62" si="17">H62*0.97</f>
        <v>0.47569647378657931</v>
      </c>
      <c r="J62" s="83"/>
    </row>
    <row r="63" spans="1:10" s="93" customFormat="1" ht="12" customHeight="1" x14ac:dyDescent="0.2">
      <c r="A63" s="128">
        <v>2016</v>
      </c>
      <c r="B63" s="129">
        <v>323.16101099999997</v>
      </c>
      <c r="C63" s="130">
        <v>113.61728075829383</v>
      </c>
      <c r="D63" s="130">
        <v>74.324799393239999</v>
      </c>
      <c r="E63" s="130">
        <f t="shared" si="0"/>
        <v>187.94208015153384</v>
      </c>
      <c r="F63" s="130">
        <v>21.284034867326</v>
      </c>
      <c r="G63" s="130">
        <f t="shared" ref="G63:G64" si="18">E63-F63</f>
        <v>166.65804528420784</v>
      </c>
      <c r="H63" s="145">
        <f t="shared" ref="H63:H64" si="19">IF(G63=0,0,IF(B63=0,0,G63/B63))</f>
        <v>0.51571210514689181</v>
      </c>
      <c r="I63" s="145">
        <f t="shared" ref="I63:I64" si="20">H63*0.97</f>
        <v>0.50024074199248503</v>
      </c>
      <c r="J63" s="83"/>
    </row>
    <row r="64" spans="1:10" s="93" customFormat="1" ht="12" customHeight="1" x14ac:dyDescent="0.2">
      <c r="A64" s="125">
        <v>2017</v>
      </c>
      <c r="B64" s="126">
        <v>325.20603</v>
      </c>
      <c r="C64" s="127">
        <v>116.54399165876777</v>
      </c>
      <c r="D64" s="127">
        <v>83.236916218499999</v>
      </c>
      <c r="E64" s="127">
        <f t="shared" si="0"/>
        <v>199.78090787726777</v>
      </c>
      <c r="F64" s="127">
        <v>25.838328281149998</v>
      </c>
      <c r="G64" s="127">
        <f t="shared" si="18"/>
        <v>173.94257959611775</v>
      </c>
      <c r="H64" s="146">
        <f t="shared" si="19"/>
        <v>0.53486886327451477</v>
      </c>
      <c r="I64" s="146">
        <f t="shared" si="20"/>
        <v>0.51882279737627934</v>
      </c>
      <c r="J64" s="83"/>
    </row>
    <row r="65" spans="1:10" s="93" customFormat="1" ht="12" customHeight="1" x14ac:dyDescent="0.2">
      <c r="A65" s="128">
        <v>2018</v>
      </c>
      <c r="B65" s="129">
        <v>326.92397599999998</v>
      </c>
      <c r="C65" s="130">
        <v>111.42880935229066</v>
      </c>
      <c r="D65" s="130">
        <v>90.224219004920002</v>
      </c>
      <c r="E65" s="130">
        <f t="shared" si="0"/>
        <v>201.65302835721064</v>
      </c>
      <c r="F65" s="130">
        <v>23.857377562325993</v>
      </c>
      <c r="G65" s="130">
        <f t="shared" ref="G65:G67" si="21">E65-F65</f>
        <v>177.79565079488464</v>
      </c>
      <c r="H65" s="145">
        <f t="shared" ref="H65:H67" si="22">IF(G65=0,0,IF(B65=0,0,G65/B65))</f>
        <v>0.54384402444342184</v>
      </c>
      <c r="I65" s="145">
        <f t="shared" ref="I65:I67" si="23">H65*0.97</f>
        <v>0.52752870371011917</v>
      </c>
      <c r="J65" s="83"/>
    </row>
    <row r="66" spans="1:10" s="93" customFormat="1" ht="12" customHeight="1" x14ac:dyDescent="0.2">
      <c r="A66" s="128">
        <v>2019</v>
      </c>
      <c r="B66" s="129">
        <v>328.475998</v>
      </c>
      <c r="C66" s="130">
        <v>112.5801605897841</v>
      </c>
      <c r="D66" s="162">
        <v>92.271792899220017</v>
      </c>
      <c r="E66" s="130">
        <f t="shared" si="0"/>
        <v>204.85195348900413</v>
      </c>
      <c r="F66" s="162">
        <v>28.205655410085996</v>
      </c>
      <c r="G66" s="130">
        <f t="shared" si="21"/>
        <v>176.64629807891814</v>
      </c>
      <c r="H66" s="145">
        <f t="shared" si="22"/>
        <v>0.53777536000946446</v>
      </c>
      <c r="I66" s="145">
        <f t="shared" si="23"/>
        <v>0.52164209920918048</v>
      </c>
      <c r="J66" s="83"/>
    </row>
    <row r="67" spans="1:10" s="93" customFormat="1" ht="12" customHeight="1" thickBot="1" x14ac:dyDescent="0.25">
      <c r="A67" s="148">
        <v>2020</v>
      </c>
      <c r="B67" s="149">
        <v>330.11398000000003</v>
      </c>
      <c r="C67" s="147">
        <v>187.85055759157891</v>
      </c>
      <c r="D67" s="124">
        <v>87.918087277020021</v>
      </c>
      <c r="E67" s="150">
        <f t="shared" si="0"/>
        <v>275.76864486859893</v>
      </c>
      <c r="F67" s="147">
        <v>26.073747599027332</v>
      </c>
      <c r="G67" s="150">
        <f t="shared" si="21"/>
        <v>249.69489726957158</v>
      </c>
      <c r="H67" s="152">
        <f t="shared" si="22"/>
        <v>0.75638995134217446</v>
      </c>
      <c r="I67" s="152">
        <f t="shared" si="23"/>
        <v>0.73369825280190926</v>
      </c>
      <c r="J67" s="83"/>
    </row>
    <row r="68" spans="1:10" ht="12" customHeight="1" thickTop="1" x14ac:dyDescent="0.2">
      <c r="A68" s="254" t="s">
        <v>8</v>
      </c>
      <c r="B68" s="255"/>
      <c r="C68" s="255"/>
      <c r="D68" s="255"/>
      <c r="E68" s="255"/>
      <c r="F68" s="255"/>
      <c r="G68" s="255"/>
      <c r="H68" s="255"/>
      <c r="I68" s="256"/>
      <c r="J68" s="101"/>
    </row>
    <row r="69" spans="1:10" ht="12" customHeight="1" x14ac:dyDescent="0.2">
      <c r="A69" s="248"/>
      <c r="B69" s="249"/>
      <c r="C69" s="249"/>
      <c r="D69" s="249"/>
      <c r="E69" s="249"/>
      <c r="F69" s="249"/>
      <c r="G69" s="249"/>
      <c r="H69" s="249"/>
      <c r="I69" s="250"/>
      <c r="J69" s="101"/>
    </row>
    <row r="70" spans="1:10" ht="12" customHeight="1" x14ac:dyDescent="0.2">
      <c r="A70" s="251" t="s">
        <v>242</v>
      </c>
      <c r="B70" s="252"/>
      <c r="C70" s="252"/>
      <c r="D70" s="252"/>
      <c r="E70" s="252"/>
      <c r="F70" s="252"/>
      <c r="G70" s="252"/>
      <c r="H70" s="252"/>
      <c r="I70" s="253"/>
      <c r="J70" s="101"/>
    </row>
    <row r="71" spans="1:10" ht="12" customHeight="1" x14ac:dyDescent="0.2">
      <c r="A71" s="251"/>
      <c r="B71" s="252"/>
      <c r="C71" s="252"/>
      <c r="D71" s="252"/>
      <c r="E71" s="252"/>
      <c r="F71" s="252"/>
      <c r="G71" s="252"/>
      <c r="H71" s="252"/>
      <c r="I71" s="253"/>
      <c r="J71" s="101"/>
    </row>
    <row r="72" spans="1:10" ht="12" customHeight="1" x14ac:dyDescent="0.2">
      <c r="A72" s="251"/>
      <c r="B72" s="252"/>
      <c r="C72" s="252"/>
      <c r="D72" s="252"/>
      <c r="E72" s="252"/>
      <c r="F72" s="252"/>
      <c r="G72" s="252"/>
      <c r="H72" s="252"/>
      <c r="I72" s="253"/>
      <c r="J72" s="101"/>
    </row>
    <row r="73" spans="1:10" ht="12" customHeight="1" x14ac:dyDescent="0.2">
      <c r="A73" s="251"/>
      <c r="B73" s="252"/>
      <c r="C73" s="252"/>
      <c r="D73" s="252"/>
      <c r="E73" s="252"/>
      <c r="F73" s="252"/>
      <c r="G73" s="252"/>
      <c r="H73" s="252"/>
      <c r="I73" s="253"/>
      <c r="J73" s="101"/>
    </row>
    <row r="74" spans="1:10" ht="12" customHeight="1" x14ac:dyDescent="0.2">
      <c r="A74" s="248"/>
      <c r="B74" s="249"/>
      <c r="C74" s="249"/>
      <c r="D74" s="249"/>
      <c r="E74" s="249"/>
      <c r="F74" s="249"/>
      <c r="G74" s="249"/>
      <c r="H74" s="249"/>
      <c r="I74" s="250"/>
      <c r="J74" s="101"/>
    </row>
    <row r="75" spans="1:10" ht="12" customHeight="1" x14ac:dyDescent="0.2">
      <c r="A75" s="223" t="s">
        <v>198</v>
      </c>
      <c r="B75" s="224"/>
      <c r="C75" s="224"/>
      <c r="D75" s="224"/>
      <c r="E75" s="224"/>
      <c r="F75" s="224"/>
      <c r="G75" s="224"/>
      <c r="H75" s="224"/>
      <c r="I75" s="225"/>
      <c r="J75" s="100"/>
    </row>
    <row r="76" spans="1:10" ht="12" customHeight="1" x14ac:dyDescent="0.2">
      <c r="A76" s="223"/>
      <c r="B76" s="224"/>
      <c r="C76" s="224"/>
      <c r="D76" s="224"/>
      <c r="E76" s="224"/>
      <c r="F76" s="224"/>
      <c r="G76" s="224"/>
      <c r="H76" s="224"/>
      <c r="I76" s="225"/>
      <c r="J76" s="100"/>
    </row>
  </sheetData>
  <mergeCells count="20">
    <mergeCell ref="H6:I6"/>
    <mergeCell ref="C6:G6"/>
    <mergeCell ref="A1:G1"/>
    <mergeCell ref="H1:I1"/>
    <mergeCell ref="G3:G5"/>
    <mergeCell ref="H4:H5"/>
    <mergeCell ref="C3:C5"/>
    <mergeCell ref="D3:D5"/>
    <mergeCell ref="F3:F5"/>
    <mergeCell ref="A2:A5"/>
    <mergeCell ref="B2:B5"/>
    <mergeCell ref="E3:E5"/>
    <mergeCell ref="C2:E2"/>
    <mergeCell ref="H3:I3"/>
    <mergeCell ref="G2:I2"/>
    <mergeCell ref="A68:I68"/>
    <mergeCell ref="A69:I69"/>
    <mergeCell ref="A74:I74"/>
    <mergeCell ref="A75:I76"/>
    <mergeCell ref="A70:I73"/>
  </mergeCells>
  <phoneticPr fontId="7" type="noConversion"/>
  <printOptions horizontalCentered="1"/>
  <pageMargins left="0.45" right="0.45" top="0.75" bottom="0.75" header="0" footer="0"/>
  <pageSetup scale="65" fitToWidth="2"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pageSetUpPr autoPageBreaks="0" fitToPage="1"/>
  </sheetPr>
  <dimension ref="A1:J75"/>
  <sheetViews>
    <sheetView showOutlineSymbols="0" zoomScaleNormal="100" workbookViewId="0">
      <pane ySplit="6" topLeftCell="A7" activePane="bottomLeft" state="frozen"/>
      <selection pane="bottomLeft" sqref="A1:G1"/>
    </sheetView>
  </sheetViews>
  <sheetFormatPr defaultColWidth="12.7109375" defaultRowHeight="12" customHeight="1" x14ac:dyDescent="0.2"/>
  <cols>
    <col min="1" max="1" width="12.7109375" style="13" customWidth="1"/>
    <col min="2" max="16384" width="12.7109375" style="13"/>
  </cols>
  <sheetData>
    <row r="1" spans="1:10" s="1" customFormat="1" ht="12" customHeight="1" thickBot="1" x14ac:dyDescent="0.25">
      <c r="A1" s="201" t="s">
        <v>173</v>
      </c>
      <c r="B1" s="201"/>
      <c r="C1" s="201"/>
      <c r="D1" s="201"/>
      <c r="E1" s="201"/>
      <c r="F1" s="201"/>
      <c r="G1" s="201"/>
      <c r="H1" s="200" t="s">
        <v>19</v>
      </c>
      <c r="I1" s="200"/>
    </row>
    <row r="2" spans="1:10" ht="12" customHeight="1" thickTop="1" x14ac:dyDescent="0.2">
      <c r="A2" s="257" t="s">
        <v>1</v>
      </c>
      <c r="B2" s="258" t="s">
        <v>85</v>
      </c>
      <c r="C2" s="218" t="s">
        <v>2</v>
      </c>
      <c r="D2" s="218"/>
      <c r="E2" s="218"/>
      <c r="F2" s="117" t="s">
        <v>146</v>
      </c>
      <c r="G2" s="244" t="s">
        <v>147</v>
      </c>
      <c r="H2" s="245"/>
      <c r="I2" s="245"/>
    </row>
    <row r="3" spans="1:10" ht="12" customHeight="1" x14ac:dyDescent="0.2">
      <c r="A3" s="217"/>
      <c r="B3" s="259"/>
      <c r="C3" s="217" t="s">
        <v>86</v>
      </c>
      <c r="D3" s="217" t="s">
        <v>87</v>
      </c>
      <c r="E3" s="217" t="s">
        <v>88</v>
      </c>
      <c r="F3" s="217" t="s">
        <v>95</v>
      </c>
      <c r="G3" s="217" t="s">
        <v>137</v>
      </c>
      <c r="H3" s="226" t="s">
        <v>28</v>
      </c>
      <c r="I3" s="227"/>
    </row>
    <row r="4" spans="1:10" ht="12" customHeight="1" x14ac:dyDescent="0.2">
      <c r="A4" s="217"/>
      <c r="B4" s="259"/>
      <c r="C4" s="217"/>
      <c r="D4" s="217"/>
      <c r="E4" s="217"/>
      <c r="F4" s="217"/>
      <c r="G4" s="217"/>
      <c r="H4" s="217" t="s">
        <v>4</v>
      </c>
      <c r="I4" s="14" t="s">
        <v>139</v>
      </c>
      <c r="J4" s="4"/>
    </row>
    <row r="5" spans="1:10" ht="12" customHeight="1" x14ac:dyDescent="0.2">
      <c r="A5" s="217"/>
      <c r="B5" s="259"/>
      <c r="C5" s="217"/>
      <c r="D5" s="217"/>
      <c r="E5" s="217"/>
      <c r="F5" s="217"/>
      <c r="G5" s="217"/>
      <c r="H5" s="217"/>
      <c r="I5" s="14" t="s">
        <v>188</v>
      </c>
    </row>
    <row r="6" spans="1:10" ht="12" customHeight="1" x14ac:dyDescent="0.2">
      <c r="A6" s="102"/>
      <c r="B6" s="167" t="s">
        <v>121</v>
      </c>
      <c r="C6" s="290" t="s">
        <v>122</v>
      </c>
      <c r="D6" s="291"/>
      <c r="E6" s="291"/>
      <c r="F6" s="291"/>
      <c r="G6" s="292"/>
      <c r="H6" s="214" t="s">
        <v>118</v>
      </c>
      <c r="I6" s="222"/>
      <c r="J6" s="102"/>
    </row>
    <row r="7" spans="1:10" ht="12" customHeight="1" x14ac:dyDescent="0.2">
      <c r="A7" s="2">
        <v>1960</v>
      </c>
      <c r="B7" s="20">
        <v>180.67099999999999</v>
      </c>
      <c r="C7" s="8" t="s">
        <v>3</v>
      </c>
      <c r="D7" s="8" t="s">
        <v>3</v>
      </c>
      <c r="E7" s="8" t="s">
        <v>3</v>
      </c>
      <c r="F7" s="8" t="s">
        <v>3</v>
      </c>
      <c r="G7" s="8" t="s">
        <v>3</v>
      </c>
      <c r="H7" s="8" t="s">
        <v>3</v>
      </c>
      <c r="I7" s="8" t="s">
        <v>3</v>
      </c>
    </row>
    <row r="8" spans="1:10" ht="12" customHeight="1" x14ac:dyDescent="0.2">
      <c r="A8" s="3">
        <v>1961</v>
      </c>
      <c r="B8" s="21">
        <v>183.691</v>
      </c>
      <c r="C8" s="9" t="s">
        <v>3</v>
      </c>
      <c r="D8" s="9" t="s">
        <v>3</v>
      </c>
      <c r="E8" s="9" t="s">
        <v>3</v>
      </c>
      <c r="F8" s="9" t="s">
        <v>3</v>
      </c>
      <c r="G8" s="9" t="s">
        <v>3</v>
      </c>
      <c r="H8" s="9" t="s">
        <v>3</v>
      </c>
      <c r="I8" s="9" t="s">
        <v>3</v>
      </c>
    </row>
    <row r="9" spans="1:10" ht="12" customHeight="1" x14ac:dyDescent="0.2">
      <c r="A9" s="3">
        <v>1962</v>
      </c>
      <c r="B9" s="21">
        <v>186.53800000000001</v>
      </c>
      <c r="C9" s="9" t="s">
        <v>3</v>
      </c>
      <c r="D9" s="9" t="s">
        <v>3</v>
      </c>
      <c r="E9" s="9" t="s">
        <v>3</v>
      </c>
      <c r="F9" s="9" t="s">
        <v>3</v>
      </c>
      <c r="G9" s="9" t="s">
        <v>3</v>
      </c>
      <c r="H9" s="9" t="s">
        <v>3</v>
      </c>
      <c r="I9" s="9" t="s">
        <v>3</v>
      </c>
    </row>
    <row r="10" spans="1:10" ht="12" customHeight="1" x14ac:dyDescent="0.2">
      <c r="A10" s="3">
        <v>1963</v>
      </c>
      <c r="B10" s="21">
        <v>189.24199999999999</v>
      </c>
      <c r="C10" s="9" t="s">
        <v>3</v>
      </c>
      <c r="D10" s="9" t="s">
        <v>3</v>
      </c>
      <c r="E10" s="9" t="s">
        <v>3</v>
      </c>
      <c r="F10" s="9" t="s">
        <v>3</v>
      </c>
      <c r="G10" s="9" t="s">
        <v>3</v>
      </c>
      <c r="H10" s="9" t="s">
        <v>3</v>
      </c>
      <c r="I10" s="9" t="s">
        <v>3</v>
      </c>
    </row>
    <row r="11" spans="1:10" ht="12" customHeight="1" x14ac:dyDescent="0.2">
      <c r="A11" s="3">
        <v>1964</v>
      </c>
      <c r="B11" s="21">
        <v>191.88900000000001</v>
      </c>
      <c r="C11" s="9" t="s">
        <v>3</v>
      </c>
      <c r="D11" s="9" t="s">
        <v>3</v>
      </c>
      <c r="E11" s="9" t="s">
        <v>3</v>
      </c>
      <c r="F11" s="9" t="s">
        <v>3</v>
      </c>
      <c r="G11" s="9" t="s">
        <v>3</v>
      </c>
      <c r="H11" s="9" t="s">
        <v>3</v>
      </c>
      <c r="I11" s="9" t="s">
        <v>3</v>
      </c>
    </row>
    <row r="12" spans="1:10" ht="12" customHeight="1" x14ac:dyDescent="0.2">
      <c r="A12" s="3">
        <v>1965</v>
      </c>
      <c r="B12" s="21">
        <v>194.303</v>
      </c>
      <c r="C12" s="9" t="s">
        <v>3</v>
      </c>
      <c r="D12" s="9" t="s">
        <v>3</v>
      </c>
      <c r="E12" s="9" t="s">
        <v>3</v>
      </c>
      <c r="F12" s="9" t="s">
        <v>3</v>
      </c>
      <c r="G12" s="9" t="s">
        <v>3</v>
      </c>
      <c r="H12" s="9" t="s">
        <v>3</v>
      </c>
      <c r="I12" s="9" t="s">
        <v>3</v>
      </c>
    </row>
    <row r="13" spans="1:10" ht="12" customHeight="1" x14ac:dyDescent="0.2">
      <c r="A13" s="2">
        <v>1966</v>
      </c>
      <c r="B13" s="20">
        <v>196.56</v>
      </c>
      <c r="C13" s="8" t="s">
        <v>3</v>
      </c>
      <c r="D13" s="8" t="s">
        <v>3</v>
      </c>
      <c r="E13" s="8" t="s">
        <v>3</v>
      </c>
      <c r="F13" s="8" t="s">
        <v>3</v>
      </c>
      <c r="G13" s="8" t="s">
        <v>3</v>
      </c>
      <c r="H13" s="8" t="s">
        <v>3</v>
      </c>
      <c r="I13" s="8" t="s">
        <v>3</v>
      </c>
    </row>
    <row r="14" spans="1:10" ht="12" customHeight="1" x14ac:dyDescent="0.2">
      <c r="A14" s="2">
        <v>1967</v>
      </c>
      <c r="B14" s="20">
        <v>198.71199999999999</v>
      </c>
      <c r="C14" s="8" t="s">
        <v>3</v>
      </c>
      <c r="D14" s="8" t="s">
        <v>3</v>
      </c>
      <c r="E14" s="8" t="s">
        <v>3</v>
      </c>
      <c r="F14" s="8" t="s">
        <v>3</v>
      </c>
      <c r="G14" s="8" t="s">
        <v>3</v>
      </c>
      <c r="H14" s="8" t="s">
        <v>3</v>
      </c>
      <c r="I14" s="8" t="s">
        <v>3</v>
      </c>
    </row>
    <row r="15" spans="1:10" ht="12" customHeight="1" x14ac:dyDescent="0.2">
      <c r="A15" s="2">
        <v>1968</v>
      </c>
      <c r="B15" s="20">
        <v>200.70599999999999</v>
      </c>
      <c r="C15" s="8" t="s">
        <v>3</v>
      </c>
      <c r="D15" s="8" t="s">
        <v>3</v>
      </c>
      <c r="E15" s="8" t="s">
        <v>3</v>
      </c>
      <c r="F15" s="8" t="s">
        <v>3</v>
      </c>
      <c r="G15" s="8" t="s">
        <v>3</v>
      </c>
      <c r="H15" s="8" t="s">
        <v>3</v>
      </c>
      <c r="I15" s="8" t="s">
        <v>3</v>
      </c>
    </row>
    <row r="16" spans="1:10" ht="12" customHeight="1" x14ac:dyDescent="0.2">
      <c r="A16" s="2">
        <v>1969</v>
      </c>
      <c r="B16" s="20">
        <v>202.67699999999999</v>
      </c>
      <c r="C16" s="8" t="s">
        <v>3</v>
      </c>
      <c r="D16" s="8" t="s">
        <v>3</v>
      </c>
      <c r="E16" s="8" t="s">
        <v>3</v>
      </c>
      <c r="F16" s="8" t="s">
        <v>3</v>
      </c>
      <c r="G16" s="8" t="s">
        <v>3</v>
      </c>
      <c r="H16" s="8" t="s">
        <v>3</v>
      </c>
      <c r="I16" s="8" t="s">
        <v>3</v>
      </c>
    </row>
    <row r="17" spans="1:9" ht="12" customHeight="1" x14ac:dyDescent="0.2">
      <c r="A17" s="2">
        <v>1970</v>
      </c>
      <c r="B17" s="20">
        <v>205.05199999999999</v>
      </c>
      <c r="C17" s="8" t="s">
        <v>3</v>
      </c>
      <c r="D17" s="8" t="s">
        <v>3</v>
      </c>
      <c r="E17" s="8" t="s">
        <v>3</v>
      </c>
      <c r="F17" s="8" t="s">
        <v>3</v>
      </c>
      <c r="G17" s="8" t="s">
        <v>3</v>
      </c>
      <c r="H17" s="8" t="s">
        <v>3</v>
      </c>
      <c r="I17" s="8" t="s">
        <v>3</v>
      </c>
    </row>
    <row r="18" spans="1:9" ht="12" customHeight="1" x14ac:dyDescent="0.2">
      <c r="A18" s="3">
        <v>1971</v>
      </c>
      <c r="B18" s="21">
        <v>207.661</v>
      </c>
      <c r="C18" s="9" t="s">
        <v>3</v>
      </c>
      <c r="D18" s="9" t="s">
        <v>3</v>
      </c>
      <c r="E18" s="9" t="s">
        <v>3</v>
      </c>
      <c r="F18" s="9" t="s">
        <v>3</v>
      </c>
      <c r="G18" s="9" t="s">
        <v>3</v>
      </c>
      <c r="H18" s="9" t="s">
        <v>3</v>
      </c>
      <c r="I18" s="9" t="s">
        <v>3</v>
      </c>
    </row>
    <row r="19" spans="1:9" ht="12" customHeight="1" x14ac:dyDescent="0.2">
      <c r="A19" s="3">
        <v>1972</v>
      </c>
      <c r="B19" s="21">
        <v>209.89599999999999</v>
      </c>
      <c r="C19" s="9" t="s">
        <v>3</v>
      </c>
      <c r="D19" s="9" t="s">
        <v>3</v>
      </c>
      <c r="E19" s="9" t="s">
        <v>3</v>
      </c>
      <c r="F19" s="9" t="s">
        <v>3</v>
      </c>
      <c r="G19" s="9" t="s">
        <v>3</v>
      </c>
      <c r="H19" s="9" t="s">
        <v>3</v>
      </c>
      <c r="I19" s="9" t="s">
        <v>3</v>
      </c>
    </row>
    <row r="20" spans="1:9" ht="12" customHeight="1" x14ac:dyDescent="0.2">
      <c r="A20" s="3">
        <v>1973</v>
      </c>
      <c r="B20" s="21">
        <v>211.90899999999999</v>
      </c>
      <c r="C20" s="9" t="s">
        <v>3</v>
      </c>
      <c r="D20" s="9" t="s">
        <v>3</v>
      </c>
      <c r="E20" s="9" t="s">
        <v>3</v>
      </c>
      <c r="F20" s="9" t="s">
        <v>3</v>
      </c>
      <c r="G20" s="9" t="s">
        <v>3</v>
      </c>
      <c r="H20" s="9" t="s">
        <v>3</v>
      </c>
      <c r="I20" s="9" t="s">
        <v>3</v>
      </c>
    </row>
    <row r="21" spans="1:9" ht="12" customHeight="1" x14ac:dyDescent="0.2">
      <c r="A21" s="3">
        <v>1974</v>
      </c>
      <c r="B21" s="21">
        <v>213.85400000000001</v>
      </c>
      <c r="C21" s="9" t="s">
        <v>3</v>
      </c>
      <c r="D21" s="9" t="s">
        <v>3</v>
      </c>
      <c r="E21" s="9" t="s">
        <v>3</v>
      </c>
      <c r="F21" s="9" t="s">
        <v>3</v>
      </c>
      <c r="G21" s="9" t="s">
        <v>3</v>
      </c>
      <c r="H21" s="9" t="s">
        <v>3</v>
      </c>
      <c r="I21" s="9" t="s">
        <v>3</v>
      </c>
    </row>
    <row r="22" spans="1:9" ht="12" customHeight="1" x14ac:dyDescent="0.2">
      <c r="A22" s="3">
        <v>1975</v>
      </c>
      <c r="B22" s="21">
        <v>215.97300000000001</v>
      </c>
      <c r="C22" s="9" t="s">
        <v>3</v>
      </c>
      <c r="D22" s="9" t="s">
        <v>3</v>
      </c>
      <c r="E22" s="9" t="s">
        <v>3</v>
      </c>
      <c r="F22" s="9" t="s">
        <v>3</v>
      </c>
      <c r="G22" s="9" t="s">
        <v>3</v>
      </c>
      <c r="H22" s="9" t="s">
        <v>3</v>
      </c>
      <c r="I22" s="9" t="s">
        <v>3</v>
      </c>
    </row>
    <row r="23" spans="1:9" ht="12" customHeight="1" x14ac:dyDescent="0.2">
      <c r="A23" s="2">
        <v>1976</v>
      </c>
      <c r="B23" s="20">
        <v>218.035</v>
      </c>
      <c r="C23" s="8" t="s">
        <v>3</v>
      </c>
      <c r="D23" s="8" t="s">
        <v>3</v>
      </c>
      <c r="E23" s="8" t="s">
        <v>3</v>
      </c>
      <c r="F23" s="8" t="s">
        <v>3</v>
      </c>
      <c r="G23" s="8" t="s">
        <v>3</v>
      </c>
      <c r="H23" s="8" t="s">
        <v>3</v>
      </c>
      <c r="I23" s="8" t="s">
        <v>3</v>
      </c>
    </row>
    <row r="24" spans="1:9" ht="12" customHeight="1" x14ac:dyDescent="0.2">
      <c r="A24" s="2">
        <v>1977</v>
      </c>
      <c r="B24" s="20">
        <v>220.23899999999998</v>
      </c>
      <c r="C24" s="8" t="s">
        <v>3</v>
      </c>
      <c r="D24" s="8" t="s">
        <v>3</v>
      </c>
      <c r="E24" s="8" t="s">
        <v>3</v>
      </c>
      <c r="F24" s="8" t="s">
        <v>3</v>
      </c>
      <c r="G24" s="8" t="s">
        <v>3</v>
      </c>
      <c r="H24" s="8" t="s">
        <v>3</v>
      </c>
      <c r="I24" s="8" t="s">
        <v>3</v>
      </c>
    </row>
    <row r="25" spans="1:9" ht="12" customHeight="1" x14ac:dyDescent="0.2">
      <c r="A25" s="2">
        <v>1978</v>
      </c>
      <c r="B25" s="20">
        <v>222.58500000000001</v>
      </c>
      <c r="C25" s="8" t="s">
        <v>3</v>
      </c>
      <c r="D25" s="8" t="s">
        <v>3</v>
      </c>
      <c r="E25" s="8" t="s">
        <v>3</v>
      </c>
      <c r="F25" s="8" t="s">
        <v>3</v>
      </c>
      <c r="G25" s="8" t="s">
        <v>3</v>
      </c>
      <c r="H25" s="8" t="s">
        <v>3</v>
      </c>
      <c r="I25" s="8" t="s">
        <v>3</v>
      </c>
    </row>
    <row r="26" spans="1:9" ht="12" customHeight="1" x14ac:dyDescent="0.2">
      <c r="A26" s="2">
        <v>1979</v>
      </c>
      <c r="B26" s="20">
        <v>225.05500000000001</v>
      </c>
      <c r="C26" s="8" t="s">
        <v>3</v>
      </c>
      <c r="D26" s="8" t="s">
        <v>3</v>
      </c>
      <c r="E26" s="8" t="s">
        <v>3</v>
      </c>
      <c r="F26" s="8" t="s">
        <v>3</v>
      </c>
      <c r="G26" s="8" t="s">
        <v>3</v>
      </c>
      <c r="H26" s="8" t="s">
        <v>3</v>
      </c>
      <c r="I26" s="8" t="s">
        <v>3</v>
      </c>
    </row>
    <row r="27" spans="1:9" ht="12" customHeight="1" x14ac:dyDescent="0.2">
      <c r="A27" s="2">
        <v>1980</v>
      </c>
      <c r="B27" s="20">
        <v>227.726</v>
      </c>
      <c r="C27" s="8" t="s">
        <v>3</v>
      </c>
      <c r="D27" s="8" t="s">
        <v>3</v>
      </c>
      <c r="E27" s="8" t="s">
        <v>3</v>
      </c>
      <c r="F27" s="8" t="s">
        <v>3</v>
      </c>
      <c r="G27" s="8" t="s">
        <v>3</v>
      </c>
      <c r="H27" s="8" t="s">
        <v>3</v>
      </c>
      <c r="I27" s="8" t="s">
        <v>3</v>
      </c>
    </row>
    <row r="28" spans="1:9" ht="12" customHeight="1" x14ac:dyDescent="0.2">
      <c r="A28" s="3">
        <v>1981</v>
      </c>
      <c r="B28" s="21">
        <v>229.96600000000001</v>
      </c>
      <c r="C28" s="9" t="s">
        <v>3</v>
      </c>
      <c r="D28" s="9" t="s">
        <v>3</v>
      </c>
      <c r="E28" s="9" t="s">
        <v>3</v>
      </c>
      <c r="F28" s="9" t="s">
        <v>3</v>
      </c>
      <c r="G28" s="9" t="s">
        <v>3</v>
      </c>
      <c r="H28" s="9" t="s">
        <v>3</v>
      </c>
      <c r="I28" s="9" t="s">
        <v>3</v>
      </c>
    </row>
    <row r="29" spans="1:9" ht="12" customHeight="1" x14ac:dyDescent="0.2">
      <c r="A29" s="3">
        <v>1982</v>
      </c>
      <c r="B29" s="21">
        <v>232.18799999999999</v>
      </c>
      <c r="C29" s="9" t="s">
        <v>3</v>
      </c>
      <c r="D29" s="9" t="s">
        <v>3</v>
      </c>
      <c r="E29" s="9" t="s">
        <v>3</v>
      </c>
      <c r="F29" s="9" t="s">
        <v>3</v>
      </c>
      <c r="G29" s="9" t="s">
        <v>3</v>
      </c>
      <c r="H29" s="9" t="s">
        <v>3</v>
      </c>
      <c r="I29" s="9" t="s">
        <v>3</v>
      </c>
    </row>
    <row r="30" spans="1:9" ht="12" customHeight="1" x14ac:dyDescent="0.2">
      <c r="A30" s="3">
        <v>1983</v>
      </c>
      <c r="B30" s="21">
        <v>234.30699999999999</v>
      </c>
      <c r="C30" s="9" t="s">
        <v>3</v>
      </c>
      <c r="D30" s="9" t="s">
        <v>3</v>
      </c>
      <c r="E30" s="9" t="s">
        <v>3</v>
      </c>
      <c r="F30" s="9" t="s">
        <v>3</v>
      </c>
      <c r="G30" s="9" t="s">
        <v>3</v>
      </c>
      <c r="H30" s="9" t="s">
        <v>3</v>
      </c>
      <c r="I30" s="9" t="s">
        <v>3</v>
      </c>
    </row>
    <row r="31" spans="1:9" ht="12" customHeight="1" x14ac:dyDescent="0.2">
      <c r="A31" s="3">
        <v>1984</v>
      </c>
      <c r="B31" s="21">
        <v>236.34800000000001</v>
      </c>
      <c r="C31" s="9" t="s">
        <v>3</v>
      </c>
      <c r="D31" s="9" t="s">
        <v>3</v>
      </c>
      <c r="E31" s="9" t="s">
        <v>3</v>
      </c>
      <c r="F31" s="9" t="s">
        <v>3</v>
      </c>
      <c r="G31" s="9" t="s">
        <v>3</v>
      </c>
      <c r="H31" s="9" t="s">
        <v>3</v>
      </c>
      <c r="I31" s="9" t="s">
        <v>3</v>
      </c>
    </row>
    <row r="32" spans="1:9" ht="12" customHeight="1" x14ac:dyDescent="0.2">
      <c r="A32" s="3">
        <v>1985</v>
      </c>
      <c r="B32" s="21">
        <v>238.46600000000001</v>
      </c>
      <c r="C32" s="171">
        <v>778.7</v>
      </c>
      <c r="D32" s="172" t="s">
        <v>3</v>
      </c>
      <c r="E32" s="172">
        <f t="shared" ref="E32:E67" si="0">SUM(C32,D32)</f>
        <v>778.7</v>
      </c>
      <c r="F32" s="172" t="s">
        <v>3</v>
      </c>
      <c r="G32" s="172">
        <f t="shared" ref="G32:G59" si="1">E32-SUM(F32)</f>
        <v>778.7</v>
      </c>
      <c r="H32" s="183">
        <f t="shared" ref="H32:H59" si="2">IF(G32=0,0,IF(B32=0,0,G32/B32))</f>
        <v>3.2654550334219552</v>
      </c>
      <c r="I32" s="143">
        <f t="shared" ref="I32:I47" si="3">H32*0.93</f>
        <v>3.0368731810824183</v>
      </c>
    </row>
    <row r="33" spans="1:9" ht="12" customHeight="1" x14ac:dyDescent="0.2">
      <c r="A33" s="2">
        <v>1986</v>
      </c>
      <c r="B33" s="20">
        <v>240.65100000000001</v>
      </c>
      <c r="C33" s="168">
        <v>571.20000000000005</v>
      </c>
      <c r="D33" s="170" t="s">
        <v>3</v>
      </c>
      <c r="E33" s="170">
        <f t="shared" si="0"/>
        <v>571.20000000000005</v>
      </c>
      <c r="F33" s="170" t="s">
        <v>3</v>
      </c>
      <c r="G33" s="170">
        <f t="shared" si="1"/>
        <v>571.20000000000005</v>
      </c>
      <c r="H33" s="142">
        <f t="shared" si="2"/>
        <v>2.3735617138511786</v>
      </c>
      <c r="I33" s="142">
        <f t="shared" si="3"/>
        <v>2.2074123938815964</v>
      </c>
    </row>
    <row r="34" spans="1:9" ht="12" customHeight="1" x14ac:dyDescent="0.2">
      <c r="A34" s="2">
        <v>1987</v>
      </c>
      <c r="B34" s="20">
        <v>242.804</v>
      </c>
      <c r="C34" s="168">
        <v>613</v>
      </c>
      <c r="D34" s="170" t="s">
        <v>3</v>
      </c>
      <c r="E34" s="170">
        <f t="shared" si="0"/>
        <v>613</v>
      </c>
      <c r="F34" s="170" t="s">
        <v>3</v>
      </c>
      <c r="G34" s="170">
        <f t="shared" si="1"/>
        <v>613</v>
      </c>
      <c r="H34" s="142">
        <f t="shared" si="2"/>
        <v>2.5246701042816428</v>
      </c>
      <c r="I34" s="142">
        <f t="shared" si="3"/>
        <v>2.347943196981928</v>
      </c>
    </row>
    <row r="35" spans="1:9" ht="12" customHeight="1" x14ac:dyDescent="0.2">
      <c r="A35" s="2">
        <v>1988</v>
      </c>
      <c r="B35" s="20">
        <v>245.02099999999999</v>
      </c>
      <c r="C35" s="168">
        <v>784.2</v>
      </c>
      <c r="D35" s="170" t="s">
        <v>3</v>
      </c>
      <c r="E35" s="170">
        <f t="shared" si="0"/>
        <v>784.2</v>
      </c>
      <c r="F35" s="170" t="s">
        <v>3</v>
      </c>
      <c r="G35" s="170">
        <f t="shared" si="1"/>
        <v>784.2</v>
      </c>
      <c r="H35" s="142">
        <f t="shared" si="2"/>
        <v>3.2005419943596674</v>
      </c>
      <c r="I35" s="142">
        <f t="shared" si="3"/>
        <v>2.976504054754491</v>
      </c>
    </row>
    <row r="36" spans="1:9" ht="12" customHeight="1" x14ac:dyDescent="0.2">
      <c r="A36" s="2">
        <v>1989</v>
      </c>
      <c r="B36" s="20">
        <v>247.34200000000001</v>
      </c>
      <c r="C36" s="168">
        <v>915.8</v>
      </c>
      <c r="D36" s="170">
        <v>23.5</v>
      </c>
      <c r="E36" s="170">
        <f t="shared" si="0"/>
        <v>939.3</v>
      </c>
      <c r="F36" s="170">
        <v>57.9</v>
      </c>
      <c r="G36" s="170">
        <f t="shared" si="1"/>
        <v>881.4</v>
      </c>
      <c r="H36" s="142">
        <f t="shared" si="2"/>
        <v>3.5634869937172011</v>
      </c>
      <c r="I36" s="142">
        <f t="shared" si="3"/>
        <v>3.3140429041569974</v>
      </c>
    </row>
    <row r="37" spans="1:9" ht="12" customHeight="1" x14ac:dyDescent="0.2">
      <c r="A37" s="2">
        <v>1990</v>
      </c>
      <c r="B37" s="20">
        <v>250.13200000000001</v>
      </c>
      <c r="C37" s="168">
        <v>1061.5999999999999</v>
      </c>
      <c r="D37" s="170">
        <v>12.1</v>
      </c>
      <c r="E37" s="170">
        <f t="shared" si="0"/>
        <v>1073.6999999999998</v>
      </c>
      <c r="F37" s="170">
        <v>130.63651300000001</v>
      </c>
      <c r="G37" s="170">
        <f t="shared" si="1"/>
        <v>943.06348699999978</v>
      </c>
      <c r="H37" s="142">
        <f t="shared" si="2"/>
        <v>3.7702632490045245</v>
      </c>
      <c r="I37" s="142">
        <f t="shared" si="3"/>
        <v>3.5063448215742081</v>
      </c>
    </row>
    <row r="38" spans="1:9" ht="12" customHeight="1" x14ac:dyDescent="0.2">
      <c r="A38" s="3">
        <v>1991</v>
      </c>
      <c r="B38" s="21">
        <v>253.49299999999999</v>
      </c>
      <c r="C38" s="171">
        <v>1157.5</v>
      </c>
      <c r="D38" s="172">
        <v>8.3000000000000007</v>
      </c>
      <c r="E38" s="172">
        <f t="shared" si="0"/>
        <v>1165.8</v>
      </c>
      <c r="F38" s="172">
        <v>152.66106099999999</v>
      </c>
      <c r="G38" s="172">
        <f t="shared" si="1"/>
        <v>1013.1389389999999</v>
      </c>
      <c r="H38" s="183">
        <f t="shared" si="2"/>
        <v>3.9967136725668952</v>
      </c>
      <c r="I38" s="143">
        <f t="shared" si="3"/>
        <v>3.7169437154872127</v>
      </c>
    </row>
    <row r="39" spans="1:9" ht="12" customHeight="1" x14ac:dyDescent="0.2">
      <c r="A39" s="3">
        <v>1992</v>
      </c>
      <c r="B39" s="21">
        <v>256.89400000000001</v>
      </c>
      <c r="C39" s="171">
        <v>1388.7</v>
      </c>
      <c r="D39" s="172">
        <v>5.9</v>
      </c>
      <c r="E39" s="172">
        <f t="shared" si="0"/>
        <v>1394.6000000000001</v>
      </c>
      <c r="F39" s="172">
        <v>195.00435100000001</v>
      </c>
      <c r="G39" s="172">
        <f t="shared" si="1"/>
        <v>1199.5956490000001</v>
      </c>
      <c r="H39" s="183">
        <f t="shared" si="2"/>
        <v>4.6696133385754441</v>
      </c>
      <c r="I39" s="143">
        <f t="shared" si="3"/>
        <v>4.3427404048751637</v>
      </c>
    </row>
    <row r="40" spans="1:9" ht="12" customHeight="1" x14ac:dyDescent="0.2">
      <c r="A40" s="3">
        <v>1993</v>
      </c>
      <c r="B40" s="21">
        <v>260.255</v>
      </c>
      <c r="C40" s="171">
        <v>1535.5</v>
      </c>
      <c r="D40" s="172">
        <v>6.8</v>
      </c>
      <c r="E40" s="172">
        <f t="shared" si="0"/>
        <v>1542.3</v>
      </c>
      <c r="F40" s="172">
        <v>230.17078699999999</v>
      </c>
      <c r="G40" s="172">
        <f t="shared" si="1"/>
        <v>1312.1292129999999</v>
      </c>
      <c r="H40" s="183">
        <f t="shared" si="2"/>
        <v>5.0417060690476649</v>
      </c>
      <c r="I40" s="143">
        <f t="shared" si="3"/>
        <v>4.6887866442143284</v>
      </c>
    </row>
    <row r="41" spans="1:9" ht="12" customHeight="1" x14ac:dyDescent="0.2">
      <c r="A41" s="3">
        <v>1994</v>
      </c>
      <c r="B41" s="21">
        <v>263.43599999999998</v>
      </c>
      <c r="C41" s="171">
        <v>1710</v>
      </c>
      <c r="D41" s="172">
        <v>8.9</v>
      </c>
      <c r="E41" s="172">
        <f t="shared" si="0"/>
        <v>1718.9</v>
      </c>
      <c r="F41" s="172">
        <v>223.05124900000001</v>
      </c>
      <c r="G41" s="172">
        <f t="shared" si="1"/>
        <v>1495.848751</v>
      </c>
      <c r="H41" s="183">
        <f t="shared" si="2"/>
        <v>5.6782245061419099</v>
      </c>
      <c r="I41" s="143">
        <f t="shared" si="3"/>
        <v>5.2807487907119768</v>
      </c>
    </row>
    <row r="42" spans="1:9" ht="12" customHeight="1" x14ac:dyDescent="0.2">
      <c r="A42" s="3">
        <v>1995</v>
      </c>
      <c r="B42" s="21">
        <v>266.55700000000002</v>
      </c>
      <c r="C42" s="171">
        <v>1787.4</v>
      </c>
      <c r="D42" s="172">
        <v>11.7</v>
      </c>
      <c r="E42" s="172">
        <f t="shared" si="0"/>
        <v>1799.1000000000001</v>
      </c>
      <c r="F42" s="172">
        <v>227.86768000000001</v>
      </c>
      <c r="G42" s="172">
        <f t="shared" si="1"/>
        <v>1571.2323200000001</v>
      </c>
      <c r="H42" s="183">
        <f t="shared" si="2"/>
        <v>5.8945453317676897</v>
      </c>
      <c r="I42" s="143">
        <f t="shared" si="3"/>
        <v>5.481927158543952</v>
      </c>
    </row>
    <row r="43" spans="1:9" ht="12" customHeight="1" x14ac:dyDescent="0.2">
      <c r="A43" s="2">
        <v>1996</v>
      </c>
      <c r="B43" s="20">
        <v>269.66699999999997</v>
      </c>
      <c r="C43" s="168">
        <v>1775.6</v>
      </c>
      <c r="D43" s="170">
        <v>16.569808999999999</v>
      </c>
      <c r="E43" s="170">
        <f t="shared" si="0"/>
        <v>1792.169809</v>
      </c>
      <c r="F43" s="170">
        <v>223.35247899999999</v>
      </c>
      <c r="G43" s="170">
        <f t="shared" si="1"/>
        <v>1568.8173300000001</v>
      </c>
      <c r="H43" s="142">
        <f t="shared" si="2"/>
        <v>5.8176096074046892</v>
      </c>
      <c r="I43" s="142">
        <f t="shared" si="3"/>
        <v>5.4103769348863615</v>
      </c>
    </row>
    <row r="44" spans="1:9" ht="12" customHeight="1" x14ac:dyDescent="0.2">
      <c r="A44" s="2">
        <v>1997</v>
      </c>
      <c r="B44" s="20">
        <v>272.91199999999998</v>
      </c>
      <c r="C44" s="168">
        <v>2024.5</v>
      </c>
      <c r="D44" s="170">
        <v>28.605449</v>
      </c>
      <c r="E44" s="170">
        <f t="shared" si="0"/>
        <v>2053.1054490000001</v>
      </c>
      <c r="F44" s="170">
        <v>253.32073</v>
      </c>
      <c r="G44" s="170">
        <f t="shared" si="1"/>
        <v>1799.7847190000002</v>
      </c>
      <c r="H44" s="142">
        <f t="shared" si="2"/>
        <v>6.5947437965351483</v>
      </c>
      <c r="I44" s="142">
        <f t="shared" si="3"/>
        <v>6.1331117307776886</v>
      </c>
    </row>
    <row r="45" spans="1:9" ht="12" customHeight="1" x14ac:dyDescent="0.2">
      <c r="A45" s="2">
        <v>1998</v>
      </c>
      <c r="B45" s="20">
        <v>276.11500000000001</v>
      </c>
      <c r="C45" s="168">
        <v>2076.6999999999998</v>
      </c>
      <c r="D45" s="170">
        <v>31.980772999999999</v>
      </c>
      <c r="E45" s="170">
        <f t="shared" si="0"/>
        <v>2108.680773</v>
      </c>
      <c r="F45" s="170">
        <v>282.30401999999998</v>
      </c>
      <c r="G45" s="170">
        <f t="shared" si="1"/>
        <v>1826.376753</v>
      </c>
      <c r="H45" s="142">
        <f t="shared" si="2"/>
        <v>6.614551013164804</v>
      </c>
      <c r="I45" s="142">
        <f t="shared" si="3"/>
        <v>6.1515324422432682</v>
      </c>
    </row>
    <row r="46" spans="1:9" ht="12" customHeight="1" x14ac:dyDescent="0.2">
      <c r="A46" s="2">
        <v>1999</v>
      </c>
      <c r="B46" s="20">
        <v>279.29500000000002</v>
      </c>
      <c r="C46" s="168">
        <v>2393.1000000000004</v>
      </c>
      <c r="D46" s="170">
        <v>28.406854000000003</v>
      </c>
      <c r="E46" s="170">
        <f t="shared" si="0"/>
        <v>2421.5068540000002</v>
      </c>
      <c r="F46" s="170">
        <v>301.21749699999998</v>
      </c>
      <c r="G46" s="170">
        <f t="shared" si="1"/>
        <v>2120.2893570000001</v>
      </c>
      <c r="H46" s="142">
        <f t="shared" si="2"/>
        <v>7.5915764943876543</v>
      </c>
      <c r="I46" s="142">
        <f t="shared" si="3"/>
        <v>7.0601661397805184</v>
      </c>
    </row>
    <row r="47" spans="1:9" ht="12" customHeight="1" x14ac:dyDescent="0.2">
      <c r="A47" s="2">
        <v>2000</v>
      </c>
      <c r="B47" s="20">
        <v>282.38499999999999</v>
      </c>
      <c r="C47" s="168">
        <v>2702.4</v>
      </c>
      <c r="D47" s="170">
        <v>32.76400202</v>
      </c>
      <c r="E47" s="170">
        <f t="shared" si="0"/>
        <v>2735.1640020200002</v>
      </c>
      <c r="F47" s="170">
        <v>367.36467554000001</v>
      </c>
      <c r="G47" s="170">
        <f t="shared" si="1"/>
        <v>2367.7993264800002</v>
      </c>
      <c r="H47" s="142">
        <f t="shared" si="2"/>
        <v>8.3850039006321175</v>
      </c>
      <c r="I47" s="142">
        <f t="shared" si="3"/>
        <v>7.79805362758787</v>
      </c>
    </row>
    <row r="48" spans="1:9" ht="12" customHeight="1" x14ac:dyDescent="0.2">
      <c r="A48" s="3">
        <v>2001</v>
      </c>
      <c r="B48" s="21">
        <v>285.30901899999998</v>
      </c>
      <c r="C48" s="171">
        <v>2646.1000000000004</v>
      </c>
      <c r="D48" s="172">
        <v>34.587412360000002</v>
      </c>
      <c r="E48" s="172">
        <f t="shared" si="0"/>
        <v>2680.6874123600005</v>
      </c>
      <c r="F48" s="172">
        <v>390.44416109000002</v>
      </c>
      <c r="G48" s="172">
        <f t="shared" si="1"/>
        <v>2290.2432512700007</v>
      </c>
      <c r="H48" s="183">
        <f t="shared" si="2"/>
        <v>8.0272374820019294</v>
      </c>
      <c r="I48" s="143">
        <f t="shared" ref="I48:I53" si="4">H48*0.93</f>
        <v>7.4653308582617948</v>
      </c>
    </row>
    <row r="49" spans="1:9" ht="12" customHeight="1" x14ac:dyDescent="0.2">
      <c r="A49" s="3">
        <v>2002</v>
      </c>
      <c r="B49" s="21">
        <v>288.10481800000002</v>
      </c>
      <c r="C49" s="171">
        <v>3197.4</v>
      </c>
      <c r="D49" s="172">
        <v>33.656626200000005</v>
      </c>
      <c r="E49" s="172">
        <f t="shared" si="0"/>
        <v>3231.0566262000002</v>
      </c>
      <c r="F49" s="172">
        <v>466.99524528000001</v>
      </c>
      <c r="G49" s="172">
        <f t="shared" si="1"/>
        <v>2764.0613809200004</v>
      </c>
      <c r="H49" s="183">
        <f t="shared" si="2"/>
        <v>9.5939436213107694</v>
      </c>
      <c r="I49" s="143">
        <f t="shared" si="4"/>
        <v>8.9223675678190162</v>
      </c>
    </row>
    <row r="50" spans="1:9" ht="12" customHeight="1" x14ac:dyDescent="0.2">
      <c r="A50" s="3">
        <v>2003</v>
      </c>
      <c r="B50" s="21">
        <v>290.81963400000001</v>
      </c>
      <c r="C50" s="171">
        <v>3547.3</v>
      </c>
      <c r="D50" s="172">
        <v>33.139728789999999</v>
      </c>
      <c r="E50" s="172">
        <f t="shared" si="0"/>
        <v>3580.4397287900001</v>
      </c>
      <c r="F50" s="172">
        <v>433.60927587000003</v>
      </c>
      <c r="G50" s="172">
        <f t="shared" si="1"/>
        <v>3146.83045292</v>
      </c>
      <c r="H50" s="183">
        <f t="shared" si="2"/>
        <v>10.820557091135051</v>
      </c>
      <c r="I50" s="143">
        <f t="shared" si="4"/>
        <v>10.063118094755598</v>
      </c>
    </row>
    <row r="51" spans="1:9" ht="12" customHeight="1" x14ac:dyDescent="0.2">
      <c r="A51" s="3">
        <v>2004</v>
      </c>
      <c r="B51" s="21">
        <v>293.46318500000001</v>
      </c>
      <c r="C51" s="171">
        <v>3971.2999999999997</v>
      </c>
      <c r="D51" s="172">
        <v>35.165521040000002</v>
      </c>
      <c r="E51" s="172">
        <f t="shared" si="0"/>
        <v>4006.4655210399997</v>
      </c>
      <c r="F51" s="172">
        <v>489.79849856000004</v>
      </c>
      <c r="G51" s="172">
        <f t="shared" si="1"/>
        <v>3516.6670224799996</v>
      </c>
      <c r="H51" s="183">
        <f t="shared" si="2"/>
        <v>11.98333284115348</v>
      </c>
      <c r="I51" s="143">
        <f t="shared" si="4"/>
        <v>11.144499542272737</v>
      </c>
    </row>
    <row r="52" spans="1:9" ht="12" customHeight="1" x14ac:dyDescent="0.2">
      <c r="A52" s="3">
        <v>2005</v>
      </c>
      <c r="B52" s="21">
        <v>296.186216</v>
      </c>
      <c r="C52" s="171">
        <v>3297.3</v>
      </c>
      <c r="D52" s="172">
        <v>51.913009460000005</v>
      </c>
      <c r="E52" s="172">
        <f t="shared" si="0"/>
        <v>3349.2130094600002</v>
      </c>
      <c r="F52" s="172">
        <v>486.31022093000001</v>
      </c>
      <c r="G52" s="172">
        <f t="shared" si="1"/>
        <v>2862.9027885300002</v>
      </c>
      <c r="H52" s="183">
        <f t="shared" si="2"/>
        <v>9.6658879916613003</v>
      </c>
      <c r="I52" s="143">
        <f t="shared" si="4"/>
        <v>8.9892758322450099</v>
      </c>
    </row>
    <row r="53" spans="1:9" ht="12" customHeight="1" x14ac:dyDescent="0.2">
      <c r="A53" s="2">
        <v>2006</v>
      </c>
      <c r="B53" s="20">
        <v>298.99582500000002</v>
      </c>
      <c r="C53" s="168">
        <v>3981.7</v>
      </c>
      <c r="D53" s="170">
        <v>61.297018590000008</v>
      </c>
      <c r="E53" s="170">
        <f t="shared" si="0"/>
        <v>4042.9970185899997</v>
      </c>
      <c r="F53" s="170">
        <v>460.96694338000003</v>
      </c>
      <c r="G53" s="170">
        <f t="shared" si="1"/>
        <v>3582.0300752099997</v>
      </c>
      <c r="H53" s="142">
        <f t="shared" si="2"/>
        <v>11.980200978425032</v>
      </c>
      <c r="I53" s="142">
        <f t="shared" si="4"/>
        <v>11.141586909935279</v>
      </c>
    </row>
    <row r="54" spans="1:9" ht="12" customHeight="1" x14ac:dyDescent="0.2">
      <c r="A54" s="2">
        <v>2007</v>
      </c>
      <c r="B54" s="20">
        <v>302.003917</v>
      </c>
      <c r="C54" s="168">
        <v>3864.9</v>
      </c>
      <c r="D54" s="170">
        <v>74.403350000000003</v>
      </c>
      <c r="E54" s="170">
        <f t="shared" si="0"/>
        <v>3939.3033500000001</v>
      </c>
      <c r="F54" s="170">
        <v>453.42177693000002</v>
      </c>
      <c r="G54" s="170">
        <f t="shared" si="1"/>
        <v>3485.8815730700003</v>
      </c>
      <c r="H54" s="142">
        <f t="shared" si="2"/>
        <v>11.54250450688691</v>
      </c>
      <c r="I54" s="142">
        <f t="shared" ref="I54:I59" si="5">H54*0.93</f>
        <v>10.734529191404826</v>
      </c>
    </row>
    <row r="55" spans="1:9" ht="12" customHeight="1" x14ac:dyDescent="0.2">
      <c r="A55" s="2">
        <v>2008</v>
      </c>
      <c r="B55" s="20">
        <v>304.79776099999998</v>
      </c>
      <c r="C55" s="168">
        <v>3555.5</v>
      </c>
      <c r="D55" s="170">
        <v>82.5595</v>
      </c>
      <c r="E55" s="170">
        <f t="shared" si="0"/>
        <v>3638.0594999999998</v>
      </c>
      <c r="F55" s="170">
        <v>466.10434700000002</v>
      </c>
      <c r="G55" s="170">
        <f t="shared" si="1"/>
        <v>3171.9551529999999</v>
      </c>
      <c r="H55" s="142">
        <f t="shared" si="2"/>
        <v>10.406753457089865</v>
      </c>
      <c r="I55" s="142">
        <f t="shared" si="5"/>
        <v>9.6782807150935746</v>
      </c>
    </row>
    <row r="56" spans="1:9" ht="12" customHeight="1" x14ac:dyDescent="0.2">
      <c r="A56" s="2">
        <v>2009</v>
      </c>
      <c r="B56" s="20">
        <v>307.43940600000002</v>
      </c>
      <c r="C56" s="168">
        <v>3420</v>
      </c>
      <c r="D56" s="170">
        <v>95.611801999999997</v>
      </c>
      <c r="E56" s="170">
        <f t="shared" si="0"/>
        <v>3515.6118019999999</v>
      </c>
      <c r="F56" s="170">
        <v>442.51718899999997</v>
      </c>
      <c r="G56" s="170">
        <f t="shared" si="1"/>
        <v>3073.0946129999998</v>
      </c>
      <c r="H56" s="142">
        <f t="shared" si="2"/>
        <v>9.9957733232154364</v>
      </c>
      <c r="I56" s="142">
        <f t="shared" si="5"/>
        <v>9.296069190590357</v>
      </c>
    </row>
    <row r="57" spans="1:9" ht="12" customHeight="1" x14ac:dyDescent="0.2">
      <c r="A57" s="2">
        <v>2010</v>
      </c>
      <c r="B57" s="20">
        <v>309.74127900000002</v>
      </c>
      <c r="C57" s="168">
        <v>4039.3</v>
      </c>
      <c r="D57" s="170">
        <v>103.33605756386002</v>
      </c>
      <c r="E57" s="170">
        <f t="shared" si="0"/>
        <v>4142.63605756386</v>
      </c>
      <c r="F57" s="170">
        <v>422.33686862157998</v>
      </c>
      <c r="G57" s="170">
        <f t="shared" si="1"/>
        <v>3720.2991889422801</v>
      </c>
      <c r="H57" s="142">
        <f t="shared" si="2"/>
        <v>12.010989303567381</v>
      </c>
      <c r="I57" s="142">
        <f t="shared" si="5"/>
        <v>11.170220052317665</v>
      </c>
    </row>
    <row r="58" spans="1:9" ht="12.75" customHeight="1" x14ac:dyDescent="0.2">
      <c r="A58" s="33">
        <v>2011</v>
      </c>
      <c r="B58" s="31">
        <v>311.97391399999998</v>
      </c>
      <c r="C58" s="171">
        <v>4008.1</v>
      </c>
      <c r="D58" s="172">
        <v>115.4304529697</v>
      </c>
      <c r="E58" s="172">
        <f t="shared" si="0"/>
        <v>4123.5304529696996</v>
      </c>
      <c r="F58" s="172">
        <v>463.68018023403994</v>
      </c>
      <c r="G58" s="172">
        <f t="shared" si="1"/>
        <v>3659.8502727356595</v>
      </c>
      <c r="H58" s="183">
        <f t="shared" si="2"/>
        <v>11.731270175158491</v>
      </c>
      <c r="I58" s="144">
        <f t="shared" si="5"/>
        <v>10.910081262897396</v>
      </c>
    </row>
    <row r="59" spans="1:9" s="93" customFormat="1" ht="12.75" customHeight="1" x14ac:dyDescent="0.2">
      <c r="A59" s="33">
        <v>2012</v>
      </c>
      <c r="B59" s="31">
        <v>314.16755799999999</v>
      </c>
      <c r="C59" s="171">
        <v>4108.1000000000004</v>
      </c>
      <c r="D59" s="172">
        <v>120.83057486103999</v>
      </c>
      <c r="E59" s="172">
        <f t="shared" si="0"/>
        <v>4228.9305748610404</v>
      </c>
      <c r="F59" s="172">
        <v>480.79136702409994</v>
      </c>
      <c r="G59" s="172">
        <f t="shared" si="1"/>
        <v>3748.1392078369404</v>
      </c>
      <c r="H59" s="183">
        <f t="shared" si="2"/>
        <v>11.930382728559582</v>
      </c>
      <c r="I59" s="144">
        <f t="shared" si="5"/>
        <v>11.095255937560411</v>
      </c>
    </row>
    <row r="60" spans="1:9" s="93" customFormat="1" ht="12.75" customHeight="1" x14ac:dyDescent="0.2">
      <c r="A60" s="33">
        <v>2013</v>
      </c>
      <c r="B60" s="31">
        <v>316.29476599999998</v>
      </c>
      <c r="C60" s="171">
        <v>3927</v>
      </c>
      <c r="D60" s="172">
        <v>169.69892914722004</v>
      </c>
      <c r="E60" s="172">
        <f t="shared" si="0"/>
        <v>4096.69892914722</v>
      </c>
      <c r="F60" s="172">
        <v>482.78007095054005</v>
      </c>
      <c r="G60" s="172">
        <f t="shared" ref="G60" si="6">E60-SUM(F60)</f>
        <v>3613.91885819668</v>
      </c>
      <c r="H60" s="183">
        <f t="shared" ref="H60" si="7">IF(G60=0,0,IF(B60=0,0,G60/B60))</f>
        <v>11.425794058813734</v>
      </c>
      <c r="I60" s="144">
        <f t="shared" ref="I60" si="8">H60*0.93</f>
        <v>10.625988474696774</v>
      </c>
    </row>
    <row r="61" spans="1:9" s="93" customFormat="1" ht="12.75" customHeight="1" x14ac:dyDescent="0.2">
      <c r="A61" s="33">
        <v>2014</v>
      </c>
      <c r="B61" s="31">
        <v>318.576955</v>
      </c>
      <c r="C61" s="171">
        <v>3766.3</v>
      </c>
      <c r="D61" s="172">
        <v>153.90591331522003</v>
      </c>
      <c r="E61" s="172">
        <f t="shared" si="0"/>
        <v>3920.2059133152202</v>
      </c>
      <c r="F61" s="172">
        <v>479.72786274534008</v>
      </c>
      <c r="G61" s="172">
        <f t="shared" ref="G61" si="9">E61-SUM(F61)</f>
        <v>3440.47805056988</v>
      </c>
      <c r="H61" s="183">
        <f t="shared" ref="H61" si="10">IF(G61=0,0,IF(B61=0,0,G61/B61))</f>
        <v>10.799519540168497</v>
      </c>
      <c r="I61" s="144">
        <f t="shared" ref="I61" si="11">H61*0.93</f>
        <v>10.043553172356702</v>
      </c>
    </row>
    <row r="62" spans="1:9" s="93" customFormat="1" ht="12.75" customHeight="1" x14ac:dyDescent="0.2">
      <c r="A62" s="33">
        <v>2015</v>
      </c>
      <c r="B62" s="31">
        <v>320.87070299999999</v>
      </c>
      <c r="C62" s="171">
        <v>4056.8</v>
      </c>
      <c r="D62" s="172">
        <v>191.46744843974002</v>
      </c>
      <c r="E62" s="172">
        <f t="shared" si="0"/>
        <v>4248.2674484397403</v>
      </c>
      <c r="F62" s="172">
        <v>431.86735710601999</v>
      </c>
      <c r="G62" s="172">
        <f t="shared" ref="G62" si="12">E62-SUM(F62)</f>
        <v>3816.4000913337204</v>
      </c>
      <c r="H62" s="183">
        <f t="shared" ref="H62" si="13">IF(G62=0,0,IF(B62=0,0,G62/B62))</f>
        <v>11.893887648987763</v>
      </c>
      <c r="I62" s="144">
        <f t="shared" ref="I62" si="14">H62*0.93</f>
        <v>11.06131551355862</v>
      </c>
    </row>
    <row r="63" spans="1:9" s="93" customFormat="1" ht="12.75" customHeight="1" x14ac:dyDescent="0.2">
      <c r="A63" s="128">
        <v>2016</v>
      </c>
      <c r="B63" s="129">
        <v>323.16101099999997</v>
      </c>
      <c r="C63" s="168">
        <v>4938</v>
      </c>
      <c r="D63" s="170">
        <v>185.79201360280004</v>
      </c>
      <c r="E63" s="170">
        <f t="shared" si="0"/>
        <v>5123.7920136027997</v>
      </c>
      <c r="F63" s="170">
        <v>427.05005076250006</v>
      </c>
      <c r="G63" s="170">
        <f t="shared" ref="G63:G64" si="15">E63-SUM(F63)</f>
        <v>4696.7419628402995</v>
      </c>
      <c r="H63" s="142">
        <f t="shared" ref="H63:H64" si="16">IF(G63=0,0,IF(B63=0,0,G63/B63))</f>
        <v>14.533751916131676</v>
      </c>
      <c r="I63" s="145">
        <f t="shared" ref="I63:I64" si="17">H63*0.93</f>
        <v>13.516389282002459</v>
      </c>
    </row>
    <row r="64" spans="1:9" s="93" customFormat="1" ht="12.75" customHeight="1" x14ac:dyDescent="0.2">
      <c r="A64" s="125">
        <v>2017</v>
      </c>
      <c r="B64" s="126">
        <v>325.20603</v>
      </c>
      <c r="C64" s="168">
        <v>4998.3</v>
      </c>
      <c r="D64" s="170">
        <v>330.39441729030005</v>
      </c>
      <c r="E64" s="170">
        <f t="shared" si="0"/>
        <v>5328.6944172903004</v>
      </c>
      <c r="F64" s="170">
        <v>424.08478615624006</v>
      </c>
      <c r="G64" s="170">
        <f t="shared" si="15"/>
        <v>4904.6096311340607</v>
      </c>
      <c r="H64" s="142">
        <f t="shared" si="16"/>
        <v>15.081545785402751</v>
      </c>
      <c r="I64" s="146">
        <f t="shared" si="17"/>
        <v>14.025837580424559</v>
      </c>
    </row>
    <row r="65" spans="1:10" s="93" customFormat="1" ht="12.75" customHeight="1" x14ac:dyDescent="0.2">
      <c r="A65" s="128">
        <v>2018</v>
      </c>
      <c r="B65" s="129">
        <v>326.92397599999998</v>
      </c>
      <c r="C65" s="168">
        <v>3975.74</v>
      </c>
      <c r="D65" s="170">
        <v>404.89613082468009</v>
      </c>
      <c r="E65" s="170">
        <f t="shared" si="0"/>
        <v>4380.6361308246796</v>
      </c>
      <c r="F65" s="170">
        <v>415.56111455649994</v>
      </c>
      <c r="G65" s="170">
        <f t="shared" ref="G65:G67" si="18">E65-SUM(F65)</f>
        <v>3965.0750162681798</v>
      </c>
      <c r="H65" s="142">
        <f t="shared" ref="H65:H67" si="19">IF(G65=0,0,IF(B65=0,0,G65/B65))</f>
        <v>12.128431401030618</v>
      </c>
      <c r="I65" s="145">
        <f t="shared" ref="I65:I67" si="20">H65*0.93</f>
        <v>11.279441202958475</v>
      </c>
    </row>
    <row r="66" spans="1:10" s="93" customFormat="1" ht="12.75" customHeight="1" x14ac:dyDescent="0.2">
      <c r="A66" s="128">
        <v>2019</v>
      </c>
      <c r="B66" s="129">
        <v>328.475998</v>
      </c>
      <c r="C66" s="168">
        <v>3967.83</v>
      </c>
      <c r="D66" s="170">
        <v>528.75222917044005</v>
      </c>
      <c r="E66" s="170">
        <f t="shared" si="0"/>
        <v>4496.5822291704399</v>
      </c>
      <c r="F66" s="170">
        <v>438.92059566739999</v>
      </c>
      <c r="G66" s="170">
        <f t="shared" si="18"/>
        <v>4057.6616335030399</v>
      </c>
      <c r="H66" s="142">
        <f t="shared" si="19"/>
        <v>12.352992785497344</v>
      </c>
      <c r="I66" s="145">
        <f t="shared" si="20"/>
        <v>11.48828329051253</v>
      </c>
    </row>
    <row r="67" spans="1:10" s="93" customFormat="1" ht="12.75" customHeight="1" thickBot="1" x14ac:dyDescent="0.25">
      <c r="A67" s="148">
        <v>2020</v>
      </c>
      <c r="B67" s="149">
        <v>330.11398000000003</v>
      </c>
      <c r="C67" s="168">
        <v>4593.25</v>
      </c>
      <c r="D67" s="170">
        <v>583.90316402769997</v>
      </c>
      <c r="E67" s="170">
        <f t="shared" si="0"/>
        <v>5177.1531640276999</v>
      </c>
      <c r="F67" s="170">
        <v>418.47730432155993</v>
      </c>
      <c r="G67" s="170">
        <f t="shared" si="18"/>
        <v>4758.6758597061398</v>
      </c>
      <c r="H67" s="142">
        <f t="shared" si="19"/>
        <v>14.415250937588706</v>
      </c>
      <c r="I67" s="152">
        <f t="shared" si="20"/>
        <v>13.406183371957496</v>
      </c>
    </row>
    <row r="68" spans="1:10" ht="12" customHeight="1" thickTop="1" x14ac:dyDescent="0.2">
      <c r="A68" s="254" t="s">
        <v>8</v>
      </c>
      <c r="B68" s="255"/>
      <c r="C68" s="255"/>
      <c r="D68" s="255"/>
      <c r="E68" s="255"/>
      <c r="F68" s="255"/>
      <c r="G68" s="255"/>
      <c r="H68" s="255"/>
      <c r="I68" s="256"/>
      <c r="J68" s="94"/>
    </row>
    <row r="69" spans="1:10" ht="12" customHeight="1" x14ac:dyDescent="0.2">
      <c r="A69" s="248"/>
      <c r="B69" s="249"/>
      <c r="C69" s="249"/>
      <c r="D69" s="249"/>
      <c r="E69" s="249"/>
      <c r="F69" s="249"/>
      <c r="G69" s="249"/>
      <c r="H69" s="249"/>
      <c r="I69" s="250"/>
      <c r="J69" s="94"/>
    </row>
    <row r="70" spans="1:10" ht="12" customHeight="1" x14ac:dyDescent="0.2">
      <c r="A70" s="251" t="s">
        <v>218</v>
      </c>
      <c r="B70" s="252"/>
      <c r="C70" s="252"/>
      <c r="D70" s="252"/>
      <c r="E70" s="252"/>
      <c r="F70" s="252"/>
      <c r="G70" s="252"/>
      <c r="H70" s="252"/>
      <c r="I70" s="253"/>
      <c r="J70" s="94"/>
    </row>
    <row r="71" spans="1:10" s="93" customFormat="1" ht="12" customHeight="1" x14ac:dyDescent="0.2">
      <c r="A71" s="251"/>
      <c r="B71" s="252"/>
      <c r="C71" s="252"/>
      <c r="D71" s="252"/>
      <c r="E71" s="252"/>
      <c r="F71" s="252"/>
      <c r="G71" s="252"/>
      <c r="H71" s="252"/>
      <c r="I71" s="253"/>
      <c r="J71" s="94"/>
    </row>
    <row r="72" spans="1:10" ht="12" customHeight="1" x14ac:dyDescent="0.2">
      <c r="A72" s="251"/>
      <c r="B72" s="252"/>
      <c r="C72" s="252"/>
      <c r="D72" s="252"/>
      <c r="E72" s="252"/>
      <c r="F72" s="252"/>
      <c r="G72" s="252"/>
      <c r="H72" s="252"/>
      <c r="I72" s="253"/>
      <c r="J72" s="94"/>
    </row>
    <row r="73" spans="1:10" ht="12" customHeight="1" x14ac:dyDescent="0.2">
      <c r="A73" s="248"/>
      <c r="B73" s="249"/>
      <c r="C73" s="249"/>
      <c r="D73" s="249"/>
      <c r="E73" s="249"/>
      <c r="F73" s="249"/>
      <c r="G73" s="249"/>
      <c r="H73" s="249"/>
      <c r="I73" s="250"/>
      <c r="J73" s="93"/>
    </row>
    <row r="74" spans="1:10" ht="12" customHeight="1" x14ac:dyDescent="0.2">
      <c r="A74" s="223" t="s">
        <v>198</v>
      </c>
      <c r="B74" s="224"/>
      <c r="C74" s="224"/>
      <c r="D74" s="224"/>
      <c r="E74" s="224"/>
      <c r="F74" s="224"/>
      <c r="G74" s="224"/>
      <c r="H74" s="224"/>
      <c r="I74" s="225"/>
      <c r="J74" s="93"/>
    </row>
    <row r="75" spans="1:10" ht="12" customHeight="1" x14ac:dyDescent="0.2">
      <c r="A75" s="223"/>
      <c r="B75" s="224"/>
      <c r="C75" s="224"/>
      <c r="D75" s="224"/>
      <c r="E75" s="224"/>
      <c r="F75" s="224"/>
      <c r="G75" s="224"/>
      <c r="H75" s="224"/>
      <c r="I75" s="225"/>
      <c r="J75" s="93"/>
    </row>
  </sheetData>
  <mergeCells count="20">
    <mergeCell ref="H6:I6"/>
    <mergeCell ref="C6:G6"/>
    <mergeCell ref="A1:G1"/>
    <mergeCell ref="H1:I1"/>
    <mergeCell ref="G3:G5"/>
    <mergeCell ref="C3:C5"/>
    <mergeCell ref="D3:D5"/>
    <mergeCell ref="F3:F5"/>
    <mergeCell ref="A2:A5"/>
    <mergeCell ref="B2:B5"/>
    <mergeCell ref="E3:E5"/>
    <mergeCell ref="C2:E2"/>
    <mergeCell ref="H4:H5"/>
    <mergeCell ref="H3:I3"/>
    <mergeCell ref="G2:I2"/>
    <mergeCell ref="A68:I68"/>
    <mergeCell ref="A69:I69"/>
    <mergeCell ref="A73:I73"/>
    <mergeCell ref="A74:I75"/>
    <mergeCell ref="A70:I72"/>
  </mergeCells>
  <phoneticPr fontId="7" type="noConversion"/>
  <printOptions horizontalCentered="1"/>
  <pageMargins left="0.45" right="0.45" top="0.75" bottom="0.75" header="0" footer="0"/>
  <pageSetup scale="66" fitToWidth="2"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pageSetUpPr autoPageBreaks="0" fitToPage="1"/>
  </sheetPr>
  <dimension ref="A1:J75"/>
  <sheetViews>
    <sheetView showOutlineSymbols="0" zoomScaleNormal="100" workbookViewId="0">
      <pane ySplit="6" topLeftCell="A7" activePane="bottomLeft" state="frozen"/>
      <selection pane="bottomLeft" sqref="A1:G1"/>
    </sheetView>
  </sheetViews>
  <sheetFormatPr defaultColWidth="12.7109375" defaultRowHeight="12" customHeight="1" x14ac:dyDescent="0.2"/>
  <cols>
    <col min="1" max="1" width="12.7109375" style="13" customWidth="1"/>
    <col min="2" max="16384" width="12.7109375" style="13"/>
  </cols>
  <sheetData>
    <row r="1" spans="1:10" s="1" customFormat="1" ht="12" customHeight="1" thickBot="1" x14ac:dyDescent="0.25">
      <c r="A1" s="201" t="s">
        <v>174</v>
      </c>
      <c r="B1" s="201"/>
      <c r="C1" s="201"/>
      <c r="D1" s="201"/>
      <c r="E1" s="201"/>
      <c r="F1" s="201"/>
      <c r="G1" s="201"/>
      <c r="H1" s="200" t="s">
        <v>19</v>
      </c>
      <c r="I1" s="200"/>
    </row>
    <row r="2" spans="1:10" ht="12" customHeight="1" thickTop="1" x14ac:dyDescent="0.2">
      <c r="A2" s="257" t="s">
        <v>1</v>
      </c>
      <c r="B2" s="258" t="s">
        <v>85</v>
      </c>
      <c r="C2" s="218" t="s">
        <v>2</v>
      </c>
      <c r="D2" s="218"/>
      <c r="E2" s="218"/>
      <c r="F2" s="117" t="s">
        <v>146</v>
      </c>
      <c r="G2" s="244" t="s">
        <v>147</v>
      </c>
      <c r="H2" s="245"/>
      <c r="I2" s="245"/>
    </row>
    <row r="3" spans="1:10" ht="12" customHeight="1" x14ac:dyDescent="0.2">
      <c r="A3" s="217"/>
      <c r="B3" s="259"/>
      <c r="C3" s="217" t="s">
        <v>86</v>
      </c>
      <c r="D3" s="217" t="s">
        <v>87</v>
      </c>
      <c r="E3" s="217" t="s">
        <v>88</v>
      </c>
      <c r="F3" s="217" t="s">
        <v>95</v>
      </c>
      <c r="G3" s="217" t="s">
        <v>137</v>
      </c>
      <c r="H3" s="226" t="s">
        <v>28</v>
      </c>
      <c r="I3" s="227"/>
    </row>
    <row r="4" spans="1:10" ht="12" customHeight="1" x14ac:dyDescent="0.2">
      <c r="A4" s="217"/>
      <c r="B4" s="259"/>
      <c r="C4" s="217"/>
      <c r="D4" s="217"/>
      <c r="E4" s="217"/>
      <c r="F4" s="217"/>
      <c r="G4" s="217"/>
      <c r="H4" s="217" t="s">
        <v>4</v>
      </c>
      <c r="I4" s="14" t="s">
        <v>139</v>
      </c>
      <c r="J4" s="4"/>
    </row>
    <row r="5" spans="1:10" ht="12" customHeight="1" x14ac:dyDescent="0.2">
      <c r="A5" s="217"/>
      <c r="B5" s="259"/>
      <c r="C5" s="217"/>
      <c r="D5" s="217"/>
      <c r="E5" s="217"/>
      <c r="F5" s="217"/>
      <c r="G5" s="217"/>
      <c r="H5" s="217"/>
      <c r="I5" s="14" t="s">
        <v>183</v>
      </c>
    </row>
    <row r="6" spans="1:10" ht="12" customHeight="1" x14ac:dyDescent="0.2">
      <c r="A6" s="103"/>
      <c r="B6" s="167" t="s">
        <v>121</v>
      </c>
      <c r="C6" s="290" t="s">
        <v>122</v>
      </c>
      <c r="D6" s="291"/>
      <c r="E6" s="291"/>
      <c r="F6" s="291"/>
      <c r="G6" s="292"/>
      <c r="H6" s="214" t="s">
        <v>118</v>
      </c>
      <c r="I6" s="222"/>
      <c r="J6" s="103"/>
    </row>
    <row r="7" spans="1:10" ht="12" customHeight="1" x14ac:dyDescent="0.2">
      <c r="A7" s="2">
        <v>1960</v>
      </c>
      <c r="B7" s="20">
        <v>180.67099999999999</v>
      </c>
      <c r="C7" s="8">
        <v>152.30000000000001</v>
      </c>
      <c r="D7" s="8" t="s">
        <v>3</v>
      </c>
      <c r="E7" s="8">
        <f t="shared" ref="E7:E38" si="0">SUM(C7,D7)</f>
        <v>152.30000000000001</v>
      </c>
      <c r="F7" s="8" t="s">
        <v>3</v>
      </c>
      <c r="G7" s="8">
        <f t="shared" ref="G7:G24" si="1">E7-SUM(F7)</f>
        <v>152.30000000000001</v>
      </c>
      <c r="H7" s="142">
        <f t="shared" ref="H7:H38" si="2">IF(G7=0,0,IF(B7=0,0,G7/B7))</f>
        <v>0.84296871108257565</v>
      </c>
      <c r="I7" s="142">
        <f t="shared" ref="I7:I16" si="3">H7*0.88</f>
        <v>0.74181246575266657</v>
      </c>
    </row>
    <row r="8" spans="1:10" ht="12" customHeight="1" x14ac:dyDescent="0.2">
      <c r="A8" s="3">
        <v>1961</v>
      </c>
      <c r="B8" s="21">
        <v>183.691</v>
      </c>
      <c r="C8" s="9">
        <v>128</v>
      </c>
      <c r="D8" s="9" t="s">
        <v>3</v>
      </c>
      <c r="E8" s="9">
        <f t="shared" si="0"/>
        <v>128</v>
      </c>
      <c r="F8" s="9" t="s">
        <v>3</v>
      </c>
      <c r="G8" s="9">
        <f t="shared" si="1"/>
        <v>128</v>
      </c>
      <c r="H8" s="143">
        <f t="shared" si="2"/>
        <v>0.69682238106385175</v>
      </c>
      <c r="I8" s="143">
        <f t="shared" si="3"/>
        <v>0.61320369533618957</v>
      </c>
    </row>
    <row r="9" spans="1:10" ht="12" customHeight="1" x14ac:dyDescent="0.2">
      <c r="A9" s="3">
        <v>1962</v>
      </c>
      <c r="B9" s="21">
        <v>186.53800000000001</v>
      </c>
      <c r="C9" s="9">
        <v>112.6</v>
      </c>
      <c r="D9" s="9" t="s">
        <v>3</v>
      </c>
      <c r="E9" s="9">
        <f t="shared" si="0"/>
        <v>112.6</v>
      </c>
      <c r="F9" s="9" t="s">
        <v>3</v>
      </c>
      <c r="G9" s="9">
        <f t="shared" si="1"/>
        <v>112.6</v>
      </c>
      <c r="H9" s="143">
        <f t="shared" si="2"/>
        <v>0.60363035949779664</v>
      </c>
      <c r="I9" s="143">
        <f t="shared" si="3"/>
        <v>0.53119471635806104</v>
      </c>
    </row>
    <row r="10" spans="1:10" ht="12" customHeight="1" x14ac:dyDescent="0.2">
      <c r="A10" s="3">
        <v>1963</v>
      </c>
      <c r="B10" s="21">
        <v>189.24199999999999</v>
      </c>
      <c r="C10" s="9">
        <v>110.9</v>
      </c>
      <c r="D10" s="9" t="s">
        <v>3</v>
      </c>
      <c r="E10" s="9">
        <f t="shared" si="0"/>
        <v>110.9</v>
      </c>
      <c r="F10" s="9" t="s">
        <v>3</v>
      </c>
      <c r="G10" s="9">
        <f t="shared" si="1"/>
        <v>110.9</v>
      </c>
      <c r="H10" s="143">
        <f t="shared" si="2"/>
        <v>0.58602213039388729</v>
      </c>
      <c r="I10" s="143">
        <f t="shared" si="3"/>
        <v>0.51569947474662081</v>
      </c>
    </row>
    <row r="11" spans="1:10" ht="12" customHeight="1" x14ac:dyDescent="0.2">
      <c r="A11" s="3">
        <v>1964</v>
      </c>
      <c r="B11" s="21">
        <v>191.88900000000001</v>
      </c>
      <c r="C11" s="9">
        <v>105.7</v>
      </c>
      <c r="D11" s="9" t="s">
        <v>3</v>
      </c>
      <c r="E11" s="9">
        <f t="shared" si="0"/>
        <v>105.7</v>
      </c>
      <c r="F11" s="9" t="s">
        <v>3</v>
      </c>
      <c r="G11" s="9">
        <f t="shared" si="1"/>
        <v>105.7</v>
      </c>
      <c r="H11" s="143">
        <f t="shared" si="2"/>
        <v>0.55083928729630149</v>
      </c>
      <c r="I11" s="143">
        <f t="shared" si="3"/>
        <v>0.48473857282074534</v>
      </c>
    </row>
    <row r="12" spans="1:10" ht="12" customHeight="1" x14ac:dyDescent="0.2">
      <c r="A12" s="3">
        <v>1965</v>
      </c>
      <c r="B12" s="21">
        <v>194.303</v>
      </c>
      <c r="C12" s="9">
        <v>98.9</v>
      </c>
      <c r="D12" s="9" t="s">
        <v>3</v>
      </c>
      <c r="E12" s="9">
        <f t="shared" si="0"/>
        <v>98.9</v>
      </c>
      <c r="F12" s="9" t="s">
        <v>3</v>
      </c>
      <c r="G12" s="9">
        <f t="shared" si="1"/>
        <v>98.9</v>
      </c>
      <c r="H12" s="143">
        <f t="shared" si="2"/>
        <v>0.50899883172158955</v>
      </c>
      <c r="I12" s="143">
        <f t="shared" si="3"/>
        <v>0.4479189719149988</v>
      </c>
    </row>
    <row r="13" spans="1:10" ht="12" customHeight="1" x14ac:dyDescent="0.2">
      <c r="A13" s="2">
        <v>1966</v>
      </c>
      <c r="B13" s="20">
        <v>196.56</v>
      </c>
      <c r="C13" s="8">
        <v>86.3</v>
      </c>
      <c r="D13" s="8" t="s">
        <v>3</v>
      </c>
      <c r="E13" s="8">
        <f t="shared" si="0"/>
        <v>86.3</v>
      </c>
      <c r="F13" s="8" t="s">
        <v>3</v>
      </c>
      <c r="G13" s="8">
        <f t="shared" si="1"/>
        <v>86.3</v>
      </c>
      <c r="H13" s="142">
        <f t="shared" si="2"/>
        <v>0.43905168905168901</v>
      </c>
      <c r="I13" s="142">
        <f t="shared" si="3"/>
        <v>0.38636548636548634</v>
      </c>
    </row>
    <row r="14" spans="1:10" ht="12" customHeight="1" x14ac:dyDescent="0.2">
      <c r="A14" s="2">
        <v>1967</v>
      </c>
      <c r="B14" s="20">
        <v>198.71199999999999</v>
      </c>
      <c r="C14" s="8">
        <v>88.2</v>
      </c>
      <c r="D14" s="8" t="s">
        <v>3</v>
      </c>
      <c r="E14" s="8">
        <f t="shared" si="0"/>
        <v>88.2</v>
      </c>
      <c r="F14" s="8" t="s">
        <v>3</v>
      </c>
      <c r="G14" s="8">
        <f t="shared" si="1"/>
        <v>88.2</v>
      </c>
      <c r="H14" s="142">
        <f t="shared" si="2"/>
        <v>0.44385844840774591</v>
      </c>
      <c r="I14" s="142">
        <f t="shared" si="3"/>
        <v>0.3905954345988164</v>
      </c>
    </row>
    <row r="15" spans="1:10" ht="12" customHeight="1" x14ac:dyDescent="0.2">
      <c r="A15" s="2">
        <v>1968</v>
      </c>
      <c r="B15" s="20">
        <v>200.70599999999999</v>
      </c>
      <c r="C15" s="8">
        <v>78.599999999999994</v>
      </c>
      <c r="D15" s="8" t="s">
        <v>3</v>
      </c>
      <c r="E15" s="8">
        <f t="shared" si="0"/>
        <v>78.599999999999994</v>
      </c>
      <c r="F15" s="8" t="s">
        <v>3</v>
      </c>
      <c r="G15" s="8">
        <f t="shared" si="1"/>
        <v>78.599999999999994</v>
      </c>
      <c r="H15" s="142">
        <f t="shared" si="2"/>
        <v>0.39161758990762607</v>
      </c>
      <c r="I15" s="142">
        <f t="shared" si="3"/>
        <v>0.34462347911871094</v>
      </c>
    </row>
    <row r="16" spans="1:10" ht="12" customHeight="1" x14ac:dyDescent="0.2">
      <c r="A16" s="2">
        <v>1969</v>
      </c>
      <c r="B16" s="20">
        <v>202.67699999999999</v>
      </c>
      <c r="C16" s="8">
        <v>60.6</v>
      </c>
      <c r="D16" s="8" t="s">
        <v>3</v>
      </c>
      <c r="E16" s="8">
        <f t="shared" si="0"/>
        <v>60.6</v>
      </c>
      <c r="F16" s="8" t="s">
        <v>3</v>
      </c>
      <c r="G16" s="8">
        <f t="shared" si="1"/>
        <v>60.6</v>
      </c>
      <c r="H16" s="142">
        <f t="shared" si="2"/>
        <v>0.29899791293536021</v>
      </c>
      <c r="I16" s="142">
        <f t="shared" si="3"/>
        <v>0.263118163383117</v>
      </c>
    </row>
    <row r="17" spans="1:9" ht="12" customHeight="1" x14ac:dyDescent="0.2">
      <c r="A17" s="2">
        <v>1970</v>
      </c>
      <c r="B17" s="20">
        <v>205.05199999999999</v>
      </c>
      <c r="C17" s="8">
        <v>61.1</v>
      </c>
      <c r="D17" s="8" t="s">
        <v>3</v>
      </c>
      <c r="E17" s="8">
        <f t="shared" si="0"/>
        <v>61.1</v>
      </c>
      <c r="F17" s="8" t="s">
        <v>3</v>
      </c>
      <c r="G17" s="8">
        <f t="shared" si="1"/>
        <v>61.1</v>
      </c>
      <c r="H17" s="142">
        <f t="shared" si="2"/>
        <v>0.29797319704270137</v>
      </c>
      <c r="I17" s="142">
        <f t="shared" ref="I17:I38" si="4">H17*0.88</f>
        <v>0.26221641339757723</v>
      </c>
    </row>
    <row r="18" spans="1:9" ht="12" customHeight="1" x14ac:dyDescent="0.2">
      <c r="A18" s="3">
        <v>1971</v>
      </c>
      <c r="B18" s="21">
        <v>207.661</v>
      </c>
      <c r="C18" s="9">
        <v>63.3</v>
      </c>
      <c r="D18" s="9" t="s">
        <v>3</v>
      </c>
      <c r="E18" s="9">
        <f t="shared" si="0"/>
        <v>63.3</v>
      </c>
      <c r="F18" s="9" t="s">
        <v>3</v>
      </c>
      <c r="G18" s="9">
        <f t="shared" si="1"/>
        <v>63.3</v>
      </c>
      <c r="H18" s="143">
        <f t="shared" si="2"/>
        <v>0.30482372713220102</v>
      </c>
      <c r="I18" s="143">
        <f t="shared" si="4"/>
        <v>0.26824487987633688</v>
      </c>
    </row>
    <row r="19" spans="1:9" ht="12" customHeight="1" x14ac:dyDescent="0.2">
      <c r="A19" s="3">
        <v>1972</v>
      </c>
      <c r="B19" s="21">
        <v>209.89599999999999</v>
      </c>
      <c r="C19" s="9">
        <v>59.4</v>
      </c>
      <c r="D19" s="9" t="s">
        <v>3</v>
      </c>
      <c r="E19" s="9">
        <f t="shared" si="0"/>
        <v>59.4</v>
      </c>
      <c r="F19" s="9" t="s">
        <v>3</v>
      </c>
      <c r="G19" s="9">
        <f t="shared" si="1"/>
        <v>59.4</v>
      </c>
      <c r="H19" s="143">
        <f t="shared" si="2"/>
        <v>0.28299729389793044</v>
      </c>
      <c r="I19" s="143">
        <f t="shared" si="4"/>
        <v>0.24903761863017879</v>
      </c>
    </row>
    <row r="20" spans="1:9" ht="12" customHeight="1" x14ac:dyDescent="0.2">
      <c r="A20" s="3">
        <v>1973</v>
      </c>
      <c r="B20" s="21">
        <v>211.90899999999999</v>
      </c>
      <c r="C20" s="9">
        <v>62.8</v>
      </c>
      <c r="D20" s="9" t="s">
        <v>3</v>
      </c>
      <c r="E20" s="9">
        <f t="shared" si="0"/>
        <v>62.8</v>
      </c>
      <c r="F20" s="9" t="s">
        <v>3</v>
      </c>
      <c r="G20" s="9">
        <f t="shared" si="1"/>
        <v>62.8</v>
      </c>
      <c r="H20" s="143">
        <f t="shared" si="2"/>
        <v>0.29635362348932798</v>
      </c>
      <c r="I20" s="143">
        <f t="shared" si="4"/>
        <v>0.26079118867060863</v>
      </c>
    </row>
    <row r="21" spans="1:9" ht="12" customHeight="1" x14ac:dyDescent="0.2">
      <c r="A21" s="3">
        <v>1974</v>
      </c>
      <c r="B21" s="21">
        <v>213.85400000000001</v>
      </c>
      <c r="C21" s="9">
        <v>60.7</v>
      </c>
      <c r="D21" s="9" t="s">
        <v>3</v>
      </c>
      <c r="E21" s="9">
        <f t="shared" si="0"/>
        <v>60.7</v>
      </c>
      <c r="F21" s="9" t="s">
        <v>3</v>
      </c>
      <c r="G21" s="9">
        <f t="shared" si="1"/>
        <v>60.7</v>
      </c>
      <c r="H21" s="143">
        <f t="shared" si="2"/>
        <v>0.28383850664472021</v>
      </c>
      <c r="I21" s="143">
        <f t="shared" si="4"/>
        <v>0.24977788584735378</v>
      </c>
    </row>
    <row r="22" spans="1:9" ht="12" customHeight="1" x14ac:dyDescent="0.2">
      <c r="A22" s="3">
        <v>1975</v>
      </c>
      <c r="B22" s="21">
        <v>215.97300000000001</v>
      </c>
      <c r="C22" s="9">
        <v>62.9</v>
      </c>
      <c r="D22" s="9" t="s">
        <v>3</v>
      </c>
      <c r="E22" s="9">
        <f t="shared" si="0"/>
        <v>62.9</v>
      </c>
      <c r="F22" s="9" t="s">
        <v>3</v>
      </c>
      <c r="G22" s="9">
        <f t="shared" si="1"/>
        <v>62.9</v>
      </c>
      <c r="H22" s="143">
        <f t="shared" si="2"/>
        <v>0.29124010871729333</v>
      </c>
      <c r="I22" s="143">
        <f t="shared" si="4"/>
        <v>0.25629129567121811</v>
      </c>
    </row>
    <row r="23" spans="1:9" ht="12" customHeight="1" x14ac:dyDescent="0.2">
      <c r="A23" s="2">
        <v>1976</v>
      </c>
      <c r="B23" s="20">
        <v>218.035</v>
      </c>
      <c r="C23" s="8">
        <v>68.5</v>
      </c>
      <c r="D23" s="8" t="s">
        <v>3</v>
      </c>
      <c r="E23" s="8">
        <f t="shared" si="0"/>
        <v>68.5</v>
      </c>
      <c r="F23" s="8" t="s">
        <v>3</v>
      </c>
      <c r="G23" s="8">
        <f t="shared" si="1"/>
        <v>68.5</v>
      </c>
      <c r="H23" s="142">
        <f t="shared" si="2"/>
        <v>0.31416974338982273</v>
      </c>
      <c r="I23" s="142">
        <f t="shared" si="4"/>
        <v>0.27646937418304401</v>
      </c>
    </row>
    <row r="24" spans="1:9" ht="12" customHeight="1" x14ac:dyDescent="0.2">
      <c r="A24" s="2">
        <v>1977</v>
      </c>
      <c r="B24" s="20">
        <v>220.23899999999998</v>
      </c>
      <c r="C24" s="8">
        <v>83.6</v>
      </c>
      <c r="D24" s="8" t="s">
        <v>3</v>
      </c>
      <c r="E24" s="8">
        <f t="shared" si="0"/>
        <v>83.6</v>
      </c>
      <c r="F24" s="8" t="s">
        <v>3</v>
      </c>
      <c r="G24" s="8">
        <f t="shared" si="1"/>
        <v>83.6</v>
      </c>
      <c r="H24" s="142">
        <f t="shared" si="2"/>
        <v>0.37958762980216948</v>
      </c>
      <c r="I24" s="142">
        <f t="shared" si="4"/>
        <v>0.33403711422590915</v>
      </c>
    </row>
    <row r="25" spans="1:9" ht="12" customHeight="1" x14ac:dyDescent="0.2">
      <c r="A25" s="2">
        <v>1978</v>
      </c>
      <c r="B25" s="20">
        <v>222.58500000000001</v>
      </c>
      <c r="C25" s="8">
        <v>91.5</v>
      </c>
      <c r="D25" s="8" t="s">
        <v>3</v>
      </c>
      <c r="E25" s="8">
        <f t="shared" si="0"/>
        <v>91.5</v>
      </c>
      <c r="F25" s="8">
        <v>16.126929781819999</v>
      </c>
      <c r="G25" s="8">
        <f t="shared" ref="G25:G59" si="5">E25-F25</f>
        <v>75.373070218180004</v>
      </c>
      <c r="H25" s="142">
        <f t="shared" si="2"/>
        <v>0.33862600902208145</v>
      </c>
      <c r="I25" s="142">
        <f t="shared" si="4"/>
        <v>0.29799088793943168</v>
      </c>
    </row>
    <row r="26" spans="1:9" ht="12" customHeight="1" x14ac:dyDescent="0.2">
      <c r="A26" s="2">
        <v>1979</v>
      </c>
      <c r="B26" s="20">
        <v>225.05500000000001</v>
      </c>
      <c r="C26" s="8">
        <v>106.4</v>
      </c>
      <c r="D26" s="8" t="s">
        <v>3</v>
      </c>
      <c r="E26" s="8">
        <f t="shared" si="0"/>
        <v>106.4</v>
      </c>
      <c r="F26" s="8">
        <v>16.61699035238</v>
      </c>
      <c r="G26" s="8">
        <f t="shared" si="5"/>
        <v>89.783009647620005</v>
      </c>
      <c r="H26" s="142">
        <f t="shared" si="2"/>
        <v>0.39893808023647553</v>
      </c>
      <c r="I26" s="142">
        <f t="shared" si="4"/>
        <v>0.35106551060809849</v>
      </c>
    </row>
    <row r="27" spans="1:9" ht="12" customHeight="1" x14ac:dyDescent="0.2">
      <c r="A27" s="2">
        <v>1980</v>
      </c>
      <c r="B27" s="20">
        <v>227.726</v>
      </c>
      <c r="C27" s="8">
        <v>118.7</v>
      </c>
      <c r="D27" s="8" t="s">
        <v>3</v>
      </c>
      <c r="E27" s="8">
        <f t="shared" si="0"/>
        <v>118.7</v>
      </c>
      <c r="F27" s="8">
        <v>17.533711031540001</v>
      </c>
      <c r="G27" s="8">
        <f t="shared" si="5"/>
        <v>101.16628896846001</v>
      </c>
      <c r="H27" s="142">
        <f t="shared" si="2"/>
        <v>0.44424566790116199</v>
      </c>
      <c r="I27" s="142">
        <f t="shared" si="4"/>
        <v>0.39093618775302258</v>
      </c>
    </row>
    <row r="28" spans="1:9" ht="12" customHeight="1" x14ac:dyDescent="0.2">
      <c r="A28" s="3">
        <v>1981</v>
      </c>
      <c r="B28" s="21">
        <v>229.96600000000001</v>
      </c>
      <c r="C28" s="9">
        <v>142.6</v>
      </c>
      <c r="D28" s="9" t="s">
        <v>3</v>
      </c>
      <c r="E28" s="9">
        <f t="shared" si="0"/>
        <v>142.6</v>
      </c>
      <c r="F28" s="9">
        <v>21.442711730440003</v>
      </c>
      <c r="G28" s="9">
        <f t="shared" si="5"/>
        <v>121.15728826955998</v>
      </c>
      <c r="H28" s="143">
        <f t="shared" si="2"/>
        <v>0.526848700545124</v>
      </c>
      <c r="I28" s="143">
        <f t="shared" si="4"/>
        <v>0.46362685647970914</v>
      </c>
    </row>
    <row r="29" spans="1:9" ht="12" customHeight="1" x14ac:dyDescent="0.2">
      <c r="A29" s="3">
        <v>1982</v>
      </c>
      <c r="B29" s="21">
        <v>232.18799999999999</v>
      </c>
      <c r="C29" s="9">
        <v>146.69999999999999</v>
      </c>
      <c r="D29" s="9" t="s">
        <v>3</v>
      </c>
      <c r="E29" s="9">
        <f t="shared" si="0"/>
        <v>146.69999999999999</v>
      </c>
      <c r="F29" s="9">
        <v>19.001970314580003</v>
      </c>
      <c r="G29" s="9">
        <f t="shared" si="5"/>
        <v>127.69802968541998</v>
      </c>
      <c r="H29" s="143">
        <f t="shared" si="2"/>
        <v>0.54997687083492686</v>
      </c>
      <c r="I29" s="143">
        <f t="shared" si="4"/>
        <v>0.48397964633473561</v>
      </c>
    </row>
    <row r="30" spans="1:9" ht="12" customHeight="1" x14ac:dyDescent="0.2">
      <c r="A30" s="3">
        <v>1983</v>
      </c>
      <c r="B30" s="21">
        <v>234.30699999999999</v>
      </c>
      <c r="C30" s="9">
        <v>140.80000000000001</v>
      </c>
      <c r="D30" s="9" t="s">
        <v>3</v>
      </c>
      <c r="E30" s="9">
        <f t="shared" si="0"/>
        <v>140.80000000000001</v>
      </c>
      <c r="F30" s="9">
        <v>20.613990663200003</v>
      </c>
      <c r="G30" s="9">
        <f t="shared" si="5"/>
        <v>120.18600933680001</v>
      </c>
      <c r="H30" s="143">
        <f t="shared" si="2"/>
        <v>0.51294246154318912</v>
      </c>
      <c r="I30" s="143">
        <f t="shared" si="4"/>
        <v>0.45138936615800646</v>
      </c>
    </row>
    <row r="31" spans="1:9" ht="12" customHeight="1" x14ac:dyDescent="0.2">
      <c r="A31" s="3">
        <v>1984</v>
      </c>
      <c r="B31" s="21">
        <v>236.34800000000001</v>
      </c>
      <c r="C31" s="9">
        <v>146.4</v>
      </c>
      <c r="D31" s="9" t="s">
        <v>3</v>
      </c>
      <c r="E31" s="9">
        <f t="shared" si="0"/>
        <v>146.4</v>
      </c>
      <c r="F31" s="9">
        <v>21.072520758520003</v>
      </c>
      <c r="G31" s="9">
        <f t="shared" si="5"/>
        <v>125.32747924148001</v>
      </c>
      <c r="H31" s="143">
        <f t="shared" si="2"/>
        <v>0.53026672212787918</v>
      </c>
      <c r="I31" s="143">
        <f t="shared" si="4"/>
        <v>0.46663471547253366</v>
      </c>
    </row>
    <row r="32" spans="1:9" ht="12" customHeight="1" x14ac:dyDescent="0.2">
      <c r="A32" s="3">
        <v>1985</v>
      </c>
      <c r="B32" s="21">
        <v>238.46600000000001</v>
      </c>
      <c r="C32" s="9">
        <v>181.7</v>
      </c>
      <c r="D32" s="9" t="s">
        <v>3</v>
      </c>
      <c r="E32" s="9">
        <f t="shared" si="0"/>
        <v>181.7</v>
      </c>
      <c r="F32" s="9">
        <v>21.04699787278</v>
      </c>
      <c r="G32" s="9">
        <f t="shared" si="5"/>
        <v>160.65300212721999</v>
      </c>
      <c r="H32" s="143">
        <f t="shared" si="2"/>
        <v>0.67369353336416926</v>
      </c>
      <c r="I32" s="143">
        <f t="shared" si="4"/>
        <v>0.59285030936046901</v>
      </c>
    </row>
    <row r="33" spans="1:9" ht="12" customHeight="1" x14ac:dyDescent="0.2">
      <c r="A33" s="2">
        <v>1986</v>
      </c>
      <c r="B33" s="20">
        <v>240.65100000000001</v>
      </c>
      <c r="C33" s="8">
        <v>166.4</v>
      </c>
      <c r="D33" s="8" t="s">
        <v>3</v>
      </c>
      <c r="E33" s="8">
        <f t="shared" si="0"/>
        <v>166.4</v>
      </c>
      <c r="F33" s="8">
        <v>25.676860810040001</v>
      </c>
      <c r="G33" s="8">
        <f t="shared" si="5"/>
        <v>140.72313918995999</v>
      </c>
      <c r="H33" s="142">
        <f t="shared" si="2"/>
        <v>0.58476025111036312</v>
      </c>
      <c r="I33" s="142">
        <f t="shared" si="4"/>
        <v>0.51458902097711956</v>
      </c>
    </row>
    <row r="34" spans="1:9" ht="12" customHeight="1" x14ac:dyDescent="0.2">
      <c r="A34" s="2">
        <v>1987</v>
      </c>
      <c r="B34" s="20">
        <v>242.804</v>
      </c>
      <c r="C34" s="8">
        <v>166.2</v>
      </c>
      <c r="D34" s="8" t="s">
        <v>3</v>
      </c>
      <c r="E34" s="8">
        <f t="shared" si="0"/>
        <v>166.2</v>
      </c>
      <c r="F34" s="8">
        <v>24.591222146480003</v>
      </c>
      <c r="G34" s="8">
        <f t="shared" si="5"/>
        <v>141.60877785352</v>
      </c>
      <c r="H34" s="142">
        <f t="shared" si="2"/>
        <v>0.58322259045781777</v>
      </c>
      <c r="I34" s="142">
        <f t="shared" si="4"/>
        <v>0.51323587960287964</v>
      </c>
    </row>
    <row r="35" spans="1:9" ht="12" customHeight="1" x14ac:dyDescent="0.2">
      <c r="A35" s="2">
        <v>1988</v>
      </c>
      <c r="B35" s="20">
        <v>245.02099999999999</v>
      </c>
      <c r="C35" s="8">
        <v>174.8</v>
      </c>
      <c r="D35" s="8" t="s">
        <v>3</v>
      </c>
      <c r="E35" s="8">
        <f t="shared" si="0"/>
        <v>174.8</v>
      </c>
      <c r="F35" s="8">
        <v>28.849348673200002</v>
      </c>
      <c r="G35" s="8">
        <f t="shared" si="5"/>
        <v>145.9506513268</v>
      </c>
      <c r="H35" s="142">
        <f t="shared" si="2"/>
        <v>0.59566588711498203</v>
      </c>
      <c r="I35" s="142">
        <f t="shared" si="4"/>
        <v>0.52418598066118416</v>
      </c>
    </row>
    <row r="36" spans="1:9" ht="12" customHeight="1" x14ac:dyDescent="0.2">
      <c r="A36" s="2">
        <v>1989</v>
      </c>
      <c r="B36" s="20">
        <v>247.34200000000001</v>
      </c>
      <c r="C36" s="8">
        <v>182.6</v>
      </c>
      <c r="D36" s="8">
        <v>6.703665</v>
      </c>
      <c r="E36" s="8">
        <f t="shared" si="0"/>
        <v>189.303665</v>
      </c>
      <c r="F36" s="8">
        <v>30.583059636580003</v>
      </c>
      <c r="G36" s="8">
        <f t="shared" si="5"/>
        <v>158.72060536341999</v>
      </c>
      <c r="H36" s="142">
        <f t="shared" si="2"/>
        <v>0.64170502932546836</v>
      </c>
      <c r="I36" s="142">
        <f t="shared" si="4"/>
        <v>0.56470042580641211</v>
      </c>
    </row>
    <row r="37" spans="1:9" ht="12" customHeight="1" x14ac:dyDescent="0.2">
      <c r="A37" s="2">
        <v>1990</v>
      </c>
      <c r="B37" s="20">
        <v>250.13200000000001</v>
      </c>
      <c r="C37" s="8">
        <v>213</v>
      </c>
      <c r="D37" s="8">
        <v>2.8190010000000001</v>
      </c>
      <c r="E37" s="8">
        <f t="shared" si="0"/>
        <v>215.81900100000001</v>
      </c>
      <c r="F37" s="8">
        <v>26.745235000000001</v>
      </c>
      <c r="G37" s="8">
        <f t="shared" si="5"/>
        <v>189.07376600000001</v>
      </c>
      <c r="H37" s="142">
        <f t="shared" si="2"/>
        <v>0.75589595093790485</v>
      </c>
      <c r="I37" s="142">
        <f t="shared" si="4"/>
        <v>0.66518843682535622</v>
      </c>
    </row>
    <row r="38" spans="1:9" ht="12" customHeight="1" x14ac:dyDescent="0.2">
      <c r="A38" s="3">
        <v>1991</v>
      </c>
      <c r="B38" s="21">
        <v>253.49299999999999</v>
      </c>
      <c r="C38" s="9">
        <v>228.5</v>
      </c>
      <c r="D38" s="9">
        <v>2.2561070000000001</v>
      </c>
      <c r="E38" s="9">
        <f t="shared" si="0"/>
        <v>230.75610699999999</v>
      </c>
      <c r="F38" s="9">
        <v>26.975795999999999</v>
      </c>
      <c r="G38" s="9">
        <f t="shared" si="5"/>
        <v>203.78031099999998</v>
      </c>
      <c r="H38" s="143">
        <f t="shared" si="2"/>
        <v>0.80388930266318981</v>
      </c>
      <c r="I38" s="143">
        <f t="shared" si="4"/>
        <v>0.707422586343607</v>
      </c>
    </row>
    <row r="39" spans="1:9" ht="12" customHeight="1" x14ac:dyDescent="0.2">
      <c r="A39" s="3">
        <v>1992</v>
      </c>
      <c r="B39" s="21">
        <v>256.89400000000001</v>
      </c>
      <c r="C39" s="9">
        <v>235.1</v>
      </c>
      <c r="D39" s="9">
        <v>2.1484179999999999</v>
      </c>
      <c r="E39" s="9">
        <f t="shared" ref="E39:E67" si="6">SUM(C39,D39)</f>
        <v>237.24841799999999</v>
      </c>
      <c r="F39" s="9">
        <v>27.382881999999999</v>
      </c>
      <c r="G39" s="9">
        <f t="shared" si="5"/>
        <v>209.86553599999999</v>
      </c>
      <c r="H39" s="143">
        <f t="shared" ref="H39:H59" si="7">IF(G39=0,0,IF(B39=0,0,G39/B39))</f>
        <v>0.81693436203258929</v>
      </c>
      <c r="I39" s="143">
        <f t="shared" ref="I39:I47" si="8">H39*0.88</f>
        <v>0.71890223858867863</v>
      </c>
    </row>
    <row r="40" spans="1:9" ht="12" customHeight="1" x14ac:dyDescent="0.2">
      <c r="A40" s="3">
        <v>1993</v>
      </c>
      <c r="B40" s="21">
        <v>260.255</v>
      </c>
      <c r="C40" s="9">
        <v>197.6</v>
      </c>
      <c r="D40" s="9">
        <v>2.667916</v>
      </c>
      <c r="E40" s="9">
        <f t="shared" si="6"/>
        <v>200.26791599999999</v>
      </c>
      <c r="F40" s="9">
        <v>27.239083000000001</v>
      </c>
      <c r="G40" s="9">
        <f t="shared" si="5"/>
        <v>173.02883299999999</v>
      </c>
      <c r="H40" s="143">
        <f t="shared" si="7"/>
        <v>0.66484345353595509</v>
      </c>
      <c r="I40" s="143">
        <f t="shared" si="8"/>
        <v>0.58506223911164046</v>
      </c>
    </row>
    <row r="41" spans="1:9" ht="12" customHeight="1" x14ac:dyDescent="0.2">
      <c r="A41" s="3">
        <v>1994</v>
      </c>
      <c r="B41" s="21">
        <v>263.43599999999998</v>
      </c>
      <c r="C41" s="9">
        <v>223</v>
      </c>
      <c r="D41" s="9">
        <v>1.5564389999999999</v>
      </c>
      <c r="E41" s="9">
        <f t="shared" si="6"/>
        <v>224.55643900000001</v>
      </c>
      <c r="F41" s="9">
        <v>26.330548</v>
      </c>
      <c r="G41" s="9">
        <f t="shared" si="5"/>
        <v>198.22589100000002</v>
      </c>
      <c r="H41" s="143">
        <f t="shared" si="7"/>
        <v>0.75246318270851376</v>
      </c>
      <c r="I41" s="143">
        <f t="shared" si="8"/>
        <v>0.66216760078349213</v>
      </c>
    </row>
    <row r="42" spans="1:9" ht="12" customHeight="1" x14ac:dyDescent="0.2">
      <c r="A42" s="3">
        <v>1995</v>
      </c>
      <c r="B42" s="21">
        <v>266.55700000000002</v>
      </c>
      <c r="C42" s="9">
        <v>203.6</v>
      </c>
      <c r="D42" s="9">
        <v>3.2786</v>
      </c>
      <c r="E42" s="9">
        <f t="shared" si="6"/>
        <v>206.87860000000001</v>
      </c>
      <c r="F42" s="9">
        <v>28.003392999999999</v>
      </c>
      <c r="G42" s="9">
        <f t="shared" si="5"/>
        <v>178.87520700000002</v>
      </c>
      <c r="H42" s="143">
        <f t="shared" si="7"/>
        <v>0.67105799885202788</v>
      </c>
      <c r="I42" s="143">
        <f>H42*0.88</f>
        <v>0.59053103898978454</v>
      </c>
    </row>
    <row r="43" spans="1:9" ht="12" customHeight="1" x14ac:dyDescent="0.2">
      <c r="A43" s="2">
        <v>1996</v>
      </c>
      <c r="B43" s="20">
        <v>269.66699999999997</v>
      </c>
      <c r="C43" s="8">
        <v>193.4</v>
      </c>
      <c r="D43" s="8">
        <v>4.1176589999999997</v>
      </c>
      <c r="E43" s="8">
        <f t="shared" si="6"/>
        <v>197.51765900000001</v>
      </c>
      <c r="F43" s="8">
        <v>28.166461999999999</v>
      </c>
      <c r="G43" s="8">
        <f t="shared" si="5"/>
        <v>169.35119700000001</v>
      </c>
      <c r="H43" s="142">
        <f t="shared" si="7"/>
        <v>0.62800119035699598</v>
      </c>
      <c r="I43" s="142">
        <f t="shared" si="8"/>
        <v>0.55264104751415644</v>
      </c>
    </row>
    <row r="44" spans="1:9" ht="12" customHeight="1" x14ac:dyDescent="0.2">
      <c r="A44" s="2">
        <v>1997</v>
      </c>
      <c r="B44" s="20">
        <v>272.91199999999998</v>
      </c>
      <c r="C44" s="8">
        <v>326.5</v>
      </c>
      <c r="D44" s="8">
        <v>5.7035220000000004</v>
      </c>
      <c r="E44" s="8">
        <f t="shared" si="6"/>
        <v>332.20352200000002</v>
      </c>
      <c r="F44" s="8">
        <v>29.978757999999999</v>
      </c>
      <c r="G44" s="8">
        <f t="shared" si="5"/>
        <v>302.22476400000005</v>
      </c>
      <c r="H44" s="142">
        <f t="shared" si="7"/>
        <v>1.1074073840651935</v>
      </c>
      <c r="I44" s="142">
        <f t="shared" si="8"/>
        <v>0.97451849797737022</v>
      </c>
    </row>
    <row r="45" spans="1:9" ht="12" customHeight="1" x14ac:dyDescent="0.2">
      <c r="A45" s="2">
        <v>1998</v>
      </c>
      <c r="B45" s="20">
        <v>276.11500000000001</v>
      </c>
      <c r="C45" s="8">
        <v>296</v>
      </c>
      <c r="D45" s="8">
        <v>5.6440919999999997</v>
      </c>
      <c r="E45" s="8">
        <f t="shared" si="6"/>
        <v>301.644092</v>
      </c>
      <c r="F45" s="8">
        <v>33.851692999999997</v>
      </c>
      <c r="G45" s="8">
        <f t="shared" si="5"/>
        <v>267.79239899999999</v>
      </c>
      <c r="H45" s="142">
        <f t="shared" si="7"/>
        <v>0.96985820763087838</v>
      </c>
      <c r="I45" s="142">
        <f t="shared" si="8"/>
        <v>0.85347522271517295</v>
      </c>
    </row>
    <row r="46" spans="1:9" ht="12" customHeight="1" x14ac:dyDescent="0.2">
      <c r="A46" s="2">
        <v>1999</v>
      </c>
      <c r="B46" s="20">
        <v>279.29500000000002</v>
      </c>
      <c r="C46" s="8">
        <v>305.7</v>
      </c>
      <c r="D46" s="8">
        <v>3.6070139999999999</v>
      </c>
      <c r="E46" s="8">
        <f t="shared" si="6"/>
        <v>309.30701399999998</v>
      </c>
      <c r="F46" s="8">
        <v>37.934632999999998</v>
      </c>
      <c r="G46" s="8">
        <f t="shared" si="5"/>
        <v>271.37238099999996</v>
      </c>
      <c r="H46" s="142">
        <f t="shared" si="7"/>
        <v>0.97163350937181092</v>
      </c>
      <c r="I46" s="142">
        <f t="shared" si="8"/>
        <v>0.85503748824719361</v>
      </c>
    </row>
    <row r="47" spans="1:9" ht="12" customHeight="1" x14ac:dyDescent="0.2">
      <c r="A47" s="2">
        <v>2000</v>
      </c>
      <c r="B47" s="20">
        <v>282.38499999999999</v>
      </c>
      <c r="C47" s="8">
        <v>423.9</v>
      </c>
      <c r="D47" s="8">
        <v>7.2328289999999997</v>
      </c>
      <c r="E47" s="8">
        <f t="shared" si="6"/>
        <v>431.13282899999996</v>
      </c>
      <c r="F47" s="8">
        <v>42.926766000000001</v>
      </c>
      <c r="G47" s="8">
        <f t="shared" si="5"/>
        <v>388.20606299999997</v>
      </c>
      <c r="H47" s="142">
        <f t="shared" si="7"/>
        <v>1.3747403828107017</v>
      </c>
      <c r="I47" s="142">
        <f t="shared" si="8"/>
        <v>1.2097715368734174</v>
      </c>
    </row>
    <row r="48" spans="1:9" ht="12" customHeight="1" x14ac:dyDescent="0.2">
      <c r="A48" s="3">
        <v>2001</v>
      </c>
      <c r="B48" s="21">
        <v>285.30901899999998</v>
      </c>
      <c r="C48" s="9">
        <v>345.8</v>
      </c>
      <c r="D48" s="9">
        <v>15.380153999999999</v>
      </c>
      <c r="E48" s="9">
        <f t="shared" si="6"/>
        <v>361.18015400000002</v>
      </c>
      <c r="F48" s="9">
        <v>55.067573000000003</v>
      </c>
      <c r="G48" s="9">
        <f t="shared" si="5"/>
        <v>306.11258100000003</v>
      </c>
      <c r="H48" s="143">
        <f t="shared" si="7"/>
        <v>1.0729158933458043</v>
      </c>
      <c r="I48" s="143">
        <f t="shared" ref="I48:I53" si="9">H48*0.88</f>
        <v>0.9441659861443078</v>
      </c>
    </row>
    <row r="49" spans="1:9" ht="12" customHeight="1" x14ac:dyDescent="0.2">
      <c r="A49" s="3">
        <v>2002</v>
      </c>
      <c r="B49" s="21">
        <v>288.10481800000002</v>
      </c>
      <c r="C49" s="9">
        <v>462.5</v>
      </c>
      <c r="D49" s="9">
        <v>13.235621</v>
      </c>
      <c r="E49" s="9">
        <f t="shared" si="6"/>
        <v>475.73562099999998</v>
      </c>
      <c r="F49" s="9">
        <v>63.341366999999998</v>
      </c>
      <c r="G49" s="9">
        <f t="shared" si="5"/>
        <v>412.39425399999999</v>
      </c>
      <c r="H49" s="143">
        <f t="shared" si="7"/>
        <v>1.4314035317521137</v>
      </c>
      <c r="I49" s="143">
        <f t="shared" si="9"/>
        <v>1.25963510794186</v>
      </c>
    </row>
    <row r="50" spans="1:9" ht="12" customHeight="1" x14ac:dyDescent="0.2">
      <c r="A50" s="3">
        <v>2003</v>
      </c>
      <c r="B50" s="21">
        <v>290.81963400000001</v>
      </c>
      <c r="C50" s="9">
        <v>508.9</v>
      </c>
      <c r="D50" s="9">
        <v>20.304895999999999</v>
      </c>
      <c r="E50" s="9">
        <f t="shared" si="6"/>
        <v>529.20489599999996</v>
      </c>
      <c r="F50" s="9">
        <v>61.934643000000001</v>
      </c>
      <c r="G50" s="9">
        <f t="shared" si="5"/>
        <v>467.27025299999997</v>
      </c>
      <c r="H50" s="143">
        <f t="shared" si="7"/>
        <v>1.6067355789327482</v>
      </c>
      <c r="I50" s="143">
        <f t="shared" si="9"/>
        <v>1.4139273094608185</v>
      </c>
    </row>
    <row r="51" spans="1:9" ht="12" customHeight="1" x14ac:dyDescent="0.2">
      <c r="A51" s="3">
        <v>2004</v>
      </c>
      <c r="B51" s="21">
        <v>293.46318500000001</v>
      </c>
      <c r="C51" s="9">
        <v>575.6</v>
      </c>
      <c r="D51" s="9">
        <v>21.575576999999999</v>
      </c>
      <c r="E51" s="9">
        <f t="shared" si="6"/>
        <v>597.17557699999998</v>
      </c>
      <c r="F51" s="9">
        <v>55.664727999999997</v>
      </c>
      <c r="G51" s="9">
        <f t="shared" si="5"/>
        <v>541.51084900000001</v>
      </c>
      <c r="H51" s="143">
        <f t="shared" si="7"/>
        <v>1.8452428675167551</v>
      </c>
      <c r="I51" s="143">
        <f t="shared" si="9"/>
        <v>1.6238137234147445</v>
      </c>
    </row>
    <row r="52" spans="1:9" ht="12" customHeight="1" x14ac:dyDescent="0.2">
      <c r="A52" s="3">
        <v>2005</v>
      </c>
      <c r="B52" s="21">
        <v>296.186216</v>
      </c>
      <c r="C52" s="9">
        <v>709.6</v>
      </c>
      <c r="D52" s="9">
        <v>27.641138000000002</v>
      </c>
      <c r="E52" s="9">
        <f t="shared" si="6"/>
        <v>737.24113799999998</v>
      </c>
      <c r="F52" s="9">
        <v>47.367451000000003</v>
      </c>
      <c r="G52" s="9">
        <f t="shared" si="5"/>
        <v>689.87368700000002</v>
      </c>
      <c r="H52" s="143">
        <f t="shared" si="7"/>
        <v>2.3291890362649421</v>
      </c>
      <c r="I52" s="143">
        <f t="shared" si="9"/>
        <v>2.0496863519131492</v>
      </c>
    </row>
    <row r="53" spans="1:9" ht="12" customHeight="1" x14ac:dyDescent="0.2">
      <c r="A53" s="2">
        <v>2006</v>
      </c>
      <c r="B53" s="20">
        <v>298.99582500000002</v>
      </c>
      <c r="C53" s="8">
        <v>604.5</v>
      </c>
      <c r="D53" s="8">
        <v>19.956420999999999</v>
      </c>
      <c r="E53" s="8">
        <f t="shared" si="6"/>
        <v>624.45642099999998</v>
      </c>
      <c r="F53" s="8">
        <v>37.784216999999998</v>
      </c>
      <c r="G53" s="8">
        <f t="shared" si="5"/>
        <v>586.67220399999997</v>
      </c>
      <c r="H53" s="142">
        <f t="shared" si="7"/>
        <v>1.962141792448105</v>
      </c>
      <c r="I53" s="142">
        <f t="shared" si="9"/>
        <v>1.7266847773543323</v>
      </c>
    </row>
    <row r="54" spans="1:9" ht="12" customHeight="1" x14ac:dyDescent="0.2">
      <c r="A54" s="2">
        <v>2007</v>
      </c>
      <c r="B54" s="20">
        <v>302.003917</v>
      </c>
      <c r="C54" s="8">
        <v>507.9</v>
      </c>
      <c r="D54" s="8">
        <v>19.069841</v>
      </c>
      <c r="E54" s="8">
        <f t="shared" si="6"/>
        <v>526.96984099999997</v>
      </c>
      <c r="F54" s="8">
        <v>39.403753000000002</v>
      </c>
      <c r="G54" s="8">
        <f t="shared" si="5"/>
        <v>487.56608799999998</v>
      </c>
      <c r="H54" s="142">
        <f t="shared" si="7"/>
        <v>1.6144363054734816</v>
      </c>
      <c r="I54" s="142">
        <f t="shared" ref="I54:I59" si="10">H54*0.88</f>
        <v>1.4207039488166637</v>
      </c>
    </row>
    <row r="55" spans="1:9" ht="12" customHeight="1" x14ac:dyDescent="0.2">
      <c r="A55" s="2">
        <v>2008</v>
      </c>
      <c r="B55" s="20">
        <v>304.79776099999998</v>
      </c>
      <c r="C55" s="8">
        <v>551.9</v>
      </c>
      <c r="D55" s="8">
        <v>14.926073000000001</v>
      </c>
      <c r="E55" s="8">
        <f t="shared" si="6"/>
        <v>566.82607299999995</v>
      </c>
      <c r="F55" s="8">
        <v>46.301071999999998</v>
      </c>
      <c r="G55" s="8">
        <f t="shared" si="5"/>
        <v>520.52500099999997</v>
      </c>
      <c r="H55" s="142">
        <f t="shared" si="7"/>
        <v>1.7077717345830503</v>
      </c>
      <c r="I55" s="142">
        <f t="shared" si="10"/>
        <v>1.5028391264330843</v>
      </c>
    </row>
    <row r="56" spans="1:9" ht="12" customHeight="1" x14ac:dyDescent="0.2">
      <c r="A56" s="2">
        <v>2009</v>
      </c>
      <c r="B56" s="20">
        <v>307.43940600000002</v>
      </c>
      <c r="C56" s="8">
        <v>669.9</v>
      </c>
      <c r="D56" s="8">
        <v>10.426883</v>
      </c>
      <c r="E56" s="8">
        <f t="shared" si="6"/>
        <v>680.32688299999995</v>
      </c>
      <c r="F56" s="8">
        <v>57.464353000000003</v>
      </c>
      <c r="G56" s="8">
        <f t="shared" si="5"/>
        <v>622.86252999999999</v>
      </c>
      <c r="H56" s="142">
        <f t="shared" si="7"/>
        <v>2.0259684277427987</v>
      </c>
      <c r="I56" s="142">
        <f t="shared" si="10"/>
        <v>1.7828522164136629</v>
      </c>
    </row>
    <row r="57" spans="1:9" ht="12" customHeight="1" x14ac:dyDescent="0.2">
      <c r="A57" s="2">
        <v>2010</v>
      </c>
      <c r="B57" s="20">
        <v>309.74127900000002</v>
      </c>
      <c r="C57" s="8">
        <v>564.79999999999995</v>
      </c>
      <c r="D57" s="8">
        <v>14.781853641279998</v>
      </c>
      <c r="E57" s="8">
        <f t="shared" si="6"/>
        <v>579.58185364127996</v>
      </c>
      <c r="F57" s="8">
        <v>59.156023918860008</v>
      </c>
      <c r="G57" s="8">
        <f t="shared" si="5"/>
        <v>520.42582972241996</v>
      </c>
      <c r="H57" s="142">
        <f t="shared" si="7"/>
        <v>1.6801952629711325</v>
      </c>
      <c r="I57" s="142">
        <f t="shared" si="10"/>
        <v>1.4785718314145966</v>
      </c>
    </row>
    <row r="58" spans="1:9" ht="12" customHeight="1" x14ac:dyDescent="0.2">
      <c r="A58" s="33">
        <v>2011</v>
      </c>
      <c r="B58" s="31">
        <v>311.97391399999998</v>
      </c>
      <c r="C58" s="39">
        <v>601</v>
      </c>
      <c r="D58" s="39">
        <v>13.471200437419999</v>
      </c>
      <c r="E58" s="39">
        <f t="shared" si="6"/>
        <v>614.47120043741995</v>
      </c>
      <c r="F58" s="39">
        <v>56.288476889480002</v>
      </c>
      <c r="G58" s="39">
        <f t="shared" si="5"/>
        <v>558.18272354793999</v>
      </c>
      <c r="H58" s="144">
        <f t="shared" si="7"/>
        <v>1.7891967837667992</v>
      </c>
      <c r="I58" s="144">
        <f t="shared" si="10"/>
        <v>1.5744931697147833</v>
      </c>
    </row>
    <row r="59" spans="1:9" s="93" customFormat="1" ht="12" customHeight="1" x14ac:dyDescent="0.2">
      <c r="A59" s="33">
        <v>2012</v>
      </c>
      <c r="B59" s="31">
        <v>314.16755799999999</v>
      </c>
      <c r="C59" s="39">
        <v>536</v>
      </c>
      <c r="D59" s="39">
        <v>13.128635558719999</v>
      </c>
      <c r="E59" s="39">
        <f t="shared" si="6"/>
        <v>549.12863555872002</v>
      </c>
      <c r="F59" s="39">
        <v>60.473187365579996</v>
      </c>
      <c r="G59" s="39">
        <f t="shared" si="5"/>
        <v>488.65544819314005</v>
      </c>
      <c r="H59" s="144">
        <f t="shared" si="7"/>
        <v>1.5553975442401984</v>
      </c>
      <c r="I59" s="144">
        <f t="shared" si="10"/>
        <v>1.3687498389313746</v>
      </c>
    </row>
    <row r="60" spans="1:9" s="93" customFormat="1" ht="12" customHeight="1" x14ac:dyDescent="0.2">
      <c r="A60" s="33">
        <v>2013</v>
      </c>
      <c r="B60" s="31">
        <v>316.29476599999998</v>
      </c>
      <c r="C60" s="39">
        <v>561.9</v>
      </c>
      <c r="D60" s="39">
        <v>14.160362444800001</v>
      </c>
      <c r="E60" s="39">
        <f t="shared" si="6"/>
        <v>576.06036244479992</v>
      </c>
      <c r="F60" s="39">
        <v>72.568149358759996</v>
      </c>
      <c r="G60" s="39">
        <f t="shared" ref="G60" si="11">E60-F60</f>
        <v>503.4922130860399</v>
      </c>
      <c r="H60" s="144">
        <f t="shared" ref="H60" si="12">IF(G60=0,0,IF(B60=0,0,G60/B60))</f>
        <v>1.5918449092706135</v>
      </c>
      <c r="I60" s="144">
        <f t="shared" ref="I60" si="13">H60*0.88</f>
        <v>1.4008235201581398</v>
      </c>
    </row>
    <row r="61" spans="1:9" s="93" customFormat="1" ht="12" customHeight="1" x14ac:dyDescent="0.2">
      <c r="A61" s="33">
        <v>2014</v>
      </c>
      <c r="B61" s="31">
        <v>318.576955</v>
      </c>
      <c r="C61" s="39">
        <v>591.9</v>
      </c>
      <c r="D61" s="39">
        <v>19.923477223760003</v>
      </c>
      <c r="E61" s="39">
        <f t="shared" si="6"/>
        <v>611.82347722375994</v>
      </c>
      <c r="F61" s="39">
        <v>79.273296059099991</v>
      </c>
      <c r="G61" s="39">
        <f t="shared" ref="G61" si="14">E61-F61</f>
        <v>532.55018116465999</v>
      </c>
      <c r="H61" s="144">
        <f t="shared" ref="H61" si="15">IF(G61=0,0,IF(B61=0,0,G61/B61))</f>
        <v>1.6716531839682502</v>
      </c>
      <c r="I61" s="144">
        <f t="shared" ref="I61" si="16">H61*0.88</f>
        <v>1.4710548018920602</v>
      </c>
    </row>
    <row r="62" spans="1:9" s="93" customFormat="1" ht="12" customHeight="1" x14ac:dyDescent="0.2">
      <c r="A62" s="33">
        <v>2015</v>
      </c>
      <c r="B62" s="31">
        <v>320.87070299999999</v>
      </c>
      <c r="C62" s="39">
        <v>607.6</v>
      </c>
      <c r="D62" s="39">
        <v>26.539447045100005</v>
      </c>
      <c r="E62" s="39">
        <f t="shared" si="6"/>
        <v>634.13944704510004</v>
      </c>
      <c r="F62" s="39">
        <v>79.941556064260013</v>
      </c>
      <c r="G62" s="39">
        <f t="shared" ref="G62" si="17">E62-F62</f>
        <v>554.19789098084004</v>
      </c>
      <c r="H62" s="144">
        <f t="shared" ref="H62" si="18">IF(G62=0,0,IF(B62=0,0,G62/B62))</f>
        <v>1.7271688745632849</v>
      </c>
      <c r="I62" s="144">
        <f t="shared" ref="I62" si="19">H62*0.88</f>
        <v>1.5199086096156909</v>
      </c>
    </row>
    <row r="63" spans="1:9" s="93" customFormat="1" ht="12" customHeight="1" x14ac:dyDescent="0.2">
      <c r="A63" s="128">
        <v>2016</v>
      </c>
      <c r="B63" s="129">
        <v>323.16101099999997</v>
      </c>
      <c r="C63" s="130">
        <v>696.44</v>
      </c>
      <c r="D63" s="130">
        <v>22.293168146260001</v>
      </c>
      <c r="E63" s="130">
        <f t="shared" si="6"/>
        <v>718.73316814626003</v>
      </c>
      <c r="F63" s="130">
        <v>81.158545987420027</v>
      </c>
      <c r="G63" s="130">
        <f t="shared" ref="G63:G64" si="20">E63-F63</f>
        <v>637.57462215884004</v>
      </c>
      <c r="H63" s="145">
        <f t="shared" ref="H63:H64" si="21">IF(G63=0,0,IF(B63=0,0,G63/B63))</f>
        <v>1.9729317598862199</v>
      </c>
      <c r="I63" s="145">
        <f t="shared" ref="I63:I64" si="22">H63*0.88</f>
        <v>1.7361799486998735</v>
      </c>
    </row>
    <row r="64" spans="1:9" s="93" customFormat="1" ht="12" customHeight="1" x14ac:dyDescent="0.2">
      <c r="A64" s="125">
        <v>2017</v>
      </c>
      <c r="B64" s="126">
        <v>325.20603</v>
      </c>
      <c r="C64" s="127">
        <v>663.36</v>
      </c>
      <c r="D64" s="127">
        <v>22.061107640440003</v>
      </c>
      <c r="E64" s="127">
        <f t="shared" si="6"/>
        <v>685.42110764044003</v>
      </c>
      <c r="F64" s="127">
        <v>81.773690082919998</v>
      </c>
      <c r="G64" s="127">
        <f t="shared" si="20"/>
        <v>603.64741755752004</v>
      </c>
      <c r="H64" s="146">
        <f t="shared" si="21"/>
        <v>1.8561999528653268</v>
      </c>
      <c r="I64" s="146">
        <f t="shared" si="22"/>
        <v>1.6334559585214876</v>
      </c>
    </row>
    <row r="65" spans="1:10" s="93" customFormat="1" ht="12" customHeight="1" x14ac:dyDescent="0.2">
      <c r="A65" s="128">
        <v>2018</v>
      </c>
      <c r="B65" s="129">
        <v>326.92397599999998</v>
      </c>
      <c r="C65" s="130">
        <v>674.34</v>
      </c>
      <c r="D65" s="130">
        <v>21.161289782819999</v>
      </c>
      <c r="E65" s="130">
        <f t="shared" si="6"/>
        <v>695.50128978281998</v>
      </c>
      <c r="F65" s="130">
        <v>84.125704362260009</v>
      </c>
      <c r="G65" s="130">
        <f t="shared" ref="G65:G67" si="23">E65-F65</f>
        <v>611.37558542056001</v>
      </c>
      <c r="H65" s="145">
        <f t="shared" ref="H65:H66" si="24">IF(G65=0,0,IF(B65=0,0,G65/B65))</f>
        <v>1.870084883038863</v>
      </c>
      <c r="I65" s="145">
        <f t="shared" ref="I65:I66" si="25">H65*0.88</f>
        <v>1.6456746970741996</v>
      </c>
    </row>
    <row r="66" spans="1:10" s="93" customFormat="1" ht="12" customHeight="1" x14ac:dyDescent="0.2">
      <c r="A66" s="128">
        <v>2019</v>
      </c>
      <c r="B66" s="129">
        <v>328.475998</v>
      </c>
      <c r="C66" s="130">
        <v>856.09</v>
      </c>
      <c r="D66" s="162">
        <v>38.689941211460003</v>
      </c>
      <c r="E66" s="130">
        <f t="shared" si="6"/>
        <v>894.77994121146003</v>
      </c>
      <c r="F66" s="162">
        <v>95.887980378960009</v>
      </c>
      <c r="G66" s="130">
        <f t="shared" si="23"/>
        <v>798.89196083249999</v>
      </c>
      <c r="H66" s="145">
        <f t="shared" si="24"/>
        <v>2.4321167016668901</v>
      </c>
      <c r="I66" s="145">
        <f t="shared" si="25"/>
        <v>2.1402626974668633</v>
      </c>
    </row>
    <row r="67" spans="1:10" s="93" customFormat="1" ht="12" customHeight="1" thickBot="1" x14ac:dyDescent="0.25">
      <c r="A67" s="148">
        <v>2020</v>
      </c>
      <c r="B67" s="149">
        <v>330.11398000000003</v>
      </c>
      <c r="C67" s="147">
        <v>644.75</v>
      </c>
      <c r="D67" s="124">
        <v>48.64179430726</v>
      </c>
      <c r="E67" s="150">
        <f t="shared" si="6"/>
        <v>693.39179430725994</v>
      </c>
      <c r="F67" s="147">
        <v>102.89654452066003</v>
      </c>
      <c r="G67" s="150">
        <f t="shared" si="23"/>
        <v>590.49524978659997</v>
      </c>
      <c r="H67" s="152">
        <f t="shared" ref="H67" si="26">IF(G67=0,0,IF(B67=0,0,G67/B67))</f>
        <v>1.7887617173516854</v>
      </c>
      <c r="I67" s="152">
        <f t="shared" ref="I67" si="27">H67*0.88</f>
        <v>1.5741103112694832</v>
      </c>
    </row>
    <row r="68" spans="1:10" ht="12" customHeight="1" thickTop="1" x14ac:dyDescent="0.2">
      <c r="A68" s="254" t="s">
        <v>8</v>
      </c>
      <c r="B68" s="255"/>
      <c r="C68" s="255"/>
      <c r="D68" s="255"/>
      <c r="E68" s="255"/>
      <c r="F68" s="255"/>
      <c r="G68" s="255"/>
      <c r="H68" s="255"/>
      <c r="I68" s="256"/>
      <c r="J68" s="94"/>
    </row>
    <row r="69" spans="1:10" ht="12" customHeight="1" x14ac:dyDescent="0.2">
      <c r="A69" s="248"/>
      <c r="B69" s="249"/>
      <c r="C69" s="249"/>
      <c r="D69" s="249"/>
      <c r="E69" s="249"/>
      <c r="F69" s="249"/>
      <c r="G69" s="249"/>
      <c r="H69" s="249"/>
      <c r="I69" s="250"/>
      <c r="J69" s="94"/>
    </row>
    <row r="70" spans="1:10" ht="12" customHeight="1" x14ac:dyDescent="0.2">
      <c r="A70" s="251" t="s">
        <v>243</v>
      </c>
      <c r="B70" s="252"/>
      <c r="C70" s="252"/>
      <c r="D70" s="252"/>
      <c r="E70" s="252"/>
      <c r="F70" s="252"/>
      <c r="G70" s="252"/>
      <c r="H70" s="252"/>
      <c r="I70" s="253"/>
      <c r="J70" s="94"/>
    </row>
    <row r="71" spans="1:10" ht="12" customHeight="1" x14ac:dyDescent="0.2">
      <c r="A71" s="251"/>
      <c r="B71" s="252"/>
      <c r="C71" s="252"/>
      <c r="D71" s="252"/>
      <c r="E71" s="252"/>
      <c r="F71" s="252"/>
      <c r="G71" s="252"/>
      <c r="H71" s="252"/>
      <c r="I71" s="253"/>
      <c r="J71" s="94"/>
    </row>
    <row r="72" spans="1:10" ht="12" customHeight="1" x14ac:dyDescent="0.2">
      <c r="A72" s="251"/>
      <c r="B72" s="252"/>
      <c r="C72" s="252"/>
      <c r="D72" s="252"/>
      <c r="E72" s="252"/>
      <c r="F72" s="252"/>
      <c r="G72" s="252"/>
      <c r="H72" s="252"/>
      <c r="I72" s="253"/>
      <c r="J72" s="94"/>
    </row>
    <row r="73" spans="1:10" ht="12" customHeight="1" x14ac:dyDescent="0.2">
      <c r="A73" s="275"/>
      <c r="B73" s="276"/>
      <c r="C73" s="276"/>
      <c r="D73" s="276"/>
      <c r="E73" s="276"/>
      <c r="F73" s="276"/>
      <c r="G73" s="276"/>
      <c r="H73" s="276"/>
      <c r="I73" s="277"/>
      <c r="J73" s="93"/>
    </row>
    <row r="74" spans="1:10" ht="12" customHeight="1" x14ac:dyDescent="0.2">
      <c r="A74" s="223" t="s">
        <v>198</v>
      </c>
      <c r="B74" s="224"/>
      <c r="C74" s="224"/>
      <c r="D74" s="224"/>
      <c r="E74" s="224"/>
      <c r="F74" s="224"/>
      <c r="G74" s="224"/>
      <c r="H74" s="224"/>
      <c r="I74" s="225"/>
      <c r="J74" s="93"/>
    </row>
    <row r="75" spans="1:10" ht="12" customHeight="1" x14ac:dyDescent="0.2">
      <c r="A75" s="223"/>
      <c r="B75" s="224"/>
      <c r="C75" s="224"/>
      <c r="D75" s="224"/>
      <c r="E75" s="224"/>
      <c r="F75" s="224"/>
      <c r="G75" s="224"/>
      <c r="H75" s="224"/>
      <c r="I75" s="225"/>
      <c r="J75" s="93"/>
    </row>
  </sheetData>
  <mergeCells count="20">
    <mergeCell ref="H6:I6"/>
    <mergeCell ref="C6:G6"/>
    <mergeCell ref="H1:I1"/>
    <mergeCell ref="G3:G5"/>
    <mergeCell ref="H4:H5"/>
    <mergeCell ref="C3:C5"/>
    <mergeCell ref="D3:D5"/>
    <mergeCell ref="F3:F5"/>
    <mergeCell ref="A1:G1"/>
    <mergeCell ref="A2:A5"/>
    <mergeCell ref="B2:B5"/>
    <mergeCell ref="E3:E5"/>
    <mergeCell ref="H3:I3"/>
    <mergeCell ref="C2:E2"/>
    <mergeCell ref="G2:I2"/>
    <mergeCell ref="A68:I68"/>
    <mergeCell ref="A69:I69"/>
    <mergeCell ref="A73:I73"/>
    <mergeCell ref="A74:I75"/>
    <mergeCell ref="A70:I72"/>
  </mergeCells>
  <phoneticPr fontId="7" type="noConversion"/>
  <printOptions horizontalCentered="1"/>
  <pageMargins left="0.45" right="0.45" top="0.75" bottom="0.75" header="0" footer="0"/>
  <pageSetup scale="66" fitToWidth="2"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N76"/>
  <sheetViews>
    <sheetView workbookViewId="0">
      <pane ySplit="6" topLeftCell="A7" activePane="bottomLeft" state="frozen"/>
      <selection pane="bottomLeft" sqref="A1:K1"/>
    </sheetView>
  </sheetViews>
  <sheetFormatPr defaultColWidth="12.7109375" defaultRowHeight="12" customHeight="1" x14ac:dyDescent="0.2"/>
  <cols>
    <col min="1" max="1" width="12.7109375" style="13" customWidth="1"/>
    <col min="2" max="16384" width="12.7109375" style="13"/>
  </cols>
  <sheetData>
    <row r="1" spans="1:14" s="1" customFormat="1" ht="12" customHeight="1" thickBot="1" x14ac:dyDescent="0.25">
      <c r="A1" s="201" t="s">
        <v>176</v>
      </c>
      <c r="B1" s="201"/>
      <c r="C1" s="201"/>
      <c r="D1" s="201"/>
      <c r="E1" s="201"/>
      <c r="F1" s="201"/>
      <c r="G1" s="201"/>
      <c r="H1" s="201"/>
      <c r="I1" s="201"/>
      <c r="J1" s="201"/>
      <c r="K1" s="201"/>
      <c r="L1" s="200" t="s">
        <v>19</v>
      </c>
      <c r="M1" s="200"/>
    </row>
    <row r="2" spans="1:14" ht="12" customHeight="1" thickTop="1" x14ac:dyDescent="0.2">
      <c r="A2" s="257" t="s">
        <v>1</v>
      </c>
      <c r="B2" s="258" t="s">
        <v>92</v>
      </c>
      <c r="C2" s="218" t="s">
        <v>2</v>
      </c>
      <c r="D2" s="218"/>
      <c r="E2" s="218"/>
      <c r="F2" s="218"/>
      <c r="G2" s="244" t="s">
        <v>146</v>
      </c>
      <c r="H2" s="245"/>
      <c r="I2" s="245"/>
      <c r="J2" s="246"/>
      <c r="K2" s="244" t="s">
        <v>147</v>
      </c>
      <c r="L2" s="245"/>
      <c r="M2" s="245"/>
    </row>
    <row r="3" spans="1:14" ht="12" customHeight="1" x14ac:dyDescent="0.2">
      <c r="A3" s="217"/>
      <c r="B3" s="259"/>
      <c r="C3" s="217" t="s">
        <v>93</v>
      </c>
      <c r="D3" s="217" t="s">
        <v>104</v>
      </c>
      <c r="E3" s="259" t="s">
        <v>204</v>
      </c>
      <c r="F3" s="217" t="s">
        <v>101</v>
      </c>
      <c r="G3" s="217" t="s">
        <v>105</v>
      </c>
      <c r="H3" s="217" t="s">
        <v>205</v>
      </c>
      <c r="I3" s="217" t="s">
        <v>106</v>
      </c>
      <c r="J3" s="259" t="s">
        <v>107</v>
      </c>
      <c r="K3" s="217" t="s">
        <v>138</v>
      </c>
      <c r="L3" s="226" t="s">
        <v>28</v>
      </c>
      <c r="M3" s="227"/>
    </row>
    <row r="4" spans="1:14" ht="12" customHeight="1" x14ac:dyDescent="0.2">
      <c r="A4" s="217"/>
      <c r="B4" s="259"/>
      <c r="C4" s="217"/>
      <c r="D4" s="217"/>
      <c r="E4" s="259"/>
      <c r="F4" s="217"/>
      <c r="G4" s="217"/>
      <c r="H4" s="217"/>
      <c r="I4" s="217"/>
      <c r="J4" s="259"/>
      <c r="K4" s="217"/>
      <c r="L4" s="217" t="s">
        <v>4</v>
      </c>
      <c r="M4" s="14" t="s">
        <v>186</v>
      </c>
    </row>
    <row r="5" spans="1:14" ht="12" customHeight="1" x14ac:dyDescent="0.2">
      <c r="A5" s="217"/>
      <c r="B5" s="259"/>
      <c r="C5" s="217"/>
      <c r="D5" s="217"/>
      <c r="E5" s="259"/>
      <c r="F5" s="217"/>
      <c r="G5" s="217"/>
      <c r="H5" s="217"/>
      <c r="I5" s="217"/>
      <c r="J5" s="259"/>
      <c r="K5" s="217"/>
      <c r="L5" s="217"/>
      <c r="M5" s="14" t="s">
        <v>185</v>
      </c>
    </row>
    <row r="6" spans="1:14" ht="12" customHeight="1" x14ac:dyDescent="0.2">
      <c r="A6" s="105"/>
      <c r="B6" s="167" t="s">
        <v>124</v>
      </c>
      <c r="C6" s="273" t="s">
        <v>134</v>
      </c>
      <c r="D6" s="274"/>
      <c r="E6" s="274"/>
      <c r="F6" s="274"/>
      <c r="G6" s="274"/>
      <c r="H6" s="274"/>
      <c r="I6" s="274"/>
      <c r="J6" s="274"/>
      <c r="K6" s="274"/>
      <c r="L6" s="214" t="s">
        <v>125</v>
      </c>
      <c r="M6" s="222"/>
    </row>
    <row r="7" spans="1:14" ht="12" customHeight="1" x14ac:dyDescent="0.2">
      <c r="A7" s="2">
        <v>1960</v>
      </c>
      <c r="B7" s="20">
        <v>180.67099999999999</v>
      </c>
      <c r="C7" s="8" t="s">
        <v>3</v>
      </c>
      <c r="D7" s="8" t="s">
        <v>3</v>
      </c>
      <c r="E7" s="8" t="s">
        <v>3</v>
      </c>
      <c r="F7" s="8" t="s">
        <v>3</v>
      </c>
      <c r="G7" s="8" t="s">
        <v>3</v>
      </c>
      <c r="H7" s="8" t="s">
        <v>3</v>
      </c>
      <c r="I7" s="8" t="s">
        <v>3</v>
      </c>
      <c r="J7" s="8" t="s">
        <v>3</v>
      </c>
      <c r="K7" s="8" t="s">
        <v>3</v>
      </c>
      <c r="L7" s="8" t="s">
        <v>3</v>
      </c>
      <c r="M7" s="8" t="s">
        <v>3</v>
      </c>
    </row>
    <row r="8" spans="1:14" ht="12" customHeight="1" x14ac:dyDescent="0.2">
      <c r="A8" s="3">
        <v>1961</v>
      </c>
      <c r="B8" s="21">
        <v>183.691</v>
      </c>
      <c r="C8" s="9" t="s">
        <v>3</v>
      </c>
      <c r="D8" s="9" t="s">
        <v>3</v>
      </c>
      <c r="E8" s="9" t="s">
        <v>3</v>
      </c>
      <c r="F8" s="9" t="s">
        <v>3</v>
      </c>
      <c r="G8" s="9" t="s">
        <v>3</v>
      </c>
      <c r="H8" s="9" t="s">
        <v>3</v>
      </c>
      <c r="I8" s="9" t="s">
        <v>3</v>
      </c>
      <c r="J8" s="9" t="s">
        <v>3</v>
      </c>
      <c r="K8" s="9" t="s">
        <v>3</v>
      </c>
      <c r="L8" s="9" t="s">
        <v>3</v>
      </c>
      <c r="M8" s="9" t="s">
        <v>3</v>
      </c>
    </row>
    <row r="9" spans="1:14" ht="12" customHeight="1" x14ac:dyDescent="0.2">
      <c r="A9" s="3">
        <v>1962</v>
      </c>
      <c r="B9" s="21">
        <v>186.53800000000001</v>
      </c>
      <c r="C9" s="9" t="s">
        <v>3</v>
      </c>
      <c r="D9" s="9" t="s">
        <v>3</v>
      </c>
      <c r="E9" s="9" t="s">
        <v>3</v>
      </c>
      <c r="F9" s="9" t="s">
        <v>3</v>
      </c>
      <c r="G9" s="9" t="s">
        <v>3</v>
      </c>
      <c r="H9" s="9" t="s">
        <v>3</v>
      </c>
      <c r="I9" s="9" t="s">
        <v>3</v>
      </c>
      <c r="J9" s="9" t="s">
        <v>3</v>
      </c>
      <c r="K9" s="9" t="s">
        <v>3</v>
      </c>
      <c r="L9" s="9" t="s">
        <v>3</v>
      </c>
      <c r="M9" s="9" t="s">
        <v>3</v>
      </c>
    </row>
    <row r="10" spans="1:14" ht="12" customHeight="1" x14ac:dyDescent="0.2">
      <c r="A10" s="3">
        <v>1963</v>
      </c>
      <c r="B10" s="21">
        <v>189.24199999999999</v>
      </c>
      <c r="C10" s="9" t="s">
        <v>3</v>
      </c>
      <c r="D10" s="9" t="s">
        <v>3</v>
      </c>
      <c r="E10" s="9" t="s">
        <v>3</v>
      </c>
      <c r="F10" s="9" t="s">
        <v>3</v>
      </c>
      <c r="G10" s="9" t="s">
        <v>3</v>
      </c>
      <c r="H10" s="9" t="s">
        <v>3</v>
      </c>
      <c r="I10" s="9" t="s">
        <v>3</v>
      </c>
      <c r="J10" s="9" t="s">
        <v>3</v>
      </c>
      <c r="K10" s="9" t="s">
        <v>3</v>
      </c>
      <c r="L10" s="9" t="s">
        <v>3</v>
      </c>
      <c r="M10" s="9" t="s">
        <v>3</v>
      </c>
    </row>
    <row r="11" spans="1:14" ht="12" customHeight="1" x14ac:dyDescent="0.2">
      <c r="A11" s="3">
        <v>1964</v>
      </c>
      <c r="B11" s="21">
        <v>191.88900000000001</v>
      </c>
      <c r="C11" s="9" t="s">
        <v>3</v>
      </c>
      <c r="D11" s="9" t="s">
        <v>3</v>
      </c>
      <c r="E11" s="9" t="s">
        <v>3</v>
      </c>
      <c r="F11" s="9" t="s">
        <v>3</v>
      </c>
      <c r="G11" s="9" t="s">
        <v>3</v>
      </c>
      <c r="H11" s="9" t="s">
        <v>3</v>
      </c>
      <c r="I11" s="9" t="s">
        <v>3</v>
      </c>
      <c r="J11" s="9" t="s">
        <v>3</v>
      </c>
      <c r="K11" s="9" t="s">
        <v>3</v>
      </c>
      <c r="L11" s="9" t="s">
        <v>3</v>
      </c>
      <c r="M11" s="9" t="s">
        <v>3</v>
      </c>
    </row>
    <row r="12" spans="1:14" ht="12" customHeight="1" x14ac:dyDescent="0.2">
      <c r="A12" s="3">
        <v>1965</v>
      </c>
      <c r="B12" s="21">
        <v>194.303</v>
      </c>
      <c r="C12" s="171">
        <v>1546.9</v>
      </c>
      <c r="D12" s="172" t="s">
        <v>3</v>
      </c>
      <c r="E12" s="172" t="s">
        <v>3</v>
      </c>
      <c r="F12" s="172">
        <f t="shared" ref="F12:F60" si="0">SUM(C12,D12,E12)</f>
        <v>1546.9</v>
      </c>
      <c r="G12" s="172" t="s">
        <v>3</v>
      </c>
      <c r="H12" s="172" t="s">
        <v>3</v>
      </c>
      <c r="I12" s="172">
        <v>59.8</v>
      </c>
      <c r="J12" s="172">
        <v>196.9</v>
      </c>
      <c r="K12" s="172">
        <f t="shared" ref="K12:K59" si="1">F12-SUM(G12,H12,I12,J12)</f>
        <v>1290.2</v>
      </c>
      <c r="L12" s="179">
        <f t="shared" ref="L12:L59" si="2">IF(K12=0,0,IF(B12=0,0,K12/B12))</f>
        <v>6.6401445165540425</v>
      </c>
      <c r="M12" s="179">
        <f t="shared" ref="M12:M52" si="3">IF(L12=0,0,L12*0.9)</f>
        <v>5.976130064898638</v>
      </c>
    </row>
    <row r="13" spans="1:14" ht="12" customHeight="1" x14ac:dyDescent="0.2">
      <c r="A13" s="2">
        <v>1966</v>
      </c>
      <c r="B13" s="20">
        <v>196.56</v>
      </c>
      <c r="C13" s="168">
        <v>1369.9</v>
      </c>
      <c r="D13" s="170" t="s">
        <v>3</v>
      </c>
      <c r="E13" s="170" t="s">
        <v>3</v>
      </c>
      <c r="F13" s="170">
        <f t="shared" si="0"/>
        <v>1369.9</v>
      </c>
      <c r="G13" s="170" t="s">
        <v>3</v>
      </c>
      <c r="H13" s="8" t="s">
        <v>3</v>
      </c>
      <c r="I13" s="168">
        <v>54.1</v>
      </c>
      <c r="J13" s="170">
        <v>157</v>
      </c>
      <c r="K13" s="170">
        <f t="shared" si="1"/>
        <v>1158.8000000000002</v>
      </c>
      <c r="L13" s="176">
        <f t="shared" si="2"/>
        <v>5.8954008954008961</v>
      </c>
      <c r="M13" s="176">
        <f t="shared" si="3"/>
        <v>5.3058608058608066</v>
      </c>
      <c r="N13" s="93"/>
    </row>
    <row r="14" spans="1:14" ht="12" customHeight="1" x14ac:dyDescent="0.2">
      <c r="A14" s="2">
        <v>1967</v>
      </c>
      <c r="B14" s="20">
        <v>198.71199999999999</v>
      </c>
      <c r="C14" s="168">
        <v>1348.6</v>
      </c>
      <c r="D14" s="170" t="s">
        <v>3</v>
      </c>
      <c r="E14" s="170" t="s">
        <v>3</v>
      </c>
      <c r="F14" s="170">
        <f t="shared" si="0"/>
        <v>1348.6</v>
      </c>
      <c r="G14" s="170" t="s">
        <v>3</v>
      </c>
      <c r="H14" s="8" t="s">
        <v>3</v>
      </c>
      <c r="I14" s="168">
        <v>57.4</v>
      </c>
      <c r="J14" s="170">
        <v>131.19999999999999</v>
      </c>
      <c r="K14" s="170">
        <f t="shared" si="1"/>
        <v>1160</v>
      </c>
      <c r="L14" s="176">
        <f t="shared" si="2"/>
        <v>5.8375941060429168</v>
      </c>
      <c r="M14" s="176">
        <f t="shared" si="3"/>
        <v>5.2538346954386252</v>
      </c>
    </row>
    <row r="15" spans="1:14" ht="12" customHeight="1" x14ac:dyDescent="0.2">
      <c r="A15" s="2">
        <v>1968</v>
      </c>
      <c r="B15" s="20">
        <v>200.70599999999999</v>
      </c>
      <c r="C15" s="168">
        <v>1337.8</v>
      </c>
      <c r="D15" s="170" t="s">
        <v>3</v>
      </c>
      <c r="E15" s="170" t="s">
        <v>3</v>
      </c>
      <c r="F15" s="170">
        <f t="shared" si="0"/>
        <v>1337.8</v>
      </c>
      <c r="G15" s="170" t="s">
        <v>3</v>
      </c>
      <c r="H15" s="8" t="s">
        <v>3</v>
      </c>
      <c r="I15" s="8" t="s">
        <v>3</v>
      </c>
      <c r="J15" s="170">
        <v>123.6</v>
      </c>
      <c r="K15" s="170">
        <f t="shared" si="1"/>
        <v>1214.2</v>
      </c>
      <c r="L15" s="176">
        <f t="shared" si="2"/>
        <v>6.049644754018316</v>
      </c>
      <c r="M15" s="176">
        <f t="shared" si="3"/>
        <v>5.4446802786164845</v>
      </c>
    </row>
    <row r="16" spans="1:14" ht="12" customHeight="1" x14ac:dyDescent="0.2">
      <c r="A16" s="2">
        <v>1969</v>
      </c>
      <c r="B16" s="20">
        <v>202.67699999999999</v>
      </c>
      <c r="C16" s="168">
        <v>1407</v>
      </c>
      <c r="D16" s="170" t="s">
        <v>3</v>
      </c>
      <c r="E16" s="170" t="s">
        <v>3</v>
      </c>
      <c r="F16" s="170">
        <f t="shared" si="0"/>
        <v>1407</v>
      </c>
      <c r="G16" s="170" t="s">
        <v>3</v>
      </c>
      <c r="H16" s="8" t="s">
        <v>3</v>
      </c>
      <c r="I16" s="168">
        <v>77.099999999999994</v>
      </c>
      <c r="J16" s="170">
        <v>140.1</v>
      </c>
      <c r="K16" s="170">
        <f t="shared" si="1"/>
        <v>1189.8</v>
      </c>
      <c r="L16" s="176">
        <f t="shared" si="2"/>
        <v>5.8704243698100917</v>
      </c>
      <c r="M16" s="176">
        <f t="shared" si="3"/>
        <v>5.2833819328290827</v>
      </c>
    </row>
    <row r="17" spans="1:13" ht="12" customHeight="1" x14ac:dyDescent="0.2">
      <c r="A17" s="2">
        <v>1970</v>
      </c>
      <c r="B17" s="20">
        <v>205.05199999999999</v>
      </c>
      <c r="C17" s="168">
        <v>1316</v>
      </c>
      <c r="D17" s="170" t="s">
        <v>3</v>
      </c>
      <c r="E17" s="170" t="s">
        <v>3</v>
      </c>
      <c r="F17" s="170">
        <f t="shared" si="0"/>
        <v>1316</v>
      </c>
      <c r="G17" s="170" t="s">
        <v>3</v>
      </c>
      <c r="H17" s="8" t="s">
        <v>3</v>
      </c>
      <c r="I17" s="168">
        <v>68.5</v>
      </c>
      <c r="J17" s="170">
        <v>137.6</v>
      </c>
      <c r="K17" s="170">
        <f t="shared" si="1"/>
        <v>1109.9000000000001</v>
      </c>
      <c r="L17" s="176">
        <f t="shared" si="2"/>
        <v>5.4127733452977784</v>
      </c>
      <c r="M17" s="176">
        <f t="shared" si="3"/>
        <v>4.8714960107680003</v>
      </c>
    </row>
    <row r="18" spans="1:13" ht="12" customHeight="1" x14ac:dyDescent="0.2">
      <c r="A18" s="3">
        <v>1971</v>
      </c>
      <c r="B18" s="21">
        <v>207.661</v>
      </c>
      <c r="C18" s="171">
        <v>1149.4000000000001</v>
      </c>
      <c r="D18" s="172" t="s">
        <v>3</v>
      </c>
      <c r="E18" s="172">
        <v>158.6</v>
      </c>
      <c r="F18" s="172">
        <f t="shared" si="0"/>
        <v>1308</v>
      </c>
      <c r="G18" s="172" t="s">
        <v>3</v>
      </c>
      <c r="H18" s="172">
        <v>105.51</v>
      </c>
      <c r="I18" s="172">
        <v>68</v>
      </c>
      <c r="J18" s="172">
        <v>111.5</v>
      </c>
      <c r="K18" s="172">
        <f t="shared" si="1"/>
        <v>1022.99</v>
      </c>
      <c r="L18" s="179">
        <f t="shared" si="2"/>
        <v>4.9262499939805737</v>
      </c>
      <c r="M18" s="179">
        <f t="shared" si="3"/>
        <v>4.4336249945825168</v>
      </c>
    </row>
    <row r="19" spans="1:13" ht="12" customHeight="1" x14ac:dyDescent="0.2">
      <c r="A19" s="3">
        <v>1972</v>
      </c>
      <c r="B19" s="21">
        <v>209.89599999999999</v>
      </c>
      <c r="C19" s="171">
        <v>1217</v>
      </c>
      <c r="D19" s="172" t="s">
        <v>3</v>
      </c>
      <c r="E19" s="172">
        <v>105.51</v>
      </c>
      <c r="F19" s="172">
        <f t="shared" si="0"/>
        <v>1322.51</v>
      </c>
      <c r="G19" s="172" t="s">
        <v>3</v>
      </c>
      <c r="H19" s="172">
        <v>141.30000000000001</v>
      </c>
      <c r="I19" s="172">
        <v>70.7</v>
      </c>
      <c r="J19" s="172">
        <v>91.4</v>
      </c>
      <c r="K19" s="172">
        <f t="shared" si="1"/>
        <v>1019.11</v>
      </c>
      <c r="L19" s="179">
        <f t="shared" si="2"/>
        <v>4.8553092960323214</v>
      </c>
      <c r="M19" s="179">
        <f t="shared" si="3"/>
        <v>4.369778366429089</v>
      </c>
    </row>
    <row r="20" spans="1:13" ht="12" customHeight="1" x14ac:dyDescent="0.2">
      <c r="A20" s="3">
        <v>1973</v>
      </c>
      <c r="B20" s="21">
        <v>211.90899999999999</v>
      </c>
      <c r="C20" s="171">
        <v>1215.5999999999999</v>
      </c>
      <c r="D20" s="172" t="s">
        <v>3</v>
      </c>
      <c r="E20" s="172">
        <v>141.30000000000001</v>
      </c>
      <c r="F20" s="172">
        <f t="shared" si="0"/>
        <v>1356.8999999999999</v>
      </c>
      <c r="G20" s="172" t="s">
        <v>3</v>
      </c>
      <c r="H20" s="172">
        <v>114.39</v>
      </c>
      <c r="I20" s="172">
        <v>80.5</v>
      </c>
      <c r="J20" s="172">
        <v>95.6</v>
      </c>
      <c r="K20" s="172">
        <f t="shared" si="1"/>
        <v>1066.4099999999999</v>
      </c>
      <c r="L20" s="179">
        <f t="shared" si="2"/>
        <v>5.032395981293857</v>
      </c>
      <c r="M20" s="179">
        <f t="shared" si="3"/>
        <v>4.5291563831644712</v>
      </c>
    </row>
    <row r="21" spans="1:13" ht="12" customHeight="1" x14ac:dyDescent="0.2">
      <c r="A21" s="3">
        <v>1974</v>
      </c>
      <c r="B21" s="21">
        <v>213.85400000000001</v>
      </c>
      <c r="C21" s="171">
        <v>1333.9</v>
      </c>
      <c r="D21" s="172" t="s">
        <v>3</v>
      </c>
      <c r="E21" s="172">
        <v>114.39</v>
      </c>
      <c r="F21" s="172">
        <f t="shared" si="0"/>
        <v>1448.2900000000002</v>
      </c>
      <c r="G21" s="172" t="s">
        <v>3</v>
      </c>
      <c r="H21" s="172">
        <v>219.74</v>
      </c>
      <c r="I21" s="172">
        <v>79.2</v>
      </c>
      <c r="J21" s="172">
        <v>102.1</v>
      </c>
      <c r="K21" s="172">
        <f t="shared" si="1"/>
        <v>1047.2500000000002</v>
      </c>
      <c r="L21" s="179">
        <f t="shared" si="2"/>
        <v>4.8970325549206475</v>
      </c>
      <c r="M21" s="179">
        <f t="shared" si="3"/>
        <v>4.4073292994285831</v>
      </c>
    </row>
    <row r="22" spans="1:13" ht="12" customHeight="1" x14ac:dyDescent="0.2">
      <c r="A22" s="3">
        <v>1975</v>
      </c>
      <c r="B22" s="21">
        <v>215.97300000000001</v>
      </c>
      <c r="C22" s="171">
        <v>1289.0999999999999</v>
      </c>
      <c r="D22" s="172" t="s">
        <v>3</v>
      </c>
      <c r="E22" s="172">
        <v>219.74</v>
      </c>
      <c r="F22" s="172">
        <f t="shared" si="0"/>
        <v>1508.84</v>
      </c>
      <c r="G22" s="172" t="s">
        <v>3</v>
      </c>
      <c r="H22" s="172">
        <v>166.54</v>
      </c>
      <c r="I22" s="172">
        <v>87.6</v>
      </c>
      <c r="J22" s="172">
        <v>95.9</v>
      </c>
      <c r="K22" s="172">
        <f t="shared" si="1"/>
        <v>1158.8</v>
      </c>
      <c r="L22" s="179">
        <f t="shared" si="2"/>
        <v>5.3654855005023769</v>
      </c>
      <c r="M22" s="179">
        <f t="shared" si="3"/>
        <v>4.8289369504521398</v>
      </c>
    </row>
    <row r="23" spans="1:13" ht="12" customHeight="1" x14ac:dyDescent="0.2">
      <c r="A23" s="2">
        <v>1976</v>
      </c>
      <c r="B23" s="20">
        <v>218.035</v>
      </c>
      <c r="C23" s="168">
        <v>1327.3</v>
      </c>
      <c r="D23" s="170" t="s">
        <v>3</v>
      </c>
      <c r="E23" s="170">
        <v>166.54</v>
      </c>
      <c r="F23" s="170">
        <f t="shared" si="0"/>
        <v>1493.84</v>
      </c>
      <c r="G23" s="170" t="s">
        <v>3</v>
      </c>
      <c r="H23" s="8">
        <v>129.12</v>
      </c>
      <c r="I23" s="168">
        <v>76.900000000000006</v>
      </c>
      <c r="J23" s="170">
        <v>114.1</v>
      </c>
      <c r="K23" s="170">
        <f t="shared" si="1"/>
        <v>1173.7199999999998</v>
      </c>
      <c r="L23" s="176">
        <f t="shared" si="2"/>
        <v>5.3831724264452943</v>
      </c>
      <c r="M23" s="176">
        <f t="shared" si="3"/>
        <v>4.8448551838007647</v>
      </c>
    </row>
    <row r="24" spans="1:13" ht="12" customHeight="1" x14ac:dyDescent="0.2">
      <c r="A24" s="2">
        <v>1977</v>
      </c>
      <c r="B24" s="20">
        <v>220.23899999999998</v>
      </c>
      <c r="C24" s="168">
        <v>1188.5</v>
      </c>
      <c r="D24" s="170" t="s">
        <v>3</v>
      </c>
      <c r="E24" s="170">
        <v>129.12</v>
      </c>
      <c r="F24" s="170">
        <f t="shared" si="0"/>
        <v>1317.62</v>
      </c>
      <c r="G24" s="170" t="s">
        <v>3</v>
      </c>
      <c r="H24" s="8">
        <v>92.43</v>
      </c>
      <c r="I24" s="168">
        <v>91.6</v>
      </c>
      <c r="J24" s="170">
        <v>95.1</v>
      </c>
      <c r="K24" s="170">
        <f t="shared" si="1"/>
        <v>1038.4899999999998</v>
      </c>
      <c r="L24" s="176">
        <f t="shared" si="2"/>
        <v>4.7152865750389346</v>
      </c>
      <c r="M24" s="176">
        <f t="shared" si="3"/>
        <v>4.2437579175350413</v>
      </c>
    </row>
    <row r="25" spans="1:13" ht="12" customHeight="1" x14ac:dyDescent="0.2">
      <c r="A25" s="2">
        <v>1978</v>
      </c>
      <c r="B25" s="20">
        <v>222.58500000000001</v>
      </c>
      <c r="C25" s="168">
        <v>1311.5</v>
      </c>
      <c r="D25" s="170">
        <v>14.178021190099999</v>
      </c>
      <c r="E25" s="170">
        <v>92.43</v>
      </c>
      <c r="F25" s="170">
        <f t="shared" si="0"/>
        <v>1418.1080211901001</v>
      </c>
      <c r="G25" s="170">
        <v>17.530377646099996</v>
      </c>
      <c r="H25" s="8">
        <v>131.18</v>
      </c>
      <c r="I25" s="8">
        <v>101.7</v>
      </c>
      <c r="J25" s="170">
        <v>76.400000000000006</v>
      </c>
      <c r="K25" s="170">
        <f t="shared" si="1"/>
        <v>1091.297643544</v>
      </c>
      <c r="L25" s="176">
        <f t="shared" si="2"/>
        <v>4.9028355169665518</v>
      </c>
      <c r="M25" s="176">
        <f t="shared" si="3"/>
        <v>4.4125519652698966</v>
      </c>
    </row>
    <row r="26" spans="1:13" ht="12" customHeight="1" x14ac:dyDescent="0.2">
      <c r="A26" s="2">
        <v>1979</v>
      </c>
      <c r="B26" s="20">
        <v>225.05500000000001</v>
      </c>
      <c r="C26" s="168">
        <v>1337</v>
      </c>
      <c r="D26" s="170">
        <v>13.133023204699999</v>
      </c>
      <c r="E26" s="170">
        <v>131.18</v>
      </c>
      <c r="F26" s="170">
        <f t="shared" si="0"/>
        <v>1481.3130232047001</v>
      </c>
      <c r="G26" s="170">
        <v>19.431079755999999</v>
      </c>
      <c r="H26" s="8">
        <v>147.91</v>
      </c>
      <c r="I26" s="168">
        <v>92.5</v>
      </c>
      <c r="J26" s="170">
        <v>81.2</v>
      </c>
      <c r="K26" s="170">
        <f t="shared" si="1"/>
        <v>1140.2719434487001</v>
      </c>
      <c r="L26" s="176">
        <f t="shared" si="2"/>
        <v>5.0666367930003782</v>
      </c>
      <c r="M26" s="176">
        <f t="shared" si="3"/>
        <v>4.5599731137003401</v>
      </c>
    </row>
    <row r="27" spans="1:13" ht="12" customHeight="1" x14ac:dyDescent="0.2">
      <c r="A27" s="2">
        <v>1980</v>
      </c>
      <c r="B27" s="20">
        <v>227.726</v>
      </c>
      <c r="C27" s="168">
        <v>1095.3</v>
      </c>
      <c r="D27" s="170">
        <v>2.5485604875999996</v>
      </c>
      <c r="E27" s="170">
        <v>147.91</v>
      </c>
      <c r="F27" s="170">
        <f t="shared" si="0"/>
        <v>1245.7585604876001</v>
      </c>
      <c r="G27" s="170">
        <v>17.401173686379998</v>
      </c>
      <c r="H27" s="8">
        <v>69.19</v>
      </c>
      <c r="I27" s="168">
        <v>92.4</v>
      </c>
      <c r="J27" s="170">
        <v>67.8</v>
      </c>
      <c r="K27" s="170">
        <f t="shared" si="1"/>
        <v>998.96738680122007</v>
      </c>
      <c r="L27" s="176">
        <f t="shared" si="2"/>
        <v>4.3867076521838531</v>
      </c>
      <c r="M27" s="176">
        <f t="shared" si="3"/>
        <v>3.9480368869654678</v>
      </c>
    </row>
    <row r="28" spans="1:13" ht="12" customHeight="1" x14ac:dyDescent="0.2">
      <c r="A28" s="3">
        <v>1981</v>
      </c>
      <c r="B28" s="21">
        <v>229.96600000000001</v>
      </c>
      <c r="C28" s="171">
        <v>1279.9000000000001</v>
      </c>
      <c r="D28" s="172">
        <v>7.8970100921999986</v>
      </c>
      <c r="E28" s="172">
        <v>69.19</v>
      </c>
      <c r="F28" s="172">
        <f t="shared" si="0"/>
        <v>1356.9870100922001</v>
      </c>
      <c r="G28" s="172">
        <v>19.842384686300001</v>
      </c>
      <c r="H28" s="172">
        <v>91.45</v>
      </c>
      <c r="I28" s="172">
        <v>110.8</v>
      </c>
      <c r="J28" s="172">
        <v>60.6</v>
      </c>
      <c r="K28" s="172">
        <f t="shared" si="1"/>
        <v>1074.2946254059</v>
      </c>
      <c r="L28" s="179">
        <f t="shared" si="2"/>
        <v>4.6715367724180963</v>
      </c>
      <c r="M28" s="179">
        <f t="shared" si="3"/>
        <v>4.2043830951762864</v>
      </c>
    </row>
    <row r="29" spans="1:13" ht="12" customHeight="1" x14ac:dyDescent="0.2">
      <c r="A29" s="3">
        <v>1982</v>
      </c>
      <c r="B29" s="21">
        <v>232.18799999999999</v>
      </c>
      <c r="C29" s="171">
        <v>1483.3</v>
      </c>
      <c r="D29" s="172">
        <v>10.306678442499999</v>
      </c>
      <c r="E29" s="172">
        <v>91.45</v>
      </c>
      <c r="F29" s="172">
        <f t="shared" si="0"/>
        <v>1585.0566784425</v>
      </c>
      <c r="G29" s="172">
        <v>13.618883521979999</v>
      </c>
      <c r="H29" s="172">
        <v>112.85</v>
      </c>
      <c r="I29" s="172">
        <v>98.9</v>
      </c>
      <c r="J29" s="172">
        <v>107.6</v>
      </c>
      <c r="K29" s="172">
        <f t="shared" si="1"/>
        <v>1252.0877949205201</v>
      </c>
      <c r="L29" s="179">
        <f t="shared" si="2"/>
        <v>5.3925603171590266</v>
      </c>
      <c r="M29" s="179">
        <f t="shared" si="3"/>
        <v>4.8533042854431239</v>
      </c>
    </row>
    <row r="30" spans="1:13" ht="12" customHeight="1" x14ac:dyDescent="0.2">
      <c r="A30" s="3">
        <v>1983</v>
      </c>
      <c r="B30" s="21">
        <v>234.30699999999999</v>
      </c>
      <c r="C30" s="171">
        <v>1208.3</v>
      </c>
      <c r="D30" s="172">
        <v>16.7243770406</v>
      </c>
      <c r="E30" s="172">
        <v>112.85</v>
      </c>
      <c r="F30" s="172">
        <f t="shared" si="0"/>
        <v>1337.8743770405999</v>
      </c>
      <c r="G30" s="172">
        <v>14.70189207388</v>
      </c>
      <c r="H30" s="172">
        <v>87.36</v>
      </c>
      <c r="I30" s="172">
        <v>104.7</v>
      </c>
      <c r="J30" s="172">
        <v>80.2</v>
      </c>
      <c r="K30" s="172">
        <f t="shared" si="1"/>
        <v>1050.9124849667201</v>
      </c>
      <c r="L30" s="179">
        <f t="shared" si="2"/>
        <v>4.4851945736436392</v>
      </c>
      <c r="M30" s="179">
        <f t="shared" si="3"/>
        <v>4.0366751162792758</v>
      </c>
    </row>
    <row r="31" spans="1:13" ht="12" customHeight="1" x14ac:dyDescent="0.2">
      <c r="A31" s="3">
        <v>1984</v>
      </c>
      <c r="B31" s="21">
        <v>236.34800000000001</v>
      </c>
      <c r="C31" s="171">
        <v>1290.2</v>
      </c>
      <c r="D31" s="172">
        <v>17.412223815799997</v>
      </c>
      <c r="E31" s="172">
        <v>87.36</v>
      </c>
      <c r="F31" s="172">
        <f t="shared" si="0"/>
        <v>1394.9722238157999</v>
      </c>
      <c r="G31" s="172">
        <v>16.659266145499998</v>
      </c>
      <c r="H31" s="172">
        <v>59.96</v>
      </c>
      <c r="I31" s="172">
        <v>105</v>
      </c>
      <c r="J31" s="172">
        <v>71.3</v>
      </c>
      <c r="K31" s="172">
        <f t="shared" si="1"/>
        <v>1142.0529576703</v>
      </c>
      <c r="L31" s="179">
        <f t="shared" si="2"/>
        <v>4.8320821740412443</v>
      </c>
      <c r="M31" s="179">
        <f t="shared" si="3"/>
        <v>4.34887395663712</v>
      </c>
    </row>
    <row r="32" spans="1:13" ht="12" customHeight="1" x14ac:dyDescent="0.2">
      <c r="A32" s="3">
        <v>1985</v>
      </c>
      <c r="B32" s="21">
        <v>238.46600000000001</v>
      </c>
      <c r="C32" s="171">
        <v>1457.3</v>
      </c>
      <c r="D32" s="172">
        <v>21.552532289599998</v>
      </c>
      <c r="E32" s="172">
        <v>59.96</v>
      </c>
      <c r="F32" s="172">
        <f t="shared" si="0"/>
        <v>1538.8125322896001</v>
      </c>
      <c r="G32" s="172">
        <v>18.231872297759999</v>
      </c>
      <c r="H32" s="172">
        <v>89.41538461538461</v>
      </c>
      <c r="I32" s="172">
        <v>103.87200000000001</v>
      </c>
      <c r="J32" s="172">
        <v>72.864999999999995</v>
      </c>
      <c r="K32" s="172">
        <f t="shared" si="1"/>
        <v>1254.4282753764555</v>
      </c>
      <c r="L32" s="179">
        <f t="shared" si="2"/>
        <v>5.2604072504107737</v>
      </c>
      <c r="M32" s="179">
        <f t="shared" si="3"/>
        <v>4.7343665253696967</v>
      </c>
    </row>
    <row r="33" spans="1:13" ht="12" customHeight="1" x14ac:dyDescent="0.2">
      <c r="A33" s="2">
        <v>1986</v>
      </c>
      <c r="B33" s="20">
        <v>240.65100000000001</v>
      </c>
      <c r="C33" s="168">
        <v>1236.8</v>
      </c>
      <c r="D33" s="170">
        <v>17.03950798</v>
      </c>
      <c r="E33" s="170">
        <v>89.41538461538461</v>
      </c>
      <c r="F33" s="170">
        <f t="shared" si="0"/>
        <v>1343.2548925953847</v>
      </c>
      <c r="G33" s="170">
        <v>19.363177459999996</v>
      </c>
      <c r="H33" s="8">
        <v>136.20769230769233</v>
      </c>
      <c r="I33" s="168">
        <v>100.17</v>
      </c>
      <c r="J33" s="170">
        <v>61.84</v>
      </c>
      <c r="K33" s="170">
        <f t="shared" si="1"/>
        <v>1025.6740228276924</v>
      </c>
      <c r="L33" s="176">
        <f t="shared" si="2"/>
        <v>4.2620808674291499</v>
      </c>
      <c r="M33" s="176">
        <f t="shared" si="3"/>
        <v>3.8358727806862349</v>
      </c>
    </row>
    <row r="34" spans="1:13" ht="12" customHeight="1" x14ac:dyDescent="0.2">
      <c r="A34" s="2">
        <v>1987</v>
      </c>
      <c r="B34" s="20">
        <v>242.804</v>
      </c>
      <c r="C34" s="168">
        <v>1161.0999999999999</v>
      </c>
      <c r="D34" s="170">
        <v>18.322596819999998</v>
      </c>
      <c r="E34" s="170">
        <v>136.20769230769233</v>
      </c>
      <c r="F34" s="170">
        <f t="shared" si="0"/>
        <v>1315.6302891276921</v>
      </c>
      <c r="G34" s="170">
        <v>17.063758799999999</v>
      </c>
      <c r="H34" s="8">
        <v>97.138461538461542</v>
      </c>
      <c r="I34" s="168">
        <v>98.760999999999996</v>
      </c>
      <c r="J34" s="170">
        <v>58.055</v>
      </c>
      <c r="K34" s="170">
        <f t="shared" si="1"/>
        <v>1044.6120687892305</v>
      </c>
      <c r="L34" s="176">
        <f t="shared" si="2"/>
        <v>4.3022852539053336</v>
      </c>
      <c r="M34" s="176">
        <f t="shared" si="3"/>
        <v>3.8720567285148002</v>
      </c>
    </row>
    <row r="35" spans="1:13" ht="12" customHeight="1" x14ac:dyDescent="0.2">
      <c r="A35" s="2">
        <v>1988</v>
      </c>
      <c r="B35" s="20">
        <v>245.02099999999999</v>
      </c>
      <c r="C35" s="168">
        <v>1094.5</v>
      </c>
      <c r="D35" s="170">
        <v>18.382121559999998</v>
      </c>
      <c r="E35" s="170">
        <v>97.138461538461542</v>
      </c>
      <c r="F35" s="170">
        <f t="shared" si="0"/>
        <v>1210.0205830984617</v>
      </c>
      <c r="G35" s="170">
        <v>14.669541479999998</v>
      </c>
      <c r="H35" s="8">
        <v>82.113513782465915</v>
      </c>
      <c r="I35" s="8">
        <v>95.336999999999989</v>
      </c>
      <c r="J35" s="170">
        <v>54.725000000000001</v>
      </c>
      <c r="K35" s="170">
        <f t="shared" si="1"/>
        <v>963.17552783599581</v>
      </c>
      <c r="L35" s="176">
        <f t="shared" si="2"/>
        <v>3.9309917428954901</v>
      </c>
      <c r="M35" s="176">
        <f t="shared" si="3"/>
        <v>3.5378925686059413</v>
      </c>
    </row>
    <row r="36" spans="1:13" ht="12" customHeight="1" x14ac:dyDescent="0.2">
      <c r="A36" s="2">
        <v>1989</v>
      </c>
      <c r="B36" s="20">
        <v>247.34200000000001</v>
      </c>
      <c r="C36" s="168">
        <v>1135.8</v>
      </c>
      <c r="D36" s="170">
        <v>20.143606329999997</v>
      </c>
      <c r="E36" s="170">
        <v>82.113513782465915</v>
      </c>
      <c r="F36" s="170">
        <f t="shared" si="0"/>
        <v>1238.0571201124658</v>
      </c>
      <c r="G36" s="170">
        <v>13.86926442</v>
      </c>
      <c r="H36" s="8">
        <v>100</v>
      </c>
      <c r="I36" s="168">
        <v>96.660000000000011</v>
      </c>
      <c r="J36" s="170">
        <v>56.79</v>
      </c>
      <c r="K36" s="170">
        <f t="shared" si="1"/>
        <v>970.7378556924657</v>
      </c>
      <c r="L36" s="176">
        <f t="shared" si="2"/>
        <v>3.9246786057057257</v>
      </c>
      <c r="M36" s="176">
        <f t="shared" si="3"/>
        <v>3.5322107451351532</v>
      </c>
    </row>
    <row r="37" spans="1:13" ht="12" customHeight="1" x14ac:dyDescent="0.2">
      <c r="A37" s="2">
        <v>1990</v>
      </c>
      <c r="B37" s="20">
        <v>250.13200000000001</v>
      </c>
      <c r="C37" s="168">
        <v>1259.4000000000001</v>
      </c>
      <c r="D37" s="170">
        <v>19.102397370000002</v>
      </c>
      <c r="E37" s="170" t="s">
        <v>3</v>
      </c>
      <c r="F37" s="170">
        <f t="shared" si="0"/>
        <v>1278.5023973700002</v>
      </c>
      <c r="G37" s="170">
        <v>14.657109630000001</v>
      </c>
      <c r="H37" s="8" t="s">
        <v>3</v>
      </c>
      <c r="I37" s="168">
        <v>100.47300000000001</v>
      </c>
      <c r="J37" s="170">
        <v>62.970000000000006</v>
      </c>
      <c r="K37" s="170">
        <f t="shared" si="1"/>
        <v>1100.4022877400002</v>
      </c>
      <c r="L37" s="176">
        <f t="shared" si="2"/>
        <v>4.3992863277789338</v>
      </c>
      <c r="M37" s="176">
        <f t="shared" si="3"/>
        <v>3.9593576950010405</v>
      </c>
    </row>
    <row r="38" spans="1:13" ht="12" customHeight="1" x14ac:dyDescent="0.2">
      <c r="A38" s="3">
        <v>1991</v>
      </c>
      <c r="B38" s="21">
        <v>253.49299999999999</v>
      </c>
      <c r="C38" s="171">
        <v>1120.3</v>
      </c>
      <c r="D38" s="172">
        <v>17.21087309</v>
      </c>
      <c r="E38" s="172" t="s">
        <v>3</v>
      </c>
      <c r="F38" s="172">
        <f t="shared" si="0"/>
        <v>1137.5108730899999</v>
      </c>
      <c r="G38" s="172">
        <v>16.065694260000001</v>
      </c>
      <c r="H38" s="172" t="s">
        <v>3</v>
      </c>
      <c r="I38" s="172">
        <v>85.26</v>
      </c>
      <c r="J38" s="172">
        <v>56.015000000000001</v>
      </c>
      <c r="K38" s="172">
        <f t="shared" si="1"/>
        <v>980.17017882999994</v>
      </c>
      <c r="L38" s="179">
        <f t="shared" si="2"/>
        <v>3.8666558004757525</v>
      </c>
      <c r="M38" s="179">
        <f t="shared" si="3"/>
        <v>3.4799902204281774</v>
      </c>
    </row>
    <row r="39" spans="1:13" ht="12" customHeight="1" x14ac:dyDescent="0.2">
      <c r="A39" s="3">
        <v>1992</v>
      </c>
      <c r="B39" s="21">
        <v>256.89400000000001</v>
      </c>
      <c r="C39" s="171">
        <v>1200.5</v>
      </c>
      <c r="D39" s="172">
        <v>17.416167310000002</v>
      </c>
      <c r="E39" s="172" t="s">
        <v>3</v>
      </c>
      <c r="F39" s="172">
        <f t="shared" si="0"/>
        <v>1217.91616731</v>
      </c>
      <c r="G39" s="172">
        <v>19.27084357</v>
      </c>
      <c r="H39" s="172" t="s">
        <v>3</v>
      </c>
      <c r="I39" s="172">
        <v>91.626666666666665</v>
      </c>
      <c r="J39" s="172">
        <v>60.025000000000006</v>
      </c>
      <c r="K39" s="172">
        <f t="shared" si="1"/>
        <v>1046.9936570733335</v>
      </c>
      <c r="L39" s="179">
        <f t="shared" si="2"/>
        <v>4.0755862615449701</v>
      </c>
      <c r="M39" s="179">
        <f t="shared" si="3"/>
        <v>3.6680276353904731</v>
      </c>
    </row>
    <row r="40" spans="1:13" ht="12" customHeight="1" x14ac:dyDescent="0.2">
      <c r="A40" s="3">
        <v>1993</v>
      </c>
      <c r="B40" s="21">
        <v>260.255</v>
      </c>
      <c r="C40" s="171">
        <v>1102.7</v>
      </c>
      <c r="D40" s="172">
        <v>15.982090659999999</v>
      </c>
      <c r="E40" s="172" t="s">
        <v>3</v>
      </c>
      <c r="F40" s="172">
        <f t="shared" si="0"/>
        <v>1118.6820906600001</v>
      </c>
      <c r="G40" s="172">
        <v>23.033342860000001</v>
      </c>
      <c r="H40" s="172" t="s">
        <v>3</v>
      </c>
      <c r="I40" s="172">
        <v>88.058222222222241</v>
      </c>
      <c r="J40" s="172">
        <v>55.135000000000005</v>
      </c>
      <c r="K40" s="172">
        <f t="shared" si="1"/>
        <v>952.45552557777785</v>
      </c>
      <c r="L40" s="179">
        <f t="shared" si="2"/>
        <v>3.6597011606992291</v>
      </c>
      <c r="M40" s="179">
        <f t="shared" si="3"/>
        <v>3.2937310446293062</v>
      </c>
    </row>
    <row r="41" spans="1:13" ht="12" customHeight="1" x14ac:dyDescent="0.2">
      <c r="A41" s="3">
        <v>1994</v>
      </c>
      <c r="B41" s="21">
        <v>263.43599999999998</v>
      </c>
      <c r="C41" s="171">
        <v>1338</v>
      </c>
      <c r="D41" s="172">
        <v>17.773148200000001</v>
      </c>
      <c r="E41" s="172" t="s">
        <v>3</v>
      </c>
      <c r="F41" s="172">
        <f t="shared" si="0"/>
        <v>1355.7731481999999</v>
      </c>
      <c r="G41" s="172">
        <v>22.036656199999996</v>
      </c>
      <c r="H41" s="172" t="s">
        <v>3</v>
      </c>
      <c r="I41" s="172">
        <v>91.234111111111091</v>
      </c>
      <c r="J41" s="172">
        <v>66.900000000000006</v>
      </c>
      <c r="K41" s="172">
        <f t="shared" si="1"/>
        <v>1175.6023808888888</v>
      </c>
      <c r="L41" s="179">
        <f t="shared" si="2"/>
        <v>4.4625730002311332</v>
      </c>
      <c r="M41" s="179">
        <f t="shared" si="3"/>
        <v>4.0163157002080201</v>
      </c>
    </row>
    <row r="42" spans="1:13" ht="12" customHeight="1" x14ac:dyDescent="0.2">
      <c r="A42" s="3">
        <v>1995</v>
      </c>
      <c r="B42" s="21">
        <v>266.55700000000002</v>
      </c>
      <c r="C42" s="171">
        <v>1282.0999999999999</v>
      </c>
      <c r="D42" s="172">
        <v>21.956762980000001</v>
      </c>
      <c r="E42" s="172" t="s">
        <v>3</v>
      </c>
      <c r="F42" s="172">
        <f t="shared" si="0"/>
        <v>1304.0567629799998</v>
      </c>
      <c r="G42" s="172">
        <v>26.026687710000001</v>
      </c>
      <c r="H42" s="172" t="s">
        <v>3</v>
      </c>
      <c r="I42" s="172">
        <v>92.360753086419763</v>
      </c>
      <c r="J42" s="172">
        <v>64.105000000000004</v>
      </c>
      <c r="K42" s="172">
        <f t="shared" si="1"/>
        <v>1121.5643221835801</v>
      </c>
      <c r="L42" s="179">
        <f t="shared" si="2"/>
        <v>4.2075965822828891</v>
      </c>
      <c r="M42" s="179">
        <f t="shared" si="3"/>
        <v>3.7868369240546005</v>
      </c>
    </row>
    <row r="43" spans="1:13" ht="12" customHeight="1" x14ac:dyDescent="0.2">
      <c r="A43" s="2">
        <v>1996</v>
      </c>
      <c r="B43" s="20">
        <v>269.66699999999997</v>
      </c>
      <c r="C43" s="168">
        <v>1321.6</v>
      </c>
      <c r="D43" s="170">
        <v>21.327046340000003</v>
      </c>
      <c r="E43" s="170" t="s">
        <v>3</v>
      </c>
      <c r="F43" s="170">
        <f t="shared" si="0"/>
        <v>1342.9270463399998</v>
      </c>
      <c r="G43" s="170">
        <v>27.15766438</v>
      </c>
      <c r="H43" s="8" t="s">
        <v>3</v>
      </c>
      <c r="I43" s="168">
        <v>93.523769547325102</v>
      </c>
      <c r="J43" s="170">
        <v>66.08</v>
      </c>
      <c r="K43" s="170">
        <f t="shared" si="1"/>
        <v>1156.1656124126748</v>
      </c>
      <c r="L43" s="176">
        <f t="shared" si="2"/>
        <v>4.28738263270135</v>
      </c>
      <c r="M43" s="176">
        <f t="shared" si="3"/>
        <v>3.8586443694312149</v>
      </c>
    </row>
    <row r="44" spans="1:13" ht="12" customHeight="1" x14ac:dyDescent="0.2">
      <c r="A44" s="2">
        <v>1997</v>
      </c>
      <c r="B44" s="20">
        <v>272.91199999999998</v>
      </c>
      <c r="C44" s="168">
        <v>1332.7</v>
      </c>
      <c r="D44" s="170">
        <v>17.315581519999999</v>
      </c>
      <c r="E44" s="170" t="s">
        <v>3</v>
      </c>
      <c r="F44" s="170">
        <f t="shared" si="0"/>
        <v>1350.0155815200001</v>
      </c>
      <c r="G44" s="170">
        <v>29.668678059999998</v>
      </c>
      <c r="H44" s="8" t="s">
        <v>3</v>
      </c>
      <c r="I44" s="168">
        <v>90.851072702331962</v>
      </c>
      <c r="J44" s="170">
        <v>66.635000000000005</v>
      </c>
      <c r="K44" s="170">
        <f t="shared" si="1"/>
        <v>1162.8608307576681</v>
      </c>
      <c r="L44" s="176">
        <f t="shared" si="2"/>
        <v>4.2609369714694409</v>
      </c>
      <c r="M44" s="176">
        <f t="shared" si="3"/>
        <v>3.8348432743224969</v>
      </c>
    </row>
    <row r="45" spans="1:13" ht="12" customHeight="1" x14ac:dyDescent="0.2">
      <c r="A45" s="2">
        <v>1998</v>
      </c>
      <c r="B45" s="20">
        <v>276.11500000000001</v>
      </c>
      <c r="C45" s="168">
        <v>1236.5</v>
      </c>
      <c r="D45" s="170">
        <v>17.858418480000001</v>
      </c>
      <c r="E45" s="170" t="s">
        <v>3</v>
      </c>
      <c r="F45" s="170">
        <f t="shared" si="0"/>
        <v>1254.35841848</v>
      </c>
      <c r="G45" s="170">
        <v>37.634708670000002</v>
      </c>
      <c r="H45" s="8" t="s">
        <v>3</v>
      </c>
      <c r="I45" s="8">
        <v>92.492871970736161</v>
      </c>
      <c r="J45" s="170">
        <v>61.825000000000003</v>
      </c>
      <c r="K45" s="170">
        <f t="shared" si="1"/>
        <v>1062.4058378392638</v>
      </c>
      <c r="L45" s="176">
        <f t="shared" si="2"/>
        <v>3.8476933083652236</v>
      </c>
      <c r="M45" s="176">
        <f t="shared" si="3"/>
        <v>3.4629239775287015</v>
      </c>
    </row>
    <row r="46" spans="1:13" ht="12" customHeight="1" x14ac:dyDescent="0.2">
      <c r="A46" s="2">
        <v>1999</v>
      </c>
      <c r="B46" s="20">
        <v>279.29500000000002</v>
      </c>
      <c r="C46" s="168">
        <v>1222.0999999999999</v>
      </c>
      <c r="D46" s="170">
        <v>17.733476050000004</v>
      </c>
      <c r="E46" s="170" t="s">
        <v>3</v>
      </c>
      <c r="F46" s="170">
        <f t="shared" si="0"/>
        <v>1239.8334760499999</v>
      </c>
      <c r="G46" s="170">
        <v>40.724245500000002</v>
      </c>
      <c r="H46" s="8" t="s">
        <v>3</v>
      </c>
      <c r="I46" s="168">
        <v>99.509399999999999</v>
      </c>
      <c r="J46" s="170">
        <v>61.104999999999997</v>
      </c>
      <c r="K46" s="170">
        <f t="shared" si="1"/>
        <v>1038.49483055</v>
      </c>
      <c r="L46" s="176">
        <f t="shared" si="2"/>
        <v>3.7182721872930053</v>
      </c>
      <c r="M46" s="176">
        <f t="shared" si="3"/>
        <v>3.3464449685637048</v>
      </c>
    </row>
    <row r="47" spans="1:13" ht="12" customHeight="1" x14ac:dyDescent="0.2">
      <c r="A47" s="2">
        <v>2000</v>
      </c>
      <c r="B47" s="20">
        <v>282.38499999999999</v>
      </c>
      <c r="C47" s="168">
        <v>1378</v>
      </c>
      <c r="D47" s="170">
        <v>15.332197339999999</v>
      </c>
      <c r="E47" s="170" t="s">
        <v>3</v>
      </c>
      <c r="F47" s="170">
        <f t="shared" si="0"/>
        <v>1393.33219734</v>
      </c>
      <c r="G47" s="170">
        <v>39.113270130000004</v>
      </c>
      <c r="H47" s="8" t="s">
        <v>3</v>
      </c>
      <c r="I47" s="168">
        <v>97.997900000000016</v>
      </c>
      <c r="J47" s="170">
        <v>68.900000000000006</v>
      </c>
      <c r="K47" s="170">
        <f t="shared" si="1"/>
        <v>1187.32102721</v>
      </c>
      <c r="L47" s="176">
        <f t="shared" si="2"/>
        <v>4.2046179053774102</v>
      </c>
      <c r="M47" s="176">
        <f t="shared" si="3"/>
        <v>3.7841561148396692</v>
      </c>
    </row>
    <row r="48" spans="1:13" ht="12" customHeight="1" x14ac:dyDescent="0.2">
      <c r="A48" s="3">
        <v>2001</v>
      </c>
      <c r="B48" s="21">
        <v>285.30901899999998</v>
      </c>
      <c r="C48" s="171">
        <v>1451.5</v>
      </c>
      <c r="D48" s="172">
        <v>13.705121640000002</v>
      </c>
      <c r="E48" s="172" t="s">
        <v>3</v>
      </c>
      <c r="F48" s="172">
        <f t="shared" si="0"/>
        <v>1465.20512164</v>
      </c>
      <c r="G48" s="172">
        <v>47.715155039999999</v>
      </c>
      <c r="H48" s="172" t="s">
        <v>3</v>
      </c>
      <c r="I48" s="172">
        <v>98.398300000000006</v>
      </c>
      <c r="J48" s="172">
        <v>72.575000000000003</v>
      </c>
      <c r="K48" s="172">
        <f t="shared" si="1"/>
        <v>1246.5166666</v>
      </c>
      <c r="L48" s="179">
        <f t="shared" si="2"/>
        <v>4.3690054768300195</v>
      </c>
      <c r="M48" s="179">
        <f t="shared" si="3"/>
        <v>3.9321049291470178</v>
      </c>
    </row>
    <row r="49" spans="1:13" ht="12" customHeight="1" x14ac:dyDescent="0.2">
      <c r="A49" s="3">
        <v>2002</v>
      </c>
      <c r="B49" s="21">
        <v>288.10481800000002</v>
      </c>
      <c r="C49" s="171">
        <v>1279.9000000000001</v>
      </c>
      <c r="D49" s="172">
        <v>14.683377670000002</v>
      </c>
      <c r="E49" s="172" t="s">
        <v>3</v>
      </c>
      <c r="F49" s="172">
        <f t="shared" si="0"/>
        <v>1294.5833776700001</v>
      </c>
      <c r="G49" s="172">
        <v>51.984672840000009</v>
      </c>
      <c r="H49" s="172" t="s">
        <v>3</v>
      </c>
      <c r="I49" s="172">
        <v>96.496400000000008</v>
      </c>
      <c r="J49" s="172">
        <v>63.995000000000005</v>
      </c>
      <c r="K49" s="172">
        <f t="shared" si="1"/>
        <v>1082.10730483</v>
      </c>
      <c r="L49" s="179">
        <f t="shared" si="2"/>
        <v>3.7559500474233647</v>
      </c>
      <c r="M49" s="179">
        <f t="shared" si="3"/>
        <v>3.3803550426810283</v>
      </c>
    </row>
    <row r="50" spans="1:13" ht="12" customHeight="1" x14ac:dyDescent="0.2">
      <c r="A50" s="3">
        <v>2003</v>
      </c>
      <c r="B50" s="21">
        <v>290.81963400000001</v>
      </c>
      <c r="C50" s="171">
        <v>1589.1</v>
      </c>
      <c r="D50" s="172">
        <v>11.147389859999999</v>
      </c>
      <c r="E50" s="172" t="s">
        <v>3</v>
      </c>
      <c r="F50" s="172">
        <f t="shared" si="0"/>
        <v>1600.2473898599999</v>
      </c>
      <c r="G50" s="172">
        <v>59.291195790000003</v>
      </c>
      <c r="H50" s="172" t="s">
        <v>3</v>
      </c>
      <c r="I50" s="172">
        <v>95.895800000000008</v>
      </c>
      <c r="J50" s="172">
        <v>79.454999999999998</v>
      </c>
      <c r="K50" s="172">
        <f t="shared" si="1"/>
        <v>1365.6053940699999</v>
      </c>
      <c r="L50" s="179">
        <f t="shared" si="2"/>
        <v>4.6957125118656871</v>
      </c>
      <c r="M50" s="179">
        <f t="shared" si="3"/>
        <v>4.2261412606791184</v>
      </c>
    </row>
    <row r="51" spans="1:13" ht="12" customHeight="1" x14ac:dyDescent="0.2">
      <c r="A51" s="3">
        <v>2004</v>
      </c>
      <c r="B51" s="21">
        <v>293.46318500000001</v>
      </c>
      <c r="C51" s="171">
        <v>1611.2</v>
      </c>
      <c r="D51" s="172">
        <v>11.454524300000001</v>
      </c>
      <c r="E51" s="172" t="s">
        <v>3</v>
      </c>
      <c r="F51" s="172">
        <f t="shared" si="0"/>
        <v>1622.6545243</v>
      </c>
      <c r="G51" s="172">
        <v>64.908946740000005</v>
      </c>
      <c r="H51" s="172" t="s">
        <v>3</v>
      </c>
      <c r="I51" s="172">
        <v>96.996900000000011</v>
      </c>
      <c r="J51" s="172">
        <v>80.56</v>
      </c>
      <c r="K51" s="172">
        <f t="shared" si="1"/>
        <v>1380.1886775600001</v>
      </c>
      <c r="L51" s="179">
        <f t="shared" si="2"/>
        <v>4.7031067203881127</v>
      </c>
      <c r="M51" s="179">
        <f t="shared" si="3"/>
        <v>4.2327960483493019</v>
      </c>
    </row>
    <row r="52" spans="1:13" ht="12" customHeight="1" x14ac:dyDescent="0.2">
      <c r="A52" s="3">
        <v>2005</v>
      </c>
      <c r="B52" s="21">
        <v>296.186216</v>
      </c>
      <c r="C52" s="171">
        <v>1573</v>
      </c>
      <c r="D52" s="172">
        <v>12.994828350000001</v>
      </c>
      <c r="E52" s="172" t="s">
        <v>3</v>
      </c>
      <c r="F52" s="172">
        <f t="shared" si="0"/>
        <v>1585.99482835</v>
      </c>
      <c r="G52" s="172">
        <v>71.463830940000008</v>
      </c>
      <c r="H52" s="172" t="s">
        <v>3</v>
      </c>
      <c r="I52" s="172">
        <v>91.091000000000008</v>
      </c>
      <c r="J52" s="172">
        <v>78.650000000000006</v>
      </c>
      <c r="K52" s="172">
        <f t="shared" si="1"/>
        <v>1344.7899974100001</v>
      </c>
      <c r="L52" s="179">
        <f t="shared" si="2"/>
        <v>4.540353077774558</v>
      </c>
      <c r="M52" s="179">
        <f t="shared" si="3"/>
        <v>4.0863177699971027</v>
      </c>
    </row>
    <row r="53" spans="1:13" ht="12" customHeight="1" x14ac:dyDescent="0.2">
      <c r="A53" s="2">
        <v>2006</v>
      </c>
      <c r="B53" s="20">
        <v>298.99582500000002</v>
      </c>
      <c r="C53" s="168">
        <v>1640.1</v>
      </c>
      <c r="D53" s="170">
        <v>15.464860349999999</v>
      </c>
      <c r="E53" s="170" t="s">
        <v>3</v>
      </c>
      <c r="F53" s="170">
        <f t="shared" si="0"/>
        <v>1655.5648603499999</v>
      </c>
      <c r="G53" s="170">
        <v>86.091993930000001</v>
      </c>
      <c r="H53" s="8" t="s">
        <v>3</v>
      </c>
      <c r="I53" s="168">
        <v>95.795700000000011</v>
      </c>
      <c r="J53" s="170">
        <v>82.004999999999995</v>
      </c>
      <c r="K53" s="170">
        <f t="shared" si="1"/>
        <v>1391.6721664199999</v>
      </c>
      <c r="L53" s="176">
        <f t="shared" si="2"/>
        <v>4.6544869528529365</v>
      </c>
      <c r="M53" s="176">
        <f t="shared" ref="M53:M59" si="4">IF(L53=0,0,L53*0.9)</f>
        <v>4.1890382575676428</v>
      </c>
    </row>
    <row r="54" spans="1:13" ht="12" customHeight="1" x14ac:dyDescent="0.2">
      <c r="A54" s="2">
        <v>2007</v>
      </c>
      <c r="B54" s="20">
        <v>302.003917</v>
      </c>
      <c r="C54" s="168">
        <v>1807</v>
      </c>
      <c r="D54" s="170">
        <v>17.40759353</v>
      </c>
      <c r="E54" s="170" t="s">
        <v>3</v>
      </c>
      <c r="F54" s="170">
        <f t="shared" si="0"/>
        <v>1824.40759353</v>
      </c>
      <c r="G54" s="170">
        <v>96.247818450000011</v>
      </c>
      <c r="H54" s="8" t="s">
        <v>3</v>
      </c>
      <c r="I54" s="168">
        <v>100.60050000000001</v>
      </c>
      <c r="J54" s="170">
        <v>90.350000000000009</v>
      </c>
      <c r="K54" s="170">
        <f t="shared" si="1"/>
        <v>1537.20927508</v>
      </c>
      <c r="L54" s="176">
        <f t="shared" si="2"/>
        <v>5.090030918638714</v>
      </c>
      <c r="M54" s="176">
        <f t="shared" si="4"/>
        <v>4.581027826774843</v>
      </c>
    </row>
    <row r="55" spans="1:13" ht="12" customHeight="1" x14ac:dyDescent="0.2">
      <c r="A55" s="2">
        <v>2008</v>
      </c>
      <c r="B55" s="20">
        <v>304.79776099999998</v>
      </c>
      <c r="C55" s="168">
        <v>1844.3</v>
      </c>
      <c r="D55" s="170">
        <v>16.98147136</v>
      </c>
      <c r="E55" s="170" t="s">
        <v>3</v>
      </c>
      <c r="F55" s="170">
        <f t="shared" si="0"/>
        <v>1861.2814713600001</v>
      </c>
      <c r="G55" s="170">
        <v>120.777098</v>
      </c>
      <c r="H55" s="8" t="s">
        <v>3</v>
      </c>
      <c r="I55" s="8">
        <v>103.3032</v>
      </c>
      <c r="J55" s="170">
        <v>92.215000000000003</v>
      </c>
      <c r="K55" s="170">
        <f t="shared" si="1"/>
        <v>1544.9861733600001</v>
      </c>
      <c r="L55" s="176">
        <f t="shared" si="2"/>
        <v>5.0688895098543725</v>
      </c>
      <c r="M55" s="176">
        <f t="shared" si="4"/>
        <v>4.5620005588689354</v>
      </c>
    </row>
    <row r="56" spans="1:13" ht="12" customHeight="1" x14ac:dyDescent="0.2">
      <c r="A56" s="2">
        <v>2009</v>
      </c>
      <c r="B56" s="20">
        <v>307.43940600000002</v>
      </c>
      <c r="C56" s="168">
        <v>1946.9</v>
      </c>
      <c r="D56" s="170">
        <v>23.572500309999995</v>
      </c>
      <c r="E56" s="170" t="s">
        <v>3</v>
      </c>
      <c r="F56" s="170">
        <f t="shared" si="0"/>
        <v>1970.47250031</v>
      </c>
      <c r="G56" s="170">
        <v>148.39915138000001</v>
      </c>
      <c r="H56" s="8" t="s">
        <v>3</v>
      </c>
      <c r="I56" s="168">
        <v>110.0099</v>
      </c>
      <c r="J56" s="170">
        <v>97.345000000000013</v>
      </c>
      <c r="K56" s="170">
        <f t="shared" si="1"/>
        <v>1614.71844893</v>
      </c>
      <c r="L56" s="176">
        <f t="shared" si="2"/>
        <v>5.2521518628291908</v>
      </c>
      <c r="M56" s="176">
        <f t="shared" si="4"/>
        <v>4.7269366765462717</v>
      </c>
    </row>
    <row r="57" spans="1:13" ht="12" customHeight="1" x14ac:dyDescent="0.2">
      <c r="A57" s="2">
        <v>2010</v>
      </c>
      <c r="B57" s="20">
        <v>309.74127900000002</v>
      </c>
      <c r="C57" s="168">
        <v>2384.5</v>
      </c>
      <c r="D57" s="170">
        <v>22.256876350679999</v>
      </c>
      <c r="E57" s="170" t="s">
        <v>3</v>
      </c>
      <c r="F57" s="170">
        <f t="shared" si="0"/>
        <v>2406.7568763506802</v>
      </c>
      <c r="G57" s="170">
        <v>204.11618999999999</v>
      </c>
      <c r="H57" s="8" t="s">
        <v>3</v>
      </c>
      <c r="I57" s="168">
        <v>119.9198</v>
      </c>
      <c r="J57" s="170">
        <v>119.22500000000001</v>
      </c>
      <c r="K57" s="170">
        <f t="shared" si="1"/>
        <v>1963.4958863506802</v>
      </c>
      <c r="L57" s="176">
        <f t="shared" si="2"/>
        <v>6.3391482487895328</v>
      </c>
      <c r="M57" s="176">
        <f t="shared" si="4"/>
        <v>5.7052334239105793</v>
      </c>
    </row>
    <row r="58" spans="1:13" ht="12" customHeight="1" x14ac:dyDescent="0.2">
      <c r="A58" s="33">
        <v>2011</v>
      </c>
      <c r="B58" s="31">
        <v>311.97391399999998</v>
      </c>
      <c r="C58" s="171">
        <v>2696.4</v>
      </c>
      <c r="D58" s="172">
        <v>23.457289079999999</v>
      </c>
      <c r="E58" s="172" t="s">
        <v>3</v>
      </c>
      <c r="F58" s="172">
        <f t="shared" si="0"/>
        <v>2719.8572890800001</v>
      </c>
      <c r="G58" s="172">
        <v>233.37530811000002</v>
      </c>
      <c r="H58" s="172" t="s">
        <v>3</v>
      </c>
      <c r="I58" s="172">
        <v>133.7336</v>
      </c>
      <c r="J58" s="172">
        <v>134.82000000000002</v>
      </c>
      <c r="K58" s="172">
        <f t="shared" si="1"/>
        <v>2217.92838097</v>
      </c>
      <c r="L58" s="179">
        <f t="shared" si="2"/>
        <v>7.109339215361449</v>
      </c>
      <c r="M58" s="179">
        <f t="shared" si="4"/>
        <v>6.398405293825304</v>
      </c>
    </row>
    <row r="59" spans="1:13" s="93" customFormat="1" ht="12" customHeight="1" x14ac:dyDescent="0.2">
      <c r="A59" s="33">
        <v>2012</v>
      </c>
      <c r="B59" s="31">
        <v>314.16755799999999</v>
      </c>
      <c r="C59" s="171">
        <v>2648.2</v>
      </c>
      <c r="D59" s="172">
        <v>26.805026590000001</v>
      </c>
      <c r="E59" s="172" t="s">
        <v>3</v>
      </c>
      <c r="F59" s="172">
        <f t="shared" si="0"/>
        <v>2675.0050265899999</v>
      </c>
      <c r="G59" s="172">
        <v>246.30661917000003</v>
      </c>
      <c r="H59" s="172" t="s">
        <v>3</v>
      </c>
      <c r="I59" s="172">
        <v>130.63050000000001</v>
      </c>
      <c r="J59" s="172">
        <v>132.41</v>
      </c>
      <c r="K59" s="172">
        <f t="shared" si="1"/>
        <v>2165.6579074199999</v>
      </c>
      <c r="L59" s="179">
        <f t="shared" si="2"/>
        <v>6.8933212620890663</v>
      </c>
      <c r="M59" s="179">
        <f t="shared" si="4"/>
        <v>6.2039891358801595</v>
      </c>
    </row>
    <row r="60" spans="1:13" s="93" customFormat="1" ht="12" customHeight="1" x14ac:dyDescent="0.2">
      <c r="A60" s="33">
        <v>2013</v>
      </c>
      <c r="B60" s="31">
        <v>316.29476599999998</v>
      </c>
      <c r="C60" s="171">
        <v>2474.9</v>
      </c>
      <c r="D60" s="172">
        <v>34.057130690000008</v>
      </c>
      <c r="E60" s="172" t="s">
        <v>3</v>
      </c>
      <c r="F60" s="172">
        <f t="shared" si="0"/>
        <v>2508.9571306900002</v>
      </c>
      <c r="G60" s="172">
        <v>280.71258247000003</v>
      </c>
      <c r="H60" s="172" t="s">
        <v>3</v>
      </c>
      <c r="I60" s="172">
        <v>115.6155</v>
      </c>
      <c r="J60" s="172">
        <v>123.745</v>
      </c>
      <c r="K60" s="172">
        <f t="shared" ref="K60" si="5">F60-SUM(G60,H60,I60,J60)</f>
        <v>1988.8840482200003</v>
      </c>
      <c r="L60" s="179">
        <f t="shared" ref="L60" si="6">IF(K60=0,0,IF(B60=0,0,K60/B60))</f>
        <v>6.2880713246453164</v>
      </c>
      <c r="M60" s="179">
        <f t="shared" ref="M60" si="7">IF(L60=0,0,L60*0.9)</f>
        <v>5.6592641921807845</v>
      </c>
    </row>
    <row r="61" spans="1:13" s="93" customFormat="1" ht="12" customHeight="1" x14ac:dyDescent="0.2">
      <c r="A61" s="33">
        <v>2014</v>
      </c>
      <c r="B61" s="31">
        <v>318.576955</v>
      </c>
      <c r="C61" s="171">
        <v>2946.4</v>
      </c>
      <c r="D61" s="172">
        <v>35.96583116</v>
      </c>
      <c r="E61" s="172" t="s">
        <v>3</v>
      </c>
      <c r="F61" s="172">
        <f t="shared" ref="F61:F62" si="8">SUM(C61,D61,E61)</f>
        <v>2982.3658311600002</v>
      </c>
      <c r="G61" s="172">
        <v>311.06075086999999</v>
      </c>
      <c r="H61" s="172" t="s">
        <v>3</v>
      </c>
      <c r="I61" s="172">
        <v>137.0369</v>
      </c>
      <c r="J61" s="172">
        <v>147.32000000000002</v>
      </c>
      <c r="K61" s="172">
        <f t="shared" ref="K61" si="9">F61-SUM(G61,H61,I61,J61)</f>
        <v>2386.94818029</v>
      </c>
      <c r="L61" s="179">
        <f t="shared" ref="L61" si="10">IF(K61=0,0,IF(B61=0,0,K61/B61))</f>
        <v>7.4925324723817512</v>
      </c>
      <c r="M61" s="179">
        <f t="shared" ref="M61" si="11">IF(L61=0,0,L61*0.9)</f>
        <v>6.743279225143576</v>
      </c>
    </row>
    <row r="62" spans="1:13" s="93" customFormat="1" ht="12" customHeight="1" x14ac:dyDescent="0.2">
      <c r="A62" s="33">
        <v>2015</v>
      </c>
      <c r="B62" s="31">
        <v>320.87070299999999</v>
      </c>
      <c r="C62" s="171">
        <v>3101.6</v>
      </c>
      <c r="D62" s="172">
        <v>47.089014309999996</v>
      </c>
      <c r="E62" s="172" t="s">
        <v>3</v>
      </c>
      <c r="F62" s="172">
        <f t="shared" si="8"/>
        <v>3148.6890143099999</v>
      </c>
      <c r="G62" s="172">
        <v>409.31503587000003</v>
      </c>
      <c r="H62" s="172" t="s">
        <v>3</v>
      </c>
      <c r="I62" s="172">
        <v>157.05690000000001</v>
      </c>
      <c r="J62" s="172">
        <v>155.08000000000001</v>
      </c>
      <c r="K62" s="172">
        <f t="shared" ref="K62" si="12">F62-SUM(G62,H62,I62,J62)</f>
        <v>2427.23707844</v>
      </c>
      <c r="L62" s="179">
        <f t="shared" ref="L62" si="13">IF(K62=0,0,IF(B62=0,0,K62/B62))</f>
        <v>7.5645331772156217</v>
      </c>
      <c r="M62" s="179">
        <f t="shared" ref="M62" si="14">IF(L62=0,0,L62*0.9)</f>
        <v>6.8080798594940592</v>
      </c>
    </row>
    <row r="63" spans="1:13" s="93" customFormat="1" ht="12" customHeight="1" x14ac:dyDescent="0.2">
      <c r="A63" s="128">
        <v>2016</v>
      </c>
      <c r="B63" s="129">
        <v>323.16101099999997</v>
      </c>
      <c r="C63" s="168">
        <v>3154.6</v>
      </c>
      <c r="D63" s="170">
        <v>33.753345080000003</v>
      </c>
      <c r="E63" s="170" t="s">
        <v>3</v>
      </c>
      <c r="F63" s="170">
        <f t="shared" ref="F63:F67" si="15">SUM(C63,D63,E63)</f>
        <v>3188.3533450800001</v>
      </c>
      <c r="G63" s="170">
        <v>528.08447844</v>
      </c>
      <c r="H63" s="8" t="s">
        <v>3</v>
      </c>
      <c r="I63" s="168">
        <v>168.2681</v>
      </c>
      <c r="J63" s="170">
        <v>157.73000000000002</v>
      </c>
      <c r="K63" s="170">
        <f t="shared" ref="K63:K64" si="16">F63-SUM(G63,H63,I63,J63)</f>
        <v>2334.2707666400001</v>
      </c>
      <c r="L63" s="176">
        <f t="shared" ref="L63:L64" si="17">IF(K63=0,0,IF(B63=0,0,K63/B63))</f>
        <v>7.2232437923645447</v>
      </c>
      <c r="M63" s="176">
        <f t="shared" ref="M63:M64" si="18">IF(L63=0,0,L63*0.9)</f>
        <v>6.5009194131280905</v>
      </c>
    </row>
    <row r="64" spans="1:13" s="93" customFormat="1" ht="12" customHeight="1" x14ac:dyDescent="0.2">
      <c r="A64" s="125">
        <v>2017</v>
      </c>
      <c r="B64" s="126">
        <v>325.20603</v>
      </c>
      <c r="C64" s="168">
        <v>3564.6</v>
      </c>
      <c r="D64" s="170">
        <v>30.268107610000001</v>
      </c>
      <c r="E64" s="170" t="s">
        <v>3</v>
      </c>
      <c r="F64" s="170">
        <f t="shared" si="15"/>
        <v>3594.8681076099997</v>
      </c>
      <c r="G64" s="170">
        <v>650.11273735999998</v>
      </c>
      <c r="H64" s="8" t="s">
        <v>3</v>
      </c>
      <c r="I64" s="168">
        <v>161.76160000000002</v>
      </c>
      <c r="J64" s="170">
        <v>178.23000000000002</v>
      </c>
      <c r="K64" s="170">
        <f t="shared" si="16"/>
        <v>2604.7637702499997</v>
      </c>
      <c r="L64" s="176">
        <f t="shared" si="17"/>
        <v>8.0095801736825099</v>
      </c>
      <c r="M64" s="176">
        <f t="shared" si="18"/>
        <v>7.2086221563142594</v>
      </c>
    </row>
    <row r="65" spans="1:13" s="93" customFormat="1" ht="12" customHeight="1" x14ac:dyDescent="0.2">
      <c r="A65" s="128">
        <v>2018</v>
      </c>
      <c r="B65" s="129">
        <v>326.92397599999998</v>
      </c>
      <c r="C65" s="168">
        <v>2737.8</v>
      </c>
      <c r="D65" s="170">
        <v>34.738018770000004</v>
      </c>
      <c r="E65" s="170" t="s">
        <v>3</v>
      </c>
      <c r="F65" s="170">
        <f t="shared" si="15"/>
        <v>2772.5380187700002</v>
      </c>
      <c r="G65" s="170">
        <v>667.82882337000001</v>
      </c>
      <c r="H65" s="8" t="s">
        <v>3</v>
      </c>
      <c r="I65" s="8">
        <v>150.3502</v>
      </c>
      <c r="J65" s="170">
        <v>136.89000000000001</v>
      </c>
      <c r="K65" s="170">
        <f t="shared" ref="K65:K67" si="19">F65-SUM(G65,H65,I65,J65)</f>
        <v>1817.4689954000003</v>
      </c>
      <c r="L65" s="176">
        <f t="shared" ref="L65:L67" si="20">IF(K65=0,0,IF(B65=0,0,K65/B65))</f>
        <v>5.5593016383723421</v>
      </c>
      <c r="M65" s="176">
        <f t="shared" ref="M65:M67" si="21">IF(L65=0,0,L65*0.9)</f>
        <v>5.0033714745351077</v>
      </c>
    </row>
    <row r="66" spans="1:13" s="93" customFormat="1" ht="12" customHeight="1" x14ac:dyDescent="0.2">
      <c r="A66" s="128">
        <v>2019</v>
      </c>
      <c r="B66" s="129">
        <v>328.475998</v>
      </c>
      <c r="C66" s="168">
        <v>3197.25</v>
      </c>
      <c r="D66" s="170">
        <v>35.258714739999995</v>
      </c>
      <c r="E66" s="170" t="s">
        <v>3</v>
      </c>
      <c r="F66" s="170">
        <f t="shared" si="15"/>
        <v>3232.50871474</v>
      </c>
      <c r="G66" s="170">
        <v>579.33787403999997</v>
      </c>
      <c r="H66" s="8" t="s">
        <v>3</v>
      </c>
      <c r="I66" s="168">
        <v>162.39750000000001</v>
      </c>
      <c r="J66" s="170">
        <v>159.86250000000001</v>
      </c>
      <c r="K66" s="170">
        <f t="shared" si="19"/>
        <v>2330.9108406999999</v>
      </c>
      <c r="L66" s="176">
        <f t="shared" si="20"/>
        <v>7.0961374800359076</v>
      </c>
      <c r="M66" s="176">
        <f t="shared" si="21"/>
        <v>6.3865237320323169</v>
      </c>
    </row>
    <row r="67" spans="1:13" s="93" customFormat="1" ht="12" customHeight="1" thickBot="1" x14ac:dyDescent="0.25">
      <c r="A67" s="148">
        <v>2020</v>
      </c>
      <c r="B67" s="149">
        <v>330.11398000000003</v>
      </c>
      <c r="C67" s="168">
        <v>3066.8</v>
      </c>
      <c r="D67" s="170">
        <v>31.105328999999998</v>
      </c>
      <c r="E67" s="170" t="s">
        <v>3</v>
      </c>
      <c r="F67" s="170">
        <f t="shared" si="15"/>
        <v>3097.9053290000002</v>
      </c>
      <c r="G67" s="170">
        <v>579.65798200000006</v>
      </c>
      <c r="H67" s="8" t="s">
        <v>3</v>
      </c>
      <c r="I67" s="168">
        <v>158</v>
      </c>
      <c r="J67" s="170">
        <v>153.34</v>
      </c>
      <c r="K67" s="170">
        <f t="shared" si="19"/>
        <v>2206.9073470000003</v>
      </c>
      <c r="L67" s="176">
        <f t="shared" si="20"/>
        <v>6.6852889629212315</v>
      </c>
      <c r="M67" s="176">
        <f t="shared" si="21"/>
        <v>6.0167600666291081</v>
      </c>
    </row>
    <row r="68" spans="1:13" ht="12" customHeight="1" thickTop="1" x14ac:dyDescent="0.2">
      <c r="A68" s="254" t="s">
        <v>8</v>
      </c>
      <c r="B68" s="255"/>
      <c r="C68" s="255"/>
      <c r="D68" s="255"/>
      <c r="E68" s="255"/>
      <c r="F68" s="255"/>
      <c r="G68" s="255"/>
      <c r="H68" s="255"/>
      <c r="I68" s="255"/>
      <c r="J68" s="255"/>
      <c r="K68" s="255"/>
      <c r="L68" s="255"/>
      <c r="M68" s="256"/>
    </row>
    <row r="69" spans="1:13" ht="12" customHeight="1" x14ac:dyDescent="0.2">
      <c r="A69" s="248"/>
      <c r="B69" s="249"/>
      <c r="C69" s="249"/>
      <c r="D69" s="249"/>
      <c r="E69" s="249"/>
      <c r="F69" s="249"/>
      <c r="G69" s="249"/>
      <c r="H69" s="249"/>
      <c r="I69" s="249"/>
      <c r="J69" s="249"/>
      <c r="K69" s="249"/>
      <c r="L69" s="249"/>
      <c r="M69" s="250"/>
    </row>
    <row r="70" spans="1:13" ht="12" customHeight="1" x14ac:dyDescent="0.2">
      <c r="A70" s="313" t="s">
        <v>244</v>
      </c>
      <c r="B70" s="314"/>
      <c r="C70" s="314"/>
      <c r="D70" s="314"/>
      <c r="E70" s="314"/>
      <c r="F70" s="314"/>
      <c r="G70" s="314"/>
      <c r="H70" s="314"/>
      <c r="I70" s="314"/>
      <c r="J70" s="314"/>
      <c r="K70" s="314"/>
      <c r="L70" s="314"/>
      <c r="M70" s="315"/>
    </row>
    <row r="71" spans="1:13" ht="12" customHeight="1" x14ac:dyDescent="0.2">
      <c r="A71" s="316"/>
      <c r="B71" s="314"/>
      <c r="C71" s="314"/>
      <c r="D71" s="314"/>
      <c r="E71" s="314"/>
      <c r="F71" s="314"/>
      <c r="G71" s="314"/>
      <c r="H71" s="314"/>
      <c r="I71" s="314"/>
      <c r="J71" s="314"/>
      <c r="K71" s="314"/>
      <c r="L71" s="314"/>
      <c r="M71" s="315"/>
    </row>
    <row r="72" spans="1:13" s="93" customFormat="1" ht="12" customHeight="1" x14ac:dyDescent="0.2">
      <c r="A72" s="316"/>
      <c r="B72" s="314"/>
      <c r="C72" s="314"/>
      <c r="D72" s="314"/>
      <c r="E72" s="314"/>
      <c r="F72" s="314"/>
      <c r="G72" s="314"/>
      <c r="H72" s="314"/>
      <c r="I72" s="314"/>
      <c r="J72" s="314"/>
      <c r="K72" s="314"/>
      <c r="L72" s="314"/>
      <c r="M72" s="315"/>
    </row>
    <row r="73" spans="1:13" ht="12" customHeight="1" x14ac:dyDescent="0.2">
      <c r="A73" s="316"/>
      <c r="B73" s="314"/>
      <c r="C73" s="314"/>
      <c r="D73" s="314"/>
      <c r="E73" s="314"/>
      <c r="F73" s="314"/>
      <c r="G73" s="314"/>
      <c r="H73" s="314"/>
      <c r="I73" s="314"/>
      <c r="J73" s="314"/>
      <c r="K73" s="314"/>
      <c r="L73" s="314"/>
      <c r="M73" s="315"/>
    </row>
    <row r="74" spans="1:13" ht="24" customHeight="1" x14ac:dyDescent="0.2">
      <c r="A74" s="316"/>
      <c r="B74" s="314"/>
      <c r="C74" s="314"/>
      <c r="D74" s="314"/>
      <c r="E74" s="314"/>
      <c r="F74" s="314"/>
      <c r="G74" s="314"/>
      <c r="H74" s="314"/>
      <c r="I74" s="314"/>
      <c r="J74" s="314"/>
      <c r="K74" s="314"/>
      <c r="L74" s="314"/>
      <c r="M74" s="315"/>
    </row>
    <row r="75" spans="1:13" ht="12" customHeight="1" x14ac:dyDescent="0.2">
      <c r="A75" s="251"/>
      <c r="B75" s="252"/>
      <c r="C75" s="252"/>
      <c r="D75" s="252"/>
      <c r="E75" s="252"/>
      <c r="F75" s="252"/>
      <c r="G75" s="252"/>
      <c r="H75" s="252"/>
      <c r="I75" s="252"/>
      <c r="J75" s="252"/>
      <c r="K75" s="252"/>
      <c r="L75" s="252"/>
      <c r="M75" s="253"/>
    </row>
    <row r="76" spans="1:13" ht="12" customHeight="1" x14ac:dyDescent="0.2">
      <c r="A76" s="275" t="s">
        <v>198</v>
      </c>
      <c r="B76" s="276"/>
      <c r="C76" s="276"/>
      <c r="D76" s="276"/>
      <c r="E76" s="276"/>
      <c r="F76" s="276"/>
      <c r="G76" s="276"/>
      <c r="H76" s="276"/>
      <c r="I76" s="276"/>
      <c r="J76" s="276"/>
      <c r="K76" s="276"/>
      <c r="L76" s="276"/>
      <c r="M76" s="277"/>
    </row>
  </sheetData>
  <mergeCells count="25">
    <mergeCell ref="A1:K1"/>
    <mergeCell ref="C6:K6"/>
    <mergeCell ref="L6:M6"/>
    <mergeCell ref="L1:M1"/>
    <mergeCell ref="F3:F5"/>
    <mergeCell ref="K3:K5"/>
    <mergeCell ref="L4:L5"/>
    <mergeCell ref="L3:M3"/>
    <mergeCell ref="G3:G5"/>
    <mergeCell ref="H3:H5"/>
    <mergeCell ref="I3:I5"/>
    <mergeCell ref="J3:J5"/>
    <mergeCell ref="A2:A5"/>
    <mergeCell ref="B2:B5"/>
    <mergeCell ref="C2:F2"/>
    <mergeCell ref="C3:C5"/>
    <mergeCell ref="K2:M2"/>
    <mergeCell ref="G2:J2"/>
    <mergeCell ref="D3:D5"/>
    <mergeCell ref="E3:E5"/>
    <mergeCell ref="A76:M76"/>
    <mergeCell ref="A75:M75"/>
    <mergeCell ref="A70:M74"/>
    <mergeCell ref="A68:M68"/>
    <mergeCell ref="A69:M69"/>
  </mergeCells>
  <phoneticPr fontId="7" type="noConversion"/>
  <printOptions horizontalCentered="1"/>
  <pageMargins left="0.45" right="0.45" top="0.75" bottom="0.75" header="0" footer="0"/>
  <pageSetup scale="61" fitToWidth="2" orientation="landscape"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pageSetUpPr autoPageBreaks="0" fitToPage="1"/>
  </sheetPr>
  <dimension ref="A1:K74"/>
  <sheetViews>
    <sheetView showOutlineSymbols="0" zoomScaleNormal="100" workbookViewId="0">
      <pane ySplit="6" topLeftCell="A7" activePane="bottomLeft" state="frozen"/>
      <selection pane="bottomLeft" sqref="A1:G1"/>
    </sheetView>
  </sheetViews>
  <sheetFormatPr defaultColWidth="12.7109375" defaultRowHeight="12" customHeight="1" x14ac:dyDescent="0.2"/>
  <cols>
    <col min="1" max="1" width="12.7109375" style="13" customWidth="1"/>
    <col min="2" max="16384" width="12.7109375" style="13"/>
  </cols>
  <sheetData>
    <row r="1" spans="1:10" s="1" customFormat="1" ht="12" customHeight="1" thickBot="1" x14ac:dyDescent="0.25">
      <c r="A1" s="201" t="s">
        <v>177</v>
      </c>
      <c r="B1" s="201"/>
      <c r="C1" s="201"/>
      <c r="D1" s="201"/>
      <c r="E1" s="201"/>
      <c r="F1" s="201"/>
      <c r="G1" s="201"/>
      <c r="H1" s="200" t="s">
        <v>19</v>
      </c>
      <c r="I1" s="200"/>
    </row>
    <row r="2" spans="1:10" ht="12" customHeight="1" thickTop="1" x14ac:dyDescent="0.2">
      <c r="A2" s="257" t="s">
        <v>1</v>
      </c>
      <c r="B2" s="258" t="s">
        <v>85</v>
      </c>
      <c r="C2" s="218" t="s">
        <v>2</v>
      </c>
      <c r="D2" s="218"/>
      <c r="E2" s="218"/>
      <c r="F2" s="117" t="s">
        <v>146</v>
      </c>
      <c r="G2" s="244" t="s">
        <v>147</v>
      </c>
      <c r="H2" s="245"/>
      <c r="I2" s="245"/>
    </row>
    <row r="3" spans="1:10" ht="12" customHeight="1" x14ac:dyDescent="0.2">
      <c r="A3" s="217"/>
      <c r="B3" s="259"/>
      <c r="C3" s="217" t="s">
        <v>86</v>
      </c>
      <c r="D3" s="217" t="s">
        <v>87</v>
      </c>
      <c r="E3" s="217" t="s">
        <v>88</v>
      </c>
      <c r="F3" s="217" t="s">
        <v>203</v>
      </c>
      <c r="G3" s="217" t="s">
        <v>137</v>
      </c>
      <c r="H3" s="226" t="s">
        <v>28</v>
      </c>
      <c r="I3" s="227"/>
    </row>
    <row r="4" spans="1:10" ht="12" customHeight="1" x14ac:dyDescent="0.2">
      <c r="A4" s="217"/>
      <c r="B4" s="259"/>
      <c r="C4" s="217"/>
      <c r="D4" s="217"/>
      <c r="E4" s="217"/>
      <c r="F4" s="217"/>
      <c r="G4" s="217"/>
      <c r="H4" s="217" t="s">
        <v>4</v>
      </c>
      <c r="I4" s="10" t="s">
        <v>96</v>
      </c>
      <c r="J4" s="4"/>
    </row>
    <row r="5" spans="1:10" ht="12" customHeight="1" x14ac:dyDescent="0.2">
      <c r="A5" s="217"/>
      <c r="B5" s="259"/>
      <c r="C5" s="217"/>
      <c r="D5" s="217"/>
      <c r="E5" s="217"/>
      <c r="F5" s="217"/>
      <c r="G5" s="217"/>
      <c r="H5" s="217"/>
      <c r="I5" s="10" t="s">
        <v>184</v>
      </c>
    </row>
    <row r="6" spans="1:10" ht="12" customHeight="1" x14ac:dyDescent="0.2">
      <c r="A6" s="106"/>
      <c r="B6" s="167" t="s">
        <v>121</v>
      </c>
      <c r="C6" s="290" t="s">
        <v>122</v>
      </c>
      <c r="D6" s="291"/>
      <c r="E6" s="291"/>
      <c r="F6" s="291"/>
      <c r="G6" s="292"/>
      <c r="H6" s="214" t="s">
        <v>118</v>
      </c>
      <c r="I6" s="222"/>
      <c r="J6" s="106"/>
    </row>
    <row r="7" spans="1:10" ht="12" customHeight="1" x14ac:dyDescent="0.2">
      <c r="A7" s="2">
        <v>1960</v>
      </c>
      <c r="B7" s="20">
        <v>180.67099999999999</v>
      </c>
      <c r="C7" s="168">
        <v>2028.1</v>
      </c>
      <c r="D7" s="170">
        <v>312.7</v>
      </c>
      <c r="E7" s="170">
        <f t="shared" ref="E7:E38" si="0">SUM(C7,D7)</f>
        <v>2340.7999999999997</v>
      </c>
      <c r="F7" s="170">
        <v>73.099999999999994</v>
      </c>
      <c r="G7" s="170">
        <f t="shared" ref="G7:G24" si="1">E7-F7</f>
        <v>2267.6999999999998</v>
      </c>
      <c r="H7" s="142">
        <f t="shared" ref="H7:H38" si="2">IF(G7=0,0,IF(B7=0,0,G7/B7))</f>
        <v>12.551543966657626</v>
      </c>
      <c r="I7" s="142">
        <f t="shared" ref="I7:I47" si="3">H7*0.85</f>
        <v>10.668812371658982</v>
      </c>
    </row>
    <row r="8" spans="1:10" ht="12" customHeight="1" x14ac:dyDescent="0.2">
      <c r="A8" s="3">
        <v>1961</v>
      </c>
      <c r="B8" s="21">
        <v>183.691</v>
      </c>
      <c r="C8" s="171">
        <v>2222.1</v>
      </c>
      <c r="D8" s="172">
        <v>176.2</v>
      </c>
      <c r="E8" s="172">
        <f t="shared" si="0"/>
        <v>2398.2999999999997</v>
      </c>
      <c r="F8" s="172">
        <v>97.5</v>
      </c>
      <c r="G8" s="172">
        <f t="shared" si="1"/>
        <v>2300.7999999999997</v>
      </c>
      <c r="H8" s="183">
        <f t="shared" si="2"/>
        <v>12.525382299622734</v>
      </c>
      <c r="I8" s="144">
        <f t="shared" si="3"/>
        <v>10.646574954679323</v>
      </c>
    </row>
    <row r="9" spans="1:10" ht="12" customHeight="1" x14ac:dyDescent="0.2">
      <c r="A9" s="3">
        <v>1962</v>
      </c>
      <c r="B9" s="21">
        <v>186.53800000000001</v>
      </c>
      <c r="C9" s="171">
        <v>2199.6999999999998</v>
      </c>
      <c r="D9" s="172">
        <v>236.2</v>
      </c>
      <c r="E9" s="172">
        <f t="shared" si="0"/>
        <v>2435.8999999999996</v>
      </c>
      <c r="F9" s="172">
        <v>84.3</v>
      </c>
      <c r="G9" s="172">
        <f t="shared" si="1"/>
        <v>2351.5999999999995</v>
      </c>
      <c r="H9" s="183">
        <f t="shared" si="2"/>
        <v>12.606546655373164</v>
      </c>
      <c r="I9" s="144">
        <f t="shared" si="3"/>
        <v>10.715564657067189</v>
      </c>
    </row>
    <row r="10" spans="1:10" ht="12" customHeight="1" x14ac:dyDescent="0.2">
      <c r="A10" s="3">
        <v>1963</v>
      </c>
      <c r="B10" s="21">
        <v>189.24199999999999</v>
      </c>
      <c r="C10" s="171">
        <v>2129.1999999999998</v>
      </c>
      <c r="D10" s="172">
        <v>242</v>
      </c>
      <c r="E10" s="172">
        <f t="shared" si="0"/>
        <v>2371.1999999999998</v>
      </c>
      <c r="F10" s="172">
        <v>100.1</v>
      </c>
      <c r="G10" s="172">
        <f t="shared" si="1"/>
        <v>2271.1</v>
      </c>
      <c r="H10" s="183">
        <f t="shared" si="2"/>
        <v>12.001035710888704</v>
      </c>
      <c r="I10" s="144">
        <f t="shared" si="3"/>
        <v>10.200880354255398</v>
      </c>
    </row>
    <row r="11" spans="1:10" ht="12" customHeight="1" x14ac:dyDescent="0.2">
      <c r="A11" s="3">
        <v>1964</v>
      </c>
      <c r="B11" s="21">
        <v>191.88900000000001</v>
      </c>
      <c r="C11" s="171">
        <v>2180.3000000000002</v>
      </c>
      <c r="D11" s="172">
        <v>249.2</v>
      </c>
      <c r="E11" s="172">
        <f t="shared" si="0"/>
        <v>2429.5</v>
      </c>
      <c r="F11" s="172">
        <v>102.4</v>
      </c>
      <c r="G11" s="172">
        <f t="shared" si="1"/>
        <v>2327.1</v>
      </c>
      <c r="H11" s="183">
        <f t="shared" si="2"/>
        <v>12.127323608961429</v>
      </c>
      <c r="I11" s="144">
        <f t="shared" si="3"/>
        <v>10.308225067617215</v>
      </c>
    </row>
    <row r="12" spans="1:10" ht="12" customHeight="1" x14ac:dyDescent="0.2">
      <c r="A12" s="3">
        <v>1965</v>
      </c>
      <c r="B12" s="21">
        <v>194.303</v>
      </c>
      <c r="C12" s="171">
        <v>2166</v>
      </c>
      <c r="D12" s="172">
        <v>269</v>
      </c>
      <c r="E12" s="172">
        <f t="shared" si="0"/>
        <v>2435</v>
      </c>
      <c r="F12" s="172">
        <v>97.9</v>
      </c>
      <c r="G12" s="172">
        <f t="shared" si="1"/>
        <v>2337.1</v>
      </c>
      <c r="H12" s="183">
        <f t="shared" si="2"/>
        <v>12.028121027467408</v>
      </c>
      <c r="I12" s="144">
        <f t="shared" si="3"/>
        <v>10.223902873347297</v>
      </c>
    </row>
    <row r="13" spans="1:10" ht="12" customHeight="1" x14ac:dyDescent="0.2">
      <c r="A13" s="2">
        <v>1966</v>
      </c>
      <c r="B13" s="20">
        <v>196.56</v>
      </c>
      <c r="C13" s="168">
        <v>2172.6</v>
      </c>
      <c r="D13" s="170">
        <v>360.6</v>
      </c>
      <c r="E13" s="170">
        <f t="shared" si="0"/>
        <v>2533.1999999999998</v>
      </c>
      <c r="F13" s="170">
        <v>102.7</v>
      </c>
      <c r="G13" s="170">
        <f t="shared" si="1"/>
        <v>2430.5</v>
      </c>
      <c r="H13" s="142">
        <f t="shared" si="2"/>
        <v>12.365181115181114</v>
      </c>
      <c r="I13" s="142">
        <f t="shared" si="3"/>
        <v>10.510403947903947</v>
      </c>
    </row>
    <row r="14" spans="1:10" ht="12" customHeight="1" x14ac:dyDescent="0.2">
      <c r="A14" s="2">
        <v>1967</v>
      </c>
      <c r="B14" s="20">
        <v>198.71199999999999</v>
      </c>
      <c r="C14" s="168">
        <v>2190.5</v>
      </c>
      <c r="D14" s="170">
        <v>348.1</v>
      </c>
      <c r="E14" s="170">
        <f t="shared" si="0"/>
        <v>2538.6</v>
      </c>
      <c r="F14" s="170">
        <v>92.3</v>
      </c>
      <c r="G14" s="170">
        <f t="shared" si="1"/>
        <v>2446.2999999999997</v>
      </c>
      <c r="H14" s="142">
        <f t="shared" si="2"/>
        <v>12.310781432424815</v>
      </c>
      <c r="I14" s="142">
        <f t="shared" si="3"/>
        <v>10.464164217561093</v>
      </c>
    </row>
    <row r="15" spans="1:10" ht="12" customHeight="1" x14ac:dyDescent="0.2">
      <c r="A15" s="2">
        <v>1968</v>
      </c>
      <c r="B15" s="20">
        <v>200.70599999999999</v>
      </c>
      <c r="C15" s="168">
        <v>2096.5</v>
      </c>
      <c r="D15" s="170">
        <v>390.3</v>
      </c>
      <c r="E15" s="170">
        <f t="shared" si="0"/>
        <v>2486.8000000000002</v>
      </c>
      <c r="F15" s="170">
        <v>113</v>
      </c>
      <c r="G15" s="170">
        <f t="shared" si="1"/>
        <v>2373.8000000000002</v>
      </c>
      <c r="H15" s="142">
        <f t="shared" si="2"/>
        <v>11.827249808177136</v>
      </c>
      <c r="I15" s="142">
        <f t="shared" si="3"/>
        <v>10.053162336950566</v>
      </c>
    </row>
    <row r="16" spans="1:10" ht="12" customHeight="1" x14ac:dyDescent="0.2">
      <c r="A16" s="2">
        <v>1969</v>
      </c>
      <c r="B16" s="20">
        <v>202.67699999999999</v>
      </c>
      <c r="C16" s="168">
        <v>2052.9</v>
      </c>
      <c r="D16" s="170">
        <v>449.6</v>
      </c>
      <c r="E16" s="170">
        <f t="shared" si="0"/>
        <v>2502.5</v>
      </c>
      <c r="F16" s="170">
        <v>94.5</v>
      </c>
      <c r="G16" s="170">
        <f t="shared" si="1"/>
        <v>2408</v>
      </c>
      <c r="H16" s="142">
        <f t="shared" si="2"/>
        <v>11.880973174065138</v>
      </c>
      <c r="I16" s="142">
        <f t="shared" si="3"/>
        <v>10.098827197955368</v>
      </c>
    </row>
    <row r="17" spans="1:9" ht="12" customHeight="1" x14ac:dyDescent="0.2">
      <c r="A17" s="2">
        <v>1970</v>
      </c>
      <c r="B17" s="20">
        <v>205.05199999999999</v>
      </c>
      <c r="C17" s="168">
        <v>1933.4</v>
      </c>
      <c r="D17" s="170">
        <v>646.70000000000005</v>
      </c>
      <c r="E17" s="170">
        <f t="shared" si="0"/>
        <v>2580.1000000000004</v>
      </c>
      <c r="F17" s="170">
        <v>89.170199999999994</v>
      </c>
      <c r="G17" s="170">
        <f t="shared" si="1"/>
        <v>2490.9298000000003</v>
      </c>
      <c r="H17" s="142">
        <f t="shared" si="2"/>
        <v>12.147795681095529</v>
      </c>
      <c r="I17" s="142">
        <f t="shared" si="3"/>
        <v>10.325626328931198</v>
      </c>
    </row>
    <row r="18" spans="1:9" ht="12" customHeight="1" x14ac:dyDescent="0.2">
      <c r="A18" s="3">
        <v>1971</v>
      </c>
      <c r="B18" s="21">
        <v>207.661</v>
      </c>
      <c r="C18" s="171">
        <v>1887.7</v>
      </c>
      <c r="D18" s="172">
        <v>575.4</v>
      </c>
      <c r="E18" s="172">
        <f t="shared" si="0"/>
        <v>2463.1</v>
      </c>
      <c r="F18" s="172">
        <v>107.5916</v>
      </c>
      <c r="G18" s="172">
        <f t="shared" si="1"/>
        <v>2355.5083999999997</v>
      </c>
      <c r="H18" s="183">
        <f t="shared" si="2"/>
        <v>11.343046599987478</v>
      </c>
      <c r="I18" s="144">
        <f t="shared" si="3"/>
        <v>9.6415896099893565</v>
      </c>
    </row>
    <row r="19" spans="1:9" ht="12" customHeight="1" x14ac:dyDescent="0.2">
      <c r="A19" s="3">
        <v>1972</v>
      </c>
      <c r="B19" s="21">
        <v>209.89599999999999</v>
      </c>
      <c r="C19" s="171">
        <v>2088.5</v>
      </c>
      <c r="D19" s="172">
        <v>586.79999999999995</v>
      </c>
      <c r="E19" s="172">
        <f t="shared" si="0"/>
        <v>2675.3</v>
      </c>
      <c r="F19" s="172">
        <v>136.7509</v>
      </c>
      <c r="G19" s="172">
        <f t="shared" si="1"/>
        <v>2538.5491000000002</v>
      </c>
      <c r="H19" s="183">
        <f t="shared" si="2"/>
        <v>12.094318614933112</v>
      </c>
      <c r="I19" s="144">
        <f t="shared" si="3"/>
        <v>10.280170822693146</v>
      </c>
    </row>
    <row r="20" spans="1:9" ht="12" customHeight="1" x14ac:dyDescent="0.2">
      <c r="A20" s="3">
        <v>1973</v>
      </c>
      <c r="B20" s="21">
        <v>211.90899999999999</v>
      </c>
      <c r="C20" s="171">
        <v>2043.1</v>
      </c>
      <c r="D20" s="172">
        <v>753.1</v>
      </c>
      <c r="E20" s="172">
        <f t="shared" si="0"/>
        <v>2796.2</v>
      </c>
      <c r="F20" s="172">
        <v>150.66030000000001</v>
      </c>
      <c r="G20" s="172">
        <f t="shared" si="1"/>
        <v>2645.5396999999998</v>
      </c>
      <c r="H20" s="183">
        <f t="shared" si="2"/>
        <v>12.484319684392828</v>
      </c>
      <c r="I20" s="144">
        <f t="shared" si="3"/>
        <v>10.611671731733903</v>
      </c>
    </row>
    <row r="21" spans="1:9" ht="12" customHeight="1" x14ac:dyDescent="0.2">
      <c r="A21" s="3">
        <v>1974</v>
      </c>
      <c r="B21" s="21">
        <v>213.85400000000001</v>
      </c>
      <c r="C21" s="171">
        <v>2098.1</v>
      </c>
      <c r="D21" s="172">
        <v>595.79999999999995</v>
      </c>
      <c r="E21" s="172">
        <f t="shared" si="0"/>
        <v>2693.8999999999996</v>
      </c>
      <c r="F21" s="172">
        <v>161.21899999999999</v>
      </c>
      <c r="G21" s="172">
        <f t="shared" si="1"/>
        <v>2532.6809999999996</v>
      </c>
      <c r="H21" s="183">
        <f t="shared" si="2"/>
        <v>11.84303777343421</v>
      </c>
      <c r="I21" s="144">
        <f t="shared" si="3"/>
        <v>10.066582107419078</v>
      </c>
    </row>
    <row r="22" spans="1:9" ht="12" customHeight="1" x14ac:dyDescent="0.2">
      <c r="A22" s="3">
        <v>1975</v>
      </c>
      <c r="B22" s="21">
        <v>215.97300000000001</v>
      </c>
      <c r="C22" s="171">
        <v>2226.4</v>
      </c>
      <c r="D22" s="172">
        <v>567.1</v>
      </c>
      <c r="E22" s="172">
        <f t="shared" si="0"/>
        <v>2793.5</v>
      </c>
      <c r="F22" s="172">
        <v>202.57300000000001</v>
      </c>
      <c r="G22" s="172">
        <f t="shared" si="1"/>
        <v>2590.9270000000001</v>
      </c>
      <c r="H22" s="183">
        <f t="shared" si="2"/>
        <v>11.996531973904146</v>
      </c>
      <c r="I22" s="144">
        <f t="shared" si="3"/>
        <v>10.197052177818524</v>
      </c>
    </row>
    <row r="23" spans="1:9" ht="12" customHeight="1" x14ac:dyDescent="0.2">
      <c r="A23" s="2">
        <v>1976</v>
      </c>
      <c r="B23" s="20">
        <v>218.035</v>
      </c>
      <c r="C23" s="168">
        <v>2296.6999999999998</v>
      </c>
      <c r="D23" s="170">
        <v>653.29999999999995</v>
      </c>
      <c r="E23" s="170">
        <f t="shared" si="0"/>
        <v>2950</v>
      </c>
      <c r="F23" s="170">
        <v>212.3741</v>
      </c>
      <c r="G23" s="170">
        <f t="shared" si="1"/>
        <v>2737.6259</v>
      </c>
      <c r="H23" s="142">
        <f t="shared" si="2"/>
        <v>12.555901116793176</v>
      </c>
      <c r="I23" s="142">
        <f t="shared" si="3"/>
        <v>10.672515949274199</v>
      </c>
    </row>
    <row r="24" spans="1:9" ht="12" customHeight="1" x14ac:dyDescent="0.2">
      <c r="A24" s="2">
        <v>1977</v>
      </c>
      <c r="B24" s="20">
        <v>220.23899999999998</v>
      </c>
      <c r="C24" s="168">
        <v>2098.6999999999998</v>
      </c>
      <c r="D24" s="170">
        <v>791.9</v>
      </c>
      <c r="E24" s="170">
        <f t="shared" si="0"/>
        <v>2890.6</v>
      </c>
      <c r="F24" s="170">
        <v>169.1182</v>
      </c>
      <c r="G24" s="170">
        <f t="shared" si="1"/>
        <v>2721.4818</v>
      </c>
      <c r="H24" s="142">
        <f t="shared" si="2"/>
        <v>12.356947679566291</v>
      </c>
      <c r="I24" s="142">
        <f t="shared" si="3"/>
        <v>10.503405527631347</v>
      </c>
    </row>
    <row r="25" spans="1:9" ht="12" customHeight="1" x14ac:dyDescent="0.2">
      <c r="A25" s="2">
        <v>1978</v>
      </c>
      <c r="B25" s="20">
        <v>222.58500000000001</v>
      </c>
      <c r="C25" s="168">
        <v>2302.3000000000002</v>
      </c>
      <c r="D25" s="170">
        <v>817.8</v>
      </c>
      <c r="E25" s="170">
        <f t="shared" si="0"/>
        <v>3120.1000000000004</v>
      </c>
      <c r="F25" s="170">
        <v>215.59200000000001</v>
      </c>
      <c r="G25" s="170">
        <f>E25-F25-29.5</f>
        <v>2875.0080000000003</v>
      </c>
      <c r="H25" s="142">
        <f t="shared" si="2"/>
        <v>12.916449895545522</v>
      </c>
      <c r="I25" s="142">
        <f t="shared" si="3"/>
        <v>10.978982411213694</v>
      </c>
    </row>
    <row r="26" spans="1:9" ht="12" customHeight="1" x14ac:dyDescent="0.2">
      <c r="A26" s="2">
        <v>1979</v>
      </c>
      <c r="B26" s="20">
        <v>225.05500000000001</v>
      </c>
      <c r="C26" s="168">
        <v>2361.1999999999998</v>
      </c>
      <c r="D26" s="170">
        <v>713.3</v>
      </c>
      <c r="E26" s="170">
        <f t="shared" si="0"/>
        <v>3074.5</v>
      </c>
      <c r="F26" s="170">
        <v>248.63300000000001</v>
      </c>
      <c r="G26" s="170">
        <f>E26-F26-31.1</f>
        <v>2794.7670000000003</v>
      </c>
      <c r="H26" s="142">
        <f t="shared" si="2"/>
        <v>12.41815111861545</v>
      </c>
      <c r="I26" s="142">
        <f t="shared" si="3"/>
        <v>10.555428450823133</v>
      </c>
    </row>
    <row r="27" spans="1:9" ht="12" customHeight="1" x14ac:dyDescent="0.2">
      <c r="A27" s="2">
        <v>1980</v>
      </c>
      <c r="B27" s="20">
        <v>227.726</v>
      </c>
      <c r="C27" s="168">
        <v>2556.6999999999998</v>
      </c>
      <c r="D27" s="170">
        <v>651.70000000000005</v>
      </c>
      <c r="E27" s="170">
        <f t="shared" si="0"/>
        <v>3208.3999999999996</v>
      </c>
      <c r="F27" s="170">
        <v>275.27199999999999</v>
      </c>
      <c r="G27" s="170">
        <f>E27-F27-11.6</f>
        <v>2921.5279999999998</v>
      </c>
      <c r="H27" s="142">
        <f t="shared" si="2"/>
        <v>12.829136769626656</v>
      </c>
      <c r="I27" s="142">
        <f t="shared" si="3"/>
        <v>10.904766254182658</v>
      </c>
    </row>
    <row r="28" spans="1:9" ht="12" customHeight="1" x14ac:dyDescent="0.2">
      <c r="A28" s="3">
        <v>1981</v>
      </c>
      <c r="B28" s="21">
        <v>229.96600000000001</v>
      </c>
      <c r="C28" s="171">
        <v>2607</v>
      </c>
      <c r="D28" s="172">
        <v>525.9</v>
      </c>
      <c r="E28" s="172">
        <f t="shared" si="0"/>
        <v>3132.9</v>
      </c>
      <c r="F28" s="172">
        <v>269.51600000000002</v>
      </c>
      <c r="G28" s="172">
        <f>E28-F28-32</f>
        <v>2831.384</v>
      </c>
      <c r="H28" s="183">
        <f t="shared" si="2"/>
        <v>12.312185279563066</v>
      </c>
      <c r="I28" s="144">
        <f t="shared" si="3"/>
        <v>10.465357487628605</v>
      </c>
    </row>
    <row r="29" spans="1:9" ht="12" customHeight="1" x14ac:dyDescent="0.2">
      <c r="A29" s="3">
        <v>1982</v>
      </c>
      <c r="B29" s="21">
        <v>232.18799999999999</v>
      </c>
      <c r="C29" s="171">
        <v>2676.9</v>
      </c>
      <c r="D29" s="172">
        <v>592.6</v>
      </c>
      <c r="E29" s="172">
        <f t="shared" si="0"/>
        <v>3269.5</v>
      </c>
      <c r="F29" s="172">
        <v>249.727</v>
      </c>
      <c r="G29" s="172">
        <f>E29-F29-28.4</f>
        <v>2991.373</v>
      </c>
      <c r="H29" s="183">
        <f t="shared" si="2"/>
        <v>12.88340913397764</v>
      </c>
      <c r="I29" s="144">
        <f t="shared" si="3"/>
        <v>10.950897763880993</v>
      </c>
    </row>
    <row r="30" spans="1:9" ht="12" customHeight="1" x14ac:dyDescent="0.2">
      <c r="A30" s="3">
        <v>1983</v>
      </c>
      <c r="B30" s="21">
        <v>234.30699999999999</v>
      </c>
      <c r="C30" s="171">
        <v>2726.2</v>
      </c>
      <c r="D30" s="172">
        <v>738.2</v>
      </c>
      <c r="E30" s="172">
        <f t="shared" si="0"/>
        <v>3464.3999999999996</v>
      </c>
      <c r="F30" s="172">
        <v>286.036</v>
      </c>
      <c r="G30" s="172">
        <f>E30-F30-22.3</f>
        <v>3156.0639999999994</v>
      </c>
      <c r="H30" s="183">
        <f t="shared" si="2"/>
        <v>13.469781099156233</v>
      </c>
      <c r="I30" s="144">
        <f t="shared" si="3"/>
        <v>11.449313934282797</v>
      </c>
    </row>
    <row r="31" spans="1:9" ht="12" customHeight="1" x14ac:dyDescent="0.2">
      <c r="A31" s="3">
        <v>1984</v>
      </c>
      <c r="B31" s="21">
        <v>236.34800000000001</v>
      </c>
      <c r="C31" s="171">
        <v>2816.3</v>
      </c>
      <c r="D31" s="172">
        <v>824.3</v>
      </c>
      <c r="E31" s="172">
        <f t="shared" si="0"/>
        <v>3640.6000000000004</v>
      </c>
      <c r="F31" s="172">
        <v>263.20800000000003</v>
      </c>
      <c r="G31" s="172">
        <f>E31-F31-21.9</f>
        <v>3355.4920000000002</v>
      </c>
      <c r="H31" s="183">
        <f t="shared" si="2"/>
        <v>14.19725151048454</v>
      </c>
      <c r="I31" s="144">
        <f t="shared" si="3"/>
        <v>12.067663783911858</v>
      </c>
    </row>
    <row r="32" spans="1:9" ht="12" customHeight="1" x14ac:dyDescent="0.2">
      <c r="A32" s="3">
        <v>1985</v>
      </c>
      <c r="B32" s="21">
        <v>238.46600000000001</v>
      </c>
      <c r="C32" s="171">
        <v>2974</v>
      </c>
      <c r="D32" s="172">
        <v>851</v>
      </c>
      <c r="E32" s="172">
        <f t="shared" si="0"/>
        <v>3825</v>
      </c>
      <c r="F32" s="172">
        <v>271.50400000000002</v>
      </c>
      <c r="G32" s="172">
        <f>E32-F32-11.9</f>
        <v>3541.596</v>
      </c>
      <c r="H32" s="183">
        <f t="shared" si="2"/>
        <v>14.851576325346171</v>
      </c>
      <c r="I32" s="144">
        <f t="shared" si="3"/>
        <v>12.623839876544245</v>
      </c>
    </row>
    <row r="33" spans="1:9" ht="12" customHeight="1" x14ac:dyDescent="0.2">
      <c r="A33" s="2">
        <v>1986</v>
      </c>
      <c r="B33" s="20">
        <v>240.65100000000001</v>
      </c>
      <c r="C33" s="168">
        <v>3136.1</v>
      </c>
      <c r="D33" s="170">
        <v>981.1</v>
      </c>
      <c r="E33" s="170">
        <f t="shared" si="0"/>
        <v>4117.2</v>
      </c>
      <c r="F33" s="170">
        <v>288.053</v>
      </c>
      <c r="G33" s="170">
        <f>E33-F33-28</f>
        <v>3801.1469999999999</v>
      </c>
      <c r="H33" s="142">
        <f t="shared" si="2"/>
        <v>15.795267835994864</v>
      </c>
      <c r="I33" s="142">
        <f t="shared" si="3"/>
        <v>13.425977660595633</v>
      </c>
    </row>
    <row r="34" spans="1:9" ht="12" customHeight="1" x14ac:dyDescent="0.2">
      <c r="A34" s="2">
        <v>1987</v>
      </c>
      <c r="B34" s="20">
        <v>242.804</v>
      </c>
      <c r="C34" s="168">
        <v>3241.4</v>
      </c>
      <c r="D34" s="170">
        <v>919.5</v>
      </c>
      <c r="E34" s="170">
        <f t="shared" si="0"/>
        <v>4160.8999999999996</v>
      </c>
      <c r="F34" s="170">
        <v>284.899</v>
      </c>
      <c r="G34" s="170">
        <f>E34-F34-27.6</f>
        <v>3848.4009999999998</v>
      </c>
      <c r="H34" s="142">
        <f t="shared" si="2"/>
        <v>15.84982537355233</v>
      </c>
      <c r="I34" s="142">
        <f t="shared" si="3"/>
        <v>13.47235156751948</v>
      </c>
    </row>
    <row r="35" spans="1:9" ht="12" customHeight="1" x14ac:dyDescent="0.2">
      <c r="A35" s="2">
        <v>1988</v>
      </c>
      <c r="B35" s="20">
        <v>245.02099999999999</v>
      </c>
      <c r="C35" s="168">
        <v>3588.9</v>
      </c>
      <c r="D35" s="170">
        <v>816.8</v>
      </c>
      <c r="E35" s="170">
        <f t="shared" si="0"/>
        <v>4405.7</v>
      </c>
      <c r="F35" s="170">
        <v>254.20099999999999</v>
      </c>
      <c r="G35" s="170">
        <f>E35-F35-27</f>
        <v>4124.4989999999998</v>
      </c>
      <c r="H35" s="142">
        <f t="shared" si="2"/>
        <v>16.833246946180122</v>
      </c>
      <c r="I35" s="142">
        <f t="shared" si="3"/>
        <v>14.308259904253102</v>
      </c>
    </row>
    <row r="36" spans="1:9" ht="12" customHeight="1" x14ac:dyDescent="0.2">
      <c r="A36" s="2">
        <v>1989</v>
      </c>
      <c r="B36" s="20">
        <v>247.34200000000001</v>
      </c>
      <c r="C36" s="168">
        <v>3596.2</v>
      </c>
      <c r="D36" s="170">
        <v>867.90664500000003</v>
      </c>
      <c r="E36" s="170">
        <f t="shared" si="0"/>
        <v>4464.1066449999998</v>
      </c>
      <c r="F36" s="170">
        <v>298.02499999999998</v>
      </c>
      <c r="G36" s="170">
        <f t="shared" ref="G36:G59" si="4">E36-F36</f>
        <v>4166.0816450000002</v>
      </c>
      <c r="H36" s="142">
        <f t="shared" si="2"/>
        <v>16.84340566907359</v>
      </c>
      <c r="I36" s="142">
        <f t="shared" si="3"/>
        <v>14.316894818712552</v>
      </c>
    </row>
    <row r="37" spans="1:9" ht="12" customHeight="1" x14ac:dyDescent="0.2">
      <c r="A37" s="2">
        <v>1990</v>
      </c>
      <c r="B37" s="20">
        <v>250.13200000000001</v>
      </c>
      <c r="C37" s="168">
        <v>3380</v>
      </c>
      <c r="D37" s="170">
        <v>795.856627</v>
      </c>
      <c r="E37" s="170">
        <f t="shared" si="0"/>
        <v>4175.8566270000001</v>
      </c>
      <c r="F37" s="170">
        <v>293.05599999999998</v>
      </c>
      <c r="G37" s="170">
        <f t="shared" si="4"/>
        <v>3882.8006270000001</v>
      </c>
      <c r="H37" s="142">
        <f t="shared" si="2"/>
        <v>15.523006360641581</v>
      </c>
      <c r="I37" s="142">
        <f t="shared" si="3"/>
        <v>13.194555406545344</v>
      </c>
    </row>
    <row r="38" spans="1:9" ht="12" customHeight="1" x14ac:dyDescent="0.2">
      <c r="A38" s="3">
        <v>1991</v>
      </c>
      <c r="B38" s="21">
        <v>253.49299999999999</v>
      </c>
      <c r="C38" s="171">
        <v>3398.8</v>
      </c>
      <c r="D38" s="172">
        <v>795.49158599999998</v>
      </c>
      <c r="E38" s="172">
        <f t="shared" si="0"/>
        <v>4194.2915860000003</v>
      </c>
      <c r="F38" s="172">
        <v>300.28199999999998</v>
      </c>
      <c r="G38" s="172">
        <f t="shared" si="4"/>
        <v>3894.0095860000001</v>
      </c>
      <c r="H38" s="183">
        <f t="shared" si="2"/>
        <v>15.361408741069773</v>
      </c>
      <c r="I38" s="144">
        <f t="shared" si="3"/>
        <v>13.057197429909307</v>
      </c>
    </row>
    <row r="39" spans="1:9" ht="12" customHeight="1" x14ac:dyDescent="0.2">
      <c r="A39" s="3">
        <v>1992</v>
      </c>
      <c r="B39" s="21">
        <v>256.89400000000001</v>
      </c>
      <c r="C39" s="171">
        <v>3903.3</v>
      </c>
      <c r="D39" s="172">
        <v>432.16680200000002</v>
      </c>
      <c r="E39" s="172">
        <f t="shared" ref="E39:E67" si="5">SUM(C39,D39)</f>
        <v>4335.4668019999999</v>
      </c>
      <c r="F39" s="172">
        <v>367.48056600000001</v>
      </c>
      <c r="G39" s="172">
        <f t="shared" si="4"/>
        <v>3967.9862359999997</v>
      </c>
      <c r="H39" s="183">
        <f t="shared" ref="H39:H59" si="6">IF(G39=0,0,IF(B39=0,0,G39/B39))</f>
        <v>15.446005885696044</v>
      </c>
      <c r="I39" s="144">
        <f t="shared" si="3"/>
        <v>13.129105002841637</v>
      </c>
    </row>
    <row r="40" spans="1:9" ht="12" customHeight="1" x14ac:dyDescent="0.2">
      <c r="A40" s="3">
        <v>1993</v>
      </c>
      <c r="B40" s="21">
        <v>260.255</v>
      </c>
      <c r="C40" s="171">
        <v>3666.3</v>
      </c>
      <c r="D40" s="172">
        <v>922.39968899999997</v>
      </c>
      <c r="E40" s="172">
        <f t="shared" si="5"/>
        <v>4588.699689</v>
      </c>
      <c r="F40" s="172">
        <v>345.83100300000001</v>
      </c>
      <c r="G40" s="172">
        <f t="shared" si="4"/>
        <v>4242.8686859999998</v>
      </c>
      <c r="H40" s="183">
        <f t="shared" si="6"/>
        <v>16.302736493054887</v>
      </c>
      <c r="I40" s="144">
        <f t="shared" si="3"/>
        <v>13.857326019096654</v>
      </c>
    </row>
    <row r="41" spans="1:9" ht="12" customHeight="1" x14ac:dyDescent="0.2">
      <c r="A41" s="3">
        <v>1994</v>
      </c>
      <c r="B41" s="21">
        <v>263.43599999999998</v>
      </c>
      <c r="C41" s="171">
        <v>3738.7</v>
      </c>
      <c r="D41" s="172">
        <v>872.97321399999998</v>
      </c>
      <c r="E41" s="172">
        <f t="shared" si="5"/>
        <v>4611.6732139999995</v>
      </c>
      <c r="F41" s="172">
        <v>340.74938800000001</v>
      </c>
      <c r="G41" s="172">
        <f t="shared" si="4"/>
        <v>4270.9238259999993</v>
      </c>
      <c r="H41" s="183">
        <f t="shared" si="6"/>
        <v>16.212377298470976</v>
      </c>
      <c r="I41" s="144">
        <f t="shared" si="3"/>
        <v>13.780520703700329</v>
      </c>
    </row>
    <row r="42" spans="1:9" ht="12" customHeight="1" x14ac:dyDescent="0.2">
      <c r="A42" s="3">
        <v>1995</v>
      </c>
      <c r="B42" s="21">
        <v>266.55700000000002</v>
      </c>
      <c r="C42" s="171">
        <v>3409.8</v>
      </c>
      <c r="D42" s="172">
        <v>1368.908956</v>
      </c>
      <c r="E42" s="172">
        <f t="shared" si="5"/>
        <v>4778.7089560000004</v>
      </c>
      <c r="F42" s="172">
        <v>289.22761400000002</v>
      </c>
      <c r="G42" s="172">
        <f t="shared" si="4"/>
        <v>4489.481342</v>
      </c>
      <c r="H42" s="183">
        <f t="shared" si="6"/>
        <v>16.842481503018114</v>
      </c>
      <c r="I42" s="144">
        <f t="shared" si="3"/>
        <v>14.316109277565396</v>
      </c>
    </row>
    <row r="43" spans="1:9" ht="12" customHeight="1" x14ac:dyDescent="0.2">
      <c r="A43" s="2">
        <v>1996</v>
      </c>
      <c r="B43" s="20">
        <v>269.66699999999997</v>
      </c>
      <c r="C43" s="168">
        <v>3363.4</v>
      </c>
      <c r="D43" s="170">
        <v>1625.137426</v>
      </c>
      <c r="E43" s="170">
        <f t="shared" si="5"/>
        <v>4988.5374259999999</v>
      </c>
      <c r="F43" s="170">
        <v>295.44103999999999</v>
      </c>
      <c r="G43" s="170">
        <f t="shared" si="4"/>
        <v>4693.0963860000002</v>
      </c>
      <c r="H43" s="142">
        <f t="shared" si="6"/>
        <v>17.403302539799089</v>
      </c>
      <c r="I43" s="142">
        <f t="shared" si="3"/>
        <v>14.792807158829225</v>
      </c>
    </row>
    <row r="44" spans="1:9" ht="12" customHeight="1" x14ac:dyDescent="0.2">
      <c r="A44" s="2">
        <v>1997</v>
      </c>
      <c r="B44" s="20">
        <v>272.91199999999998</v>
      </c>
      <c r="C44" s="168">
        <v>3424.8440000000001</v>
      </c>
      <c r="D44" s="170">
        <v>1636.8401100000001</v>
      </c>
      <c r="E44" s="170">
        <f t="shared" si="5"/>
        <v>5061.6841100000001</v>
      </c>
      <c r="F44" s="170">
        <v>341.676717</v>
      </c>
      <c r="G44" s="170">
        <f t="shared" si="4"/>
        <v>4720.0073929999999</v>
      </c>
      <c r="H44" s="142">
        <f t="shared" si="6"/>
        <v>17.294979308348481</v>
      </c>
      <c r="I44" s="142">
        <f t="shared" si="3"/>
        <v>14.700732412096208</v>
      </c>
    </row>
    <row r="45" spans="1:9" ht="12" customHeight="1" x14ac:dyDescent="0.2">
      <c r="A45" s="2">
        <v>1998</v>
      </c>
      <c r="B45" s="20">
        <v>276.11500000000001</v>
      </c>
      <c r="C45" s="168">
        <v>3525.5989999999997</v>
      </c>
      <c r="D45" s="170">
        <v>1868.017578</v>
      </c>
      <c r="E45" s="170">
        <f t="shared" si="5"/>
        <v>5393.6165779999992</v>
      </c>
      <c r="F45" s="170">
        <v>286.32435900000002</v>
      </c>
      <c r="G45" s="170">
        <f t="shared" si="4"/>
        <v>5107.292218999999</v>
      </c>
      <c r="H45" s="142">
        <f t="shared" si="6"/>
        <v>18.496974880031868</v>
      </c>
      <c r="I45" s="142">
        <f t="shared" si="3"/>
        <v>15.722428648027087</v>
      </c>
    </row>
    <row r="46" spans="1:9" ht="12" customHeight="1" x14ac:dyDescent="0.2">
      <c r="A46" s="2">
        <v>1999</v>
      </c>
      <c r="B46" s="20">
        <v>279.29500000000002</v>
      </c>
      <c r="C46" s="168">
        <v>4026.8990000000003</v>
      </c>
      <c r="D46" s="170">
        <v>1633.0536890000001</v>
      </c>
      <c r="E46" s="170">
        <f t="shared" si="5"/>
        <v>5659.9526890000006</v>
      </c>
      <c r="F46" s="170">
        <v>334.34986399999997</v>
      </c>
      <c r="G46" s="170">
        <f t="shared" si="4"/>
        <v>5325.6028250000008</v>
      </c>
      <c r="H46" s="142">
        <f t="shared" si="6"/>
        <v>19.068020641257455</v>
      </c>
      <c r="I46" s="142">
        <f t="shared" si="3"/>
        <v>16.207817545068835</v>
      </c>
    </row>
    <row r="47" spans="1:9" ht="12" customHeight="1" x14ac:dyDescent="0.2">
      <c r="A47" s="2">
        <v>2000</v>
      </c>
      <c r="B47" s="20">
        <v>282.38499999999999</v>
      </c>
      <c r="C47" s="168">
        <v>4162</v>
      </c>
      <c r="D47" s="170">
        <v>1609.3856310000001</v>
      </c>
      <c r="E47" s="170">
        <f t="shared" si="5"/>
        <v>5771.3856310000001</v>
      </c>
      <c r="F47" s="170">
        <v>410.353048</v>
      </c>
      <c r="G47" s="170">
        <f t="shared" si="4"/>
        <v>5361.0325830000002</v>
      </c>
      <c r="H47" s="142">
        <f t="shared" si="6"/>
        <v>18.984834828337199</v>
      </c>
      <c r="I47" s="142">
        <f t="shared" si="3"/>
        <v>16.137109604086618</v>
      </c>
    </row>
    <row r="48" spans="1:9" ht="12" customHeight="1" x14ac:dyDescent="0.2">
      <c r="A48" s="3">
        <v>2001</v>
      </c>
      <c r="B48" s="21">
        <v>285.30901899999998</v>
      </c>
      <c r="C48" s="171">
        <v>4061.1</v>
      </c>
      <c r="D48" s="172">
        <v>1815.6401209999999</v>
      </c>
      <c r="E48" s="172">
        <f t="shared" si="5"/>
        <v>5876.7401209999998</v>
      </c>
      <c r="F48" s="172">
        <v>397.93577699999997</v>
      </c>
      <c r="G48" s="172">
        <f t="shared" si="4"/>
        <v>5478.8043440000001</v>
      </c>
      <c r="H48" s="183">
        <f t="shared" si="6"/>
        <v>19.203053458327584</v>
      </c>
      <c r="I48" s="144">
        <f t="shared" ref="I48:I53" si="7">H48*0.85</f>
        <v>16.322595439578446</v>
      </c>
    </row>
    <row r="49" spans="1:9" ht="12" customHeight="1" x14ac:dyDescent="0.2">
      <c r="A49" s="3">
        <v>2002</v>
      </c>
      <c r="B49" s="21">
        <v>288.10481800000002</v>
      </c>
      <c r="C49" s="171">
        <v>4289.3</v>
      </c>
      <c r="D49" s="172">
        <v>1894.8747000000001</v>
      </c>
      <c r="E49" s="172">
        <f t="shared" si="5"/>
        <v>6184.1747000000005</v>
      </c>
      <c r="F49" s="172">
        <v>332.34053</v>
      </c>
      <c r="G49" s="172">
        <f t="shared" si="4"/>
        <v>5851.8341700000001</v>
      </c>
      <c r="H49" s="183">
        <f t="shared" si="6"/>
        <v>20.311476255839636</v>
      </c>
      <c r="I49" s="144">
        <f t="shared" si="7"/>
        <v>17.26475481746369</v>
      </c>
    </row>
    <row r="50" spans="1:9" ht="12" customHeight="1" x14ac:dyDescent="0.2">
      <c r="A50" s="3">
        <v>2003</v>
      </c>
      <c r="B50" s="21">
        <v>290.81963400000001</v>
      </c>
      <c r="C50" s="171">
        <v>3888.4</v>
      </c>
      <c r="D50" s="172">
        <v>2071.1447370000001</v>
      </c>
      <c r="E50" s="172">
        <f t="shared" si="5"/>
        <v>5959.5447370000002</v>
      </c>
      <c r="F50" s="172">
        <v>314.22964300000001</v>
      </c>
      <c r="G50" s="172">
        <f t="shared" si="4"/>
        <v>5645.3150940000005</v>
      </c>
      <c r="H50" s="183">
        <f t="shared" si="6"/>
        <v>19.411739903365675</v>
      </c>
      <c r="I50" s="144">
        <f t="shared" si="7"/>
        <v>16.499978917860822</v>
      </c>
    </row>
    <row r="51" spans="1:9" ht="12" customHeight="1" x14ac:dyDescent="0.2">
      <c r="A51" s="3">
        <v>2004</v>
      </c>
      <c r="B51" s="21">
        <v>293.46318500000001</v>
      </c>
      <c r="C51" s="171">
        <v>4169.6000000000004</v>
      </c>
      <c r="D51" s="172">
        <v>2054.201959</v>
      </c>
      <c r="E51" s="172">
        <f t="shared" si="5"/>
        <v>6223.8019590000004</v>
      </c>
      <c r="F51" s="172">
        <v>369.26942500000001</v>
      </c>
      <c r="G51" s="172">
        <f t="shared" si="4"/>
        <v>5854.5325339999999</v>
      </c>
      <c r="H51" s="183">
        <f t="shared" si="6"/>
        <v>19.949802337216507</v>
      </c>
      <c r="I51" s="144">
        <f t="shared" si="7"/>
        <v>16.957331986634031</v>
      </c>
    </row>
    <row r="52" spans="1:9" ht="12" customHeight="1" x14ac:dyDescent="0.2">
      <c r="A52" s="3">
        <v>2005</v>
      </c>
      <c r="B52" s="21">
        <v>296.186216</v>
      </c>
      <c r="C52" s="171">
        <v>4196.9000000000005</v>
      </c>
      <c r="D52" s="172">
        <v>2098.1144570000001</v>
      </c>
      <c r="E52" s="172">
        <f t="shared" si="5"/>
        <v>6295.0144570000011</v>
      </c>
      <c r="F52" s="172">
        <v>326.50748900000002</v>
      </c>
      <c r="G52" s="172">
        <f t="shared" si="4"/>
        <v>5968.5069680000015</v>
      </c>
      <c r="H52" s="183">
        <f t="shared" si="6"/>
        <v>20.151197610087301</v>
      </c>
      <c r="I52" s="144">
        <f t="shared" si="7"/>
        <v>17.128517968574204</v>
      </c>
    </row>
    <row r="53" spans="1:9" ht="12" customHeight="1" x14ac:dyDescent="0.2">
      <c r="A53" s="2">
        <v>2006</v>
      </c>
      <c r="B53" s="20">
        <v>298.99582500000002</v>
      </c>
      <c r="C53" s="168">
        <v>4041.1</v>
      </c>
      <c r="D53" s="170">
        <v>2187.8829190000001</v>
      </c>
      <c r="E53" s="170">
        <f t="shared" si="5"/>
        <v>6228.982919</v>
      </c>
      <c r="F53" s="170">
        <v>317.74965200000003</v>
      </c>
      <c r="G53" s="170">
        <f t="shared" si="4"/>
        <v>5911.2332669999996</v>
      </c>
      <c r="H53" s="142">
        <f t="shared" si="6"/>
        <v>19.770286983104192</v>
      </c>
      <c r="I53" s="142">
        <f t="shared" si="7"/>
        <v>16.804743935638562</v>
      </c>
    </row>
    <row r="54" spans="1:9" ht="12" customHeight="1" x14ac:dyDescent="0.2">
      <c r="A54" s="2">
        <v>2007</v>
      </c>
      <c r="B54" s="20">
        <v>302.003917</v>
      </c>
      <c r="C54" s="168">
        <v>3795.6</v>
      </c>
      <c r="D54" s="170">
        <v>2361.0735330000002</v>
      </c>
      <c r="E54" s="170">
        <f t="shared" si="5"/>
        <v>6156.6735330000001</v>
      </c>
      <c r="F54" s="170">
        <v>355.69007499999998</v>
      </c>
      <c r="G54" s="170">
        <f t="shared" si="4"/>
        <v>5800.9834580000006</v>
      </c>
      <c r="H54" s="142">
        <f t="shared" si="6"/>
        <v>19.208305361151989</v>
      </c>
      <c r="I54" s="142">
        <f t="shared" ref="I54:I59" si="8">H54*0.85</f>
        <v>16.32705955697919</v>
      </c>
    </row>
    <row r="55" spans="1:9" ht="12" customHeight="1" x14ac:dyDescent="0.2">
      <c r="A55" s="2">
        <v>2008</v>
      </c>
      <c r="B55" s="20">
        <v>304.79776099999998</v>
      </c>
      <c r="C55" s="168">
        <v>3554.6</v>
      </c>
      <c r="D55" s="170">
        <v>2460.5723539999999</v>
      </c>
      <c r="E55" s="170">
        <f t="shared" si="5"/>
        <v>6015.1723540000003</v>
      </c>
      <c r="F55" s="170">
        <v>372.27161699999999</v>
      </c>
      <c r="G55" s="170">
        <f t="shared" si="4"/>
        <v>5642.9007369999999</v>
      </c>
      <c r="H55" s="142">
        <f t="shared" si="6"/>
        <v>18.513589858686661</v>
      </c>
      <c r="I55" s="142">
        <f t="shared" si="8"/>
        <v>15.736551379883661</v>
      </c>
    </row>
    <row r="56" spans="1:9" ht="12" customHeight="1" x14ac:dyDescent="0.2">
      <c r="A56" s="2">
        <v>2009</v>
      </c>
      <c r="B56" s="20">
        <v>307.43940600000002</v>
      </c>
      <c r="C56" s="168">
        <v>3775.5</v>
      </c>
      <c r="D56" s="170">
        <v>2622.6199689999999</v>
      </c>
      <c r="E56" s="170">
        <f t="shared" si="5"/>
        <v>6398.1199689999994</v>
      </c>
      <c r="F56" s="170">
        <v>375.58919300000002</v>
      </c>
      <c r="G56" s="170">
        <f t="shared" si="4"/>
        <v>6022.5307759999996</v>
      </c>
      <c r="H56" s="142">
        <f t="shared" si="6"/>
        <v>19.589326086585007</v>
      </c>
      <c r="I56" s="142">
        <f t="shared" si="8"/>
        <v>16.650927173597257</v>
      </c>
    </row>
    <row r="57" spans="1:9" ht="12" customHeight="1" x14ac:dyDescent="0.2">
      <c r="A57" s="2">
        <v>2010</v>
      </c>
      <c r="B57" s="20">
        <v>309.74127900000002</v>
      </c>
      <c r="C57" s="168">
        <v>3253.7999999999997</v>
      </c>
      <c r="D57" s="170">
        <v>3378.5560226387202</v>
      </c>
      <c r="E57" s="170">
        <f t="shared" si="5"/>
        <v>6632.3560226387199</v>
      </c>
      <c r="F57" s="170">
        <v>266.21356300000002</v>
      </c>
      <c r="G57" s="170">
        <f t="shared" si="4"/>
        <v>6366.1424596387196</v>
      </c>
      <c r="H57" s="142">
        <f t="shared" si="6"/>
        <v>20.553096701194676</v>
      </c>
      <c r="I57" s="142">
        <f t="shared" si="8"/>
        <v>17.470132196015474</v>
      </c>
    </row>
    <row r="58" spans="1:9" ht="12" customHeight="1" x14ac:dyDescent="0.2">
      <c r="A58" s="33">
        <v>2011</v>
      </c>
      <c r="B58" s="31">
        <v>311.97391399999998</v>
      </c>
      <c r="C58" s="171">
        <v>3508.1370325080002</v>
      </c>
      <c r="D58" s="172">
        <v>3287.1201202309812</v>
      </c>
      <c r="E58" s="172">
        <f t="shared" si="5"/>
        <v>6795.2571527389809</v>
      </c>
      <c r="F58" s="172">
        <v>252.57038771294003</v>
      </c>
      <c r="G58" s="172">
        <f t="shared" si="4"/>
        <v>6542.686765026041</v>
      </c>
      <c r="H58" s="183">
        <f t="shared" si="6"/>
        <v>20.971903327231523</v>
      </c>
      <c r="I58" s="144">
        <f t="shared" si="8"/>
        <v>17.826117828146796</v>
      </c>
    </row>
    <row r="59" spans="1:9" s="93" customFormat="1" ht="12" customHeight="1" x14ac:dyDescent="0.2">
      <c r="A59" s="33">
        <v>2012</v>
      </c>
      <c r="B59" s="31">
        <v>314.16755799999999</v>
      </c>
      <c r="C59" s="171">
        <v>3412.8395676199998</v>
      </c>
      <c r="D59" s="172">
        <v>3377.8356454167601</v>
      </c>
      <c r="E59" s="172">
        <f t="shared" si="5"/>
        <v>6790.6752130367604</v>
      </c>
      <c r="F59" s="172">
        <v>258.66511261381999</v>
      </c>
      <c r="G59" s="172">
        <f t="shared" si="4"/>
        <v>6532.01010042294</v>
      </c>
      <c r="H59" s="183">
        <f t="shared" si="6"/>
        <v>20.791485097971002</v>
      </c>
      <c r="I59" s="144">
        <f t="shared" si="8"/>
        <v>17.672762333275351</v>
      </c>
    </row>
    <row r="60" spans="1:9" s="93" customFormat="1" ht="12" customHeight="1" x14ac:dyDescent="0.2">
      <c r="A60" s="33">
        <v>2013</v>
      </c>
      <c r="B60" s="31">
        <v>316.29476599999998</v>
      </c>
      <c r="C60" s="171">
        <v>3253.8278520490799</v>
      </c>
      <c r="D60" s="172">
        <v>3389.540724772181</v>
      </c>
      <c r="E60" s="172">
        <f t="shared" si="5"/>
        <v>6643.3685768212608</v>
      </c>
      <c r="F60" s="172">
        <v>241.33517240425999</v>
      </c>
      <c r="G60" s="172">
        <f t="shared" ref="G60" si="9">E60-F60</f>
        <v>6402.0334044170013</v>
      </c>
      <c r="H60" s="183">
        <f t="shared" ref="H60" si="10">IF(G60=0,0,IF(B60=0,0,G60/B60))</f>
        <v>20.24071876174202</v>
      </c>
      <c r="I60" s="144">
        <f t="shared" ref="I60" si="11">H60*0.85</f>
        <v>17.204610947480717</v>
      </c>
    </row>
    <row r="61" spans="1:9" s="93" customFormat="1" ht="12" customHeight="1" x14ac:dyDescent="0.2">
      <c r="A61" s="33">
        <v>2014</v>
      </c>
      <c r="B61" s="31">
        <v>318.576955</v>
      </c>
      <c r="C61" s="171">
        <v>3386.3735295445645</v>
      </c>
      <c r="D61" s="172">
        <v>3435.7895120958196</v>
      </c>
      <c r="E61" s="172">
        <f t="shared" si="5"/>
        <v>6822.1630416403841</v>
      </c>
      <c r="F61" s="172">
        <v>248.73952756532006</v>
      </c>
      <c r="G61" s="172">
        <f t="shared" ref="G61" si="12">E61-F61</f>
        <v>6573.4235140750643</v>
      </c>
      <c r="H61" s="183">
        <f t="shared" ref="H61" si="13">IF(G61=0,0,IF(B61=0,0,G61/B61))</f>
        <v>20.633706898463714</v>
      </c>
      <c r="I61" s="144">
        <f t="shared" ref="I61" si="14">H61*0.85</f>
        <v>17.538650863694155</v>
      </c>
    </row>
    <row r="62" spans="1:9" s="93" customFormat="1" ht="12" customHeight="1" x14ac:dyDescent="0.2">
      <c r="A62" s="33">
        <v>2015</v>
      </c>
      <c r="B62" s="31">
        <v>320.87070299999999</v>
      </c>
      <c r="C62" s="171">
        <v>3342.6180501422286</v>
      </c>
      <c r="D62" s="172">
        <v>3468.3507838722608</v>
      </c>
      <c r="E62" s="172">
        <f t="shared" si="5"/>
        <v>6810.9688340144894</v>
      </c>
      <c r="F62" s="172">
        <v>214.18238684744003</v>
      </c>
      <c r="G62" s="172">
        <f t="shared" ref="G62" si="15">E62-F62</f>
        <v>6596.7864471670491</v>
      </c>
      <c r="H62" s="183">
        <f t="shared" ref="H62" si="16">IF(G62=0,0,IF(B62=0,0,G62/B62))</f>
        <v>20.559017652562218</v>
      </c>
      <c r="I62" s="144">
        <f t="shared" ref="I62" si="17">H62*0.85</f>
        <v>17.475165004677883</v>
      </c>
    </row>
    <row r="63" spans="1:9" s="93" customFormat="1" ht="12" customHeight="1" x14ac:dyDescent="0.2">
      <c r="A63" s="128">
        <v>2016</v>
      </c>
      <c r="B63" s="129">
        <v>323.16101099999997</v>
      </c>
      <c r="C63" s="168">
        <v>2812.1651712288203</v>
      </c>
      <c r="D63" s="170">
        <v>3938.21892238698</v>
      </c>
      <c r="E63" s="170">
        <f t="shared" si="5"/>
        <v>6750.3840936158003</v>
      </c>
      <c r="F63" s="170">
        <v>186.82130658840009</v>
      </c>
      <c r="G63" s="170">
        <f t="shared" ref="G63:G64" si="18">E63-F63</f>
        <v>6563.5627870274002</v>
      </c>
      <c r="H63" s="142">
        <f t="shared" ref="H63:H64" si="19">IF(G63=0,0,IF(B63=0,0,G63/B63))</f>
        <v>20.310503320672556</v>
      </c>
      <c r="I63" s="142">
        <f t="shared" ref="I63:I64" si="20">H63*0.85</f>
        <v>17.263927822571674</v>
      </c>
    </row>
    <row r="64" spans="1:9" s="93" customFormat="1" ht="12" customHeight="1" x14ac:dyDescent="0.2">
      <c r="A64" s="125">
        <v>2017</v>
      </c>
      <c r="B64" s="126">
        <v>325.20603</v>
      </c>
      <c r="C64" s="168">
        <v>2789.4595411913024</v>
      </c>
      <c r="D64" s="170">
        <v>3943.6581211678213</v>
      </c>
      <c r="E64" s="170">
        <f t="shared" si="5"/>
        <v>6733.1176623591236</v>
      </c>
      <c r="F64" s="170">
        <v>185.34471604637997</v>
      </c>
      <c r="G64" s="170">
        <f t="shared" si="18"/>
        <v>6547.7729463127434</v>
      </c>
      <c r="H64" s="142">
        <f t="shared" si="19"/>
        <v>20.134229818287022</v>
      </c>
      <c r="I64" s="142">
        <f t="shared" si="20"/>
        <v>17.114095345543969</v>
      </c>
    </row>
    <row r="65" spans="1:11" s="93" customFormat="1" ht="12" customHeight="1" x14ac:dyDescent="0.2">
      <c r="A65" s="125">
        <v>2018</v>
      </c>
      <c r="B65" s="126">
        <v>326.92397599999998</v>
      </c>
      <c r="C65" s="168">
        <v>2726.2974387983936</v>
      </c>
      <c r="D65" s="170">
        <v>4092.2092946943994</v>
      </c>
      <c r="E65" s="170">
        <f t="shared" si="5"/>
        <v>6818.5067334927935</v>
      </c>
      <c r="F65" s="170">
        <v>182.71846026675999</v>
      </c>
      <c r="G65" s="170">
        <f t="shared" ref="G65:G67" si="21">E65-F65</f>
        <v>6635.7882732260332</v>
      </c>
      <c r="H65" s="142">
        <f t="shared" ref="H65:H67" si="22">IF(G65=0,0,IF(B65=0,0,G65/B65))</f>
        <v>20.297649485414411</v>
      </c>
      <c r="I65" s="142">
        <f t="shared" ref="I65:I67" si="23">H65*0.85</f>
        <v>17.253002062602249</v>
      </c>
    </row>
    <row r="66" spans="1:11" s="93" customFormat="1" ht="12" customHeight="1" x14ac:dyDescent="0.2">
      <c r="A66" s="125">
        <v>2019</v>
      </c>
      <c r="B66" s="126">
        <v>328.475998</v>
      </c>
      <c r="C66" s="168">
        <v>2172.4859735852997</v>
      </c>
      <c r="D66" s="170">
        <v>4023.2091243898412</v>
      </c>
      <c r="E66" s="170">
        <f t="shared" si="5"/>
        <v>6195.6950979751409</v>
      </c>
      <c r="F66" s="170">
        <v>173.04977958686004</v>
      </c>
      <c r="G66" s="170">
        <f t="shared" si="21"/>
        <v>6022.6453183882804</v>
      </c>
      <c r="H66" s="142">
        <f t="shared" si="22"/>
        <v>18.335115366293156</v>
      </c>
      <c r="I66" s="142">
        <f t="shared" si="23"/>
        <v>15.584848061349183</v>
      </c>
    </row>
    <row r="67" spans="1:11" s="93" customFormat="1" ht="12" customHeight="1" thickBot="1" x14ac:dyDescent="0.25">
      <c r="A67" s="122">
        <v>2020</v>
      </c>
      <c r="B67" s="123">
        <v>330.11398000000003</v>
      </c>
      <c r="C67" s="173">
        <v>2469.0786249868142</v>
      </c>
      <c r="D67" s="174">
        <v>4052.9089427065805</v>
      </c>
      <c r="E67" s="174">
        <f t="shared" si="5"/>
        <v>6521.9875676933952</v>
      </c>
      <c r="F67" s="174">
        <v>145.31861858690002</v>
      </c>
      <c r="G67" s="174">
        <f t="shared" si="21"/>
        <v>6376.6689491064953</v>
      </c>
      <c r="H67" s="191">
        <f t="shared" si="22"/>
        <v>19.31656741440182</v>
      </c>
      <c r="I67" s="191">
        <f t="shared" si="23"/>
        <v>16.419082302241549</v>
      </c>
    </row>
    <row r="68" spans="1:11" ht="11.25" customHeight="1" thickTop="1" x14ac:dyDescent="0.2">
      <c r="A68" s="317" t="s">
        <v>245</v>
      </c>
      <c r="B68" s="318"/>
      <c r="C68" s="318"/>
      <c r="D68" s="318"/>
      <c r="E68" s="318"/>
      <c r="F68" s="318"/>
      <c r="G68" s="318"/>
      <c r="H68" s="318"/>
      <c r="I68" s="319"/>
      <c r="J68" s="108"/>
    </row>
    <row r="69" spans="1:11" ht="12" customHeight="1" x14ac:dyDescent="0.2">
      <c r="A69" s="251"/>
      <c r="B69" s="252"/>
      <c r="C69" s="252"/>
      <c r="D69" s="252"/>
      <c r="E69" s="252"/>
      <c r="F69" s="252"/>
      <c r="G69" s="252"/>
      <c r="H69" s="252"/>
      <c r="I69" s="253"/>
      <c r="J69" s="108"/>
      <c r="K69" s="13" t="s">
        <v>142</v>
      </c>
    </row>
    <row r="70" spans="1:11" ht="12" customHeight="1" x14ac:dyDescent="0.2">
      <c r="A70" s="251"/>
      <c r="B70" s="252"/>
      <c r="C70" s="252"/>
      <c r="D70" s="252"/>
      <c r="E70" s="252"/>
      <c r="F70" s="252"/>
      <c r="G70" s="252"/>
      <c r="H70" s="252"/>
      <c r="I70" s="253"/>
      <c r="J70" s="108"/>
    </row>
    <row r="71" spans="1:11" ht="12" customHeight="1" x14ac:dyDescent="0.2">
      <c r="A71" s="251"/>
      <c r="B71" s="252"/>
      <c r="C71" s="252"/>
      <c r="D71" s="252"/>
      <c r="E71" s="252"/>
      <c r="F71" s="252"/>
      <c r="G71" s="252"/>
      <c r="H71" s="252"/>
      <c r="I71" s="253"/>
      <c r="J71" s="108"/>
    </row>
    <row r="72" spans="1:11" ht="12" customHeight="1" x14ac:dyDescent="0.2">
      <c r="A72" s="248"/>
      <c r="B72" s="249"/>
      <c r="C72" s="249"/>
      <c r="D72" s="249"/>
      <c r="E72" s="249"/>
      <c r="F72" s="249"/>
      <c r="G72" s="249"/>
      <c r="H72" s="249"/>
      <c r="I72" s="250"/>
      <c r="J72" s="108"/>
    </row>
    <row r="73" spans="1:11" ht="12" customHeight="1" x14ac:dyDescent="0.2">
      <c r="A73" s="223" t="s">
        <v>198</v>
      </c>
      <c r="B73" s="224"/>
      <c r="C73" s="224"/>
      <c r="D73" s="224"/>
      <c r="E73" s="224"/>
      <c r="F73" s="224"/>
      <c r="G73" s="224"/>
      <c r="H73" s="224"/>
      <c r="I73" s="225"/>
      <c r="J73" s="107"/>
    </row>
    <row r="74" spans="1:11" ht="12" customHeight="1" x14ac:dyDescent="0.2">
      <c r="A74" s="223"/>
      <c r="B74" s="224"/>
      <c r="C74" s="224"/>
      <c r="D74" s="224"/>
      <c r="E74" s="224"/>
      <c r="F74" s="224"/>
      <c r="G74" s="224"/>
      <c r="H74" s="224"/>
      <c r="I74" s="225"/>
      <c r="J74" s="107"/>
    </row>
  </sheetData>
  <mergeCells count="18">
    <mergeCell ref="A1:G1"/>
    <mergeCell ref="H1:I1"/>
    <mergeCell ref="G3:G5"/>
    <mergeCell ref="H4:H5"/>
    <mergeCell ref="C3:C5"/>
    <mergeCell ref="D3:D5"/>
    <mergeCell ref="F3:F5"/>
    <mergeCell ref="A2:A5"/>
    <mergeCell ref="B2:B5"/>
    <mergeCell ref="E3:E5"/>
    <mergeCell ref="H3:I3"/>
    <mergeCell ref="G2:I2"/>
    <mergeCell ref="A72:I72"/>
    <mergeCell ref="A73:I74"/>
    <mergeCell ref="A68:I71"/>
    <mergeCell ref="C2:E2"/>
    <mergeCell ref="H6:I6"/>
    <mergeCell ref="C6:G6"/>
  </mergeCells>
  <phoneticPr fontId="7" type="noConversion"/>
  <printOptions horizontalCentered="1"/>
  <pageMargins left="0.45" right="0.45" top="0.75" bottom="0.75" header="0" footer="0"/>
  <pageSetup scale="66" fitToWidth="2"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pageSetUpPr autoPageBreaks="0" fitToPage="1"/>
  </sheetPr>
  <dimension ref="A1:L74"/>
  <sheetViews>
    <sheetView showOutlineSymbols="0" zoomScaleNormal="100" workbookViewId="0">
      <pane ySplit="6" topLeftCell="A7" activePane="bottomLeft" state="frozen"/>
      <selection pane="bottomLeft" sqref="A1:I1"/>
    </sheetView>
  </sheetViews>
  <sheetFormatPr defaultColWidth="12.7109375" defaultRowHeight="12" customHeight="1" x14ac:dyDescent="0.2"/>
  <cols>
    <col min="1" max="1" width="12.7109375" style="13" customWidth="1"/>
    <col min="2" max="16384" width="12.7109375" style="13"/>
  </cols>
  <sheetData>
    <row r="1" spans="1:12" s="1" customFormat="1" ht="12" customHeight="1" thickBot="1" x14ac:dyDescent="0.25">
      <c r="A1" s="201" t="s">
        <v>178</v>
      </c>
      <c r="B1" s="201"/>
      <c r="C1" s="201"/>
      <c r="D1" s="201"/>
      <c r="E1" s="201"/>
      <c r="F1" s="201"/>
      <c r="G1" s="201"/>
      <c r="H1" s="201"/>
      <c r="I1" s="201"/>
      <c r="J1" s="200" t="s">
        <v>19</v>
      </c>
      <c r="K1" s="200"/>
    </row>
    <row r="2" spans="1:12" ht="12" customHeight="1" thickTop="1" x14ac:dyDescent="0.2">
      <c r="A2" s="257" t="s">
        <v>1</v>
      </c>
      <c r="B2" s="258" t="s">
        <v>85</v>
      </c>
      <c r="C2" s="218" t="s">
        <v>2</v>
      </c>
      <c r="D2" s="218"/>
      <c r="E2" s="218"/>
      <c r="F2" s="218"/>
      <c r="G2" s="244" t="s">
        <v>146</v>
      </c>
      <c r="H2" s="246"/>
      <c r="I2" s="244" t="s">
        <v>147</v>
      </c>
      <c r="J2" s="245"/>
      <c r="K2" s="245"/>
    </row>
    <row r="3" spans="1:12" ht="12" customHeight="1" x14ac:dyDescent="0.2">
      <c r="A3" s="217"/>
      <c r="B3" s="259"/>
      <c r="C3" s="217" t="s">
        <v>86</v>
      </c>
      <c r="D3" s="217" t="s">
        <v>87</v>
      </c>
      <c r="E3" s="217" t="s">
        <v>89</v>
      </c>
      <c r="F3" s="217" t="s">
        <v>90</v>
      </c>
      <c r="G3" s="217" t="s">
        <v>95</v>
      </c>
      <c r="H3" s="217" t="s">
        <v>91</v>
      </c>
      <c r="I3" s="217" t="s">
        <v>98</v>
      </c>
      <c r="J3" s="226" t="s">
        <v>28</v>
      </c>
      <c r="K3" s="227"/>
    </row>
    <row r="4" spans="1:12" ht="12" customHeight="1" x14ac:dyDescent="0.2">
      <c r="A4" s="217"/>
      <c r="B4" s="259"/>
      <c r="C4" s="217"/>
      <c r="D4" s="217"/>
      <c r="E4" s="217"/>
      <c r="F4" s="217"/>
      <c r="G4" s="217"/>
      <c r="H4" s="217"/>
      <c r="I4" s="217"/>
      <c r="J4" s="217" t="s">
        <v>4</v>
      </c>
      <c r="K4" s="14" t="s">
        <v>96</v>
      </c>
      <c r="L4" s="4"/>
    </row>
    <row r="5" spans="1:12" ht="12" customHeight="1" x14ac:dyDescent="0.2">
      <c r="A5" s="217"/>
      <c r="B5" s="259"/>
      <c r="C5" s="217"/>
      <c r="D5" s="217"/>
      <c r="E5" s="217"/>
      <c r="F5" s="217"/>
      <c r="G5" s="217"/>
      <c r="H5" s="217"/>
      <c r="I5" s="217"/>
      <c r="J5" s="217"/>
      <c r="K5" s="14" t="s">
        <v>183</v>
      </c>
    </row>
    <row r="6" spans="1:12" ht="12" customHeight="1" x14ac:dyDescent="0.2">
      <c r="A6" s="109"/>
      <c r="B6" s="110" t="s">
        <v>124</v>
      </c>
      <c r="C6" s="273" t="s">
        <v>136</v>
      </c>
      <c r="D6" s="274"/>
      <c r="E6" s="274"/>
      <c r="F6" s="274"/>
      <c r="G6" s="274"/>
      <c r="H6" s="274"/>
      <c r="I6" s="274"/>
      <c r="J6" s="273" t="s">
        <v>135</v>
      </c>
      <c r="K6" s="274"/>
      <c r="L6" s="109"/>
    </row>
    <row r="7" spans="1:12" ht="12" customHeight="1" x14ac:dyDescent="0.2">
      <c r="A7" s="2">
        <v>1960</v>
      </c>
      <c r="B7" s="20">
        <v>180.67099999999999</v>
      </c>
      <c r="C7" s="8" t="s">
        <v>3</v>
      </c>
      <c r="D7" s="8" t="s">
        <v>3</v>
      </c>
      <c r="E7" s="8" t="s">
        <v>3</v>
      </c>
      <c r="F7" s="8" t="s">
        <v>3</v>
      </c>
      <c r="G7" s="8" t="s">
        <v>3</v>
      </c>
      <c r="H7" s="8" t="s">
        <v>3</v>
      </c>
      <c r="I7" s="8" t="s">
        <v>3</v>
      </c>
      <c r="J7" s="8" t="s">
        <v>3</v>
      </c>
      <c r="K7" s="8" t="s">
        <v>3</v>
      </c>
    </row>
    <row r="8" spans="1:12" ht="12" customHeight="1" x14ac:dyDescent="0.2">
      <c r="A8" s="3">
        <v>1961</v>
      </c>
      <c r="B8" s="21">
        <v>183.691</v>
      </c>
      <c r="C8" s="9" t="s">
        <v>3</v>
      </c>
      <c r="D8" s="9" t="s">
        <v>3</v>
      </c>
      <c r="E8" s="9" t="s">
        <v>3</v>
      </c>
      <c r="F8" s="9" t="s">
        <v>3</v>
      </c>
      <c r="G8" s="9" t="s">
        <v>3</v>
      </c>
      <c r="H8" s="9" t="s">
        <v>3</v>
      </c>
      <c r="I8" s="9" t="s">
        <v>3</v>
      </c>
      <c r="J8" s="9" t="s">
        <v>3</v>
      </c>
      <c r="K8" s="9" t="s">
        <v>3</v>
      </c>
    </row>
    <row r="9" spans="1:12" ht="12" customHeight="1" x14ac:dyDescent="0.2">
      <c r="A9" s="3">
        <v>1962</v>
      </c>
      <c r="B9" s="21">
        <v>186.53800000000001</v>
      </c>
      <c r="C9" s="9" t="s">
        <v>3</v>
      </c>
      <c r="D9" s="9" t="s">
        <v>3</v>
      </c>
      <c r="E9" s="9" t="s">
        <v>3</v>
      </c>
      <c r="F9" s="9" t="s">
        <v>3</v>
      </c>
      <c r="G9" s="9" t="s">
        <v>3</v>
      </c>
      <c r="H9" s="9" t="s">
        <v>3</v>
      </c>
      <c r="I9" s="9" t="s">
        <v>3</v>
      </c>
      <c r="J9" s="9" t="s">
        <v>3</v>
      </c>
      <c r="K9" s="9" t="s">
        <v>3</v>
      </c>
    </row>
    <row r="10" spans="1:12" ht="12" customHeight="1" x14ac:dyDescent="0.2">
      <c r="A10" s="3">
        <v>1963</v>
      </c>
      <c r="B10" s="21">
        <v>189.24199999999999</v>
      </c>
      <c r="C10" s="9" t="s">
        <v>3</v>
      </c>
      <c r="D10" s="9" t="s">
        <v>3</v>
      </c>
      <c r="E10" s="9" t="s">
        <v>3</v>
      </c>
      <c r="F10" s="9" t="s">
        <v>3</v>
      </c>
      <c r="G10" s="9" t="s">
        <v>3</v>
      </c>
      <c r="H10" s="9" t="s">
        <v>3</v>
      </c>
      <c r="I10" s="9" t="s">
        <v>3</v>
      </c>
      <c r="J10" s="9" t="s">
        <v>3</v>
      </c>
      <c r="K10" s="9" t="s">
        <v>3</v>
      </c>
    </row>
    <row r="11" spans="1:12" ht="12" customHeight="1" x14ac:dyDescent="0.2">
      <c r="A11" s="3">
        <v>1964</v>
      </c>
      <c r="B11" s="21">
        <v>191.88900000000001</v>
      </c>
      <c r="C11" s="9" t="s">
        <v>3</v>
      </c>
      <c r="D11" s="9" t="s">
        <v>3</v>
      </c>
      <c r="E11" s="9" t="s">
        <v>3</v>
      </c>
      <c r="F11" s="9" t="s">
        <v>3</v>
      </c>
      <c r="G11" s="9" t="s">
        <v>3</v>
      </c>
      <c r="H11" s="9" t="s">
        <v>3</v>
      </c>
      <c r="I11" s="9" t="s">
        <v>3</v>
      </c>
      <c r="J11" s="9" t="s">
        <v>3</v>
      </c>
      <c r="K11" s="9" t="s">
        <v>3</v>
      </c>
    </row>
    <row r="12" spans="1:12" ht="12" customHeight="1" x14ac:dyDescent="0.2">
      <c r="A12" s="3">
        <v>1965</v>
      </c>
      <c r="B12" s="21">
        <v>194.303</v>
      </c>
      <c r="C12" s="9" t="s">
        <v>3</v>
      </c>
      <c r="D12" s="9" t="s">
        <v>3</v>
      </c>
      <c r="E12" s="9" t="s">
        <v>3</v>
      </c>
      <c r="F12" s="9" t="s">
        <v>3</v>
      </c>
      <c r="G12" s="9" t="s">
        <v>3</v>
      </c>
      <c r="H12" s="9" t="s">
        <v>3</v>
      </c>
      <c r="I12" s="9" t="s">
        <v>3</v>
      </c>
      <c r="J12" s="9" t="s">
        <v>3</v>
      </c>
      <c r="K12" s="9" t="s">
        <v>3</v>
      </c>
    </row>
    <row r="13" spans="1:12" ht="12" customHeight="1" x14ac:dyDescent="0.2">
      <c r="A13" s="2">
        <v>1966</v>
      </c>
      <c r="B13" s="20">
        <v>196.56</v>
      </c>
      <c r="C13" s="8" t="s">
        <v>3</v>
      </c>
      <c r="D13" s="8" t="s">
        <v>3</v>
      </c>
      <c r="E13" s="8" t="s">
        <v>3</v>
      </c>
      <c r="F13" s="8" t="s">
        <v>3</v>
      </c>
      <c r="G13" s="8" t="s">
        <v>3</v>
      </c>
      <c r="H13" s="8" t="s">
        <v>3</v>
      </c>
      <c r="I13" s="8" t="s">
        <v>3</v>
      </c>
      <c r="J13" s="8" t="s">
        <v>3</v>
      </c>
      <c r="K13" s="8" t="s">
        <v>3</v>
      </c>
    </row>
    <row r="14" spans="1:12" ht="12" customHeight="1" x14ac:dyDescent="0.2">
      <c r="A14" s="2">
        <v>1967</v>
      </c>
      <c r="B14" s="20">
        <v>198.71199999999999</v>
      </c>
      <c r="C14" s="8" t="s">
        <v>3</v>
      </c>
      <c r="D14" s="8" t="s">
        <v>3</v>
      </c>
      <c r="E14" s="8" t="s">
        <v>3</v>
      </c>
      <c r="F14" s="8" t="s">
        <v>3</v>
      </c>
      <c r="G14" s="8" t="s">
        <v>3</v>
      </c>
      <c r="H14" s="8" t="s">
        <v>3</v>
      </c>
      <c r="I14" s="8" t="s">
        <v>3</v>
      </c>
      <c r="J14" s="8" t="s">
        <v>3</v>
      </c>
      <c r="K14" s="8" t="s">
        <v>3</v>
      </c>
    </row>
    <row r="15" spans="1:12" ht="12" customHeight="1" x14ac:dyDescent="0.2">
      <c r="A15" s="2">
        <v>1968</v>
      </c>
      <c r="B15" s="20">
        <v>200.70599999999999</v>
      </c>
      <c r="C15" s="8" t="s">
        <v>3</v>
      </c>
      <c r="D15" s="8" t="s">
        <v>3</v>
      </c>
      <c r="E15" s="8" t="s">
        <v>3</v>
      </c>
      <c r="F15" s="8" t="s">
        <v>3</v>
      </c>
      <c r="G15" s="8" t="s">
        <v>3</v>
      </c>
      <c r="H15" s="8" t="s">
        <v>3</v>
      </c>
      <c r="I15" s="8" t="s">
        <v>3</v>
      </c>
      <c r="J15" s="8" t="s">
        <v>3</v>
      </c>
      <c r="K15" s="8" t="s">
        <v>3</v>
      </c>
    </row>
    <row r="16" spans="1:12" ht="12" customHeight="1" x14ac:dyDescent="0.2">
      <c r="A16" s="2">
        <v>1969</v>
      </c>
      <c r="B16" s="20">
        <v>202.67699999999999</v>
      </c>
      <c r="C16" s="8" t="s">
        <v>3</v>
      </c>
      <c r="D16" s="8" t="s">
        <v>3</v>
      </c>
      <c r="E16" s="8" t="s">
        <v>3</v>
      </c>
      <c r="F16" s="8" t="s">
        <v>3</v>
      </c>
      <c r="G16" s="8" t="s">
        <v>3</v>
      </c>
      <c r="H16" s="8" t="s">
        <v>3</v>
      </c>
      <c r="I16" s="8" t="s">
        <v>3</v>
      </c>
      <c r="J16" s="8" t="s">
        <v>3</v>
      </c>
      <c r="K16" s="8" t="s">
        <v>3</v>
      </c>
    </row>
    <row r="17" spans="1:11" ht="12" customHeight="1" x14ac:dyDescent="0.2">
      <c r="A17" s="2">
        <v>1970</v>
      </c>
      <c r="B17" s="20">
        <v>205.05199999999999</v>
      </c>
      <c r="C17" s="8" t="s">
        <v>3</v>
      </c>
      <c r="D17" s="8" t="s">
        <v>3</v>
      </c>
      <c r="E17" s="8" t="s">
        <v>3</v>
      </c>
      <c r="F17" s="8" t="s">
        <v>3</v>
      </c>
      <c r="G17" s="8" t="s">
        <v>3</v>
      </c>
      <c r="H17" s="8" t="s">
        <v>3</v>
      </c>
      <c r="I17" s="8" t="s">
        <v>3</v>
      </c>
      <c r="J17" s="8" t="s">
        <v>3</v>
      </c>
      <c r="K17" s="8" t="s">
        <v>3</v>
      </c>
    </row>
    <row r="18" spans="1:11" ht="12" customHeight="1" x14ac:dyDescent="0.2">
      <c r="A18" s="3">
        <v>1971</v>
      </c>
      <c r="B18" s="21">
        <v>207.661</v>
      </c>
      <c r="C18" s="9" t="s">
        <v>3</v>
      </c>
      <c r="D18" s="9" t="s">
        <v>3</v>
      </c>
      <c r="E18" s="9" t="s">
        <v>3</v>
      </c>
      <c r="F18" s="9" t="s">
        <v>3</v>
      </c>
      <c r="G18" s="9" t="s">
        <v>3</v>
      </c>
      <c r="H18" s="9" t="s">
        <v>3</v>
      </c>
      <c r="I18" s="9" t="s">
        <v>3</v>
      </c>
      <c r="J18" s="9" t="s">
        <v>3</v>
      </c>
      <c r="K18" s="9" t="s">
        <v>3</v>
      </c>
    </row>
    <row r="19" spans="1:11" ht="12" customHeight="1" x14ac:dyDescent="0.2">
      <c r="A19" s="3">
        <v>1972</v>
      </c>
      <c r="B19" s="21">
        <v>209.89599999999999</v>
      </c>
      <c r="C19" s="9" t="s">
        <v>3</v>
      </c>
      <c r="D19" s="9" t="s">
        <v>3</v>
      </c>
      <c r="E19" s="9" t="s">
        <v>3</v>
      </c>
      <c r="F19" s="9" t="s">
        <v>3</v>
      </c>
      <c r="G19" s="9" t="s">
        <v>3</v>
      </c>
      <c r="H19" s="9" t="s">
        <v>3</v>
      </c>
      <c r="I19" s="9" t="s">
        <v>3</v>
      </c>
      <c r="J19" s="9" t="s">
        <v>3</v>
      </c>
      <c r="K19" s="9" t="s">
        <v>3</v>
      </c>
    </row>
    <row r="20" spans="1:11" ht="12" customHeight="1" x14ac:dyDescent="0.2">
      <c r="A20" s="3">
        <v>1973</v>
      </c>
      <c r="B20" s="21">
        <v>211.90899999999999</v>
      </c>
      <c r="C20" s="9" t="s">
        <v>3</v>
      </c>
      <c r="D20" s="9" t="s">
        <v>3</v>
      </c>
      <c r="E20" s="9" t="s">
        <v>3</v>
      </c>
      <c r="F20" s="9" t="s">
        <v>3</v>
      </c>
      <c r="G20" s="9" t="s">
        <v>3</v>
      </c>
      <c r="H20" s="9" t="s">
        <v>3</v>
      </c>
      <c r="I20" s="9" t="s">
        <v>3</v>
      </c>
      <c r="J20" s="9" t="s">
        <v>3</v>
      </c>
      <c r="K20" s="9" t="s">
        <v>3</v>
      </c>
    </row>
    <row r="21" spans="1:11" ht="12" customHeight="1" x14ac:dyDescent="0.2">
      <c r="A21" s="3">
        <v>1974</v>
      </c>
      <c r="B21" s="21">
        <v>213.85400000000001</v>
      </c>
      <c r="C21" s="9" t="s">
        <v>3</v>
      </c>
      <c r="D21" s="9" t="s">
        <v>3</v>
      </c>
      <c r="E21" s="9" t="s">
        <v>3</v>
      </c>
      <c r="F21" s="9" t="s">
        <v>3</v>
      </c>
      <c r="G21" s="9" t="s">
        <v>3</v>
      </c>
      <c r="H21" s="9" t="s">
        <v>3</v>
      </c>
      <c r="I21" s="9" t="s">
        <v>3</v>
      </c>
      <c r="J21" s="9" t="s">
        <v>3</v>
      </c>
      <c r="K21" s="9" t="s">
        <v>3</v>
      </c>
    </row>
    <row r="22" spans="1:11" ht="12" customHeight="1" x14ac:dyDescent="0.2">
      <c r="A22" s="3">
        <v>1975</v>
      </c>
      <c r="B22" s="21">
        <v>215.97300000000001</v>
      </c>
      <c r="C22" s="9" t="s">
        <v>3</v>
      </c>
      <c r="D22" s="9" t="s">
        <v>3</v>
      </c>
      <c r="E22" s="9" t="s">
        <v>3</v>
      </c>
      <c r="F22" s="9" t="s">
        <v>3</v>
      </c>
      <c r="G22" s="9" t="s">
        <v>3</v>
      </c>
      <c r="H22" s="9" t="s">
        <v>3</v>
      </c>
      <c r="I22" s="9" t="s">
        <v>3</v>
      </c>
      <c r="J22" s="9" t="s">
        <v>3</v>
      </c>
      <c r="K22" s="9" t="s">
        <v>3</v>
      </c>
    </row>
    <row r="23" spans="1:11" ht="12" customHeight="1" x14ac:dyDescent="0.2">
      <c r="A23" s="2">
        <v>1976</v>
      </c>
      <c r="B23" s="20">
        <v>218.035</v>
      </c>
      <c r="C23" s="8" t="s">
        <v>3</v>
      </c>
      <c r="D23" s="8" t="s">
        <v>3</v>
      </c>
      <c r="E23" s="8" t="s">
        <v>3</v>
      </c>
      <c r="F23" s="8" t="s">
        <v>3</v>
      </c>
      <c r="G23" s="8" t="s">
        <v>3</v>
      </c>
      <c r="H23" s="8" t="s">
        <v>3</v>
      </c>
      <c r="I23" s="8" t="s">
        <v>3</v>
      </c>
      <c r="J23" s="8" t="s">
        <v>3</v>
      </c>
      <c r="K23" s="8" t="s">
        <v>3</v>
      </c>
    </row>
    <row r="24" spans="1:11" ht="12" customHeight="1" x14ac:dyDescent="0.2">
      <c r="A24" s="2">
        <v>1977</v>
      </c>
      <c r="B24" s="20">
        <v>220.23899999999998</v>
      </c>
      <c r="C24" s="8" t="s">
        <v>3</v>
      </c>
      <c r="D24" s="8" t="s">
        <v>3</v>
      </c>
      <c r="E24" s="8" t="s">
        <v>3</v>
      </c>
      <c r="F24" s="8" t="s">
        <v>3</v>
      </c>
      <c r="G24" s="8" t="s">
        <v>3</v>
      </c>
      <c r="H24" s="8" t="s">
        <v>3</v>
      </c>
      <c r="I24" s="8" t="s">
        <v>3</v>
      </c>
      <c r="J24" s="8" t="s">
        <v>3</v>
      </c>
      <c r="K24" s="8" t="s">
        <v>3</v>
      </c>
    </row>
    <row r="25" spans="1:11" ht="12" customHeight="1" x14ac:dyDescent="0.2">
      <c r="A25" s="2">
        <v>1978</v>
      </c>
      <c r="B25" s="20">
        <v>222.58500000000001</v>
      </c>
      <c r="C25" s="8" t="s">
        <v>3</v>
      </c>
      <c r="D25" s="8" t="s">
        <v>3</v>
      </c>
      <c r="E25" s="8" t="s">
        <v>3</v>
      </c>
      <c r="F25" s="8" t="s">
        <v>3</v>
      </c>
      <c r="G25" s="8" t="s">
        <v>3</v>
      </c>
      <c r="H25" s="8" t="s">
        <v>3</v>
      </c>
      <c r="I25" s="8" t="s">
        <v>3</v>
      </c>
      <c r="J25" s="8" t="s">
        <v>3</v>
      </c>
      <c r="K25" s="8" t="s">
        <v>3</v>
      </c>
    </row>
    <row r="26" spans="1:11" ht="12" customHeight="1" x14ac:dyDescent="0.2">
      <c r="A26" s="2">
        <v>1979</v>
      </c>
      <c r="B26" s="20">
        <v>225.05500000000001</v>
      </c>
      <c r="C26" s="8" t="s">
        <v>3</v>
      </c>
      <c r="D26" s="8" t="s">
        <v>3</v>
      </c>
      <c r="E26" s="8" t="s">
        <v>3</v>
      </c>
      <c r="F26" s="8" t="s">
        <v>3</v>
      </c>
      <c r="G26" s="8" t="s">
        <v>3</v>
      </c>
      <c r="H26" s="8" t="s">
        <v>3</v>
      </c>
      <c r="I26" s="8" t="s">
        <v>3</v>
      </c>
      <c r="J26" s="8" t="s">
        <v>3</v>
      </c>
      <c r="K26" s="8" t="s">
        <v>3</v>
      </c>
    </row>
    <row r="27" spans="1:11" ht="12" customHeight="1" x14ac:dyDescent="0.2">
      <c r="A27" s="2">
        <v>1980</v>
      </c>
      <c r="B27" s="20">
        <v>227.726</v>
      </c>
      <c r="C27" s="8" t="s">
        <v>3</v>
      </c>
      <c r="D27" s="8" t="s">
        <v>3</v>
      </c>
      <c r="E27" s="8" t="s">
        <v>3</v>
      </c>
      <c r="F27" s="8" t="s">
        <v>3</v>
      </c>
      <c r="G27" s="8" t="s">
        <v>3</v>
      </c>
      <c r="H27" s="8" t="s">
        <v>3</v>
      </c>
      <c r="I27" s="8" t="s">
        <v>3</v>
      </c>
      <c r="J27" s="8" t="s">
        <v>3</v>
      </c>
      <c r="K27" s="8" t="s">
        <v>3</v>
      </c>
    </row>
    <row r="28" spans="1:11" ht="12" customHeight="1" x14ac:dyDescent="0.2">
      <c r="A28" s="3">
        <v>1981</v>
      </c>
      <c r="B28" s="21">
        <v>229.96600000000001</v>
      </c>
      <c r="C28" s="9" t="s">
        <v>3</v>
      </c>
      <c r="D28" s="9" t="s">
        <v>3</v>
      </c>
      <c r="E28" s="9" t="s">
        <v>3</v>
      </c>
      <c r="F28" s="9" t="s">
        <v>3</v>
      </c>
      <c r="G28" s="9" t="s">
        <v>3</v>
      </c>
      <c r="H28" s="9" t="s">
        <v>3</v>
      </c>
      <c r="I28" s="9" t="s">
        <v>3</v>
      </c>
      <c r="J28" s="9" t="s">
        <v>3</v>
      </c>
      <c r="K28" s="9" t="s">
        <v>3</v>
      </c>
    </row>
    <row r="29" spans="1:11" ht="12" customHeight="1" x14ac:dyDescent="0.2">
      <c r="A29" s="3">
        <v>1982</v>
      </c>
      <c r="B29" s="21">
        <v>232.18799999999999</v>
      </c>
      <c r="C29" s="9" t="s">
        <v>3</v>
      </c>
      <c r="D29" s="9" t="s">
        <v>3</v>
      </c>
      <c r="E29" s="9" t="s">
        <v>3</v>
      </c>
      <c r="F29" s="9" t="s">
        <v>3</v>
      </c>
      <c r="G29" s="9" t="s">
        <v>3</v>
      </c>
      <c r="H29" s="9" t="s">
        <v>3</v>
      </c>
      <c r="I29" s="9" t="s">
        <v>3</v>
      </c>
      <c r="J29" s="9" t="s">
        <v>3</v>
      </c>
      <c r="K29" s="9" t="s">
        <v>3</v>
      </c>
    </row>
    <row r="30" spans="1:11" ht="12" customHeight="1" x14ac:dyDescent="0.2">
      <c r="A30" s="3">
        <v>1983</v>
      </c>
      <c r="B30" s="21">
        <v>234.30699999999999</v>
      </c>
      <c r="C30" s="9" t="s">
        <v>3</v>
      </c>
      <c r="D30" s="9" t="s">
        <v>3</v>
      </c>
      <c r="E30" s="9" t="s">
        <v>3</v>
      </c>
      <c r="F30" s="9" t="s">
        <v>3</v>
      </c>
      <c r="G30" s="9" t="s">
        <v>3</v>
      </c>
      <c r="H30" s="9" t="s">
        <v>3</v>
      </c>
      <c r="I30" s="9" t="s">
        <v>3</v>
      </c>
      <c r="J30" s="9" t="s">
        <v>3</v>
      </c>
      <c r="K30" s="9" t="s">
        <v>3</v>
      </c>
    </row>
    <row r="31" spans="1:11" ht="12" customHeight="1" x14ac:dyDescent="0.2">
      <c r="A31" s="3">
        <v>1984</v>
      </c>
      <c r="B31" s="21">
        <v>236.34800000000001</v>
      </c>
      <c r="C31" s="9" t="s">
        <v>3</v>
      </c>
      <c r="D31" s="9" t="s">
        <v>3</v>
      </c>
      <c r="E31" s="9" t="s">
        <v>3</v>
      </c>
      <c r="F31" s="9" t="s">
        <v>3</v>
      </c>
      <c r="G31" s="9" t="s">
        <v>3</v>
      </c>
      <c r="H31" s="9" t="s">
        <v>3</v>
      </c>
      <c r="I31" s="9" t="s">
        <v>3</v>
      </c>
      <c r="J31" s="9" t="s">
        <v>3</v>
      </c>
      <c r="K31" s="9" t="s">
        <v>3</v>
      </c>
    </row>
    <row r="32" spans="1:11" ht="12" customHeight="1" x14ac:dyDescent="0.2">
      <c r="A32" s="3">
        <v>1985</v>
      </c>
      <c r="B32" s="21">
        <v>238.46600000000001</v>
      </c>
      <c r="C32" s="9" t="s">
        <v>3</v>
      </c>
      <c r="D32" s="9" t="s">
        <v>3</v>
      </c>
      <c r="E32" s="9" t="s">
        <v>3</v>
      </c>
      <c r="F32" s="9" t="s">
        <v>3</v>
      </c>
      <c r="G32" s="9" t="s">
        <v>3</v>
      </c>
      <c r="H32" s="9" t="s">
        <v>3</v>
      </c>
      <c r="I32" s="9" t="s">
        <v>3</v>
      </c>
      <c r="J32" s="9" t="s">
        <v>3</v>
      </c>
      <c r="K32" s="9" t="s">
        <v>3</v>
      </c>
    </row>
    <row r="33" spans="1:11" ht="12" customHeight="1" x14ac:dyDescent="0.2">
      <c r="A33" s="2">
        <v>1986</v>
      </c>
      <c r="B33" s="20">
        <v>240.65100000000001</v>
      </c>
      <c r="C33" s="8" t="s">
        <v>3</v>
      </c>
      <c r="D33" s="8" t="s">
        <v>3</v>
      </c>
      <c r="E33" s="8" t="s">
        <v>3</v>
      </c>
      <c r="F33" s="8" t="s">
        <v>3</v>
      </c>
      <c r="G33" s="8" t="s">
        <v>3</v>
      </c>
      <c r="H33" s="8" t="s">
        <v>3</v>
      </c>
      <c r="I33" s="8" t="s">
        <v>3</v>
      </c>
      <c r="J33" s="8" t="s">
        <v>3</v>
      </c>
      <c r="K33" s="8" t="s">
        <v>3</v>
      </c>
    </row>
    <row r="34" spans="1:11" ht="12" customHeight="1" x14ac:dyDescent="0.2">
      <c r="A34" s="2">
        <v>1987</v>
      </c>
      <c r="B34" s="20">
        <v>242.804</v>
      </c>
      <c r="C34" s="8" t="s">
        <v>3</v>
      </c>
      <c r="D34" s="8" t="s">
        <v>3</v>
      </c>
      <c r="E34" s="8" t="s">
        <v>3</v>
      </c>
      <c r="F34" s="8" t="s">
        <v>3</v>
      </c>
      <c r="G34" s="8" t="s">
        <v>3</v>
      </c>
      <c r="H34" s="8" t="s">
        <v>3</v>
      </c>
      <c r="I34" s="8" t="s">
        <v>3</v>
      </c>
      <c r="J34" s="8" t="s">
        <v>3</v>
      </c>
      <c r="K34" s="8" t="s">
        <v>3</v>
      </c>
    </row>
    <row r="35" spans="1:11" ht="12" customHeight="1" x14ac:dyDescent="0.2">
      <c r="A35" s="2">
        <v>1988</v>
      </c>
      <c r="B35" s="20">
        <v>245.02099999999999</v>
      </c>
      <c r="C35" s="8" t="s">
        <v>3</v>
      </c>
      <c r="D35" s="8" t="s">
        <v>3</v>
      </c>
      <c r="E35" s="8" t="s">
        <v>3</v>
      </c>
      <c r="F35" s="8" t="s">
        <v>3</v>
      </c>
      <c r="G35" s="8" t="s">
        <v>3</v>
      </c>
      <c r="H35" s="8" t="s">
        <v>3</v>
      </c>
      <c r="I35" s="8" t="s">
        <v>3</v>
      </c>
      <c r="J35" s="8" t="s">
        <v>3</v>
      </c>
      <c r="K35" s="8" t="s">
        <v>3</v>
      </c>
    </row>
    <row r="36" spans="1:11" ht="12" customHeight="1" x14ac:dyDescent="0.2">
      <c r="A36" s="2">
        <v>1989</v>
      </c>
      <c r="B36" s="20">
        <v>247.34200000000001</v>
      </c>
      <c r="C36" s="8" t="s">
        <v>3</v>
      </c>
      <c r="D36" s="8" t="s">
        <v>3</v>
      </c>
      <c r="E36" s="8" t="s">
        <v>3</v>
      </c>
      <c r="F36" s="8" t="s">
        <v>3</v>
      </c>
      <c r="G36" s="8" t="s">
        <v>3</v>
      </c>
      <c r="H36" s="8" t="s">
        <v>3</v>
      </c>
      <c r="I36" s="8" t="s">
        <v>3</v>
      </c>
      <c r="J36" s="8" t="s">
        <v>3</v>
      </c>
      <c r="K36" s="8" t="s">
        <v>3</v>
      </c>
    </row>
    <row r="37" spans="1:11" ht="12" customHeight="1" x14ac:dyDescent="0.2">
      <c r="A37" s="2">
        <v>1990</v>
      </c>
      <c r="B37" s="20">
        <v>250.13200000000001</v>
      </c>
      <c r="C37" s="8" t="s">
        <v>3</v>
      </c>
      <c r="D37" s="8" t="s">
        <v>3</v>
      </c>
      <c r="E37" s="8" t="s">
        <v>3</v>
      </c>
      <c r="F37" s="8" t="s">
        <v>3</v>
      </c>
      <c r="G37" s="8" t="s">
        <v>3</v>
      </c>
      <c r="H37" s="8" t="s">
        <v>3</v>
      </c>
      <c r="I37" s="8" t="s">
        <v>3</v>
      </c>
      <c r="J37" s="8" t="s">
        <v>3</v>
      </c>
      <c r="K37" s="8" t="s">
        <v>3</v>
      </c>
    </row>
    <row r="38" spans="1:11" ht="12" customHeight="1" x14ac:dyDescent="0.2">
      <c r="A38" s="3">
        <v>1991</v>
      </c>
      <c r="B38" s="21">
        <v>253.49299999999999</v>
      </c>
      <c r="C38" s="9" t="s">
        <v>3</v>
      </c>
      <c r="D38" s="9" t="s">
        <v>3</v>
      </c>
      <c r="E38" s="9" t="s">
        <v>3</v>
      </c>
      <c r="F38" s="9" t="s">
        <v>3</v>
      </c>
      <c r="G38" s="9" t="s">
        <v>3</v>
      </c>
      <c r="H38" s="9" t="s">
        <v>3</v>
      </c>
      <c r="I38" s="9" t="s">
        <v>3</v>
      </c>
      <c r="J38" s="9" t="s">
        <v>3</v>
      </c>
      <c r="K38" s="9" t="s">
        <v>3</v>
      </c>
    </row>
    <row r="39" spans="1:11" ht="12" customHeight="1" x14ac:dyDescent="0.2">
      <c r="A39" s="3">
        <v>1992</v>
      </c>
      <c r="B39" s="21">
        <v>256.89400000000001</v>
      </c>
      <c r="C39" s="9" t="s">
        <v>3</v>
      </c>
      <c r="D39" s="9" t="s">
        <v>3</v>
      </c>
      <c r="E39" s="9" t="s">
        <v>3</v>
      </c>
      <c r="F39" s="9" t="s">
        <v>3</v>
      </c>
      <c r="G39" s="9" t="s">
        <v>3</v>
      </c>
      <c r="H39" s="9" t="s">
        <v>3</v>
      </c>
      <c r="I39" s="9" t="s">
        <v>3</v>
      </c>
      <c r="J39" s="9" t="s">
        <v>3</v>
      </c>
      <c r="K39" s="9" t="s">
        <v>3</v>
      </c>
    </row>
    <row r="40" spans="1:11" ht="12" customHeight="1" x14ac:dyDescent="0.2">
      <c r="A40" s="3">
        <v>1993</v>
      </c>
      <c r="B40" s="21">
        <v>260.255</v>
      </c>
      <c r="C40" s="9" t="s">
        <v>3</v>
      </c>
      <c r="D40" s="9" t="s">
        <v>3</v>
      </c>
      <c r="E40" s="9" t="s">
        <v>3</v>
      </c>
      <c r="F40" s="9" t="s">
        <v>3</v>
      </c>
      <c r="G40" s="9" t="s">
        <v>3</v>
      </c>
      <c r="H40" s="9" t="s">
        <v>3</v>
      </c>
      <c r="I40" s="9" t="s">
        <v>3</v>
      </c>
      <c r="J40" s="9" t="s">
        <v>3</v>
      </c>
      <c r="K40" s="9" t="s">
        <v>3</v>
      </c>
    </row>
    <row r="41" spans="1:11" ht="12" customHeight="1" x14ac:dyDescent="0.2">
      <c r="A41" s="3">
        <v>1994</v>
      </c>
      <c r="B41" s="21">
        <v>263.43599999999998</v>
      </c>
      <c r="C41" s="9" t="s">
        <v>3</v>
      </c>
      <c r="D41" s="9" t="s">
        <v>3</v>
      </c>
      <c r="E41" s="9" t="s">
        <v>3</v>
      </c>
      <c r="F41" s="9" t="s">
        <v>3</v>
      </c>
      <c r="G41" s="9" t="s">
        <v>3</v>
      </c>
      <c r="H41" s="9" t="s">
        <v>3</v>
      </c>
      <c r="I41" s="9" t="s">
        <v>3</v>
      </c>
      <c r="J41" s="9" t="s">
        <v>3</v>
      </c>
      <c r="K41" s="9" t="s">
        <v>3</v>
      </c>
    </row>
    <row r="42" spans="1:11" ht="12" customHeight="1" x14ac:dyDescent="0.2">
      <c r="A42" s="3">
        <v>1995</v>
      </c>
      <c r="B42" s="21">
        <v>266.55700000000002</v>
      </c>
      <c r="C42" s="9" t="s">
        <v>3</v>
      </c>
      <c r="D42" s="9" t="s">
        <v>3</v>
      </c>
      <c r="E42" s="9" t="s">
        <v>3</v>
      </c>
      <c r="F42" s="9" t="s">
        <v>3</v>
      </c>
      <c r="G42" s="9" t="s">
        <v>3</v>
      </c>
      <c r="H42" s="9" t="s">
        <v>3</v>
      </c>
      <c r="I42" s="9" t="s">
        <v>3</v>
      </c>
      <c r="J42" s="9" t="s">
        <v>3</v>
      </c>
      <c r="K42" s="9" t="s">
        <v>3</v>
      </c>
    </row>
    <row r="43" spans="1:11" ht="12" customHeight="1" x14ac:dyDescent="0.2">
      <c r="A43" s="2">
        <v>1996</v>
      </c>
      <c r="B43" s="20">
        <v>269.66699999999997</v>
      </c>
      <c r="C43" s="8" t="s">
        <v>3</v>
      </c>
      <c r="D43" s="8" t="s">
        <v>3</v>
      </c>
      <c r="E43" s="8" t="s">
        <v>3</v>
      </c>
      <c r="F43" s="8" t="s">
        <v>3</v>
      </c>
      <c r="G43" s="8" t="s">
        <v>3</v>
      </c>
      <c r="H43" s="8" t="s">
        <v>3</v>
      </c>
      <c r="I43" s="8" t="s">
        <v>3</v>
      </c>
      <c r="J43" s="8" t="s">
        <v>3</v>
      </c>
      <c r="K43" s="8" t="s">
        <v>3</v>
      </c>
    </row>
    <row r="44" spans="1:11" ht="12" customHeight="1" x14ac:dyDescent="0.2">
      <c r="A44" s="2">
        <v>1997</v>
      </c>
      <c r="B44" s="20">
        <v>272.91199999999998</v>
      </c>
      <c r="C44" s="8">
        <v>139.16399999999999</v>
      </c>
      <c r="D44" s="8">
        <v>5</v>
      </c>
      <c r="E44" s="8" t="s">
        <v>3</v>
      </c>
      <c r="F44" s="8">
        <f t="shared" ref="F44:F61" si="0">SUM(C44,D44,E44)</f>
        <v>144.16399999999999</v>
      </c>
      <c r="G44" s="8" t="s">
        <v>3</v>
      </c>
      <c r="H44" s="8" t="s">
        <v>3</v>
      </c>
      <c r="I44" s="8">
        <f t="shared" ref="I44:I58" si="1">F44-SUM(G44,H44)</f>
        <v>144.16399999999999</v>
      </c>
      <c r="J44" s="142">
        <f t="shared" ref="J44:J58" si="2">IF(I44=0,0,IF(B44=0,0,I44/B44))</f>
        <v>0.52824353637802657</v>
      </c>
      <c r="K44" s="142">
        <f>J44*0.88</f>
        <v>0.46485431201266336</v>
      </c>
    </row>
    <row r="45" spans="1:11" ht="12" customHeight="1" x14ac:dyDescent="0.2">
      <c r="A45" s="2">
        <v>1998</v>
      </c>
      <c r="B45" s="20">
        <v>276.11500000000001</v>
      </c>
      <c r="C45" s="8">
        <v>136.64160000000001</v>
      </c>
      <c r="D45" s="8">
        <v>5.5</v>
      </c>
      <c r="E45" s="8" t="s">
        <v>3</v>
      </c>
      <c r="F45" s="8">
        <f t="shared" si="0"/>
        <v>142.14160000000001</v>
      </c>
      <c r="G45" s="8" t="s">
        <v>3</v>
      </c>
      <c r="H45" s="8" t="s">
        <v>3</v>
      </c>
      <c r="I45" s="8">
        <f t="shared" si="1"/>
        <v>142.14160000000001</v>
      </c>
      <c r="J45" s="142">
        <f t="shared" si="2"/>
        <v>0.51479130072614676</v>
      </c>
      <c r="K45" s="142">
        <f>J45*0.88</f>
        <v>0.45301634463900914</v>
      </c>
    </row>
    <row r="46" spans="1:11" ht="12" customHeight="1" x14ac:dyDescent="0.2">
      <c r="A46" s="2">
        <v>1999</v>
      </c>
      <c r="B46" s="20">
        <v>279.29500000000002</v>
      </c>
      <c r="C46" s="8">
        <v>138.53872151967434</v>
      </c>
      <c r="D46" s="8">
        <v>5</v>
      </c>
      <c r="E46" s="8" t="s">
        <v>3</v>
      </c>
      <c r="F46" s="8">
        <f t="shared" si="0"/>
        <v>143.53872151967434</v>
      </c>
      <c r="G46" s="8" t="s">
        <v>3</v>
      </c>
      <c r="H46" s="8" t="s">
        <v>3</v>
      </c>
      <c r="I46" s="8">
        <f t="shared" si="1"/>
        <v>143.53872151967434</v>
      </c>
      <c r="J46" s="142">
        <f t="shared" si="2"/>
        <v>0.51393229925231143</v>
      </c>
      <c r="K46" s="142">
        <f>J46*0.88</f>
        <v>0.45226042334203403</v>
      </c>
    </row>
    <row r="47" spans="1:11" ht="12" customHeight="1" x14ac:dyDescent="0.2">
      <c r="A47" s="2">
        <v>2000</v>
      </c>
      <c r="B47" s="20">
        <v>282.38499999999999</v>
      </c>
      <c r="C47" s="8">
        <v>139.5</v>
      </c>
      <c r="D47" s="8">
        <v>6</v>
      </c>
      <c r="E47" s="8" t="s">
        <v>3</v>
      </c>
      <c r="F47" s="8">
        <f t="shared" si="0"/>
        <v>145.5</v>
      </c>
      <c r="G47" s="8" t="s">
        <v>3</v>
      </c>
      <c r="H47" s="8" t="s">
        <v>3</v>
      </c>
      <c r="I47" s="8">
        <f t="shared" si="1"/>
        <v>145.5</v>
      </c>
      <c r="J47" s="142">
        <f t="shared" si="2"/>
        <v>0.51525399720240095</v>
      </c>
      <c r="K47" s="142">
        <f t="shared" ref="K47:K52" si="3">J47*0.88</f>
        <v>0.45342351753811283</v>
      </c>
    </row>
    <row r="48" spans="1:11" ht="12" customHeight="1" x14ac:dyDescent="0.2">
      <c r="A48" s="3">
        <v>2001</v>
      </c>
      <c r="B48" s="21">
        <v>285.30901899999998</v>
      </c>
      <c r="C48" s="9">
        <v>112.4</v>
      </c>
      <c r="D48" s="9">
        <v>6</v>
      </c>
      <c r="E48" s="9" t="s">
        <v>3</v>
      </c>
      <c r="F48" s="9">
        <f t="shared" si="0"/>
        <v>118.4</v>
      </c>
      <c r="G48" s="9" t="s">
        <v>3</v>
      </c>
      <c r="H48" s="9" t="s">
        <v>3</v>
      </c>
      <c r="I48" s="9">
        <f t="shared" si="1"/>
        <v>118.4</v>
      </c>
      <c r="J48" s="143">
        <f t="shared" si="2"/>
        <v>0.41498863378027323</v>
      </c>
      <c r="K48" s="143">
        <f t="shared" si="3"/>
        <v>0.36518999772664046</v>
      </c>
    </row>
    <row r="49" spans="1:12" ht="12" customHeight="1" x14ac:dyDescent="0.2">
      <c r="A49" s="3">
        <v>2002</v>
      </c>
      <c r="B49" s="21">
        <v>288.10481800000002</v>
      </c>
      <c r="C49" s="9">
        <v>126.55200000000001</v>
      </c>
      <c r="D49" s="9">
        <v>5.3599999999999994</v>
      </c>
      <c r="E49" s="9" t="s">
        <v>3</v>
      </c>
      <c r="F49" s="9">
        <f t="shared" si="0"/>
        <v>131.91200000000001</v>
      </c>
      <c r="G49" s="9" t="s">
        <v>3</v>
      </c>
      <c r="H49" s="9" t="s">
        <v>3</v>
      </c>
      <c r="I49" s="9">
        <f t="shared" si="1"/>
        <v>131.91200000000001</v>
      </c>
      <c r="J49" s="143">
        <f t="shared" si="2"/>
        <v>0.45786113858047317</v>
      </c>
      <c r="K49" s="143">
        <f t="shared" si="3"/>
        <v>0.40291780195081639</v>
      </c>
    </row>
    <row r="50" spans="1:12" ht="12" customHeight="1" x14ac:dyDescent="0.2">
      <c r="A50" s="3">
        <v>2003</v>
      </c>
      <c r="B50" s="21">
        <v>290.81963400000001</v>
      </c>
      <c r="C50" s="9">
        <v>146.12720759837177</v>
      </c>
      <c r="D50" s="9">
        <v>5.84</v>
      </c>
      <c r="E50" s="9" t="s">
        <v>3</v>
      </c>
      <c r="F50" s="9">
        <f t="shared" si="0"/>
        <v>151.96720759837177</v>
      </c>
      <c r="G50" s="9" t="s">
        <v>3</v>
      </c>
      <c r="H50" s="9" t="s">
        <v>3</v>
      </c>
      <c r="I50" s="9">
        <f t="shared" si="1"/>
        <v>151.96720759837177</v>
      </c>
      <c r="J50" s="143">
        <f t="shared" si="2"/>
        <v>0.52254796386399338</v>
      </c>
      <c r="K50" s="143">
        <f t="shared" si="3"/>
        <v>0.45984220820031418</v>
      </c>
    </row>
    <row r="51" spans="1:12" ht="12" customHeight="1" x14ac:dyDescent="0.2">
      <c r="A51" s="3">
        <v>2004</v>
      </c>
      <c r="B51" s="21">
        <v>293.46318500000001</v>
      </c>
      <c r="C51" s="9">
        <v>144.0094219810041</v>
      </c>
      <c r="D51" s="9">
        <v>5.08</v>
      </c>
      <c r="E51" s="9" t="s">
        <v>3</v>
      </c>
      <c r="F51" s="9">
        <f t="shared" si="0"/>
        <v>149.08942198100411</v>
      </c>
      <c r="G51" s="9" t="s">
        <v>3</v>
      </c>
      <c r="H51" s="9" t="s">
        <v>3</v>
      </c>
      <c r="I51" s="9">
        <f t="shared" si="1"/>
        <v>149.08942198100411</v>
      </c>
      <c r="J51" s="143">
        <f t="shared" si="2"/>
        <v>0.50803449836818237</v>
      </c>
      <c r="K51" s="143">
        <f t="shared" si="3"/>
        <v>0.44707035856400051</v>
      </c>
    </row>
    <row r="52" spans="1:12" ht="12" customHeight="1" x14ac:dyDescent="0.2">
      <c r="A52" s="3">
        <v>2005</v>
      </c>
      <c r="B52" s="21">
        <v>296.186216</v>
      </c>
      <c r="C52" s="9">
        <v>126.89542469470831</v>
      </c>
      <c r="D52" s="9">
        <v>4.4000000000000004</v>
      </c>
      <c r="E52" s="9" t="s">
        <v>3</v>
      </c>
      <c r="F52" s="9">
        <f t="shared" si="0"/>
        <v>131.29542469470832</v>
      </c>
      <c r="G52" s="9" t="s">
        <v>3</v>
      </c>
      <c r="H52" s="9" t="s">
        <v>3</v>
      </c>
      <c r="I52" s="9">
        <f t="shared" si="1"/>
        <v>131.29542469470832</v>
      </c>
      <c r="J52" s="143">
        <f t="shared" si="2"/>
        <v>0.4432867486807972</v>
      </c>
      <c r="K52" s="143">
        <f t="shared" si="3"/>
        <v>0.39009233883910155</v>
      </c>
    </row>
    <row r="53" spans="1:12" ht="12" customHeight="1" x14ac:dyDescent="0.2">
      <c r="A53" s="2">
        <v>2006</v>
      </c>
      <c r="B53" s="20">
        <v>298.99582500000002</v>
      </c>
      <c r="C53" s="8">
        <v>154.69933499999996</v>
      </c>
      <c r="D53" s="8">
        <v>3.66</v>
      </c>
      <c r="E53" s="8" t="s">
        <v>3</v>
      </c>
      <c r="F53" s="8">
        <f t="shared" si="0"/>
        <v>158.35933499999996</v>
      </c>
      <c r="G53" s="8" t="s">
        <v>3</v>
      </c>
      <c r="H53" s="8" t="s">
        <v>3</v>
      </c>
      <c r="I53" s="8">
        <f t="shared" si="1"/>
        <v>158.35933499999996</v>
      </c>
      <c r="J53" s="142">
        <f t="shared" si="2"/>
        <v>0.52963727838005747</v>
      </c>
      <c r="K53" s="142">
        <f t="shared" ref="K53:K58" si="4">J53*0.88</f>
        <v>0.46608080497445059</v>
      </c>
    </row>
    <row r="54" spans="1:12" ht="12" customHeight="1" x14ac:dyDescent="0.2">
      <c r="A54" s="2">
        <v>2007</v>
      </c>
      <c r="B54" s="20">
        <v>302.003917</v>
      </c>
      <c r="C54" s="8">
        <v>133.35760000000002</v>
      </c>
      <c r="D54" s="8">
        <v>4.96</v>
      </c>
      <c r="E54" s="8" t="s">
        <v>3</v>
      </c>
      <c r="F54" s="8">
        <f t="shared" si="0"/>
        <v>138.31760000000003</v>
      </c>
      <c r="G54" s="8" t="s">
        <v>3</v>
      </c>
      <c r="H54" s="8" t="s">
        <v>3</v>
      </c>
      <c r="I54" s="8">
        <f t="shared" si="1"/>
        <v>138.31760000000003</v>
      </c>
      <c r="J54" s="142">
        <f t="shared" si="2"/>
        <v>0.45799935767058286</v>
      </c>
      <c r="K54" s="142">
        <f t="shared" si="4"/>
        <v>0.40303943475011295</v>
      </c>
    </row>
    <row r="55" spans="1:12" ht="12" customHeight="1" x14ac:dyDescent="0.2">
      <c r="A55" s="2">
        <v>2008</v>
      </c>
      <c r="B55" s="20">
        <v>304.79776099999998</v>
      </c>
      <c r="C55" s="8">
        <v>108.6532</v>
      </c>
      <c r="D55" s="8">
        <v>3.9999999999999996</v>
      </c>
      <c r="E55" s="8" t="s">
        <v>3</v>
      </c>
      <c r="F55" s="8">
        <f t="shared" si="0"/>
        <v>112.6532</v>
      </c>
      <c r="G55" s="8" t="s">
        <v>3</v>
      </c>
      <c r="H55" s="8" t="s">
        <v>3</v>
      </c>
      <c r="I55" s="8">
        <f t="shared" si="1"/>
        <v>112.6532</v>
      </c>
      <c r="J55" s="142">
        <f t="shared" si="2"/>
        <v>0.36959982786750195</v>
      </c>
      <c r="K55" s="142">
        <f t="shared" si="4"/>
        <v>0.32524784852340172</v>
      </c>
    </row>
    <row r="56" spans="1:12" ht="12" customHeight="1" x14ac:dyDescent="0.2">
      <c r="A56" s="2">
        <v>2009</v>
      </c>
      <c r="B56" s="20">
        <v>307.43940600000002</v>
      </c>
      <c r="C56" s="8">
        <v>103.05340000000001</v>
      </c>
      <c r="D56" s="8">
        <v>2.5199999999999996</v>
      </c>
      <c r="E56" s="8" t="s">
        <v>3</v>
      </c>
      <c r="F56" s="8">
        <f t="shared" si="0"/>
        <v>105.57340000000001</v>
      </c>
      <c r="G56" s="8" t="s">
        <v>3</v>
      </c>
      <c r="H56" s="8" t="s">
        <v>3</v>
      </c>
      <c r="I56" s="8">
        <f t="shared" si="1"/>
        <v>105.57340000000001</v>
      </c>
      <c r="J56" s="142">
        <f t="shared" si="2"/>
        <v>0.34339579747952026</v>
      </c>
      <c r="K56" s="142">
        <f t="shared" si="4"/>
        <v>0.30218830178197781</v>
      </c>
    </row>
    <row r="57" spans="1:12" ht="12" customHeight="1" x14ac:dyDescent="0.2">
      <c r="A57" s="2">
        <v>2010</v>
      </c>
      <c r="B57" s="20">
        <v>309.74127900000002</v>
      </c>
      <c r="C57" s="8">
        <v>101.76712000000001</v>
      </c>
      <c r="D57" s="8">
        <v>2.5999999999999996</v>
      </c>
      <c r="E57" s="8" t="s">
        <v>3</v>
      </c>
      <c r="F57" s="8">
        <f t="shared" si="0"/>
        <v>104.36712</v>
      </c>
      <c r="G57" s="8" t="s">
        <v>3</v>
      </c>
      <c r="H57" s="8" t="s">
        <v>3</v>
      </c>
      <c r="I57" s="8">
        <f t="shared" si="1"/>
        <v>104.36712</v>
      </c>
      <c r="J57" s="142">
        <f t="shared" si="2"/>
        <v>0.33694934151802219</v>
      </c>
      <c r="K57" s="142">
        <f t="shared" si="4"/>
        <v>0.29651542053585955</v>
      </c>
    </row>
    <row r="58" spans="1:12" ht="12" customHeight="1" x14ac:dyDescent="0.2">
      <c r="A58" s="33">
        <v>2011</v>
      </c>
      <c r="B58" s="31">
        <v>311.97391399999998</v>
      </c>
      <c r="C58" s="39">
        <v>96.672360000000012</v>
      </c>
      <c r="D58" s="39">
        <v>2.6199999999999997</v>
      </c>
      <c r="E58" s="39" t="s">
        <v>3</v>
      </c>
      <c r="F58" s="39">
        <f t="shared" si="0"/>
        <v>99.292360000000016</v>
      </c>
      <c r="G58" s="39" t="s">
        <v>3</v>
      </c>
      <c r="H58" s="39" t="s">
        <v>3</v>
      </c>
      <c r="I58" s="39">
        <f t="shared" si="1"/>
        <v>99.292360000000016</v>
      </c>
      <c r="J58" s="144">
        <f t="shared" si="2"/>
        <v>0.3182713539312137</v>
      </c>
      <c r="K58" s="144">
        <f t="shared" si="4"/>
        <v>0.28007879145946807</v>
      </c>
    </row>
    <row r="59" spans="1:12" s="93" customFormat="1" ht="12" customHeight="1" x14ac:dyDescent="0.2">
      <c r="A59" s="33">
        <v>2012</v>
      </c>
      <c r="B59" s="31">
        <v>314.16755799999999</v>
      </c>
      <c r="C59" s="39">
        <v>75.790400000000005</v>
      </c>
      <c r="D59" s="39">
        <v>3.2199999999999993</v>
      </c>
      <c r="E59" s="39" t="s">
        <v>3</v>
      </c>
      <c r="F59" s="39">
        <f t="shared" si="0"/>
        <v>79.010400000000004</v>
      </c>
      <c r="G59" s="39" t="s">
        <v>3</v>
      </c>
      <c r="H59" s="39" t="s">
        <v>3</v>
      </c>
      <c r="I59" s="39">
        <f t="shared" ref="I59" si="5">F59-SUM(G59,H59)</f>
        <v>79.010400000000004</v>
      </c>
      <c r="J59" s="144">
        <f t="shared" ref="J59" si="6">IF(I59=0,0,IF(B59=0,0,I59/B59))</f>
        <v>0.25149127587514941</v>
      </c>
      <c r="K59" s="144">
        <f t="shared" ref="K59" si="7">J59*0.88</f>
        <v>0.22131232277013149</v>
      </c>
      <c r="L59"/>
    </row>
    <row r="60" spans="1:12" s="93" customFormat="1" ht="12" customHeight="1" x14ac:dyDescent="0.2">
      <c r="A60" s="33">
        <v>2013</v>
      </c>
      <c r="B60" s="31">
        <v>316.29476599999998</v>
      </c>
      <c r="C60" s="39">
        <v>69.151060000000015</v>
      </c>
      <c r="D60" s="39">
        <v>3.9799999999999991</v>
      </c>
      <c r="E60" s="39" t="s">
        <v>3</v>
      </c>
      <c r="F60" s="39">
        <f t="shared" si="0"/>
        <v>73.131060000000019</v>
      </c>
      <c r="G60" s="39" t="s">
        <v>3</v>
      </c>
      <c r="H60" s="39" t="s">
        <v>3</v>
      </c>
      <c r="I60" s="39">
        <f t="shared" ref="I60" si="8">F60-SUM(G60,H60)</f>
        <v>73.131060000000019</v>
      </c>
      <c r="J60" s="144">
        <f t="shared" ref="J60" si="9">IF(I60=0,0,IF(B60=0,0,I60/B60))</f>
        <v>0.23121172988363653</v>
      </c>
      <c r="K60" s="144">
        <f t="shared" ref="K60" si="10">J60*0.88</f>
        <v>0.20346632229760014</v>
      </c>
      <c r="L60" s="83"/>
    </row>
    <row r="61" spans="1:12" s="93" customFormat="1" ht="12" customHeight="1" x14ac:dyDescent="0.2">
      <c r="A61" s="33">
        <v>2014</v>
      </c>
      <c r="B61" s="31">
        <v>318.576955</v>
      </c>
      <c r="C61" s="39">
        <v>119.96400000000001</v>
      </c>
      <c r="D61" s="39">
        <v>5.4799999999999986</v>
      </c>
      <c r="E61" s="39" t="s">
        <v>3</v>
      </c>
      <c r="F61" s="39">
        <f t="shared" si="0"/>
        <v>125.44400000000002</v>
      </c>
      <c r="G61" s="39" t="s">
        <v>3</v>
      </c>
      <c r="H61" s="39" t="s">
        <v>3</v>
      </c>
      <c r="I61" s="39">
        <f t="shared" ref="I61" si="11">F61-SUM(G61,H61)</f>
        <v>125.44400000000002</v>
      </c>
      <c r="J61" s="144">
        <f>IF(I61=0,0,IF(B61=0,0,I61/B61))</f>
        <v>0.39376357276062235</v>
      </c>
      <c r="K61" s="144">
        <f t="shared" ref="K61" si="12">J61*0.88</f>
        <v>0.34651194402934765</v>
      </c>
      <c r="L61" s="83"/>
    </row>
    <row r="62" spans="1:12" s="93" customFormat="1" ht="12" customHeight="1" x14ac:dyDescent="0.2">
      <c r="A62" s="33">
        <v>2015</v>
      </c>
      <c r="B62" s="31">
        <v>320.87070299999999</v>
      </c>
      <c r="C62" s="39">
        <v>81.865340000000003</v>
      </c>
      <c r="D62" s="39">
        <v>6.0999999999999979</v>
      </c>
      <c r="E62" s="39" t="s">
        <v>3</v>
      </c>
      <c r="F62" s="39">
        <f t="shared" ref="F62" si="13">SUM(C62,D62,E62)</f>
        <v>87.965339999999998</v>
      </c>
      <c r="G62" s="39" t="s">
        <v>3</v>
      </c>
      <c r="H62" s="39" t="s">
        <v>3</v>
      </c>
      <c r="I62" s="39">
        <f t="shared" ref="I62" si="14">F62-SUM(G62,H62)</f>
        <v>87.965339999999998</v>
      </c>
      <c r="J62" s="144">
        <f>IF(I62=0,0,IF(B62=0,0,I62/B62))</f>
        <v>0.27414575147423165</v>
      </c>
      <c r="K62" s="144">
        <f t="shared" ref="K62" si="15">J62*0.88</f>
        <v>0.24124826129732385</v>
      </c>
      <c r="L62" s="83"/>
    </row>
    <row r="63" spans="1:12" s="93" customFormat="1" ht="12" customHeight="1" x14ac:dyDescent="0.2">
      <c r="A63" s="128">
        <v>2016</v>
      </c>
      <c r="B63" s="129">
        <v>323.16101099999997</v>
      </c>
      <c r="C63" s="130">
        <v>75.937096000000025</v>
      </c>
      <c r="D63" s="130">
        <v>6.2599999999999971</v>
      </c>
      <c r="E63" s="130" t="s">
        <v>3</v>
      </c>
      <c r="F63" s="130">
        <f t="shared" ref="F63:F67" si="16">SUM(C63,D63,E63)</f>
        <v>82.197096000000016</v>
      </c>
      <c r="G63" s="130" t="s">
        <v>3</v>
      </c>
      <c r="H63" s="130" t="s">
        <v>3</v>
      </c>
      <c r="I63" s="130">
        <f t="shared" ref="I63:I64" si="17">F63-SUM(G63,H63)</f>
        <v>82.197096000000016</v>
      </c>
      <c r="J63" s="145">
        <f t="shared" ref="J63:J64" si="18">IF(I63=0,0,IF(B63=0,0,I63/B63))</f>
        <v>0.25435338175742994</v>
      </c>
      <c r="K63" s="145">
        <f t="shared" ref="K63:K64" si="19">J63*0.88</f>
        <v>0.22383097594653836</v>
      </c>
      <c r="L63" s="83"/>
    </row>
    <row r="64" spans="1:12" s="93" customFormat="1" ht="12" customHeight="1" x14ac:dyDescent="0.2">
      <c r="A64" s="125">
        <v>2017</v>
      </c>
      <c r="B64" s="126">
        <v>325.20603</v>
      </c>
      <c r="C64" s="127">
        <v>108.79872</v>
      </c>
      <c r="D64" s="127">
        <v>6.4999999999999973</v>
      </c>
      <c r="E64" s="127" t="s">
        <v>3</v>
      </c>
      <c r="F64" s="127">
        <f t="shared" si="16"/>
        <v>115.29872</v>
      </c>
      <c r="G64" s="127" t="s">
        <v>3</v>
      </c>
      <c r="H64" s="127" t="s">
        <v>3</v>
      </c>
      <c r="I64" s="127">
        <f t="shared" si="17"/>
        <v>115.29872</v>
      </c>
      <c r="J64" s="146">
        <f t="shared" si="18"/>
        <v>0.35454053542611125</v>
      </c>
      <c r="K64" s="146">
        <f t="shared" si="19"/>
        <v>0.3119956711749779</v>
      </c>
      <c r="L64" s="83"/>
    </row>
    <row r="65" spans="1:12" s="93" customFormat="1" ht="12" customHeight="1" x14ac:dyDescent="0.2">
      <c r="A65" s="128">
        <v>2018</v>
      </c>
      <c r="B65" s="129">
        <v>326.92397599999998</v>
      </c>
      <c r="C65" s="130">
        <v>111.92428799999999</v>
      </c>
      <c r="D65" s="130">
        <v>7.1525423728813537</v>
      </c>
      <c r="E65" s="130" t="s">
        <v>3</v>
      </c>
      <c r="F65" s="130">
        <f t="shared" si="16"/>
        <v>119.07683037288135</v>
      </c>
      <c r="G65" s="130" t="s">
        <v>3</v>
      </c>
      <c r="H65" s="130" t="s">
        <v>3</v>
      </c>
      <c r="I65" s="130">
        <f t="shared" ref="I65:I67" si="20">F65-SUM(G65,H65)</f>
        <v>119.07683037288135</v>
      </c>
      <c r="J65" s="145">
        <f t="shared" ref="J65:J67" si="21">IF(I65=0,0,IF(B65=0,0,I65/B65))</f>
        <v>0.36423400886596752</v>
      </c>
      <c r="K65" s="145">
        <f t="shared" ref="K65:K67" si="22">J65*0.88</f>
        <v>0.32052592780205141</v>
      </c>
      <c r="L65" s="83"/>
    </row>
    <row r="66" spans="1:12" s="93" customFormat="1" ht="12" customHeight="1" x14ac:dyDescent="0.2">
      <c r="A66" s="128">
        <v>2019</v>
      </c>
      <c r="B66" s="129">
        <v>328.475998</v>
      </c>
      <c r="C66" s="130">
        <v>115.68172799999998</v>
      </c>
      <c r="D66" s="162">
        <v>6.6599999999999975</v>
      </c>
      <c r="E66" s="130" t="s">
        <v>3</v>
      </c>
      <c r="F66" s="130">
        <f t="shared" si="16"/>
        <v>122.34172799999997</v>
      </c>
      <c r="G66" s="130" t="s">
        <v>3</v>
      </c>
      <c r="H66" s="130" t="s">
        <v>3</v>
      </c>
      <c r="I66" s="130">
        <f t="shared" si="20"/>
        <v>122.34172799999997</v>
      </c>
      <c r="J66" s="145">
        <f t="shared" si="21"/>
        <v>0.37245256501207119</v>
      </c>
      <c r="K66" s="145">
        <f t="shared" si="22"/>
        <v>0.32775825721062263</v>
      </c>
      <c r="L66" s="83"/>
    </row>
    <row r="67" spans="1:12" s="93" customFormat="1" ht="12" customHeight="1" thickBot="1" x14ac:dyDescent="0.25">
      <c r="A67" s="148">
        <v>2020</v>
      </c>
      <c r="B67" s="149">
        <v>330.11398000000003</v>
      </c>
      <c r="C67" s="147">
        <v>87.977146168420902</v>
      </c>
      <c r="D67" s="124">
        <v>6.1799999999999971</v>
      </c>
      <c r="E67" s="150" t="s">
        <v>3</v>
      </c>
      <c r="F67" s="150">
        <f t="shared" si="16"/>
        <v>94.157146168420894</v>
      </c>
      <c r="G67" s="150" t="s">
        <v>3</v>
      </c>
      <c r="H67" s="150" t="s">
        <v>3</v>
      </c>
      <c r="I67" s="150">
        <f t="shared" si="20"/>
        <v>94.157146168420894</v>
      </c>
      <c r="J67" s="152">
        <f t="shared" si="21"/>
        <v>0.28522616996838757</v>
      </c>
      <c r="K67" s="152">
        <f t="shared" si="22"/>
        <v>0.25099902957218106</v>
      </c>
      <c r="L67" s="83"/>
    </row>
    <row r="68" spans="1:12" ht="12" customHeight="1" thickTop="1" x14ac:dyDescent="0.2">
      <c r="A68" s="254" t="s">
        <v>8</v>
      </c>
      <c r="B68" s="255"/>
      <c r="C68" s="255"/>
      <c r="D68" s="255"/>
      <c r="E68" s="255"/>
      <c r="F68" s="255"/>
      <c r="G68" s="255"/>
      <c r="H68" s="255"/>
      <c r="I68" s="255"/>
      <c r="J68" s="255"/>
      <c r="K68" s="256"/>
      <c r="L68" s="94"/>
    </row>
    <row r="69" spans="1:12" ht="12" customHeight="1" x14ac:dyDescent="0.2">
      <c r="A69" s="248"/>
      <c r="B69" s="249"/>
      <c r="C69" s="249"/>
      <c r="D69" s="249"/>
      <c r="E69" s="249"/>
      <c r="F69" s="249"/>
      <c r="G69" s="249"/>
      <c r="H69" s="249"/>
      <c r="I69" s="249"/>
      <c r="J69" s="249"/>
      <c r="K69" s="250"/>
      <c r="L69" s="94"/>
    </row>
    <row r="70" spans="1:12" ht="12" customHeight="1" x14ac:dyDescent="0.2">
      <c r="A70" s="223" t="s">
        <v>217</v>
      </c>
      <c r="B70" s="224"/>
      <c r="C70" s="224"/>
      <c r="D70" s="224"/>
      <c r="E70" s="224"/>
      <c r="F70" s="224"/>
      <c r="G70" s="224"/>
      <c r="H70" s="224"/>
      <c r="I70" s="224"/>
      <c r="J70" s="224"/>
      <c r="K70" s="225"/>
      <c r="L70" s="94"/>
    </row>
    <row r="71" spans="1:12" ht="12" customHeight="1" x14ac:dyDescent="0.2">
      <c r="A71" s="223"/>
      <c r="B71" s="224"/>
      <c r="C71" s="224"/>
      <c r="D71" s="224"/>
      <c r="E71" s="224"/>
      <c r="F71" s="224"/>
      <c r="G71" s="224"/>
      <c r="H71" s="224"/>
      <c r="I71" s="224"/>
      <c r="J71" s="224"/>
      <c r="K71" s="225"/>
      <c r="L71" s="94"/>
    </row>
    <row r="72" spans="1:12" s="93" customFormat="1" ht="12" customHeight="1" x14ac:dyDescent="0.2">
      <c r="A72" s="223"/>
      <c r="B72" s="224"/>
      <c r="C72" s="224"/>
      <c r="D72" s="224"/>
      <c r="E72" s="224"/>
      <c r="F72" s="224"/>
      <c r="G72" s="224"/>
      <c r="H72" s="224"/>
      <c r="I72" s="224"/>
      <c r="J72" s="224"/>
      <c r="K72" s="225"/>
      <c r="L72" s="94"/>
    </row>
    <row r="73" spans="1:12" ht="12" customHeight="1" x14ac:dyDescent="0.2">
      <c r="A73" s="248"/>
      <c r="B73" s="249"/>
      <c r="C73" s="249"/>
      <c r="D73" s="249"/>
      <c r="E73" s="249"/>
      <c r="F73" s="249"/>
      <c r="G73" s="249"/>
      <c r="H73" s="249"/>
      <c r="I73" s="249"/>
      <c r="J73" s="249"/>
      <c r="K73" s="250"/>
      <c r="L73" s="93"/>
    </row>
    <row r="74" spans="1:12" ht="12" customHeight="1" x14ac:dyDescent="0.2">
      <c r="A74" s="223" t="s">
        <v>198</v>
      </c>
      <c r="B74" s="224"/>
      <c r="C74" s="224"/>
      <c r="D74" s="224"/>
      <c r="E74" s="224"/>
      <c r="F74" s="224"/>
      <c r="G74" s="224"/>
      <c r="H74" s="224"/>
      <c r="I74" s="224"/>
      <c r="J74" s="224"/>
      <c r="K74" s="225"/>
      <c r="L74" s="93"/>
    </row>
  </sheetData>
  <mergeCells count="23">
    <mergeCell ref="J1:K1"/>
    <mergeCell ref="C2:F2"/>
    <mergeCell ref="J3:K3"/>
    <mergeCell ref="I3:I5"/>
    <mergeCell ref="J4:J5"/>
    <mergeCell ref="A1:I1"/>
    <mergeCell ref="F3:F5"/>
    <mergeCell ref="G3:G5"/>
    <mergeCell ref="H3:H5"/>
    <mergeCell ref="A2:A5"/>
    <mergeCell ref="B2:B5"/>
    <mergeCell ref="G2:H2"/>
    <mergeCell ref="I2:K2"/>
    <mergeCell ref="C6:I6"/>
    <mergeCell ref="J6:K6"/>
    <mergeCell ref="C3:C5"/>
    <mergeCell ref="D3:D5"/>
    <mergeCell ref="E3:E5"/>
    <mergeCell ref="A74:K74"/>
    <mergeCell ref="A70:K72"/>
    <mergeCell ref="A68:K68"/>
    <mergeCell ref="A69:K69"/>
    <mergeCell ref="A73:K73"/>
  </mergeCells>
  <phoneticPr fontId="7" type="noConversion"/>
  <printOptions horizontalCentered="1"/>
  <pageMargins left="0.45" right="0.45" top="0.75" bottom="0.75" header="0" footer="0"/>
  <pageSetup scale="66" fitToWidth="2"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64"/>
  <sheetViews>
    <sheetView workbookViewId="0">
      <pane ySplit="7" topLeftCell="A8" activePane="bottomLeft" state="frozen"/>
      <selection pane="bottomLeft" sqref="A1:G1"/>
    </sheetView>
  </sheetViews>
  <sheetFormatPr defaultColWidth="12.7109375" defaultRowHeight="12" customHeight="1" x14ac:dyDescent="0.2"/>
  <cols>
    <col min="1" max="1" width="12.7109375" style="13" customWidth="1"/>
    <col min="2" max="16384" width="12.7109375" style="13"/>
  </cols>
  <sheetData>
    <row r="1" spans="1:10" s="1" customFormat="1" ht="12" customHeight="1" thickBot="1" x14ac:dyDescent="0.25">
      <c r="A1" s="201" t="s">
        <v>214</v>
      </c>
      <c r="B1" s="201"/>
      <c r="C1" s="201"/>
      <c r="D1" s="201"/>
      <c r="E1" s="201"/>
      <c r="F1" s="201"/>
      <c r="G1" s="201"/>
      <c r="H1" s="200" t="s">
        <v>19</v>
      </c>
      <c r="I1" s="200"/>
    </row>
    <row r="2" spans="1:10" ht="12" customHeight="1" thickTop="1" x14ac:dyDescent="0.2">
      <c r="A2" s="194" t="s">
        <v>1</v>
      </c>
      <c r="B2" s="197" t="s">
        <v>112</v>
      </c>
      <c r="C2" s="218" t="s">
        <v>2</v>
      </c>
      <c r="D2" s="218"/>
      <c r="E2" s="218"/>
      <c r="F2" s="121" t="s">
        <v>146</v>
      </c>
      <c r="G2" s="231" t="s">
        <v>147</v>
      </c>
      <c r="H2" s="232"/>
      <c r="I2" s="232"/>
    </row>
    <row r="3" spans="1:10" ht="12" customHeight="1" x14ac:dyDescent="0.2">
      <c r="A3" s="195"/>
      <c r="B3" s="198"/>
      <c r="C3" s="195" t="s">
        <v>113</v>
      </c>
      <c r="D3" s="195" t="s">
        <v>104</v>
      </c>
      <c r="E3" s="195" t="s">
        <v>114</v>
      </c>
      <c r="F3" s="217" t="s">
        <v>108</v>
      </c>
      <c r="G3" s="220"/>
      <c r="H3" s="233"/>
      <c r="I3" s="233"/>
    </row>
    <row r="4" spans="1:10" ht="12" customHeight="1" x14ac:dyDescent="0.2">
      <c r="A4" s="195"/>
      <c r="B4" s="198"/>
      <c r="C4" s="195"/>
      <c r="D4" s="195"/>
      <c r="E4" s="195"/>
      <c r="F4" s="217"/>
      <c r="G4" s="217" t="s">
        <v>140</v>
      </c>
      <c r="H4" s="226" t="s">
        <v>28</v>
      </c>
      <c r="I4" s="227"/>
    </row>
    <row r="5" spans="1:10" ht="12" customHeight="1" x14ac:dyDescent="0.2">
      <c r="A5" s="195"/>
      <c r="B5" s="198"/>
      <c r="C5" s="195"/>
      <c r="D5" s="195"/>
      <c r="E5" s="195"/>
      <c r="F5" s="217"/>
      <c r="G5" s="217"/>
      <c r="H5" s="217" t="s">
        <v>4</v>
      </c>
      <c r="I5" s="219" t="s">
        <v>5</v>
      </c>
    </row>
    <row r="6" spans="1:10" ht="12" customHeight="1" x14ac:dyDescent="0.2">
      <c r="A6" s="196"/>
      <c r="B6" s="199"/>
      <c r="C6" s="196"/>
      <c r="D6" s="196"/>
      <c r="E6" s="196"/>
      <c r="F6" s="217"/>
      <c r="G6" s="217"/>
      <c r="H6" s="217"/>
      <c r="I6" s="220"/>
    </row>
    <row r="7" spans="1:10" ht="12" customHeight="1" x14ac:dyDescent="0.2">
      <c r="A7" s="36"/>
      <c r="B7" s="167" t="s">
        <v>121</v>
      </c>
      <c r="C7" s="214" t="s">
        <v>122</v>
      </c>
      <c r="D7" s="221"/>
      <c r="E7" s="221"/>
      <c r="F7" s="221"/>
      <c r="G7" s="222"/>
      <c r="H7" s="214" t="s">
        <v>118</v>
      </c>
      <c r="I7" s="222"/>
      <c r="J7" s="29"/>
    </row>
    <row r="8" spans="1:10" ht="12" customHeight="1" x14ac:dyDescent="0.2">
      <c r="A8" s="2" t="s">
        <v>49</v>
      </c>
      <c r="B8" s="20">
        <v>205.05199999999999</v>
      </c>
      <c r="C8" s="113">
        <f>SUM(Artichokes!C17, Asparagus!C17, LimaBeans!C17, SnapBeans!C17,Broccoli!C17,BrusselsSprouts!C17,Cabbage!C17,Carrots!C17,Cauliflower!C17,Celery!C17,Collards!C17,SweetCorn!C17,Cucumbers!C17,Eggplant!C17,Escarole!C17,Garlic!C17,HeadLettuce!C17,Kale!C17,Mushrooms!C17,MustardGreens!C17,Onions!C17,Okra!C17,Peppers!C17,Potatoes!C17,Pumpkin!C17) + SUM(Radishes!C17,Romaine!C17,Spinach!C17,Squash!C17,SweetPotatoes!C17,Tomatoes!C17,TurnipGreens!C17)</f>
        <v>32072.815000000002</v>
      </c>
      <c r="D8" s="113">
        <f>SUM(Artichokes!D17, Asparagus!D17, LimaBeans!D17, SnapBeans!D17,Broccoli!D17,BrusselsSprouts!D17,Cabbage!D17,Carrots!D17,Cauliflower!D17,Celery!D17,Collards!D17,SweetCorn!D17,Cucumbers!D17,Eggplant!D17,Escarole!D17,Garlic!D17,HeadLettuce!D17,Kale!D17,Mushrooms!D17,MustardGreens!D17,Onions!D17,Okra!D17,Peppers!D17,Potatoes!D17,Pumpkin!D17) + SUM(Radishes!D17,Romaine!D17,Spinach!D17,Squash!D17,SweetPotatoes!D17,Tomatoes!D17,TurnipGreens!D17)</f>
        <v>1314.942</v>
      </c>
      <c r="E8" s="113">
        <f>SUM(Artichokes!E17, Asparagus!E17, LimaBeans!E17, SnapBeans!E17,Broccoli!E17,BrusselsSprouts!F17,Cabbage!E17,Carrots!E17,Cauliflower!E17,Celery!E17,Collards!F17,SweetCorn!E17,Cucumbers!E17,Eggplant!E17,Escarole!E17,Garlic!E17,HeadLettuce!E17,Kale!F17,Mushrooms!E17,MustardGreens!F17,Onions!F17,Okra!F17,Peppers!E17,Potatoes!E17,Pumpkin!F17) + SUM(Radishes!E17,Romaine!E17,Spinach!E17,Squash!E17,SweetPotatoes!F17,Tomatoes!E17,TurnipGreens!F17)</f>
        <v>33883.07215</v>
      </c>
      <c r="F8" s="113">
        <f>SUM(Artichokes!F17, Asparagus!F17, LimaBeans!F17, SnapBeans!F17,Broccoli!F17,BrusselsSprouts!G17,Cabbage!F17,Carrots!F17,Cauliflower!F17,Celery!F17,Collards!G17,SweetCorn!F17,Cucumbers!F17,Eggplant!F17,Escarole!F17,Garlic!F17,HeadLettuce!F17,Kale!G17,Mushrooms!F17,MustardGreens!G17,Onions!G17,Okra!G17,Peppers!F17,Potatoes!F17,Pumpkin!G17) + SUM(Radishes!F17,Romaine!F17,Spinach!F17,Squash!F17,SweetPotatoes!G17,Tomatoes!F17,TurnipGreens!G17)</f>
        <v>1042.6622</v>
      </c>
      <c r="G8" s="113">
        <f>SUM(Artichokes!G17, Asparagus!G17, LimaBeans!G17, SnapBeans!G17,Broccoli!G17,BrusselsSprouts!I17,Cabbage!H17,Carrots!G17,Cauliflower!G17,Celery!G17,Collards!I17,SweetCorn!G17,Cucumbers!G17,Eggplant!G17,Escarole!G17,Garlic!H17,HeadLettuce!G17,Kale!I17,Mushrooms!G17,MustardGreens!I17,Onions!J17,Okra!I17,Peppers!G17,Potatoes!G17,Pumpkin!J17) + SUM(Radishes!G17,Romaine!G17,Spinach!G17,Squash!G17,SweetPotatoes!K17,Tomatoes!G17,TurnipGreens!I17)</f>
        <v>31650.19354</v>
      </c>
      <c r="H8" s="6">
        <f>SUM(Artichokes!H17,Asparagus!H17,LimaBeans!H17,SnapBeans!H17,Broccoli!H17,BrusselsSprouts!J17,Cabbage!I17,Carrots!H17,Cauliflower!H17,Celery!H17,Collards!J17,SweetCorn!H17,Cucumbers!H17,Eggplant!H17,Escarole!H17,Garlic!I17,HeadLettuce!H17,Kale!J17,Mushrooms!H17,MustardGreens!J17,Onions!K17,Okra!J17,Peppers!H17,Potatoes!H17,Pumpkin!K17) + SUM(Radishes!H17,Romaine!H17,Spinach!H17,Squash!H17,SweetPotatoes!L17,Tomatoes!H17,TurnipGreens!J17)</f>
        <v>154.35372246726283</v>
      </c>
      <c r="I8" s="6">
        <f>SUM(Artichokes!I17, Asparagus!I17, LimaBeans!I17, SnapBeans!I17,Broccoli!I17,BrusselsSprouts!K17,Cabbage!J17,Carrots!I17,Cauliflower!I17,Celery!I17,Collards!K17,SweetCorn!I17,Cucumbers!I17,Eggplant!I17,Escarole!I17,Garlic!J17,HeadLettuce!I17,Kale!K17,Mushrooms!I17,MustardGreens!K17,Onions!L17,Okra!K17,Peppers!I17,Potatoes!I17,Pumpkin!L17) + SUM(Radishes!I17,Romaine!I17,Spinach!I17,Squash!I17,SweetPotatoes!M17,Tomatoes!I17,TurnipGreens!K17)</f>
        <v>144.36065292021411</v>
      </c>
    </row>
    <row r="9" spans="1:10" ht="12" customHeight="1" x14ac:dyDescent="0.2">
      <c r="A9" s="3" t="s">
        <v>50</v>
      </c>
      <c r="B9" s="21">
        <v>207.661</v>
      </c>
      <c r="C9" s="114">
        <f>SUM(Artichokes!C18, Asparagus!C18, LimaBeans!C18, SnapBeans!C18,Broccoli!C18,BrusselsSprouts!C18,Cabbage!C18,Carrots!C18,Cauliflower!C18,Celery!C18,Collards!C18,SweetCorn!C18,Cucumbers!C18,Eggplant!C18,Escarole!C18,Garlic!C18,HeadLettuce!C18,Kale!C18,Mushrooms!C18,MustardGreens!C18,Onions!C18,Okra!C18,Peppers!C18,Potatoes!C18,Pumpkin!C18) + SUM(Radishes!C18,Romaine!C18,Spinach!C18,Squash!C18,SweetPotatoes!C18,Tomatoes!C18,TurnipGreens!C18)</f>
        <v>30999.115000000002</v>
      </c>
      <c r="D9" s="114">
        <f>SUM(Artichokes!D18, Asparagus!D18, LimaBeans!D18, SnapBeans!D18,Broccoli!D18,BrusselsSprouts!D18,Cabbage!D18,Carrots!D18,Cauliflower!D18,Celery!D18,Collards!D18,SweetCorn!D18,Cucumbers!D18,Eggplant!D18,Escarole!D18,Garlic!D18,HeadLettuce!D18,Kale!D18,Mushrooms!D18,MustardGreens!D18,Onions!D18,Okra!D18,Peppers!D18,Potatoes!D18,Pumpkin!D18) + SUM(Radishes!D18,Romaine!D18,Spinach!D18,Squash!D18,SweetPotatoes!D18,Tomatoes!D18,TurnipGreens!D18)</f>
        <v>1204.297</v>
      </c>
      <c r="E9" s="114">
        <f>SUM(Artichokes!E18, Asparagus!E18, LimaBeans!E18, SnapBeans!E18,Broccoli!E18,BrusselsSprouts!F18,Cabbage!E18,Carrots!E18,Cauliflower!E18,Celery!E18,Collards!F18,SweetCorn!E18,Cucumbers!E18,Eggplant!E18,Escarole!E18,Garlic!E18,HeadLettuce!E18,Kale!F18,Mushrooms!E18,MustardGreens!F18,Onions!F18,Okra!F18,Peppers!E18,Potatoes!E18,Pumpkin!F18) + SUM(Radishes!E18,Romaine!E18,Spinach!E18,Squash!E18,SweetPotatoes!F18,Tomatoes!E18,TurnipGreens!F18)</f>
        <v>32959.372409999996</v>
      </c>
      <c r="F9" s="114">
        <f>SUM(Artichokes!F18, Asparagus!F18, LimaBeans!F18, SnapBeans!F18,Broccoli!F18,BrusselsSprouts!G18,Cabbage!F18,Carrots!F18,Cauliflower!F18,Celery!F18,Collards!G18,SweetCorn!F18,Cucumbers!F18,Eggplant!F18,Escarole!F18,Garlic!F18,HeadLettuce!F18,Kale!G18,Mushrooms!F18,MustardGreens!G18,Onions!G18,Okra!G18,Peppers!F18,Potatoes!F18,Pumpkin!G18) + SUM(Radishes!F18,Romaine!F18,Spinach!F18,Squash!F18,SweetPotatoes!G18,Tomatoes!F18,TurnipGreens!G18)</f>
        <v>1117.2184</v>
      </c>
      <c r="G9" s="114">
        <f>SUM(Artichokes!G18, Asparagus!G18, LimaBeans!G18, SnapBeans!G18,Broccoli!G18,BrusselsSprouts!I18,Cabbage!H18,Carrots!G18,Cauliflower!G18,Celery!G18,Collards!I18,SweetCorn!G18,Cucumbers!G18,Eggplant!G18,Escarole!G18,Garlic!H18,HeadLettuce!G18,Kale!I18,Mushrooms!G18,MustardGreens!I18,Onions!J18,Okra!I18,Peppers!G18,Potatoes!G18,Pumpkin!J18) + SUM(Radishes!G18,Romaine!G18,Spinach!G18,Squash!G18,SweetPotatoes!K18,Tomatoes!G18,TurnipGreens!I18)</f>
        <v>30743.910980000001</v>
      </c>
      <c r="H9" s="7">
        <f>SUM(Artichokes!H18,Asparagus!H18,LimaBeans!H18,SnapBeans!H18,Broccoli!H18,BrusselsSprouts!J18,Cabbage!I18,Carrots!H18,Cauliflower!H18,Celery!H18,Collards!J18,SweetCorn!H18,Cucumbers!H18,Eggplant!H18,Escarole!H18,Garlic!I18,HeadLettuce!H18,Kale!J18,Mushrooms!H18,MustardGreens!J18,Onions!K18,Okra!J18,Peppers!H18,Potatoes!H18,Pumpkin!K18) + SUM(Radishes!H18,Romaine!H18,Spinach!H18,Squash!H18,SweetPotatoes!L18,Tomatoes!H18,TurnipGreens!J18)</f>
        <v>148.05040576929068</v>
      </c>
      <c r="I9" s="7">
        <f>SUM(Artichokes!I18, Asparagus!I18, LimaBeans!I18, SnapBeans!I18,Broccoli!I18,BrusselsSprouts!K18,Cabbage!J18,Carrots!I18,Cauliflower!I18,Celery!I18,Collards!K18,SweetCorn!I18,Cucumbers!I18,Eggplant!I18,Escarole!I18,Garlic!J18,HeadLettuce!I18,Kale!K18,Mushrooms!I18,MustardGreens!K18,Onions!L18,Okra!K18,Peppers!I18,Potatoes!I18,Pumpkin!L18) + SUM(Radishes!I18,Romaine!I18,Spinach!I18,Squash!I18,SweetPotatoes!M18,Tomatoes!I18,TurnipGreens!K18)</f>
        <v>138.43716310770571</v>
      </c>
    </row>
    <row r="10" spans="1:10" ht="12" customHeight="1" x14ac:dyDescent="0.2">
      <c r="A10" s="3" t="s">
        <v>51</v>
      </c>
      <c r="B10" s="21">
        <v>209.89599999999999</v>
      </c>
      <c r="C10" s="114">
        <f>SUM(Artichokes!C19, Asparagus!C19, LimaBeans!C19, SnapBeans!C19,Broccoli!C19,BrusselsSprouts!C19,Cabbage!C19,Carrots!C19,Cauliflower!C19,Celery!C19,Collards!C19,SweetCorn!C19,Cucumbers!C19,Eggplant!C19,Escarole!C19,Garlic!C19,HeadLettuce!C19,Kale!C19,Mushrooms!C19,MustardGreens!C19,Onions!C19,Okra!C19,Peppers!C19,Potatoes!C19,Pumpkin!C19) + SUM(Radishes!C19,Romaine!C19,Spinach!C19,Squash!C19,SweetPotatoes!C19,Tomatoes!C19,TurnipGreens!C19)</f>
        <v>32309.752</v>
      </c>
      <c r="D10" s="114">
        <f>SUM(Artichokes!D19, Asparagus!D19, LimaBeans!D19, SnapBeans!D19,Broccoli!D19,BrusselsSprouts!D19,Cabbage!D19,Carrots!D19,Cauliflower!D19,Celery!D19,Collards!D19,SweetCorn!D19,Cucumbers!D19,Eggplant!D19,Escarole!D19,Garlic!D19,HeadLettuce!D19,Kale!D19,Mushrooms!D19,MustardGreens!D19,Onions!D19,Okra!D19,Peppers!D19,Potatoes!D19,Pumpkin!D19) + SUM(Radishes!D19,Romaine!D19,Spinach!D19,Squash!D19,SweetPotatoes!D19,Tomatoes!D19,TurnipGreens!D19)</f>
        <v>1188.7159999999999</v>
      </c>
      <c r="E10" s="114">
        <f>SUM(Artichokes!E19, Asparagus!E19, LimaBeans!E19, SnapBeans!E19,Broccoli!E19,BrusselsSprouts!F19,Cabbage!E19,Carrots!E19,Cauliflower!E19,Celery!E19,Collards!F19,SweetCorn!E19,Cucumbers!E19,Eggplant!E19,Escarole!E19,Garlic!E19,HeadLettuce!E19,Kale!F19,Mushrooms!E19,MustardGreens!F19,Onions!F19,Okra!F19,Peppers!E19,Potatoes!E19,Pumpkin!F19) + SUM(Radishes!E19,Romaine!E19,Spinach!E19,Squash!E19,SweetPotatoes!F19,Tomatoes!E19,TurnipGreens!F19)</f>
        <v>34140.449030000003</v>
      </c>
      <c r="F10" s="114">
        <f>SUM(Artichokes!F19, Asparagus!F19, LimaBeans!F19, SnapBeans!F19,Broccoli!F19,BrusselsSprouts!G19,Cabbage!F19,Carrots!F19,Cauliflower!F19,Celery!F19,Collards!G19,SweetCorn!F19,Cucumbers!F19,Eggplant!F19,Escarole!F19,Garlic!F19,HeadLettuce!F19,Kale!G19,Mushrooms!F19,MustardGreens!G19,Onions!G19,Okra!G19,Peppers!F19,Potatoes!F19,Pumpkin!G19) + SUM(Radishes!F19,Romaine!F19,Spinach!F19,Squash!F19,SweetPotatoes!G19,Tomatoes!F19,TurnipGreens!G19)</f>
        <v>1340.7399</v>
      </c>
      <c r="G10" s="114">
        <f>SUM(Artichokes!G19, Asparagus!G19, LimaBeans!G19, SnapBeans!G19,Broccoli!G19,BrusselsSprouts!I19,Cabbage!H19,Carrots!G19,Cauliflower!G19,Celery!G19,Collards!I19,SweetCorn!G19,Cucumbers!G19,Eggplant!G19,Escarole!G19,Garlic!H19,HeadLettuce!G19,Kale!I19,Mushrooms!G19,MustardGreens!I19,Onions!J19,Okra!I19,Peppers!G19,Potatoes!G19,Pumpkin!J19) + SUM(Radishes!G19,Romaine!G19,Spinach!G19,Squash!G19,SweetPotatoes!K19,Tomatoes!G19,TurnipGreens!I19)</f>
        <v>31779.483130000004</v>
      </c>
      <c r="H10" s="7">
        <f>SUM(Artichokes!H19,Asparagus!H19,LimaBeans!H19,SnapBeans!H19,Broccoli!H19,BrusselsSprouts!J19,Cabbage!I19,Carrots!H19,Cauliflower!H19,Celery!H19,Collards!J19,SweetCorn!H19,Cucumbers!H19,Eggplant!H19,Escarole!H19,Garlic!I19,HeadLettuce!H19,Kale!J19,Mushrooms!H19,MustardGreens!J19,Onions!K19,Okra!J19,Peppers!H19,Potatoes!H19,Pumpkin!K19) + SUM(Radishes!H19,Romaine!H19,Spinach!H19,Squash!H19,SweetPotatoes!L19,Tomatoes!H19,TurnipGreens!J19)</f>
        <v>151.40757215657626</v>
      </c>
      <c r="I10" s="7">
        <f>SUM(Artichokes!I19, Asparagus!I19, LimaBeans!I19, SnapBeans!I19,Broccoli!I19,BrusselsSprouts!K19,Cabbage!J19,Carrots!I19,Cauliflower!I19,Celery!I19,Collards!K19,SweetCorn!I19,Cucumbers!I19,Eggplant!I19,Escarole!I19,Garlic!J19,HeadLettuce!I19,Kale!K19,Mushrooms!I19,MustardGreens!K19,Onions!L19,Okra!K19,Peppers!I19,Potatoes!I19,Pumpkin!L19) + SUM(Radishes!I19,Romaine!I19,Spinach!I19,Squash!I19,SweetPotatoes!M19,Tomatoes!I19,TurnipGreens!K19)</f>
        <v>141.54816018339619</v>
      </c>
    </row>
    <row r="11" spans="1:10" ht="12" customHeight="1" x14ac:dyDescent="0.2">
      <c r="A11" s="3" t="s">
        <v>52</v>
      </c>
      <c r="B11" s="21">
        <v>211.90899999999999</v>
      </c>
      <c r="C11" s="114">
        <f>SUM(Artichokes!C20, Asparagus!C20, LimaBeans!C20, SnapBeans!C20,Broccoli!C20,BrusselsSprouts!C20,Cabbage!C20,Carrots!C20,Cauliflower!C20,Celery!C20,Collards!C20,SweetCorn!C20,Cucumbers!C20,Eggplant!C20,Escarole!C20,Garlic!C20,HeadLettuce!C20,Kale!C20,Mushrooms!C20,MustardGreens!C20,Onions!C20,Okra!C20,Peppers!C20,Potatoes!C20,Pumpkin!C20) + SUM(Radishes!C20,Romaine!C20,Spinach!C20,Squash!C20,SweetPotatoes!C20,Tomatoes!C20,TurnipGreens!C20)</f>
        <v>31855.805</v>
      </c>
      <c r="D11" s="114">
        <f>SUM(Artichokes!D20, Asparagus!D20, LimaBeans!D20, SnapBeans!D20,Broccoli!D20,BrusselsSprouts!D20,Cabbage!D20,Carrots!D20,Cauliflower!D20,Celery!D20,Collards!D20,SweetCorn!D20,Cucumbers!D20,Eggplant!D20,Escarole!D20,Garlic!D20,HeadLettuce!D20,Kale!D20,Mushrooms!D20,MustardGreens!D20,Onions!D20,Okra!D20,Peppers!D20,Potatoes!D20,Pumpkin!D20) + SUM(Radishes!D20,Romaine!D20,Spinach!D20,Squash!D20,SweetPotatoes!D20,Tomatoes!D20,TurnipGreens!D20)</f>
        <v>1508.1155000000001</v>
      </c>
      <c r="E11" s="114">
        <f>SUM(Artichokes!E20, Asparagus!E20, LimaBeans!E20, SnapBeans!E20,Broccoli!E20,BrusselsSprouts!F20,Cabbage!E20,Carrots!E20,Cauliflower!E20,Celery!E20,Collards!F20,SweetCorn!E20,Cucumbers!E20,Eggplant!E20,Escarole!E20,Garlic!E20,HeadLettuce!E20,Kale!F20,Mushrooms!E20,MustardGreens!F20,Onions!F20,Okra!F20,Peppers!E20,Potatoes!E20,Pumpkin!F20) + SUM(Radishes!E20,Romaine!E20,Spinach!E20,Squash!E20,SweetPotatoes!F20,Tomatoes!E20,TurnipGreens!F20)</f>
        <v>33964.020499999999</v>
      </c>
      <c r="F11" s="114">
        <f>SUM(Artichokes!F20, Asparagus!F20, LimaBeans!F20, SnapBeans!F20,Broccoli!F20,BrusselsSprouts!G20,Cabbage!F20,Carrots!F20,Cauliflower!F20,Celery!F20,Collards!G20,SweetCorn!F20,Cucumbers!F20,Eggplant!F20,Escarole!F20,Garlic!F20,HeadLettuce!F20,Kale!G20,Mushrooms!F20,MustardGreens!G20,Onions!G20,Okra!G20,Peppers!F20,Potatoes!F20,Pumpkin!G20) + SUM(Radishes!F20,Romaine!F20,Spinach!F20,Squash!F20,SweetPotatoes!G20,Tomatoes!F20,TurnipGreens!G20)</f>
        <v>1493.5450999999998</v>
      </c>
      <c r="G11" s="114">
        <f>SUM(Artichokes!G20, Asparagus!G20, LimaBeans!G20, SnapBeans!G20,Broccoli!G20,BrusselsSprouts!I20,Cabbage!H20,Carrots!G20,Cauliflower!G20,Celery!G20,Collards!I20,SweetCorn!G20,Cucumbers!G20,Eggplant!G20,Escarole!G20,Garlic!H20,HeadLettuce!G20,Kale!I20,Mushrooms!G20,MustardGreens!I20,Onions!J20,Okra!I20,Peppers!G20,Potatoes!G20,Pumpkin!J20) + SUM(Radishes!G20,Romaine!G20,Spinach!G20,Squash!G20,SweetPotatoes!K20,Tomatoes!G20,TurnipGreens!I20)</f>
        <v>31385.091400000001</v>
      </c>
      <c r="H11" s="7">
        <f>SUM(Artichokes!H20,Asparagus!H20,LimaBeans!H20,SnapBeans!H20,Broccoli!H20,BrusselsSprouts!J20,Cabbage!I20,Carrots!H20,Cauliflower!H20,Celery!H20,Collards!J20,SweetCorn!H20,Cucumbers!H20,Eggplant!H20,Escarole!H20,Garlic!I20,HeadLettuce!H20,Kale!J20,Mushrooms!H20,MustardGreens!J20,Onions!K20,Okra!J20,Peppers!H20,Potatoes!H20,Pumpkin!K20) + SUM(Radishes!H20,Romaine!H20,Spinach!H20,Squash!H20,SweetPotatoes!L20,Tomatoes!H20,TurnipGreens!J20)</f>
        <v>148.10857202909287</v>
      </c>
      <c r="I11" s="7">
        <f>SUM(Artichokes!I20, Asparagus!I20, LimaBeans!I20, SnapBeans!I20,Broccoli!I20,BrusselsSprouts!K20,Cabbage!J20,Carrots!I20,Cauliflower!I20,Celery!I20,Collards!K20,SweetCorn!I20,Cucumbers!I20,Eggplant!I20,Escarole!I20,Garlic!J20,HeadLettuce!I20,Kale!K20,Mushrooms!I20,MustardGreens!K20,Onions!L20,Okra!K20,Peppers!I20,Potatoes!I20,Pumpkin!L20) + SUM(Radishes!I20,Romaine!I20,Spinach!I20,Squash!I20,SweetPotatoes!M20,Tomatoes!I20,TurnipGreens!K20)</f>
        <v>138.26474525247281</v>
      </c>
    </row>
    <row r="12" spans="1:10" ht="12" customHeight="1" x14ac:dyDescent="0.2">
      <c r="A12" s="3" t="s">
        <v>53</v>
      </c>
      <c r="B12" s="21">
        <v>213.85400000000001</v>
      </c>
      <c r="C12" s="114">
        <f>SUM(Artichokes!C21, Asparagus!C21, LimaBeans!C21, SnapBeans!C21,Broccoli!C21,BrusselsSprouts!C21,Cabbage!C21,Carrots!C21,Cauliflower!C21,Celery!C21,Collards!C21,SweetCorn!C21,Cucumbers!C21,Eggplant!C21,Escarole!C21,Garlic!C21,HeadLettuce!C21,Kale!C21,Mushrooms!C21,MustardGreens!C21,Onions!C21,Okra!C21,Peppers!C21,Potatoes!C21,Pumpkin!C21) + SUM(Radishes!C21,Romaine!C21,Spinach!C21,Squash!C21,SweetPotatoes!C21,Tomatoes!C21,TurnipGreens!C21)</f>
        <v>31887.370999999996</v>
      </c>
      <c r="D12" s="114">
        <f>SUM(Artichokes!D21, Asparagus!D21, LimaBeans!D21, SnapBeans!D21,Broccoli!D21,BrusselsSprouts!D21,Cabbage!D21,Carrots!D21,Cauliflower!D21,Celery!D21,Collards!D21,SweetCorn!D21,Cucumbers!D21,Eggplant!D21,Escarole!D21,Garlic!D21,HeadLettuce!D21,Kale!D21,Mushrooms!D21,MustardGreens!D21,Onions!D21,Okra!D21,Peppers!D21,Potatoes!D21,Pumpkin!D21) + SUM(Radishes!D21,Romaine!D21,Spinach!D21,Squash!D21,SweetPotatoes!D21,Tomatoes!D21,TurnipGreens!D21)</f>
        <v>1417.8793929999999</v>
      </c>
      <c r="E12" s="114">
        <f>SUM(Artichokes!E21, Asparagus!E21, LimaBeans!E21, SnapBeans!E21,Broccoli!E21,BrusselsSprouts!F21,Cabbage!E21,Carrots!E21,Cauliflower!E21,Celery!E21,Collards!F21,SweetCorn!E21,Cucumbers!E21,Eggplant!E21,Escarole!E21,Garlic!E21,HeadLettuce!E21,Kale!F21,Mushrooms!E21,MustardGreens!F21,Onions!F21,Okra!F21,Peppers!E21,Potatoes!E21,Pumpkin!F21) + SUM(Radishes!E21,Romaine!E21,Spinach!E21,Squash!E21,SweetPotatoes!F21,Tomatoes!E21,TurnipGreens!F21)</f>
        <v>34003.421432999996</v>
      </c>
      <c r="F12" s="114">
        <f>SUM(Artichokes!F21, Asparagus!F21, LimaBeans!F21, SnapBeans!F21,Broccoli!F21,BrusselsSprouts!G21,Cabbage!F21,Carrots!F21,Cauliflower!F21,Celery!F21,Collards!G21,SweetCorn!F21,Cucumbers!F21,Eggplant!F21,Escarole!F21,Garlic!F21,HeadLettuce!F21,Kale!G21,Mushrooms!F21,MustardGreens!G21,Onions!G21,Okra!G21,Peppers!F21,Potatoes!F21,Pumpkin!G21) + SUM(Radishes!F21,Romaine!F21,Spinach!F21,Squash!F21,SweetPotatoes!G21,Tomatoes!F21,TurnipGreens!G21)</f>
        <v>1422.4447</v>
      </c>
      <c r="G12" s="114">
        <f>SUM(Artichokes!G21, Asparagus!G21, LimaBeans!G21, SnapBeans!G21,Broccoli!G21,BrusselsSprouts!I21,Cabbage!H21,Carrots!G21,Cauliflower!G21,Celery!G21,Collards!I21,SweetCorn!G21,Cucumbers!G21,Eggplant!G21,Escarole!G21,Garlic!H21,HeadLettuce!G21,Kale!I21,Mushrooms!G21,MustardGreens!I21,Onions!J21,Okra!I21,Peppers!G21,Potatoes!G21,Pumpkin!J21) + SUM(Radishes!G21,Romaine!G21,Spinach!G21,Squash!G21,SweetPotatoes!K21,Tomatoes!G21,TurnipGreens!I21)</f>
        <v>31258.903853</v>
      </c>
      <c r="H12" s="7">
        <f>SUM(Artichokes!H21,Asparagus!H21,LimaBeans!H21,SnapBeans!H21,Broccoli!H21,BrusselsSprouts!J21,Cabbage!I21,Carrots!H21,Cauliflower!H21,Celery!H21,Collards!J21,SweetCorn!H21,Cucumbers!H21,Eggplant!H21,Escarole!H21,Garlic!I21,HeadLettuce!H21,Kale!J21,Mushrooms!H21,MustardGreens!J21,Onions!K21,Okra!J21,Peppers!H21,Potatoes!H21,Pumpkin!K21) + SUM(Radishes!H21,Romaine!H21,Spinach!H21,Squash!H21,SweetPotatoes!L21,Tomatoes!H21,TurnipGreens!J21)</f>
        <v>146.17192640921178</v>
      </c>
      <c r="I12" s="7">
        <f>SUM(Artichokes!I21, Asparagus!I21, LimaBeans!I21, SnapBeans!I21,Broccoli!I21,BrusselsSprouts!K21,Cabbage!J21,Carrots!I21,Cauliflower!I21,Celery!I21,Collards!K21,SweetCorn!I21,Cucumbers!I21,Eggplant!I21,Escarole!I21,Garlic!J21,HeadLettuce!I21,Kale!K21,Mushrooms!I21,MustardGreens!K21,Onions!L21,Okra!K21,Peppers!I21,Potatoes!I21,Pumpkin!L21) + SUM(Radishes!I21,Romaine!I21,Spinach!I21,Squash!I21,SweetPotatoes!M21,Tomatoes!I21,TurnipGreens!K21)</f>
        <v>136.41651395399032</v>
      </c>
    </row>
    <row r="13" spans="1:10" ht="12" customHeight="1" x14ac:dyDescent="0.2">
      <c r="A13" s="3" t="s">
        <v>54</v>
      </c>
      <c r="B13" s="21">
        <v>215.97300000000001</v>
      </c>
      <c r="C13" s="114">
        <f>SUM(Artichokes!C22, Asparagus!C22, LimaBeans!C22, SnapBeans!C22,Broccoli!C22,BrusselsSprouts!C22,Cabbage!C22,Carrots!C22,Cauliflower!C22,Celery!C22,Collards!C22,SweetCorn!C22,Cucumbers!C22,Eggplant!C22,Escarole!C22,Garlic!C22,HeadLettuce!C22,Kale!C22,Mushrooms!C22,MustardGreens!C22,Onions!C22,Okra!C22,Peppers!C22,Potatoes!C22,Pumpkin!C22) + SUM(Radishes!C22,Romaine!C22,Spinach!C22,Squash!C22,SweetPotatoes!C22,Tomatoes!C22,TurnipGreens!C22)</f>
        <v>32871.368599999994</v>
      </c>
      <c r="D13" s="114">
        <f>SUM(Artichokes!D22, Asparagus!D22, LimaBeans!D22, SnapBeans!D22,Broccoli!D22,BrusselsSprouts!D22,Cabbage!D22,Carrots!D22,Cauliflower!D22,Celery!D22,Collards!D22,SweetCorn!D22,Cucumbers!D22,Eggplant!D22,Escarole!D22,Garlic!D22,HeadLettuce!D22,Kale!D22,Mushrooms!D22,MustardGreens!D22,Onions!D22,Okra!D22,Peppers!D22,Potatoes!D22,Pumpkin!D22) + SUM(Radishes!D22,Romaine!D22,Spinach!D22,Squash!D22,SweetPotatoes!D22,Tomatoes!D22,TurnipGreens!D22)</f>
        <v>1227.6397999999999</v>
      </c>
      <c r="E13" s="114">
        <f>SUM(Artichokes!E22, Asparagus!E22, LimaBeans!E22, SnapBeans!E22,Broccoli!E22,BrusselsSprouts!F22,Cabbage!E22,Carrots!E22,Cauliflower!E22,Celery!E22,Collards!F22,SweetCorn!E22,Cucumbers!E22,Eggplant!E22,Escarole!E22,Garlic!E22,HeadLettuce!E22,Kale!F22,Mushrooms!E22,MustardGreens!F22,Onions!F22,Okra!F22,Peppers!E22,Potatoes!E22,Pumpkin!F22) + SUM(Radishes!E22,Romaine!E22,Spinach!E22,Squash!E22,SweetPotatoes!F22,Tomatoes!E22,TurnipGreens!F22)</f>
        <v>34927.541279999998</v>
      </c>
      <c r="F13" s="114">
        <f>SUM(Artichokes!F22, Asparagus!F22, LimaBeans!F22, SnapBeans!F22,Broccoli!F22,BrusselsSprouts!G22,Cabbage!F22,Carrots!F22,Cauliflower!F22,Celery!F22,Collards!G22,SweetCorn!F22,Cucumbers!F22,Eggplant!F22,Escarole!F22,Garlic!F22,HeadLettuce!F22,Kale!G22,Mushrooms!F22,MustardGreens!G22,Onions!G22,Okra!G22,Peppers!F22,Potatoes!F22,Pumpkin!G22) + SUM(Radishes!F22,Romaine!F22,Spinach!F22,Squash!F22,SweetPotatoes!G22,Tomatoes!F22,TurnipGreens!G22)</f>
        <v>1521.0972000000002</v>
      </c>
      <c r="G13" s="114">
        <f>SUM(Artichokes!G22, Asparagus!G22, LimaBeans!G22, SnapBeans!G22,Broccoli!G22,BrusselsSprouts!I22,Cabbage!H22,Carrots!G22,Cauliflower!G22,Celery!G22,Collards!I22,SweetCorn!G22,Cucumbers!G22,Eggplant!G22,Escarole!G22,Garlic!H22,HeadLettuce!G22,Kale!I22,Mushrooms!G22,MustardGreens!I22,Onions!J22,Okra!I22,Peppers!G22,Potatoes!G22,Pumpkin!J22) + SUM(Radishes!G22,Romaine!G22,Spinach!G22,Squash!G22,SweetPotatoes!K22,Tomatoes!G22,TurnipGreens!I22)</f>
        <v>32199.733360000002</v>
      </c>
      <c r="H13" s="7">
        <f>SUM(Artichokes!H22,Asparagus!H22,LimaBeans!H22,SnapBeans!H22,Broccoli!H22,BrusselsSprouts!J22,Cabbage!I22,Carrots!H22,Cauliflower!H22,Celery!H22,Collards!J22,SweetCorn!H22,Cucumbers!H22,Eggplant!H22,Escarole!H22,Garlic!I22,HeadLettuce!H22,Kale!J22,Mushrooms!H22,MustardGreens!J22,Onions!K22,Okra!J22,Peppers!H22,Potatoes!H22,Pumpkin!K22) + SUM(Radishes!H22,Romaine!H22,Spinach!H22,Squash!H22,SweetPotatoes!L22,Tomatoes!H22,TurnipGreens!J22)</f>
        <v>149.09466633423582</v>
      </c>
      <c r="I13" s="7">
        <f>SUM(Artichokes!I22, Asparagus!I22, LimaBeans!I22, SnapBeans!I22,Broccoli!I22,BrusselsSprouts!K22,Cabbage!J22,Carrots!I22,Cauliflower!I22,Celery!I22,Collards!K22,SweetCorn!I22,Cucumbers!I22,Eggplant!I22,Escarole!I22,Garlic!J22,HeadLettuce!I22,Kale!K22,Mushrooms!I22,MustardGreens!K22,Onions!L22,Okra!K22,Peppers!I22,Potatoes!I22,Pumpkin!L22) + SUM(Radishes!I22,Romaine!I22,Spinach!I22,Squash!I22,SweetPotatoes!M22,Tomatoes!I22,TurnipGreens!K22)</f>
        <v>139.17567885000292</v>
      </c>
    </row>
    <row r="14" spans="1:10" ht="12" customHeight="1" x14ac:dyDescent="0.2">
      <c r="A14" s="2" t="s">
        <v>55</v>
      </c>
      <c r="B14" s="20">
        <v>218.035</v>
      </c>
      <c r="C14" s="113">
        <f>SUM(Artichokes!C23, Asparagus!C23, LimaBeans!C23, SnapBeans!C23,Broccoli!C23,BrusselsSprouts!C23,Cabbage!C23,Carrots!C23,Cauliflower!C23,Celery!C23,Collards!C23,SweetCorn!C23,Cucumbers!C23,Eggplant!C23,Escarole!C23,Garlic!C23,HeadLettuce!C23,Kale!C23,Mushrooms!C23,MustardGreens!C23,Onions!C23,Okra!C23,Peppers!C23,Potatoes!C23,Pumpkin!C23) + SUM(Radishes!C23,Romaine!C23,Spinach!C23,Squash!C23,SweetPotatoes!C23,Tomatoes!C23,TurnipGreens!C23)</f>
        <v>34248.818298398168</v>
      </c>
      <c r="D14" s="113">
        <f>SUM(Artichokes!D23, Asparagus!D23, LimaBeans!D23, SnapBeans!D23,Broccoli!D23,BrusselsSprouts!D23,Cabbage!D23,Carrots!D23,Cauliflower!D23,Celery!D23,Collards!D23,SweetCorn!D23,Cucumbers!D23,Eggplant!D23,Escarole!D23,Garlic!D23,HeadLettuce!D23,Kale!D23,Mushrooms!D23,MustardGreens!D23,Onions!D23,Okra!D23,Peppers!D23,Potatoes!D23,Pumpkin!D23) + SUM(Radishes!D23,Romaine!D23,Spinach!D23,Squash!D23,SweetPotatoes!D23,Tomatoes!D23,TurnipGreens!D23)</f>
        <v>1366.6351</v>
      </c>
      <c r="E14" s="113">
        <f>SUM(Artichokes!E23, Asparagus!E23, LimaBeans!E23, SnapBeans!E23,Broccoli!E23,BrusselsSprouts!F23,Cabbage!E23,Carrots!E23,Cauliflower!E23,Celery!E23,Collards!F23,SweetCorn!E23,Cucumbers!E23,Eggplant!E23,Escarole!E23,Garlic!E23,HeadLettuce!E23,Kale!F23,Mushrooms!E23,MustardGreens!F23,Onions!F23,Okra!F23,Peppers!E23,Potatoes!E23,Pumpkin!F23) + SUM(Radishes!E23,Romaine!E23,Spinach!E23,Squash!E23,SweetPotatoes!F23,Tomatoes!E23,TurnipGreens!F23)</f>
        <v>36317.456118398171</v>
      </c>
      <c r="F14" s="113">
        <f>SUM(Artichokes!F23, Asparagus!F23, LimaBeans!F23, SnapBeans!F23,Broccoli!F23,BrusselsSprouts!G23,Cabbage!F23,Carrots!F23,Cauliflower!F23,Celery!F23,Collards!G23,SweetCorn!F23,Cucumbers!F23,Eggplant!F23,Escarole!F23,Garlic!F23,HeadLettuce!F23,Kale!G23,Mushrooms!F23,MustardGreens!G23,Onions!G23,Okra!G23,Peppers!F23,Potatoes!F23,Pumpkin!G23) + SUM(Radishes!F23,Romaine!F23,Spinach!F23,Squash!F23,SweetPotatoes!G23,Tomatoes!F23,TurnipGreens!G23)</f>
        <v>2637.2304999999997</v>
      </c>
      <c r="G14" s="113">
        <f>SUM(Artichokes!G23, Asparagus!G23, LimaBeans!G23, SnapBeans!G23,Broccoli!G23,BrusselsSprouts!I23,Cabbage!H23,Carrots!G23,Cauliflower!G23,Celery!G23,Collards!I23,SweetCorn!G23,Cucumbers!G23,Eggplant!G23,Escarole!G23,Garlic!H23,HeadLettuce!G23,Kale!I23,Mushrooms!G23,MustardGreens!I23,Onions!J23,Okra!I23,Peppers!G23,Potatoes!G23,Pumpkin!J23) + SUM(Radishes!G23,Romaine!G23,Spinach!G23,Squash!G23,SweetPotatoes!K23,Tomatoes!G23,TurnipGreens!I23)</f>
        <v>32346.383338398169</v>
      </c>
      <c r="H14" s="6">
        <f>SUM(Artichokes!H23,Asparagus!H23,LimaBeans!H23,SnapBeans!H23,Broccoli!H23,BrusselsSprouts!J23,Cabbage!I23,Carrots!H23,Cauliflower!H23,Celery!H23,Collards!J23,SweetCorn!H23,Cucumbers!H23,Eggplant!H23,Escarole!H23,Garlic!I23,HeadLettuce!H23,Kale!J23,Mushrooms!H23,MustardGreens!J23,Onions!K23,Okra!J23,Peppers!H23,Potatoes!H23,Pumpkin!K23) + SUM(Radishes!H23,Romaine!H23,Spinach!H23,Squash!H23,SweetPotatoes!L23,Tomatoes!H23,TurnipGreens!J23)</f>
        <v>148.35709048104169</v>
      </c>
      <c r="I14" s="6">
        <f>SUM(Artichokes!I23, Asparagus!I23, LimaBeans!I23, SnapBeans!I23,Broccoli!I23,BrusselsSprouts!K23,Cabbage!J23,Carrots!I23,Cauliflower!I23,Celery!I23,Collards!K23,SweetCorn!I23,Cucumbers!I23,Eggplant!I23,Escarole!I23,Garlic!J23,HeadLettuce!I23,Kale!K23,Mushrooms!I23,MustardGreens!K23,Onions!L23,Okra!K23,Peppers!I23,Potatoes!I23,Pumpkin!L23) + SUM(Radishes!I23,Romaine!I23,Spinach!I23,Squash!I23,SweetPotatoes!M23,Tomatoes!I23,TurnipGreens!K23)</f>
        <v>138.36890653014402</v>
      </c>
    </row>
    <row r="15" spans="1:10" ht="12" customHeight="1" x14ac:dyDescent="0.2">
      <c r="A15" s="2" t="s">
        <v>56</v>
      </c>
      <c r="B15" s="20">
        <v>220.23899999999998</v>
      </c>
      <c r="C15" s="113">
        <f>SUM(Artichokes!C24, Asparagus!C24, LimaBeans!C24, SnapBeans!C24,Broccoli!C24,BrusselsSprouts!C24,Cabbage!C24,Carrots!C24,Cauliflower!C24,Celery!C24,Collards!C24,SweetCorn!C24,Cucumbers!C24,Eggplant!C24,Escarole!C24,Garlic!C24,HeadLettuce!C24,Kale!C24,Mushrooms!C24,MustardGreens!C24,Onions!C24,Okra!C24,Peppers!C24,Potatoes!C24,Pumpkin!C24) + SUM(Radishes!C24,Romaine!C24,Spinach!C24,Squash!C24,SweetPotatoes!C24,Tomatoes!C24,TurnipGreens!C24)</f>
        <v>33565.201783352408</v>
      </c>
      <c r="D15" s="113">
        <f>SUM(Artichokes!D24, Asparagus!D24, LimaBeans!D24, SnapBeans!D24,Broccoli!D24,BrusselsSprouts!D24,Cabbage!D24,Carrots!D24,Cauliflower!D24,Celery!D24,Collards!D24,SweetCorn!D24,Cucumbers!D24,Eggplant!D24,Escarole!D24,Garlic!D24,HeadLettuce!D24,Kale!D24,Mushrooms!D24,MustardGreens!D24,Onions!D24,Okra!D24,Peppers!D24,Potatoes!D24,Pumpkin!D24) + SUM(Radishes!D24,Romaine!D24,Spinach!D24,Squash!D24,SweetPotatoes!D24,Tomatoes!D24,TurnipGreens!D24)</f>
        <v>1759.7786999999998</v>
      </c>
      <c r="E15" s="113">
        <f>SUM(Artichokes!E24, Asparagus!E24, LimaBeans!E24, SnapBeans!E24,Broccoli!E24,BrusselsSprouts!F24,Cabbage!E24,Carrots!E24,Cauliflower!E24,Celery!E24,Collards!F24,SweetCorn!E24,Cucumbers!E24,Eggplant!E24,Escarole!E24,Garlic!E24,HeadLettuce!E24,Kale!F24,Mushrooms!E24,MustardGreens!F24,Onions!F24,Okra!F24,Peppers!E24,Potatoes!E24,Pumpkin!F24) + SUM(Radishes!E24,Romaine!E24,Spinach!E24,Squash!E24,SweetPotatoes!F24,Tomatoes!E24,TurnipGreens!F24)</f>
        <v>36052.361763352397</v>
      </c>
      <c r="F15" s="113">
        <f>SUM(Artichokes!F24, Asparagus!F24, LimaBeans!F24, SnapBeans!F24,Broccoli!F24,BrusselsSprouts!G24,Cabbage!F24,Carrots!F24,Cauliflower!F24,Celery!F24,Collards!G24,SweetCorn!F24,Cucumbers!F24,Eggplant!F24,Escarole!F24,Garlic!F24,HeadLettuce!F24,Kale!G24,Mushrooms!F24,MustardGreens!G24,Onions!G24,Okra!G24,Peppers!F24,Potatoes!F24,Pumpkin!G24) + SUM(Radishes!F24,Romaine!F24,Spinach!F24,Squash!F24,SweetPotatoes!G24,Tomatoes!F24,TurnipGreens!G24)</f>
        <v>1870.6788820000002</v>
      </c>
      <c r="G15" s="113">
        <f>SUM(Artichokes!G24, Asparagus!G24, LimaBeans!G24, SnapBeans!G24,Broccoli!G24,BrusselsSprouts!I24,Cabbage!H24,Carrots!G24,Cauliflower!G24,Celery!G24,Collards!I24,SweetCorn!G24,Cucumbers!G24,Eggplant!G24,Escarole!G24,Garlic!H24,HeadLettuce!G24,Kale!I24,Mushrooms!G24,MustardGreens!I24,Onions!J24,Okra!I24,Peppers!G24,Potatoes!G24,Pumpkin!J24) + SUM(Radishes!G24,Romaine!G24,Spinach!G24,Squash!G24,SweetPotatoes!K24,Tomatoes!G24,TurnipGreens!I24)</f>
        <v>32779.607123352398</v>
      </c>
      <c r="H15" s="6">
        <f>SUM(Artichokes!H24,Asparagus!H24,LimaBeans!H24,SnapBeans!H24,Broccoli!H24,BrusselsSprouts!J24,Cabbage!I24,Carrots!H24,Cauliflower!H24,Celery!H24,Collards!J24,SweetCorn!H24,Cucumbers!H24,Eggplant!H24,Escarole!H24,Garlic!I24,HeadLettuce!H24,Kale!J24,Mushrooms!H24,MustardGreens!J24,Onions!K24,Okra!J24,Peppers!H24,Potatoes!H24,Pumpkin!K24) + SUM(Radishes!H24,Romaine!H24,Spinach!H24,Squash!H24,SweetPotatoes!L24,Tomatoes!H24,TurnipGreens!J24)</f>
        <v>148.84071953710608</v>
      </c>
      <c r="I15" s="6">
        <f>SUM(Artichokes!I24, Asparagus!I24, LimaBeans!I24, SnapBeans!I24,Broccoli!I24,BrusselsSprouts!K24,Cabbage!J24,Carrots!I24,Cauliflower!I24,Celery!I24,Collards!K24,SweetCorn!I24,Cucumbers!I24,Eggplant!I24,Escarole!I24,Garlic!J24,HeadLettuce!I24,Kale!K24,Mushrooms!I24,MustardGreens!K24,Onions!L24,Okra!K24,Peppers!I24,Potatoes!I24,Pumpkin!L24) + SUM(Radishes!I24,Romaine!I24,Spinach!I24,Squash!I24,SweetPotatoes!M24,Tomatoes!I24,TurnipGreens!K24)</f>
        <v>138.81025375466731</v>
      </c>
    </row>
    <row r="16" spans="1:10" ht="12" customHeight="1" x14ac:dyDescent="0.2">
      <c r="A16" s="2" t="s">
        <v>57</v>
      </c>
      <c r="B16" s="20">
        <v>222.58500000000001</v>
      </c>
      <c r="C16" s="113">
        <f>SUM(Artichokes!C25, Asparagus!C25, LimaBeans!C25, SnapBeans!C25,Broccoli!C25,BrusselsSprouts!C25,Cabbage!C25,Carrots!C25,Cauliflower!C25,Celery!C25,Collards!C25,SweetCorn!C25,Cucumbers!C25,Eggplant!C25,Escarole!C25,Garlic!C25,HeadLettuce!C25,Kale!C25,Mushrooms!C25,MustardGreens!C25,Onions!C25,Okra!C25,Peppers!C25,Potatoes!C25,Pumpkin!C25) + SUM(Radishes!C25,Romaine!C25,Spinach!C25,Squash!C25,SweetPotatoes!C25,Tomatoes!C25,TurnipGreens!C25)</f>
        <v>32942.827300000004</v>
      </c>
      <c r="D16" s="113">
        <f>SUM(Artichokes!D25, Asparagus!D25, LimaBeans!D25, SnapBeans!D25,Broccoli!D25,BrusselsSprouts!D25,Cabbage!D25,Carrots!D25,Cauliflower!D25,Celery!D25,Collards!D25,SweetCorn!D25,Cucumbers!D25,Eggplant!D25,Escarole!D25,Garlic!D25,HeadLettuce!D25,Kale!D25,Mushrooms!D25,MustardGreens!D25,Onions!D25,Okra!D25,Peppers!D25,Potatoes!D25,Pumpkin!D25) + SUM(Radishes!D25,Romaine!D25,Spinach!D25,Squash!D25,SweetPotatoes!D25,Tomatoes!D25,TurnipGreens!D25)</f>
        <v>2013.3236871900999</v>
      </c>
      <c r="E16" s="113">
        <f>SUM(Artichokes!E25, Asparagus!E25, LimaBeans!E25, SnapBeans!E25,Broccoli!E25,BrusselsSprouts!F25,Cabbage!E25,Carrots!E25,Cauliflower!E25,Celery!E25,Collards!F25,SweetCorn!E25,Cucumbers!E25,Eggplant!E25,Escarole!E25,Garlic!E25,HeadLettuce!E25,Kale!F25,Mushrooms!E25,MustardGreens!F25,Onions!F25,Okra!F25,Peppers!E25,Potatoes!E25,Pumpkin!F25) + SUM(Radishes!E25,Romaine!E25,Spinach!E25,Squash!E25,SweetPotatoes!F25,Tomatoes!E25,TurnipGreens!F25)</f>
        <v>35682.941527190102</v>
      </c>
      <c r="F16" s="113">
        <f>SUM(Artichokes!F25, Asparagus!F25, LimaBeans!F25, SnapBeans!F25,Broccoli!F25,BrusselsSprouts!G25,Cabbage!F25,Carrots!F25,Cauliflower!F25,Celery!F25,Collards!G25,SweetCorn!F25,Cucumbers!F25,Eggplant!F25,Escarole!F25,Garlic!F25,HeadLettuce!F25,Kale!G25,Mushrooms!F25,MustardGreens!G25,Onions!G25,Okra!G25,Peppers!F25,Potatoes!F25,Pumpkin!G25) + SUM(Radishes!F25,Romaine!F25,Spinach!F25,Squash!F25,SweetPotatoes!G25,Tomatoes!F25,TurnipGreens!G25)</f>
        <v>2126.0052636170003</v>
      </c>
      <c r="G16" s="113">
        <f>SUM(Artichokes!G25, Asparagus!G25, LimaBeans!G25, SnapBeans!G25,Broccoli!G25,BrusselsSprouts!I25,Cabbage!H25,Carrots!G25,Cauliflower!G25,Celery!G25,Collards!I25,SweetCorn!G25,Cucumbers!G25,Eggplant!G25,Escarole!G25,Garlic!H25,HeadLettuce!G25,Kale!I25,Mushrooms!G25,MustardGreens!I25,Onions!J25,Okra!I25,Peppers!G25,Potatoes!G25,Pumpkin!J25) + SUM(Radishes!G25,Romaine!G25,Spinach!G25,Squash!G25,SweetPotatoes!K25,Tomatoes!G25,TurnipGreens!I25)</f>
        <v>32027.975723573101</v>
      </c>
      <c r="H16" s="6">
        <f>SUM(Artichokes!H25,Asparagus!H25,LimaBeans!H25,SnapBeans!H25,Broccoli!H25,BrusselsSprouts!J25,Cabbage!I25,Carrots!H25,Cauliflower!H25,Celery!H25,Collards!J25,SweetCorn!H25,Cucumbers!H25,Eggplant!H25,Escarole!H25,Garlic!I25,HeadLettuce!H25,Kale!J25,Mushrooms!H25,MustardGreens!J25,Onions!K25,Okra!J25,Peppers!H25,Potatoes!H25,Pumpkin!K25) + SUM(Radishes!H25,Romaine!H25,Spinach!H25,Squash!H25,SweetPotatoes!L25,Tomatoes!H25,TurnipGreens!J25)</f>
        <v>143.89614333027248</v>
      </c>
      <c r="I16" s="6">
        <f>SUM(Artichokes!I25, Asparagus!I25, LimaBeans!I25, SnapBeans!I25,Broccoli!I25,BrusselsSprouts!K25,Cabbage!J25,Carrots!I25,Cauliflower!I25,Celery!I25,Collards!K25,SweetCorn!I25,Cucumbers!I25,Eggplant!I25,Escarole!I25,Garlic!J25,HeadLettuce!I25,Kale!K25,Mushrooms!I25,MustardGreens!K25,Onions!L25,Okra!K25,Peppers!I25,Potatoes!I25,Pumpkin!L25) + SUM(Radishes!I25,Romaine!I25,Spinach!I25,Squash!I25,SweetPotatoes!M25,Tomatoes!I25,TurnipGreens!K25)</f>
        <v>134.03225606495519</v>
      </c>
    </row>
    <row r="17" spans="1:9" ht="12" customHeight="1" x14ac:dyDescent="0.2">
      <c r="A17" s="2" t="s">
        <v>58</v>
      </c>
      <c r="B17" s="20">
        <v>225.05500000000001</v>
      </c>
      <c r="C17" s="113">
        <f>SUM(Artichokes!C26, Asparagus!C26, LimaBeans!C26, SnapBeans!C26,Broccoli!C26,BrusselsSprouts!C26,Cabbage!C26,Carrots!C26,Cauliflower!C26,Celery!C26,Collards!C26,SweetCorn!C26,Cucumbers!C26,Eggplant!C26,Escarole!C26,Garlic!C26,HeadLettuce!C26,Kale!C26,Mushrooms!C26,MustardGreens!C26,Onions!C26,Okra!C26,Peppers!C26,Potatoes!C26,Pumpkin!C26) + SUM(Radishes!C26,Romaine!C26,Spinach!C26,Squash!C26,SweetPotatoes!C26,Tomatoes!C26,TurnipGreens!C26)</f>
        <v>34481.261600000005</v>
      </c>
      <c r="D17" s="113">
        <f>SUM(Artichokes!D26, Asparagus!D26, LimaBeans!D26, SnapBeans!D26,Broccoli!D26,BrusselsSprouts!D26,Cabbage!D26,Carrots!D26,Cauliflower!D26,Celery!D26,Collards!D26,SweetCorn!D26,Cucumbers!D26,Eggplant!D26,Escarole!D26,Garlic!D26,HeadLettuce!D26,Kale!D26,Mushrooms!D26,MustardGreens!D26,Onions!D26,Okra!D26,Peppers!D26,Potatoes!D26,Pumpkin!D26) + SUM(Radishes!D26,Romaine!D26,Spinach!D26,Squash!D26,SweetPotatoes!D26,Tomatoes!D26,TurnipGreens!D26)</f>
        <v>1986.6969612047001</v>
      </c>
      <c r="E17" s="113">
        <f>SUM(Artichokes!E26, Asparagus!E26, LimaBeans!E26, SnapBeans!E26,Broccoli!E26,BrusselsSprouts!F26,Cabbage!E26,Carrots!E26,Cauliflower!E26,Celery!E26,Collards!F26,SweetCorn!E26,Cucumbers!E26,Eggplant!E26,Escarole!E26,Garlic!E26,HeadLettuce!E26,Kale!F26,Mushrooms!E26,MustardGreens!F26,Onions!F26,Okra!F26,Peppers!E26,Potatoes!E26,Pumpkin!F26) + SUM(Radishes!E26,Romaine!E26,Spinach!E26,Squash!E26,SweetPotatoes!F26,Tomatoes!E26,TurnipGreens!F26)</f>
        <v>37360.599101204694</v>
      </c>
      <c r="F17" s="113">
        <f>SUM(Artichokes!F26, Asparagus!F26, LimaBeans!F26, SnapBeans!F26,Broccoli!F26,BrusselsSprouts!G26,Cabbage!F26,Carrots!F26,Cauliflower!F26,Celery!F26,Collards!G26,SweetCorn!F26,Cucumbers!F26,Eggplant!F26,Escarole!F26,Garlic!F26,HeadLettuce!F26,Kale!G26,Mushrooms!F26,MustardGreens!G26,Onions!G26,Okra!G26,Peppers!F26,Potatoes!F26,Pumpkin!G26) + SUM(Radishes!F26,Romaine!F26,Spinach!F26,Squash!F26,SweetPotatoes!G26,Tomatoes!F26,TurnipGreens!G26)</f>
        <v>2097.5765164031995</v>
      </c>
      <c r="G17" s="113">
        <f>SUM(Artichokes!G26, Asparagus!G26, LimaBeans!G26, SnapBeans!G26,Broccoli!G26,BrusselsSprouts!I26,Cabbage!H26,Carrots!G26,Cauliflower!G26,Celery!G26,Collards!I26,SweetCorn!G26,Cucumbers!G26,Eggplant!G26,Escarole!G26,Garlic!H26,HeadLettuce!G26,Kale!I26,Mushrooms!G26,MustardGreens!I26,Onions!J26,Okra!I26,Peppers!G26,Potatoes!G26,Pumpkin!J26) + SUM(Radishes!G26,Romaine!G26,Spinach!G26,Squash!G26,SweetPotatoes!K26,Tomatoes!G26,TurnipGreens!I26)</f>
        <v>33536.468044801491</v>
      </c>
      <c r="H17" s="6">
        <f>SUM(Artichokes!H26,Asparagus!H26,LimaBeans!H26,SnapBeans!H26,Broccoli!H26,BrusselsSprouts!J26,Cabbage!I26,Carrots!H26,Cauliflower!H26,Celery!H26,Collards!J26,SweetCorn!H26,Cucumbers!H26,Eggplant!H26,Escarole!H26,Garlic!I26,HeadLettuce!H26,Kale!J26,Mushrooms!H26,MustardGreens!J26,Onions!K26,Okra!J26,Peppers!H26,Potatoes!H26,Pumpkin!K26) + SUM(Radishes!H26,Romaine!H26,Spinach!H26,Squash!H26,SweetPotatoes!L26,Tomatoes!H26,TurnipGreens!J26)</f>
        <v>149.02058913013187</v>
      </c>
      <c r="I17" s="6">
        <f>SUM(Artichokes!I26, Asparagus!I26, LimaBeans!I26, SnapBeans!I26,Broccoli!I26,BrusselsSprouts!K26,Cabbage!J26,Carrots!I26,Cauliflower!I26,Celery!I26,Collards!K26,SweetCorn!I26,Cucumbers!I26,Eggplant!I26,Escarole!I26,Garlic!J26,HeadLettuce!I26,Kale!K26,Mushrooms!I26,MustardGreens!K26,Onions!L26,Okra!K26,Peppers!I26,Potatoes!I26,Pumpkin!L26) + SUM(Radishes!I26,Romaine!I26,Spinach!I26,Squash!I26,SweetPotatoes!M26,Tomatoes!I26,TurnipGreens!K26)</f>
        <v>138.91478472602375</v>
      </c>
    </row>
    <row r="18" spans="1:9" ht="12" customHeight="1" x14ac:dyDescent="0.2">
      <c r="A18" s="2" t="s">
        <v>59</v>
      </c>
      <c r="B18" s="20">
        <v>227.726</v>
      </c>
      <c r="C18" s="113">
        <f>SUM(Artichokes!C27, Asparagus!C27, LimaBeans!C27, SnapBeans!C27,Broccoli!C27,BrusselsSprouts!C27,Cabbage!C27,Carrots!C27,Cauliflower!C27,Celery!C27,Collards!C27,SweetCorn!C27,Cucumbers!C27,Eggplant!C27,Escarole!C27,Garlic!C27,HeadLettuce!C27,Kale!C27,Mushrooms!C27,MustardGreens!C27,Onions!C27,Okra!C27,Peppers!C27,Potatoes!C27,Pumpkin!C27) + SUM(Radishes!C27,Romaine!C27,Spinach!C27,Squash!C27,SweetPotatoes!C27,Tomatoes!C27,TurnipGreens!C27)</f>
        <v>35003.403999999995</v>
      </c>
      <c r="D18" s="113">
        <f>SUM(Artichokes!D27, Asparagus!D27, LimaBeans!D27, SnapBeans!D27,Broccoli!D27,BrusselsSprouts!D27,Cabbage!D27,Carrots!D27,Cauliflower!D27,Celery!D27,Collards!D27,SweetCorn!D27,Cucumbers!D27,Eggplant!D27,Escarole!D27,Garlic!D27,HeadLettuce!D27,Kale!D27,Mushrooms!D27,MustardGreens!D27,Onions!D27,Okra!D27,Peppers!D27,Potatoes!D27,Pumpkin!D27) + SUM(Radishes!D27,Romaine!D27,Spinach!D27,Squash!D27,SweetPotatoes!D27,Tomatoes!D27,TurnipGreens!D27)</f>
        <v>1974.2627084876001</v>
      </c>
      <c r="E18" s="113">
        <f>SUM(Artichokes!E27, Asparagus!E27, LimaBeans!E27, SnapBeans!E27,Broccoli!E27,BrusselsSprouts!F27,Cabbage!E27,Carrots!E27,Cauliflower!E27,Celery!E27,Collards!F27,SweetCorn!E27,Cucumbers!E27,Eggplant!E27,Escarole!E27,Garlic!E27,HeadLettuce!E27,Kale!F27,Mushrooms!E27,MustardGreens!F27,Onions!F27,Okra!F27,Peppers!E27,Potatoes!E27,Pumpkin!F27) + SUM(Radishes!E27,Romaine!E27,Spinach!E27,Squash!E27,SweetPotatoes!F27,Tomatoes!E27,TurnipGreens!F27)</f>
        <v>37988.329248487593</v>
      </c>
      <c r="F18" s="113">
        <f>SUM(Artichokes!F27, Asparagus!F27, LimaBeans!F27, SnapBeans!F27,Broccoli!F27,BrusselsSprouts!G27,Cabbage!F27,Carrots!F27,Cauliflower!F27,Celery!F27,Collards!G27,SweetCorn!F27,Cucumbers!F27,Eggplant!F27,Escarole!F27,Garlic!F27,HeadLettuce!F27,Kale!G27,Mushrooms!F27,MustardGreens!G27,Onions!G27,Okra!G27,Peppers!F27,Potatoes!F27,Pumpkin!G27) + SUM(Radishes!F27,Romaine!F27,Spinach!F27,Squash!F27,SweetPotatoes!G27,Tomatoes!F27,TurnipGreens!G27)</f>
        <v>2112.7386346457602</v>
      </c>
      <c r="G18" s="113">
        <f>SUM(Artichokes!G27, Asparagus!G27, LimaBeans!G27, SnapBeans!G27,Broccoli!G27,BrusselsSprouts!I27,Cabbage!H27,Carrots!G27,Cauliflower!G27,Celery!G27,Collards!I27,SweetCorn!G27,Cucumbers!G27,Eggplant!G27,Escarole!G27,Garlic!H27,HeadLettuce!G27,Kale!I27,Mushrooms!G27,MustardGreens!I27,Onions!J27,Okra!I27,Peppers!G27,Potatoes!G27,Pumpkin!J27) + SUM(Radishes!G27,Romaine!G27,Spinach!G27,Squash!G27,SweetPotatoes!K27,Tomatoes!G27,TurnipGreens!I27)</f>
        <v>34558.365553841839</v>
      </c>
      <c r="H18" s="6">
        <f>SUM(Artichokes!H27,Asparagus!H27,LimaBeans!H27,SnapBeans!H27,Broccoli!H27,BrusselsSprouts!J27,Cabbage!I27,Carrots!H27,Cauliflower!H27,Celery!H27,Collards!J27,SweetCorn!H27,Cucumbers!H27,Eggplant!H27,Escarole!H27,Garlic!I27,HeadLettuce!H27,Kale!J27,Mushrooms!H27,MustardGreens!J27,Onions!K27,Okra!J27,Peppers!H27,Potatoes!H27,Pumpkin!K27) + SUM(Radishes!H27,Romaine!H27,Spinach!H27,Squash!H27,SweetPotatoes!L27,Tomatoes!H27,TurnipGreens!J27)</f>
        <v>151.76092514043737</v>
      </c>
      <c r="I18" s="6">
        <f>SUM(Artichokes!I27, Asparagus!I27, LimaBeans!I27, SnapBeans!I27,Broccoli!I27,BrusselsSprouts!K27,Cabbage!J27,Carrots!I27,Cauliflower!I27,Celery!I27,Collards!K27,SweetCorn!I27,Cucumbers!I27,Eggplant!I27,Escarole!I27,Garlic!J27,HeadLettuce!I27,Kale!K27,Mushrooms!I27,MustardGreens!K27,Onions!L27,Okra!K27,Peppers!I27,Potatoes!I27,Pumpkin!L27) + SUM(Radishes!I27,Romaine!I27,Spinach!I27,Squash!I27,SweetPotatoes!M27,Tomatoes!I27,TurnipGreens!K27)</f>
        <v>141.51637853504377</v>
      </c>
    </row>
    <row r="19" spans="1:9" ht="12" customHeight="1" x14ac:dyDescent="0.2">
      <c r="A19" s="3" t="s">
        <v>60</v>
      </c>
      <c r="B19" s="21">
        <v>229.96600000000001</v>
      </c>
      <c r="C19" s="114">
        <f>SUM(Artichokes!C28, Asparagus!C28, LimaBeans!C28, SnapBeans!C28,Broccoli!C28,BrusselsSprouts!C28,Cabbage!C28,Carrots!C28,Cauliflower!C28,Celery!C28,Collards!C28,SweetCorn!C28,Cucumbers!C28,Eggplant!C28,Escarole!C28,Garlic!C28,HeadLettuce!C28,Kale!C28,Mushrooms!C28,MustardGreens!C28,Onions!C28,Okra!C28,Peppers!C28,Potatoes!C28,Pumpkin!C28) + SUM(Radishes!C28,Romaine!C28,Spinach!C28,Squash!C28,SweetPotatoes!C28,Tomatoes!C28,TurnipGreens!C28)</f>
        <v>34469.479375000003</v>
      </c>
      <c r="D19" s="114">
        <f>SUM(Artichokes!D28, Asparagus!D28, LimaBeans!D28, SnapBeans!D28,Broccoli!D28,BrusselsSprouts!D28,Cabbage!D28,Carrots!D28,Cauliflower!D28,Celery!D28,Collards!D28,SweetCorn!D28,Cucumbers!D28,Eggplant!D28,Escarole!D28,Garlic!D28,HeadLettuce!D28,Kale!D28,Mushrooms!D28,MustardGreens!D28,Onions!D28,Okra!D28,Peppers!D28,Potatoes!D28,Pumpkin!D28) + SUM(Radishes!D28,Romaine!D28,Spinach!D28,Squash!D28,SweetPotatoes!D28,Tomatoes!D28,TurnipGreens!D28)</f>
        <v>1992.5462320922002</v>
      </c>
      <c r="E19" s="114">
        <f>SUM(Artichokes!E28, Asparagus!E28, LimaBeans!E28, SnapBeans!E28,Broccoli!E28,BrusselsSprouts!F28,Cabbage!E28,Carrots!E28,Cauliflower!E28,Celery!E28,Collards!F28,SweetCorn!E28,Cucumbers!E28,Eggplant!E28,Escarole!E28,Garlic!E28,HeadLettuce!E28,Kale!F28,Mushrooms!E28,MustardGreens!F28,Onions!F28,Okra!F28,Peppers!E28,Potatoes!E28,Pumpkin!F28) + SUM(Radishes!E28,Romaine!E28,Spinach!E28,Squash!E28,SweetPotatoes!F28,Tomatoes!E28,TurnipGreens!F28)</f>
        <v>37260.498667092201</v>
      </c>
      <c r="F19" s="114">
        <f>SUM(Artichokes!F28, Asparagus!F28, LimaBeans!F28, SnapBeans!F28,Broccoli!F28,BrusselsSprouts!G28,Cabbage!F28,Carrots!F28,Cauliflower!F28,Celery!F28,Collards!G28,SweetCorn!F28,Cucumbers!F28,Eggplant!F28,Escarole!F28,Garlic!F28,HeadLettuce!F28,Kale!G28,Mushrooms!F28,MustardGreens!G28,Onions!G28,Okra!G28,Peppers!F28,Potatoes!F28,Pumpkin!G28) + SUM(Radishes!F28,Romaine!F28,Spinach!F28,Squash!F28,SweetPotatoes!G28,Tomatoes!F28,TurnipGreens!G28)</f>
        <v>2510.1544320108596</v>
      </c>
      <c r="G19" s="114">
        <f>SUM(Artichokes!G28, Asparagus!G28, LimaBeans!G28, SnapBeans!G28,Broccoli!G28,BrusselsSprouts!I28,Cabbage!H28,Carrots!G28,Cauliflower!G28,Celery!G28,Collards!I28,SweetCorn!G28,Cucumbers!G28,Eggplant!G28,Escarole!G28,Garlic!H28,HeadLettuce!G28,Kale!I28,Mushrooms!G28,MustardGreens!I28,Onions!J28,Okra!I28,Peppers!G28,Potatoes!G28,Pumpkin!J28) + SUM(Radishes!G28,Romaine!G28,Spinach!G28,Squash!G28,SweetPotatoes!K28,Tomatoes!G28,TurnipGreens!I28)</f>
        <v>33449.516415081343</v>
      </c>
      <c r="H19" s="7">
        <f>SUM(Artichokes!H28,Asparagus!H28,LimaBeans!H28,SnapBeans!H28,Broccoli!H28,BrusselsSprouts!J28,Cabbage!I28,Carrots!H28,Cauliflower!H28,Celery!H28,Collards!J28,SweetCorn!H28,Cucumbers!H28,Eggplant!H28,Escarole!H28,Garlic!I28,HeadLettuce!H28,Kale!J28,Mushrooms!H28,MustardGreens!J28,Onions!K28,Okra!J28,Peppers!H28,Potatoes!H28,Pumpkin!K28) + SUM(Radishes!H28,Romaine!H28,Spinach!H28,Squash!H28,SweetPotatoes!L28,Tomatoes!H28,TurnipGreens!J28)</f>
        <v>145.46040981399378</v>
      </c>
      <c r="I19" s="7">
        <f>SUM(Artichokes!I28, Asparagus!I28, LimaBeans!I28, SnapBeans!I28,Broccoli!I28,BrusselsSprouts!K28,Cabbage!J28,Carrots!I28,Cauliflower!I28,Celery!I28,Collards!K28,SweetCorn!I28,Cucumbers!I28,Eggplant!I28,Escarole!I28,Garlic!J28,HeadLettuce!I28,Kale!K28,Mushrooms!I28,MustardGreens!K28,Onions!L28,Okra!K28,Peppers!I28,Potatoes!I28,Pumpkin!L28) + SUM(Radishes!I28,Romaine!I28,Spinach!I28,Squash!I28,SweetPotatoes!M28,Tomatoes!I28,TurnipGreens!K28)</f>
        <v>135.54026905902424</v>
      </c>
    </row>
    <row r="20" spans="1:9" ht="12" customHeight="1" x14ac:dyDescent="0.2">
      <c r="A20" s="3" t="s">
        <v>61</v>
      </c>
      <c r="B20" s="21">
        <v>232.18799999999999</v>
      </c>
      <c r="C20" s="114">
        <f>SUM(Artichokes!C29, Asparagus!C29, LimaBeans!C29, SnapBeans!C29,Broccoli!C29,BrusselsSprouts!C29,Cabbage!C29,Carrots!C29,Cauliflower!C29,Celery!C29,Collards!C29,SweetCorn!C29,Cucumbers!C29,Eggplant!C29,Escarole!C29,Garlic!C29,HeadLettuce!C29,Kale!C29,Mushrooms!C29,MustardGreens!C29,Onions!C29,Okra!C29,Peppers!C29,Potatoes!C29,Pumpkin!C29) + SUM(Radishes!C29,Romaine!C29,Spinach!C29,Squash!C29,SweetPotatoes!C29,Tomatoes!C29,TurnipGreens!C29)</f>
        <v>35847.406999999999</v>
      </c>
      <c r="D20" s="114">
        <f>SUM(Artichokes!D29, Asparagus!D29, LimaBeans!D29, SnapBeans!D29,Broccoli!D29,BrusselsSprouts!D29,Cabbage!D29,Carrots!D29,Cauliflower!D29,Celery!D29,Collards!D29,SweetCorn!D29,Cucumbers!D29,Eggplant!D29,Escarole!D29,Garlic!D29,HeadLettuce!D29,Kale!D29,Mushrooms!D29,MustardGreens!D29,Onions!D29,Okra!D29,Peppers!D29,Potatoes!D29,Pumpkin!D29) + SUM(Radishes!D29,Romaine!D29,Spinach!D29,Squash!D29,SweetPotatoes!D29,Tomatoes!D29,TurnipGreens!D29)</f>
        <v>2276.6111504425003</v>
      </c>
      <c r="E20" s="114">
        <f>SUM(Artichokes!E29, Asparagus!E29, LimaBeans!E29, SnapBeans!E29,Broccoli!E29,BrusselsSprouts!F29,Cabbage!E29,Carrots!E29,Cauliflower!E29,Celery!E29,Collards!F29,SweetCorn!E29,Cucumbers!E29,Eggplant!E29,Escarole!E29,Garlic!E29,HeadLettuce!E29,Kale!F29,Mushrooms!E29,MustardGreens!F29,Onions!F29,Okra!F29,Peppers!E29,Potatoes!E29,Pumpkin!F29) + SUM(Radishes!E29,Romaine!E29,Spinach!E29,Squash!E29,SweetPotatoes!F29,Tomatoes!E29,TurnipGreens!F29)</f>
        <v>38894.045970442501</v>
      </c>
      <c r="F20" s="114">
        <f>SUM(Artichokes!F29, Asparagus!F29, LimaBeans!F29, SnapBeans!F29,Broccoli!F29,BrusselsSprouts!G29,Cabbage!F29,Carrots!F29,Cauliflower!F29,Celery!F29,Collards!G29,SweetCorn!F29,Cucumbers!F29,Eggplant!F29,Escarole!F29,Garlic!F29,HeadLettuce!F29,Kale!G29,Mushrooms!F29,MustardGreens!G29,Onions!G29,Okra!G29,Peppers!F29,Potatoes!F29,Pumpkin!G29) + SUM(Radishes!F29,Romaine!F29,Spinach!F29,Squash!F29,SweetPotatoes!G29,Tomatoes!F29,TurnipGreens!G29)</f>
        <v>2071.7621356494401</v>
      </c>
      <c r="G20" s="114">
        <f>SUM(Artichokes!G29, Asparagus!G29, LimaBeans!G29, SnapBeans!G29,Broccoli!G29,BrusselsSprouts!I29,Cabbage!H29,Carrots!G29,Cauliflower!G29,Celery!G29,Collards!I29,SweetCorn!G29,Cucumbers!G29,Eggplant!G29,Escarole!G29,Garlic!H29,HeadLettuce!G29,Kale!I29,Mushrooms!G29,MustardGreens!I29,Onions!J29,Okra!I29,Peppers!G29,Potatoes!G29,Pumpkin!J29) + SUM(Radishes!G29,Romaine!G29,Spinach!G29,Squash!G29,SweetPotatoes!K29,Tomatoes!G29,TurnipGreens!I29)</f>
        <v>35136.903374793052</v>
      </c>
      <c r="H20" s="7">
        <f>SUM(Artichokes!H29,Asparagus!H29,LimaBeans!H29,SnapBeans!H29,Broccoli!H29,BrusselsSprouts!J29,Cabbage!I29,Carrots!H29,Cauliflower!H29,Celery!H29,Collards!J29,SweetCorn!H29,Cucumbers!H29,Eggplant!H29,Escarole!H29,Garlic!I29,HeadLettuce!H29,Kale!J29,Mushrooms!H29,MustardGreens!J29,Onions!K29,Okra!J29,Peppers!H29,Potatoes!H29,Pumpkin!K29) + SUM(Radishes!H29,Romaine!H29,Spinach!H29,Squash!H29,SweetPotatoes!L29,Tomatoes!H29,TurnipGreens!J29)</f>
        <v>151.33600486520166</v>
      </c>
      <c r="I20" s="7">
        <f>SUM(Artichokes!I29, Asparagus!I29, LimaBeans!I29, SnapBeans!I29,Broccoli!I29,BrusselsSprouts!K29,Cabbage!J29,Carrots!I29,Cauliflower!I29,Celery!I29,Collards!K29,SweetCorn!I29,Cucumbers!I29,Eggplant!I29,Escarole!I29,Garlic!J29,HeadLettuce!I29,Kale!K29,Mushrooms!I29,MustardGreens!K29,Onions!L29,Okra!K29,Peppers!I29,Potatoes!I29,Pumpkin!L29) + SUM(Radishes!I29,Romaine!I29,Spinach!I29,Squash!I29,SweetPotatoes!M29,Tomatoes!I29,TurnipGreens!K29)</f>
        <v>140.98691127780342</v>
      </c>
    </row>
    <row r="21" spans="1:9" ht="12" customHeight="1" x14ac:dyDescent="0.2">
      <c r="A21" s="3" t="s">
        <v>62</v>
      </c>
      <c r="B21" s="21">
        <v>234.30699999999999</v>
      </c>
      <c r="C21" s="114">
        <f>SUM(Artichokes!C30, Asparagus!C30, LimaBeans!C30, SnapBeans!C30,Broccoli!C30,BrusselsSprouts!C30,Cabbage!C30,Carrots!C30,Cauliflower!C30,Celery!C30,Collards!C30,SweetCorn!C30,Cucumbers!C30,Eggplant!C30,Escarole!C30,Garlic!C30,HeadLettuce!C30,Kale!C30,Mushrooms!C30,MustardGreens!C30,Onions!C30,Okra!C30,Peppers!C30,Potatoes!C30,Pumpkin!C30) + SUM(Radishes!C30,Romaine!C30,Spinach!C30,Squash!C30,SweetPotatoes!C30,Tomatoes!C30,TurnipGreens!C30)</f>
        <v>35816.582999999999</v>
      </c>
      <c r="D21" s="114">
        <f>SUM(Artichokes!D30, Asparagus!D30, LimaBeans!D30, SnapBeans!D30,Broccoli!D30,BrusselsSprouts!D30,Cabbage!D30,Carrots!D30,Cauliflower!D30,Celery!D30,Collards!D30,SweetCorn!D30,Cucumbers!D30,Eggplant!D30,Escarole!D30,Garlic!D30,HeadLettuce!D30,Kale!D30,Mushrooms!D30,MustardGreens!D30,Onions!D30,Okra!D30,Peppers!D30,Potatoes!D30,Pumpkin!D30) + SUM(Radishes!D30,Romaine!D30,Spinach!D30,Squash!D30,SweetPotatoes!D30,Tomatoes!D30,TurnipGreens!D30)</f>
        <v>2483.4434850406001</v>
      </c>
      <c r="E21" s="114">
        <f>SUM(Artichokes!E30, Asparagus!E30, LimaBeans!E30, SnapBeans!E30,Broccoli!E30,BrusselsSprouts!F30,Cabbage!E30,Carrots!E30,Cauliflower!E30,Celery!E30,Collards!F30,SweetCorn!E30,Cucumbers!E30,Eggplant!E30,Escarole!E30,Garlic!E30,HeadLettuce!E30,Kale!F30,Mushrooms!E30,MustardGreens!F30,Onions!F30,Okra!F30,Peppers!E30,Potatoes!E30,Pumpkin!F30) + SUM(Radishes!E30,Romaine!E30,Spinach!E30,Squash!E30,SweetPotatoes!F30,Tomatoes!E30,TurnipGreens!F30)</f>
        <v>39233.314945040598</v>
      </c>
      <c r="F21" s="114">
        <f>SUM(Artichokes!F30, Asparagus!F30, LimaBeans!F30, SnapBeans!F30,Broccoli!F30,BrusselsSprouts!G30,Cabbage!F30,Carrots!F30,Cauliflower!F30,Celery!F30,Collards!G30,SweetCorn!F30,Cucumbers!F30,Eggplant!F30,Escarole!F30,Garlic!F30,HeadLettuce!F30,Kale!G30,Mushrooms!F30,MustardGreens!G30,Onions!G30,Okra!G30,Peppers!F30,Potatoes!F30,Pumpkin!G30) + SUM(Radishes!F30,Romaine!F30,Spinach!F30,Squash!F30,SweetPotatoes!G30,Tomatoes!F30,TurnipGreens!G30)</f>
        <v>2150.5433595612999</v>
      </c>
      <c r="G21" s="114">
        <f>SUM(Artichokes!G30, Asparagus!G30, LimaBeans!G30, SnapBeans!G30,Broccoli!G30,BrusselsSprouts!I30,Cabbage!H30,Carrots!G30,Cauliflower!G30,Celery!G30,Collards!I30,SweetCorn!G30,Cucumbers!G30,Eggplant!G30,Escarole!G30,Garlic!H30,HeadLettuce!G30,Kale!I30,Mushrooms!G30,MustardGreens!I30,Onions!J30,Okra!I30,Peppers!G30,Potatoes!G30,Pumpkin!J30) + SUM(Radishes!G30,Romaine!G30,Spinach!G30,Squash!G30,SweetPotatoes!K30,Tomatoes!G30,TurnipGreens!I30)</f>
        <v>35575.423385479306</v>
      </c>
      <c r="H21" s="7">
        <f>SUM(Artichokes!H30,Asparagus!H30,LimaBeans!H30,SnapBeans!H30,Broccoli!H30,BrusselsSprouts!J30,Cabbage!I30,Carrots!H30,Cauliflower!H30,Celery!H30,Collards!J30,SweetCorn!H30,Cucumbers!H30,Eggplant!H30,Escarole!H30,Garlic!I30,HeadLettuce!H30,Kale!J30,Mushrooms!H30,MustardGreens!J30,Onions!K30,Okra!J30,Peppers!H30,Potatoes!H30,Pumpkin!K30) + SUM(Radishes!H30,Romaine!H30,Spinach!H30,Squash!H30,SweetPotatoes!L30,Tomatoes!H30,TurnipGreens!J30)</f>
        <v>151.83950869955433</v>
      </c>
      <c r="I21" s="7">
        <f>SUM(Artichokes!I30, Asparagus!I30, LimaBeans!I30, SnapBeans!I30,Broccoli!I30,BrusselsSprouts!K30,Cabbage!J30,Carrots!I30,Cauliflower!I30,Celery!I30,Collards!K30,SweetCorn!I30,Cucumbers!I30,Eggplant!I30,Escarole!I30,Garlic!J30,HeadLettuce!I30,Kale!K30,Mushrooms!I30,MustardGreens!K30,Onions!L30,Okra!K30,Peppers!I30,Potatoes!I30,Pumpkin!L30) + SUM(Radishes!I30,Romaine!I30,Spinach!I30,Squash!I30,SweetPotatoes!M30,Tomatoes!I30,TurnipGreens!K30)</f>
        <v>141.46648839932601</v>
      </c>
    </row>
    <row r="22" spans="1:9" ht="12" customHeight="1" x14ac:dyDescent="0.2">
      <c r="A22" s="3" t="s">
        <v>63</v>
      </c>
      <c r="B22" s="21">
        <v>236.34800000000001</v>
      </c>
      <c r="C22" s="114">
        <f>SUM(Artichokes!C31, Asparagus!C31, LimaBeans!C31, SnapBeans!C31,Broccoli!C31,BrusselsSprouts!C31,Cabbage!C31,Carrots!C31,Cauliflower!C31,Celery!C31,Collards!C31,SweetCorn!C31,Cucumbers!C31,Eggplant!C31,Escarole!C31,Garlic!C31,HeadLettuce!C31,Kale!C31,Mushrooms!C31,MustardGreens!C31,Onions!C31,Okra!C31,Peppers!C31,Potatoes!C31,Pumpkin!C31) + SUM(Radishes!C31,Romaine!C31,Spinach!C31,Squash!C31,SweetPotatoes!C31,Tomatoes!C31,TurnipGreens!C31)</f>
        <v>37328.068999999996</v>
      </c>
      <c r="D22" s="114">
        <f>SUM(Artichokes!D31, Asparagus!D31, LimaBeans!D31, SnapBeans!D31,Broccoli!D31,BrusselsSprouts!D31,Cabbage!D31,Carrots!D31,Cauliflower!D31,Celery!D31,Collards!D31,SweetCorn!D31,Cucumbers!D31,Eggplant!D31,Escarole!D31,Garlic!D31,HeadLettuce!D31,Kale!D31,Mushrooms!D31,MustardGreens!D31,Onions!D31,Okra!D31,Peppers!D31,Potatoes!D31,Pumpkin!D31) + SUM(Radishes!D31,Romaine!D31,Spinach!D31,Squash!D31,SweetPotatoes!D31,Tomatoes!D31,TurnipGreens!D31)</f>
        <v>2888.9760548158001</v>
      </c>
      <c r="E22" s="114">
        <f>SUM(Artichokes!E31, Asparagus!E31, LimaBeans!E31, SnapBeans!E31,Broccoli!E31,BrusselsSprouts!F31,Cabbage!E31,Carrots!E31,Cauliflower!E31,Celery!E31,Collards!F31,SweetCorn!E31,Cucumbers!E31,Eggplant!E31,Escarole!E31,Garlic!E31,HeadLettuce!E31,Kale!F31,Mushrooms!E31,MustardGreens!F31,Onions!F31,Okra!F31,Peppers!E31,Potatoes!E31,Pumpkin!F31) + SUM(Radishes!E31,Romaine!E31,Spinach!E31,Squash!E31,SweetPotatoes!F31,Tomatoes!E31,TurnipGreens!F31)</f>
        <v>41097.4052548158</v>
      </c>
      <c r="F22" s="114">
        <f>SUM(Artichokes!F31, Asparagus!F31, LimaBeans!F31, SnapBeans!F31,Broccoli!F31,BrusselsSprouts!G31,Cabbage!F31,Carrots!F31,Cauliflower!F31,Celery!F31,Collards!G31,SweetCorn!F31,Cucumbers!F31,Eggplant!F31,Escarole!F31,Garlic!F31,HeadLettuce!F31,Kale!G31,Mushrooms!F31,MustardGreens!G31,Onions!G31,Okra!G31,Peppers!F31,Potatoes!F31,Pumpkin!G31) + SUM(Radishes!F31,Romaine!F31,Spinach!F31,Squash!F31,SweetPotatoes!G31,Tomatoes!F31,TurnipGreens!G31)</f>
        <v>2369.1471613711801</v>
      </c>
      <c r="G22" s="114">
        <f>SUM(Artichokes!G31, Asparagus!G31, LimaBeans!G31, SnapBeans!G31,Broccoli!G31,BrusselsSprouts!I31,Cabbage!H31,Carrots!G31,Cauliflower!G31,Celery!G31,Collards!I31,SweetCorn!G31,Cucumbers!G31,Eggplant!G31,Escarole!G31,Garlic!H31,HeadLettuce!G31,Kale!I31,Mushrooms!G31,MustardGreens!I31,Onions!J31,Okra!I31,Peppers!G31,Potatoes!G31,Pumpkin!J31) + SUM(Radishes!G31,Romaine!G31,Spinach!G31,Squash!G31,SweetPotatoes!K31,Tomatoes!G31,TurnipGreens!I31)</f>
        <v>37156.303873444624</v>
      </c>
      <c r="H22" s="7">
        <f>SUM(Artichokes!H31,Asparagus!H31,LimaBeans!H31,SnapBeans!H31,Broccoli!H31,BrusselsSprouts!J31,Cabbage!I31,Carrots!H31,Cauliflower!H31,Celery!H31,Collards!J31,SweetCorn!H31,Cucumbers!H31,Eggplant!H31,Escarole!H31,Garlic!I31,HeadLettuce!H31,Kale!J31,Mushrooms!H31,MustardGreens!J31,Onions!K31,Okra!J31,Peppers!H31,Potatoes!H31,Pumpkin!K31) + SUM(Radishes!H31,Romaine!H31,Spinach!H31,Squash!H31,SweetPotatoes!L31,Tomatoes!H31,TurnipGreens!J31)</f>
        <v>157.21740040934162</v>
      </c>
      <c r="I22" s="7">
        <f>SUM(Artichokes!I31, Asparagus!I31, LimaBeans!I31, SnapBeans!I31,Broccoli!I31,BrusselsSprouts!K31,Cabbage!J31,Carrots!I31,Cauliflower!I31,Celery!I31,Collards!K31,SweetCorn!I31,Cucumbers!I31,Eggplant!I31,Escarole!I31,Garlic!J31,HeadLettuce!I31,Kale!K31,Mushrooms!I31,MustardGreens!K31,Onions!L31,Okra!K31,Peppers!I31,Potatoes!I31,Pumpkin!L31) + SUM(Radishes!I31,Romaine!I31,Spinach!I31,Squash!I31,SweetPotatoes!M31,Tomatoes!I31,TurnipGreens!K31)</f>
        <v>146.38287467317235</v>
      </c>
    </row>
    <row r="23" spans="1:9" ht="12" customHeight="1" x14ac:dyDescent="0.2">
      <c r="A23" s="3" t="s">
        <v>64</v>
      </c>
      <c r="B23" s="21">
        <v>238.46600000000001</v>
      </c>
      <c r="C23" s="114">
        <f>SUM(Artichokes!C32, Asparagus!C32, LimaBeans!C32, SnapBeans!C32,Broccoli!C32,BrusselsSprouts!C32,Cabbage!C32,Carrots!C32,Cauliflower!C32,Celery!C32,Collards!C32,SweetCorn!C32,Cucumbers!C32,Eggplant!C32,Escarole!C32,Garlic!C32,HeadLettuce!C32,Kale!C32,Mushrooms!C32,MustardGreens!C32,Onions!C32,Okra!C32,Peppers!C32,Potatoes!C32,Pumpkin!C32) + SUM(Radishes!C32,Romaine!C32,Spinach!C32,Squash!C32,SweetPotatoes!C32,Tomatoes!C32,TurnipGreens!C32)</f>
        <v>38194.88672000001</v>
      </c>
      <c r="D23" s="114">
        <f>SUM(Artichokes!D32, Asparagus!D32, LimaBeans!D32, SnapBeans!D32,Broccoli!D32,BrusselsSprouts!D32,Cabbage!D32,Carrots!D32,Cauliflower!D32,Celery!D32,Collards!D32,SweetCorn!D32,Cucumbers!D32,Eggplant!D32,Escarole!D32,Garlic!D32,HeadLettuce!D32,Kale!D32,Mushrooms!D32,MustardGreens!D32,Onions!D32,Okra!D32,Peppers!D32,Potatoes!D32,Pumpkin!D32) + SUM(Radishes!D32,Romaine!D32,Spinach!D32,Squash!D32,SweetPotatoes!D32,Tomatoes!D32,TurnipGreens!D32)</f>
        <v>2868.5708921096002</v>
      </c>
      <c r="E23" s="114">
        <f>SUM(Artichokes!E32, Asparagus!E32, LimaBeans!E32, SnapBeans!E32,Broccoli!E32,BrusselsSprouts!F32,Cabbage!E32,Carrots!E32,Cauliflower!E32,Celery!E32,Collards!F32,SweetCorn!E32,Cucumbers!E32,Eggplant!E32,Escarole!E32,Garlic!E32,HeadLettuce!E32,Kale!F32,Mushrooms!E32,MustardGreens!F32,Onions!F32,Okra!F32,Peppers!E32,Potatoes!E32,Pumpkin!F32) + SUM(Radishes!E32,Romaine!E32,Spinach!E32,Squash!E32,SweetPotatoes!F32,Tomatoes!E32,TurnipGreens!F32)</f>
        <v>41997.735832109604</v>
      </c>
      <c r="F23" s="114">
        <f>SUM(Artichokes!F32, Asparagus!F32, LimaBeans!F32, SnapBeans!F32,Broccoli!F32,BrusselsSprouts!G32,Cabbage!F32,Carrots!F32,Cauliflower!F32,Celery!F32,Collards!G32,SweetCorn!F32,Cucumbers!F32,Eggplant!F32,Escarole!F32,Garlic!F32,HeadLettuce!F32,Kale!G32,Mushrooms!F32,MustardGreens!G32,Onions!G32,Okra!G32,Peppers!F32,Potatoes!F32,Pumpkin!G32) + SUM(Radishes!F32,Romaine!F32,Spinach!F32,Squash!F32,SweetPotatoes!G32,Tomatoes!F32,TurnipGreens!G32)</f>
        <v>2212.0115284569001</v>
      </c>
      <c r="G23" s="114">
        <f>SUM(Artichokes!G32, Asparagus!G32, LimaBeans!G32, SnapBeans!G32,Broccoli!G32,BrusselsSprouts!I32,Cabbage!H32,Carrots!G32,Cauliflower!G32,Celery!G32,Collards!I32,SweetCorn!G32,Cucumbers!G32,Eggplant!G32,Escarole!G32,Garlic!H32,HeadLettuce!G32,Kale!I32,Mushrooms!G32,MustardGreens!I32,Onions!J32,Okra!I32,Peppers!G32,Potatoes!G32,Pumpkin!J32) + SUM(Radishes!G32,Romaine!G32,Spinach!G32,Squash!G32,SweetPotatoes!K32,Tomatoes!G32,TurnipGreens!I32)</f>
        <v>37945.230119037311</v>
      </c>
      <c r="H23" s="7">
        <f>SUM(Artichokes!H32,Asparagus!H32,LimaBeans!H32,SnapBeans!H32,Broccoli!H32,BrusselsSprouts!J32,Cabbage!I32,Carrots!H32,Cauliflower!H32,Celery!H32,Collards!J32,SweetCorn!H32,Cucumbers!H32,Eggplant!H32,Escarole!H32,Garlic!I32,HeadLettuce!H32,Kale!J32,Mushrooms!H32,MustardGreens!J32,Onions!K32,Okra!J32,Peppers!H32,Potatoes!H32,Pumpkin!K32) + SUM(Radishes!H32,Romaine!H32,Spinach!H32,Squash!H32,SweetPotatoes!L32,Tomatoes!H32,TurnipGreens!J32)</f>
        <v>159.12968472036323</v>
      </c>
      <c r="I23" s="7">
        <f>SUM(Artichokes!I32, Asparagus!I32, LimaBeans!I32, SnapBeans!I32,Broccoli!I32,BrusselsSprouts!K32,Cabbage!J32,Carrots!I32,Cauliflower!I32,Celery!I32,Collards!K32,SweetCorn!I32,Cucumbers!I32,Eggplant!I32,Escarole!I32,Garlic!J32,HeadLettuce!I32,Kale!K32,Mushrooms!I32,MustardGreens!K32,Onions!L32,Okra!K32,Peppers!I32,Potatoes!I32,Pumpkin!L32) + SUM(Radishes!I32,Romaine!I32,Spinach!I32,Squash!I32,SweetPotatoes!M32,Tomatoes!I32,TurnipGreens!K32)</f>
        <v>147.99200544561526</v>
      </c>
    </row>
    <row r="24" spans="1:9" ht="12" customHeight="1" x14ac:dyDescent="0.2">
      <c r="A24" s="2" t="s">
        <v>65</v>
      </c>
      <c r="B24" s="20">
        <v>240.65100000000001</v>
      </c>
      <c r="C24" s="113">
        <f>SUM(Artichokes!C33, Asparagus!C33, LimaBeans!C33, SnapBeans!C33,Broccoli!C33,BrusselsSprouts!C33,Cabbage!C33,Carrots!C33,Cauliflower!C33,Celery!C33,Collards!C33,SweetCorn!C33,Cucumbers!C33,Eggplant!C33,Escarole!C33,Garlic!C33,HeadLettuce!C33,Kale!C33,Mushrooms!C33,MustardGreens!C33,Onions!C33,Okra!C33,Peppers!C33,Potatoes!C33,Pumpkin!C33) + SUM(Radishes!C33,Romaine!C33,Spinach!C33,Squash!C33,SweetPotatoes!C33,Tomatoes!C33,TurnipGreens!C33)</f>
        <v>38425.538959999998</v>
      </c>
      <c r="D24" s="113">
        <f>SUM(Artichokes!D33, Asparagus!D33, LimaBeans!D33, SnapBeans!D33,Broccoli!D33,BrusselsSprouts!D33,Cabbage!D33,Carrots!D33,Cauliflower!D33,Celery!D33,Collards!D33,SweetCorn!D33,Cucumbers!D33,Eggplant!D33,Escarole!D33,Garlic!D33,HeadLettuce!D33,Kale!D33,Mushrooms!D33,MustardGreens!D33,Onions!D33,Okra!D33,Peppers!D33,Potatoes!D33,Pumpkin!D33) + SUM(Radishes!D33,Romaine!D33,Spinach!D33,Squash!D33,SweetPotatoes!D33,Tomatoes!D33,TurnipGreens!D33)</f>
        <v>2903.4513935800005</v>
      </c>
      <c r="E24" s="113">
        <f>SUM(Artichokes!E33, Asparagus!E33, LimaBeans!E33, SnapBeans!E33,Broccoli!E33,BrusselsSprouts!F33,Cabbage!E33,Carrots!E33,Cauliflower!E33,Celery!E33,Collards!F33,SweetCorn!E33,Cucumbers!E33,Eggplant!E33,Escarole!E33,Garlic!E33,HeadLettuce!E33,Kale!F33,Mushrooms!E33,MustardGreens!F33,Onions!F33,Okra!F33,Peppers!E33,Potatoes!E33,Pumpkin!F33) + SUM(Radishes!E33,Romaine!E33,Spinach!E33,Squash!E33,SweetPotatoes!F33,Tomatoes!E33,TurnipGreens!F33)</f>
        <v>42277.307538195389</v>
      </c>
      <c r="F24" s="113">
        <f>SUM(Artichokes!F33, Asparagus!F33, LimaBeans!F33, SnapBeans!F33,Broccoli!F33,BrusselsSprouts!G33,Cabbage!F33,Carrots!F33,Cauliflower!F33,Celery!F33,Collards!G33,SweetCorn!F33,Cucumbers!F33,Eggplant!F33,Escarole!F33,Garlic!F33,HeadLettuce!F33,Kale!G33,Mushrooms!F33,MustardGreens!G33,Onions!G33,Okra!G33,Peppers!F33,Potatoes!F33,Pumpkin!G33) + SUM(Radishes!F33,Romaine!F33,Spinach!F33,Squash!F33,SweetPotatoes!G33,Tomatoes!F33,TurnipGreens!G33)</f>
        <v>2452.88905163248</v>
      </c>
      <c r="G24" s="113">
        <f>SUM(Artichokes!G33, Asparagus!G33, LimaBeans!G33, SnapBeans!G33,Broccoli!G33,BrusselsSprouts!I33,Cabbage!H33,Carrots!G33,Cauliflower!G33,Celery!G33,Collards!I33,SweetCorn!G33,Cucumbers!G33,Eggplant!G33,Escarole!G33,Garlic!H33,HeadLettuce!G33,Kale!I33,Mushrooms!G33,MustardGreens!I33,Onions!J33,Okra!I33,Peppers!G33,Potatoes!G33,Pumpkin!J33) + SUM(Radishes!G33,Romaine!G33,Spinach!G33,Squash!G33,SweetPotatoes!K33,Tomatoes!G33,TurnipGreens!I33)</f>
        <v>38298.823774255216</v>
      </c>
      <c r="H24" s="6">
        <f>SUM(Artichokes!H33,Asparagus!H33,LimaBeans!H33,SnapBeans!H33,Broccoli!H33,BrusselsSprouts!J33,Cabbage!I33,Carrots!H33,Cauliflower!H33,Celery!H33,Collards!J33,SweetCorn!H33,Cucumbers!H33,Eggplant!H33,Escarole!H33,Garlic!I33,HeadLettuce!H33,Kale!J33,Mushrooms!H33,MustardGreens!J33,Onions!K33,Okra!J33,Peppers!H33,Potatoes!H33,Pumpkin!K33) + SUM(Radishes!H33,Romaine!H33,Spinach!H33,Squash!H33,SweetPotatoes!L33,Tomatoes!H33,TurnipGreens!J33)</f>
        <v>159.15474659099769</v>
      </c>
      <c r="I24" s="6">
        <f>SUM(Artichokes!I33, Asparagus!I33, LimaBeans!I33, SnapBeans!I33,Broccoli!I33,BrusselsSprouts!K33,Cabbage!J33,Carrots!I33,Cauliflower!I33,Celery!I33,Collards!K33,SweetCorn!I33,Cucumbers!I33,Eggplant!I33,Escarole!I33,Garlic!J33,HeadLettuce!I33,Kale!K33,Mushrooms!I33,MustardGreens!K33,Onions!L33,Okra!K33,Peppers!I33,Potatoes!I33,Pumpkin!L33) + SUM(Radishes!I33,Romaine!I33,Spinach!I33,Squash!I33,SweetPotatoes!M33,Tomatoes!I33,TurnipGreens!K33)</f>
        <v>148.07604605190338</v>
      </c>
    </row>
    <row r="25" spans="1:9" ht="12" customHeight="1" x14ac:dyDescent="0.2">
      <c r="A25" s="2" t="s">
        <v>66</v>
      </c>
      <c r="B25" s="20">
        <v>242.804</v>
      </c>
      <c r="C25" s="113">
        <f>SUM(Artichokes!C34, Asparagus!C34, LimaBeans!C34, SnapBeans!C34,Broccoli!C34,BrusselsSprouts!C34,Cabbage!C34,Carrots!C34,Cauliflower!C34,Celery!C34,Collards!C34,SweetCorn!C34,Cucumbers!C34,Eggplant!C34,Escarole!C34,Garlic!C34,HeadLettuce!C34,Kale!C34,Mushrooms!C34,MustardGreens!C34,Onions!C34,Okra!C34,Peppers!C34,Potatoes!C34,Pumpkin!C34) + SUM(Radishes!C34,Romaine!C34,Spinach!C34,Squash!C34,SweetPotatoes!C34,Tomatoes!C34,TurnipGreens!C34)</f>
        <v>41251.981399999997</v>
      </c>
      <c r="D25" s="113">
        <f>SUM(Artichokes!D34, Asparagus!D34, LimaBeans!D34, SnapBeans!D34,Broccoli!D34,BrusselsSprouts!D34,Cabbage!D34,Carrots!D34,Cauliflower!D34,Celery!D34,Collards!D34,SweetCorn!D34,Cucumbers!D34,Eggplant!D34,Escarole!D34,Garlic!D34,HeadLettuce!D34,Kale!D34,Mushrooms!D34,MustardGreens!D34,Onions!D34,Okra!D34,Peppers!D34,Potatoes!D34,Pumpkin!D34) + SUM(Radishes!D34,Romaine!D34,Spinach!D34,Squash!D34,SweetPotatoes!D34,Tomatoes!D34,TurnipGreens!D34)</f>
        <v>3143.7121072600003</v>
      </c>
      <c r="E25" s="113">
        <f>SUM(Artichokes!E34, Asparagus!E34, LimaBeans!E34, SnapBeans!E34,Broccoli!E34,BrusselsSprouts!F34,Cabbage!E34,Carrots!E34,Cauliflower!E34,Celery!E34,Collards!F34,SweetCorn!E34,Cucumbers!E34,Eggplant!E34,Escarole!E34,Garlic!E34,HeadLettuce!E34,Kale!F34,Mushrooms!E34,MustardGreens!F34,Onions!F34,Okra!F34,Peppers!E34,Potatoes!E34,Pumpkin!F34) + SUM(Radishes!E34,Romaine!E34,Spinach!E34,Squash!E34,SweetPotatoes!F34,Tomatoes!E34,TurnipGreens!F34)</f>
        <v>45281.228219567689</v>
      </c>
      <c r="F25" s="113">
        <f>SUM(Artichokes!F34, Asparagus!F34, LimaBeans!F34, SnapBeans!F34,Broccoli!F34,BrusselsSprouts!G34,Cabbage!F34,Carrots!F34,Cauliflower!F34,Celery!F34,Collards!G34,SweetCorn!F34,Cucumbers!F34,Eggplant!F34,Escarole!F34,Garlic!F34,HeadLettuce!F34,Kale!G34,Mushrooms!F34,MustardGreens!G34,Onions!G34,Okra!G34,Peppers!F34,Potatoes!F34,Pumpkin!G34) + SUM(Radishes!F34,Romaine!F34,Spinach!F34,Squash!F34,SweetPotatoes!G34,Tomatoes!F34,TurnipGreens!G34)</f>
        <v>2520.4382362716601</v>
      </c>
      <c r="G25" s="113">
        <f>SUM(Artichokes!G34, Asparagus!G34, LimaBeans!G34, SnapBeans!G34,Broccoli!G34,BrusselsSprouts!I34,Cabbage!H34,Carrots!G34,Cauliflower!G34,Celery!G34,Collards!I34,SweetCorn!G34,Cucumbers!G34,Eggplant!G34,Escarole!G34,Garlic!H34,HeadLettuce!G34,Kale!I34,Mushrooms!G34,MustardGreens!I34,Onions!J34,Okra!I34,Peppers!G34,Potatoes!G34,Pumpkin!J34) + SUM(Radishes!G34,Romaine!G34,Spinach!G34,Squash!G34,SweetPotatoes!K34,Tomatoes!G34,TurnipGreens!I34)</f>
        <v>40949.787781757565</v>
      </c>
      <c r="H25" s="6">
        <f>SUM(Artichokes!H34,Asparagus!H34,LimaBeans!H34,SnapBeans!H34,Broccoli!H34,BrusselsSprouts!J34,Cabbage!I34,Carrots!H34,Cauliflower!H34,Celery!H34,Collards!J34,SweetCorn!H34,Cucumbers!H34,Eggplant!H34,Escarole!H34,Garlic!I34,HeadLettuce!H34,Kale!J34,Mushrooms!H34,MustardGreens!J34,Onions!K34,Okra!J34,Peppers!H34,Potatoes!H34,Pumpkin!K34) + SUM(Radishes!H34,Romaine!H34,Spinach!H34,Squash!H34,SweetPotatoes!L34,Tomatoes!H34,TurnipGreens!J34)</f>
        <v>168.66184125128405</v>
      </c>
      <c r="I25" s="6">
        <f>SUM(Artichokes!I34, Asparagus!I34, LimaBeans!I34, SnapBeans!I34,Broccoli!I34,BrusselsSprouts!K34,Cabbage!J34,Carrots!I34,Cauliflower!I34,Celery!I34,Collards!K34,SweetCorn!I34,Cucumbers!I34,Eggplant!I34,Escarole!I34,Garlic!J34,HeadLettuce!I34,Kale!K34,Mushrooms!I34,MustardGreens!K34,Onions!L34,Okra!K34,Peppers!I34,Potatoes!I34,Pumpkin!L34) + SUM(Radishes!I34,Romaine!I34,Spinach!I34,Squash!I34,SweetPotatoes!M34,Tomatoes!I34,TurnipGreens!K34)</f>
        <v>156.80944542609359</v>
      </c>
    </row>
    <row r="26" spans="1:9" ht="12" customHeight="1" x14ac:dyDescent="0.2">
      <c r="A26" s="2" t="s">
        <v>67</v>
      </c>
      <c r="B26" s="20">
        <v>245.02099999999999</v>
      </c>
      <c r="C26" s="113">
        <f>SUM(Artichokes!C35, Asparagus!C35, LimaBeans!C35, SnapBeans!C35,Broccoli!C35,BrusselsSprouts!C35,Cabbage!C35,Carrots!C35,Cauliflower!C35,Celery!C35,Collards!C35,SweetCorn!C35,Cucumbers!C35,Eggplant!C35,Escarole!C35,Garlic!C35,HeadLettuce!C35,Kale!C35,Mushrooms!C35,MustardGreens!C35,Onions!C35,Okra!C35,Peppers!C35,Potatoes!C35,Pumpkin!C35) + SUM(Radishes!C35,Romaine!C35,Spinach!C35,Squash!C35,SweetPotatoes!C35,Tomatoes!C35,TurnipGreens!C35)</f>
        <v>42915.108018880004</v>
      </c>
      <c r="D26" s="113">
        <f>SUM(Artichokes!D35, Asparagus!D35, LimaBeans!D35, SnapBeans!D35,Broccoli!D35,BrusselsSprouts!D35,Cabbage!D35,Carrots!D35,Cauliflower!D35,Celery!D35,Collards!D35,SweetCorn!D35,Cucumbers!D35,Eggplant!D35,Escarole!D35,Garlic!D35,HeadLettuce!D35,Kale!D35,Mushrooms!D35,MustardGreens!D35,Onions!D35,Okra!D35,Peppers!D35,Potatoes!D35,Pumpkin!D35) + SUM(Radishes!D35,Romaine!D35,Spinach!D35,Squash!D35,SweetPotatoes!D35,Tomatoes!D35,TurnipGreens!D35)</f>
        <v>3146.1624570200006</v>
      </c>
      <c r="E26" s="113">
        <f>SUM(Artichokes!E35, Asparagus!E35, LimaBeans!E35, SnapBeans!E35,Broccoli!E35,BrusselsSprouts!F35,Cabbage!E35,Carrots!E35,Cauliflower!E35,Celery!E35,Collards!F35,SweetCorn!E35,Cucumbers!E35,Eggplant!E35,Escarole!E35,Garlic!E35,HeadLettuce!E35,Kale!F35,Mushrooms!E35,MustardGreens!F35,Onions!F35,Okra!F35,Peppers!E35,Potatoes!E35,Pumpkin!F35) + SUM(Radishes!E35,Romaine!E35,Spinach!E35,Squash!E35,SweetPotatoes!F35,Tomatoes!E35,TurnipGreens!F35)</f>
        <v>47077.582677438462</v>
      </c>
      <c r="F26" s="113">
        <f>SUM(Artichokes!F35, Asparagus!F35, LimaBeans!F35, SnapBeans!F35,Broccoli!F35,BrusselsSprouts!G35,Cabbage!F35,Carrots!F35,Cauliflower!F35,Celery!F35,Collards!G35,SweetCorn!F35,Cucumbers!F35,Eggplant!F35,Escarole!F35,Garlic!F35,HeadLettuce!F35,Kale!G35,Mushrooms!F35,MustardGreens!G35,Onions!G35,Okra!G35,Peppers!F35,Potatoes!F35,Pumpkin!G35) + SUM(Radishes!F35,Romaine!F35,Spinach!F35,Squash!F35,SweetPotatoes!G35,Tomatoes!F35,TurnipGreens!G35)</f>
        <v>2530.3488219074598</v>
      </c>
      <c r="G26" s="113">
        <f>SUM(Artichokes!G35, Asparagus!G35, LimaBeans!G35, SnapBeans!G35,Broccoli!G35,BrusselsSprouts!I35,Cabbage!H35,Carrots!G35,Cauliflower!G35,Celery!G35,Collards!I35,SweetCorn!G35,Cucumbers!G35,Eggplant!G35,Escarole!G35,Garlic!H35,HeadLettuce!G35,Kale!I35,Mushrooms!G35,MustardGreens!I35,Onions!J35,Okra!I35,Peppers!G35,Potatoes!G35,Pumpkin!J35) + SUM(Radishes!G35,Romaine!G35,Spinach!G35,Squash!G35,SweetPotatoes!K35,Tomatoes!G35,TurnipGreens!I35)</f>
        <v>42810.753795860539</v>
      </c>
      <c r="H26" s="6">
        <f>SUM(Artichokes!H35,Asparagus!H35,LimaBeans!H35,SnapBeans!H35,Broccoli!H35,BrusselsSprouts!J35,Cabbage!I35,Carrots!H35,Cauliflower!H35,Celery!H35,Collards!J35,SweetCorn!H35,Cucumbers!H35,Eggplant!H35,Escarole!H35,Garlic!I35,HeadLettuce!H35,Kale!J35,Mushrooms!H35,MustardGreens!J35,Onions!K35,Okra!J35,Peppers!H35,Potatoes!H35,Pumpkin!K35) + SUM(Radishes!H35,Romaine!H35,Spinach!H35,Squash!H35,SweetPotatoes!L35,Tomatoes!H35,TurnipGreens!J35)</f>
        <v>174.73128720370175</v>
      </c>
      <c r="I26" s="6">
        <f>SUM(Artichokes!I35, Asparagus!I35, LimaBeans!I35, SnapBeans!I35,Broccoli!I35,BrusselsSprouts!K35,Cabbage!J35,Carrots!I35,Cauliflower!I35,Celery!I35,Collards!K35,SweetCorn!I35,Cucumbers!I35,Eggplant!I35,Escarole!I35,Garlic!J35,HeadLettuce!I35,Kale!K35,Mushrooms!I35,MustardGreens!K35,Onions!L35,Okra!K35,Peppers!I35,Potatoes!I35,Pumpkin!L35) + SUM(Radishes!I35,Romaine!I35,Spinach!I35,Squash!I35,SweetPotatoes!M35,Tomatoes!I35,TurnipGreens!K35)</f>
        <v>162.3722162390475</v>
      </c>
    </row>
    <row r="27" spans="1:9" ht="12" customHeight="1" x14ac:dyDescent="0.2">
      <c r="A27" s="2" t="s">
        <v>68</v>
      </c>
      <c r="B27" s="20">
        <v>247.34200000000001</v>
      </c>
      <c r="C27" s="113">
        <f>SUM(Artichokes!C36, Asparagus!C36, LimaBeans!C36, SnapBeans!C36,Broccoli!C36,BrusselsSprouts!C36,Cabbage!C36,Carrots!C36,Cauliflower!C36,Celery!C36,Collards!C36,SweetCorn!C36,Cucumbers!C36,Eggplant!C36,Escarole!C36,Garlic!C36,HeadLettuce!C36,Kale!C36,Mushrooms!C36,MustardGreens!C36,Onions!C36,Okra!C36,Peppers!C36,Potatoes!C36,Pumpkin!C36) + SUM(Radishes!C36,Romaine!C36,Spinach!C36,Squash!C36,SweetPotatoes!C36,Tomatoes!C36,TurnipGreens!C36)</f>
        <v>44713.930803839998</v>
      </c>
      <c r="D27" s="113">
        <f>SUM(Artichokes!D36, Asparagus!D36, LimaBeans!D36, SnapBeans!D36,Broccoli!D36,BrusselsSprouts!D36,Cabbage!D36,Carrots!D36,Cauliflower!D36,Celery!D36,Collards!D36,SweetCorn!D36,Cucumbers!D36,Eggplant!D36,Escarole!D36,Garlic!D36,HeadLettuce!D36,Kale!D36,Mushrooms!D36,MustardGreens!D36,Onions!D36,Okra!D36,Peppers!D36,Potatoes!D36,Pumpkin!D36) + SUM(Radishes!D36,Romaine!D36,Spinach!D36,Squash!D36,SweetPotatoes!D36,Tomatoes!D36,TurnipGreens!D36)</f>
        <v>3571.7561336285999</v>
      </c>
      <c r="E27" s="113">
        <f>SUM(Artichokes!E36, Asparagus!E36, LimaBeans!E36, SnapBeans!E36,Broccoli!E36,BrusselsSprouts!F36,Cabbage!E36,Carrots!E36,Cauliflower!E36,Celery!E36,Collards!F36,SweetCorn!E36,Cucumbers!E36,Eggplant!E36,Escarole!E36,Garlic!E36,HeadLettuce!E36,Kale!F36,Mushrooms!E36,MustardGreens!F36,Onions!F36,Okra!F36,Peppers!E36,Potatoes!E36,Pumpkin!F36) + SUM(Radishes!E36,Romaine!E36,Spinach!E36,Squash!E36,SweetPotatoes!F36,Tomatoes!E36,TurnipGreens!F36)</f>
        <v>49267.252591251061</v>
      </c>
      <c r="F27" s="113">
        <f>SUM(Artichokes!F36, Asparagus!F36, LimaBeans!F36, SnapBeans!F36,Broccoli!F36,BrusselsSprouts!G36,Cabbage!F36,Carrots!F36,Cauliflower!F36,Celery!F36,Collards!G36,SweetCorn!F36,Cucumbers!F36,Eggplant!F36,Escarole!F36,Garlic!F36,HeadLettuce!F36,Kale!G36,Mushrooms!F36,MustardGreens!G36,Onions!G36,Okra!G36,Peppers!F36,Potatoes!F36,Pumpkin!G36) + SUM(Radishes!F36,Romaine!F36,Spinach!F36,Squash!F36,SweetPotatoes!G36,Tomatoes!F36,TurnipGreens!G36)</f>
        <v>2719.62673761724</v>
      </c>
      <c r="G27" s="113">
        <f>SUM(Artichokes!G36, Asparagus!G36, LimaBeans!G36, SnapBeans!G36,Broccoli!G36,BrusselsSprouts!I36,Cabbage!H36,Carrots!G36,Cauliflower!G36,Celery!G36,Collards!I36,SweetCorn!G36,Cucumbers!G36,Eggplant!G36,Escarole!G36,Garlic!H36,HeadLettuce!G36,Kale!I36,Mushrooms!G36,MustardGreens!I36,Onions!J36,Okra!I36,Peppers!G36,Potatoes!G36,Pumpkin!J36) + SUM(Radishes!G36,Romaine!G36,Spinach!G36,Squash!G36,SweetPotatoes!K36,Tomatoes!G36,TurnipGreens!I36)</f>
        <v>44775.19922124983</v>
      </c>
      <c r="H27" s="6">
        <f>SUM(Artichokes!H36,Asparagus!H36,LimaBeans!H36,SnapBeans!H36,Broccoli!H36,BrusselsSprouts!J36,Cabbage!I36,Carrots!H36,Cauliflower!H36,Celery!H36,Collards!J36,SweetCorn!H36,Cucumbers!H36,Eggplant!H36,Escarole!H36,Garlic!I36,HeadLettuce!H36,Kale!J36,Mushrooms!H36,MustardGreens!J36,Onions!K36,Okra!J36,Peppers!H36,Potatoes!H36,Pumpkin!K36) + SUM(Radishes!H36,Romaine!H36,Spinach!H36,Squash!H36,SweetPotatoes!L36,Tomatoes!H36,TurnipGreens!J36)</f>
        <v>181.03478719244336</v>
      </c>
      <c r="I27" s="6">
        <f>SUM(Artichokes!I36, Asparagus!I36, LimaBeans!I36, SnapBeans!I36,Broccoli!I36,BrusselsSprouts!K36,Cabbage!J36,Carrots!I36,Cauliflower!I36,Celery!I36,Collards!K36,SweetCorn!I36,Cucumbers!I36,Eggplant!I36,Escarole!I36,Garlic!J36,HeadLettuce!I36,Kale!K36,Mushrooms!I36,MustardGreens!K36,Onions!L36,Okra!K36,Peppers!I36,Potatoes!I36,Pumpkin!L36) + SUM(Radishes!I36,Romaine!I36,Spinach!I36,Squash!I36,SweetPotatoes!M36,Tomatoes!I36,TurnipGreens!K36)</f>
        <v>168.24834947671394</v>
      </c>
    </row>
    <row r="28" spans="1:9" ht="12" customHeight="1" x14ac:dyDescent="0.2">
      <c r="A28" s="2" t="s">
        <v>29</v>
      </c>
      <c r="B28" s="20">
        <v>250.13200000000001</v>
      </c>
      <c r="C28" s="113">
        <f>SUM(Artichokes!C37, Asparagus!C37, LimaBeans!C37, SnapBeans!C37,Broccoli!C37,BrusselsSprouts!C37,Cabbage!C37,Carrots!C37,Cauliflower!C37,Celery!C37,Collards!C37,SweetCorn!C37,Cucumbers!C37,Eggplant!C37,Escarole!C37,Garlic!C37,HeadLettuce!C37,Kale!C37,Mushrooms!C37,MustardGreens!C37,Onions!C37,Okra!C37,Peppers!C37,Potatoes!C37,Pumpkin!C37) + SUM(Radishes!C37,Romaine!C37,Spinach!C37,Squash!C37,SweetPotatoes!C37,Tomatoes!C37,TurnipGreens!C37)</f>
        <v>44232.115606080006</v>
      </c>
      <c r="D28" s="113">
        <f>SUM(Artichokes!D37, Asparagus!D37, LimaBeans!D37, SnapBeans!D37,Broccoli!D37,BrusselsSprouts!D37,Cabbage!D37,Carrots!D37,Cauliflower!D37,Celery!D37,Collards!D37,SweetCorn!D37,Cucumbers!D37,Eggplant!D37,Escarole!D37,Garlic!D37,HeadLettuce!D37,Kale!D37,Mushrooms!D37,MustardGreens!D37,Onions!D37,Okra!D37,Peppers!D37,Potatoes!D37,Pumpkin!D37) + SUM(Radishes!D37,Romaine!D37,Spinach!D37,Squash!D37,SweetPotatoes!D37,Tomatoes!D37,TurnipGreens!D37)</f>
        <v>3794.0696566226998</v>
      </c>
      <c r="E28" s="113">
        <f>SUM(Artichokes!E37, Asparagus!E37, LimaBeans!E37, SnapBeans!E37,Broccoli!E37,BrusselsSprouts!F37,Cabbage!E37,Carrots!E37,Cauliflower!E37,Celery!E37,Collards!F37,SweetCorn!E37,Cucumbers!E37,Eggplant!E37,Escarole!E37,Garlic!E37,HeadLettuce!E37,Kale!F37,Mushrooms!E37,MustardGreens!F37,Onions!F37,Okra!F37,Peppers!E37,Potatoes!E37,Pumpkin!F37) + SUM(Radishes!E37,Romaine!E37,Spinach!E37,Squash!E37,SweetPotatoes!F37,Tomatoes!E37,TurnipGreens!F37)</f>
        <v>48949.092682702692</v>
      </c>
      <c r="F28" s="113">
        <f>SUM(Artichokes!F37, Asparagus!F37, LimaBeans!F37, SnapBeans!F37,Broccoli!F37,BrusselsSprouts!G37,Cabbage!F37,Carrots!F37,Cauliflower!F37,Celery!F37,Collards!G37,SweetCorn!F37,Cucumbers!F37,Eggplant!F37,Escarole!F37,Garlic!F37,HeadLettuce!F37,Kale!G37,Mushrooms!F37,MustardGreens!G37,Onions!G37,Okra!G37,Peppers!F37,Potatoes!F37,Pumpkin!G37) + SUM(Radishes!F37,Romaine!F37,Spinach!F37,Squash!F37,SweetPotatoes!G37,Tomatoes!F37,TurnipGreens!G37)</f>
        <v>2859.130568519</v>
      </c>
      <c r="G28" s="113">
        <f>SUM(Artichokes!G37, Asparagus!G37, LimaBeans!G37, SnapBeans!G37,Broccoli!G37,BrusselsSprouts!I37,Cabbage!H37,Carrots!G37,Cauliflower!G37,Celery!G37,Collards!I37,SweetCorn!G37,Cucumbers!G37,Eggplant!G37,Escarole!G37,Garlic!H37,HeadLettuce!G37,Kale!I37,Mushrooms!G37,MustardGreens!I37,Onions!J37,Okra!I37,Peppers!G37,Potatoes!G37,Pumpkin!J37) + SUM(Radishes!G37,Romaine!G37,Spinach!G37,Squash!G37,SweetPotatoes!K37,Tomatoes!G37,TurnipGreens!I37)</f>
        <v>44125.938285575707</v>
      </c>
      <c r="H28" s="6">
        <f>SUM(Artichokes!H37,Asparagus!H37,LimaBeans!H37,SnapBeans!H37,Broccoli!H37,BrusselsSprouts!J37,Cabbage!I37,Carrots!H37,Cauliflower!H37,Celery!H37,Collards!J37,SweetCorn!H37,Cucumbers!H37,Eggplant!H37,Escarole!H37,Garlic!I37,HeadLettuce!H37,Kale!J37,Mushrooms!H37,MustardGreens!J37,Onions!K37,Okra!J37,Peppers!H37,Potatoes!H37,Pumpkin!K37) + SUM(Radishes!H37,Romaine!H37,Spinach!H37,Squash!H37,SweetPotatoes!L37,Tomatoes!H37,TurnipGreens!J37)</f>
        <v>176.42248803785185</v>
      </c>
      <c r="I28" s="6">
        <f>SUM(Artichokes!I37, Asparagus!I37, LimaBeans!I37, SnapBeans!I37,Broccoli!I37,BrusselsSprouts!K37,Cabbage!J37,Carrots!I37,Cauliflower!I37,Celery!I37,Collards!K37,SweetCorn!I37,Cucumbers!I37,Eggplant!I37,Escarole!I37,Garlic!J37,HeadLettuce!I37,Kale!K37,Mushrooms!I37,MustardGreens!K37,Onions!L37,Okra!K37,Peppers!I37,Potatoes!I37,Pumpkin!L37) + SUM(Radishes!I37,Romaine!I37,Spinach!I37,Squash!I37,SweetPotatoes!M37,Tomatoes!I37,TurnipGreens!K37)</f>
        <v>163.9204476485373</v>
      </c>
    </row>
    <row r="29" spans="1:9" ht="12" customHeight="1" x14ac:dyDescent="0.2">
      <c r="A29" s="3" t="s">
        <v>30</v>
      </c>
      <c r="B29" s="21">
        <v>253.49299999999999</v>
      </c>
      <c r="C29" s="114">
        <f>SUM(Artichokes!C38, Asparagus!C38, LimaBeans!C38, SnapBeans!C38,Broccoli!C38,BrusselsSprouts!C38,Cabbage!C38,Carrots!C38,Cauliflower!C38,Celery!C38,Collards!C38,SweetCorn!C38,Cucumbers!C38,Eggplant!C38,Escarole!C38,Garlic!C38,HeadLettuce!C38,Kale!C38,Mushrooms!C38,MustardGreens!C38,Onions!C38,Okra!C38,Peppers!C38,Potatoes!C38,Pumpkin!C38) + SUM(Radishes!C38,Romaine!C38,Spinach!C38,Squash!C38,SweetPotatoes!C38,Tomatoes!C38,TurnipGreens!C38)</f>
        <v>44772.657758879999</v>
      </c>
      <c r="D29" s="114">
        <f>SUM(Artichokes!D38, Asparagus!D38, LimaBeans!D38, SnapBeans!D38,Broccoli!D38,BrusselsSprouts!D38,Cabbage!D38,Carrots!D38,Cauliflower!D38,Celery!D38,Collards!D38,SweetCorn!D38,Cucumbers!D38,Eggplant!D38,Escarole!D38,Garlic!D38,HeadLettuce!D38,Kale!D38,Mushrooms!D38,MustardGreens!D38,Onions!D38,Okra!D38,Peppers!D38,Potatoes!D38,Pumpkin!D38) + SUM(Radishes!D38,Romaine!D38,Spinach!D38,Squash!D38,SweetPotatoes!D38,Tomatoes!D38,TurnipGreens!D38)</f>
        <v>3753.9639695219998</v>
      </c>
      <c r="E29" s="114">
        <f>SUM(Artichokes!E38, Asparagus!E38, LimaBeans!E38, SnapBeans!E38,Broccoli!E38,BrusselsSprouts!F38,Cabbage!E38,Carrots!E38,Cauliflower!E38,Celery!E38,Collards!F38,SweetCorn!E38,Cucumbers!E38,Eggplant!E38,Escarole!E38,Garlic!E38,HeadLettuce!E38,Kale!F38,Mushrooms!E38,MustardGreens!F38,Onions!F38,Okra!F38,Peppers!E38,Potatoes!E38,Pumpkin!F38) + SUM(Radishes!E38,Romaine!E38,Spinach!E38,Squash!E38,SweetPotatoes!F38,Tomatoes!E38,TurnipGreens!F38)</f>
        <v>49486.447868402</v>
      </c>
      <c r="F29" s="114">
        <f>SUM(Artichokes!F38, Asparagus!F38, LimaBeans!F38, SnapBeans!F38,Broccoli!F38,BrusselsSprouts!G38,Cabbage!F38,Carrots!F38,Cauliflower!F38,Celery!F38,Collards!G38,SweetCorn!F38,Cucumbers!F38,Eggplant!F38,Escarole!F38,Garlic!F38,HeadLettuce!F38,Kale!G38,Mushrooms!F38,MustardGreens!G38,Onions!G38,Okra!G38,Peppers!F38,Potatoes!F38,Pumpkin!G38) + SUM(Radishes!F38,Romaine!F38,Spinach!F38,Squash!F38,SweetPotatoes!G38,Tomatoes!F38,TurnipGreens!G38)</f>
        <v>3070.8918450055003</v>
      </c>
      <c r="G29" s="114">
        <f>SUM(Artichokes!G38, Asparagus!G38, LimaBeans!G38, SnapBeans!G38,Broccoli!G38,BrusselsSprouts!I38,Cabbage!H38,Carrots!G38,Cauliflower!G38,Celery!G38,Collards!I38,SweetCorn!G38,Cucumbers!G38,Eggplant!G38,Escarole!G38,Garlic!H38,HeadLettuce!G38,Kale!I38,Mushrooms!G38,MustardGreens!I38,Onions!J38,Okra!I38,Peppers!G38,Potatoes!G38,Pumpkin!J38) + SUM(Radishes!G38,Romaine!G38,Spinach!G38,Squash!G38,SweetPotatoes!K38,Tomatoes!G38,TurnipGreens!I38)</f>
        <v>44666.803325508496</v>
      </c>
      <c r="H29" s="7">
        <f>SUM(Artichokes!H38,Asparagus!H38,LimaBeans!H38,SnapBeans!H38,Broccoli!H38,BrusselsSprouts!J38,Cabbage!I38,Carrots!H38,Cauliflower!H38,Celery!H38,Collards!J38,SweetCorn!H38,Cucumbers!H38,Eggplant!H38,Escarole!H38,Garlic!I38,HeadLettuce!H38,Kale!J38,Mushrooms!H38,MustardGreens!J38,Onions!K38,Okra!J38,Peppers!H38,Potatoes!H38,Pumpkin!K38) + SUM(Radishes!H38,Romaine!H38,Spinach!H38,Squash!H38,SweetPotatoes!L38,Tomatoes!H38,TurnipGreens!J38)</f>
        <v>176.21761497202868</v>
      </c>
      <c r="I29" s="7">
        <f>SUM(Artichokes!I38, Asparagus!I38, LimaBeans!I38, SnapBeans!I38,Broccoli!I38,BrusselsSprouts!K38,Cabbage!J38,Carrots!I38,Cauliflower!I38,Celery!I38,Collards!K38,SweetCorn!I38,Cucumbers!I38,Eggplant!I38,Escarole!I38,Garlic!J38,HeadLettuce!I38,Kale!K38,Mushrooms!I38,MustardGreens!K38,Onions!L38,Okra!K38,Peppers!I38,Potatoes!I38,Pumpkin!L38) + SUM(Radishes!I38,Romaine!I38,Spinach!I38,Squash!I38,SweetPotatoes!M38,Tomatoes!I38,TurnipGreens!K38)</f>
        <v>163.83529359159488</v>
      </c>
    </row>
    <row r="30" spans="1:9" ht="12" customHeight="1" x14ac:dyDescent="0.2">
      <c r="A30" s="3" t="s">
        <v>31</v>
      </c>
      <c r="B30" s="21">
        <v>256.89400000000001</v>
      </c>
      <c r="C30" s="114">
        <f>SUM(Artichokes!C39, Asparagus!C39, LimaBeans!C39, SnapBeans!C39,Broccoli!C39,BrusselsSprouts!C39,Cabbage!C39,Carrots!C39,Cauliflower!C39,Celery!C39,Collards!C39,SweetCorn!C39,Cucumbers!C39,Eggplant!C39,Escarole!C39,Garlic!C39,HeadLettuce!C39,Kale!C39,Mushrooms!C39,MustardGreens!C39,Onions!C39,Okra!C39,Peppers!C39,Potatoes!C39,Pumpkin!C39) + SUM(Radishes!C39,Romaine!C39,Spinach!C39,Squash!C39,SweetPotatoes!C39,Tomatoes!C39,TurnipGreens!C39)</f>
        <v>47398.298908000004</v>
      </c>
      <c r="D30" s="114">
        <f>SUM(Artichokes!D39, Asparagus!D39, LimaBeans!D39, SnapBeans!D39,Broccoli!D39,BrusselsSprouts!D39,Cabbage!D39,Carrots!D39,Cauliflower!D39,Celery!D39,Collards!D39,SweetCorn!D39,Cucumbers!D39,Eggplant!D39,Escarole!D39,Garlic!D39,HeadLettuce!D39,Kale!D39,Mushrooms!D39,MustardGreens!D39,Onions!D39,Okra!D39,Peppers!D39,Potatoes!D39,Pumpkin!D39) + SUM(Radishes!D39,Romaine!D39,Spinach!D39,Squash!D39,SweetPotatoes!D39,Tomatoes!D39,TurnipGreens!D39)</f>
        <v>3216.2809422017008</v>
      </c>
      <c r="E30" s="114">
        <f>SUM(Artichokes!E39, Asparagus!E39, LimaBeans!E39, SnapBeans!E39,Broccoli!E39,BrusselsSprouts!F39,Cabbage!E39,Carrots!E39,Cauliflower!E39,Celery!E39,Collards!F39,SweetCorn!E39,Cucumbers!E39,Eggplant!E39,Escarole!E39,Garlic!E39,HeadLettuce!E39,Kale!F39,Mushrooms!E39,MustardGreens!F39,Onions!F39,Okra!F39,Peppers!E39,Potatoes!E39,Pumpkin!F39) + SUM(Radishes!E39,Romaine!E39,Spinach!E39,Squash!E39,SweetPotatoes!F39,Tomatoes!E39,TurnipGreens!F39)</f>
        <v>51610.518590201704</v>
      </c>
      <c r="F30" s="114">
        <f>SUM(Artichokes!F39, Asparagus!F39, LimaBeans!F39, SnapBeans!F39,Broccoli!F39,BrusselsSprouts!G39,Cabbage!F39,Carrots!F39,Cauliflower!F39,Celery!F39,Collards!G39,SweetCorn!F39,Cucumbers!F39,Eggplant!F39,Escarole!F39,Garlic!F39,HeadLettuce!F39,Kale!G39,Mushrooms!F39,MustardGreens!G39,Onions!G39,Okra!G39,Peppers!F39,Potatoes!F39,Pumpkin!G39) + SUM(Radishes!F39,Romaine!F39,Spinach!F39,Squash!F39,SweetPotatoes!G39,Tomatoes!F39,TurnipGreens!G39)</f>
        <v>3494.7864539908005</v>
      </c>
      <c r="G30" s="114">
        <f>SUM(Artichokes!G39, Asparagus!G39, LimaBeans!G39, SnapBeans!G39,Broccoli!G39,BrusselsSprouts!I39,Cabbage!H39,Carrots!G39,Cauliflower!G39,Celery!G39,Collards!I39,SweetCorn!G39,Cucumbers!G39,Eggplant!G39,Escarole!G39,Garlic!H39,HeadLettuce!G39,Kale!I39,Mushrooms!G39,MustardGreens!I39,Onions!J39,Okra!I39,Peppers!G39,Potatoes!G39,Pumpkin!J39) + SUM(Radishes!G39,Romaine!G39,Spinach!G39,Squash!G39,SweetPotatoes!K39,Tomatoes!G39,TurnipGreens!I39)</f>
        <v>46176.827108744241</v>
      </c>
      <c r="H30" s="7">
        <f>SUM(Artichokes!H39,Asparagus!H39,LimaBeans!H39,SnapBeans!H39,Broccoli!H39,BrusselsSprouts!J39,Cabbage!I39,Carrots!H39,Cauliflower!H39,Celery!H39,Collards!J39,SweetCorn!H39,Cucumbers!H39,Eggplant!H39,Escarole!H39,Garlic!I39,HeadLettuce!H39,Kale!J39,Mushrooms!H39,MustardGreens!J39,Onions!K39,Okra!J39,Peppers!H39,Potatoes!H39,Pumpkin!K39) + SUM(Radishes!H39,Romaine!H39,Spinach!H39,Squash!H39,SweetPotatoes!L39,Tomatoes!H39,TurnipGreens!J39)</f>
        <v>179.76366224887448</v>
      </c>
      <c r="I30" s="7">
        <f>SUM(Artichokes!I39, Asparagus!I39, LimaBeans!I39, SnapBeans!I39,Broccoli!I39,BrusselsSprouts!K39,Cabbage!J39,Carrots!I39,Cauliflower!I39,Celery!I39,Collards!K39,SweetCorn!I39,Cucumbers!I39,Eggplant!I39,Escarole!I39,Garlic!J39,HeadLettuce!I39,Kale!K39,Mushrooms!I39,MustardGreens!K39,Onions!L39,Okra!K39,Peppers!I39,Potatoes!I39,Pumpkin!L39) + SUM(Radishes!I39,Romaine!I39,Spinach!I39,Squash!I39,SweetPotatoes!M39,Tomatoes!I39,TurnipGreens!K39)</f>
        <v>167.07206769346897</v>
      </c>
    </row>
    <row r="31" spans="1:9" ht="12" customHeight="1" x14ac:dyDescent="0.2">
      <c r="A31" s="3" t="s">
        <v>32</v>
      </c>
      <c r="B31" s="21">
        <v>260.255</v>
      </c>
      <c r="C31" s="114">
        <f>SUM(Artichokes!C40, Asparagus!C40, LimaBeans!C40, SnapBeans!C40,Broccoli!C40,BrusselsSprouts!C40,Cabbage!C40,Carrots!C40,Cauliflower!C40,Celery!C40,Collards!C40,SweetCorn!C40,Cucumbers!C40,Eggplant!C40,Escarole!C40,Garlic!C40,HeadLettuce!C40,Kale!C40,Mushrooms!C40,MustardGreens!C40,Onions!C40,Okra!C40,Peppers!C40,Potatoes!C40,Pumpkin!C40) + SUM(Radishes!C40,Romaine!C40,Spinach!C40,Squash!C40,SweetPotatoes!C40,Tomatoes!C40,TurnipGreens!C40)</f>
        <v>48971.460008479997</v>
      </c>
      <c r="D31" s="114">
        <f>SUM(Artichokes!D40, Asparagus!D40, LimaBeans!D40, SnapBeans!D40,Broccoli!D40,BrusselsSprouts!D40,Cabbage!D40,Carrots!D40,Cauliflower!D40,Celery!D40,Collards!D40,SweetCorn!D40,Cucumbers!D40,Eggplant!D40,Escarole!D40,Garlic!D40,HeadLettuce!D40,Kale!D40,Mushrooms!D40,MustardGreens!D40,Onions!D40,Okra!D40,Peppers!D40,Potatoes!D40,Pumpkin!D40) + SUM(Radishes!D40,Romaine!D40,Spinach!D40,Squash!D40,SweetPotatoes!D40,Tomatoes!D40,TurnipGreens!D40)</f>
        <v>4389.8967201657006</v>
      </c>
      <c r="E31" s="114">
        <f>SUM(Artichokes!E40, Asparagus!E40, LimaBeans!E40, SnapBeans!E40,Broccoli!E40,BrusselsSprouts!F40,Cabbage!E40,Carrots!E40,Cauliflower!E40,Celery!E40,Collards!F40,SweetCorn!E40,Cucumbers!E40,Eggplant!E40,Escarole!E40,Garlic!E40,HeadLettuce!E40,Kale!F40,Mushrooms!E40,MustardGreens!F40,Onions!F40,Okra!F40,Peppers!E40,Potatoes!E40,Pumpkin!F40) + SUM(Radishes!E40,Romaine!E40,Spinach!E40,Squash!E40,SweetPotatoes!F40,Tomatoes!E40,TurnipGreens!F40)</f>
        <v>54362.877948645699</v>
      </c>
      <c r="F31" s="114">
        <f>SUM(Artichokes!F40, Asparagus!F40, LimaBeans!F40, SnapBeans!F40,Broccoli!F40,BrusselsSprouts!G40,Cabbage!F40,Carrots!F40,Cauliflower!F40,Celery!F40,Collards!G40,SweetCorn!F40,Cucumbers!F40,Eggplant!F40,Escarole!F40,Garlic!F40,HeadLettuce!F40,Kale!G40,Mushrooms!F40,MustardGreens!G40,Onions!G40,Okra!G40,Peppers!F40,Potatoes!F40,Pumpkin!G40) + SUM(Radishes!F40,Romaine!F40,Spinach!F40,Squash!F40,SweetPotatoes!G40,Tomatoes!F40,TurnipGreens!G40)</f>
        <v>3543.1411916626998</v>
      </c>
      <c r="G31" s="114">
        <f>SUM(Artichokes!G40, Asparagus!G40, LimaBeans!G40, SnapBeans!G40,Broccoli!G40,BrusselsSprouts!I40,Cabbage!H40,Carrots!G40,Cauliflower!G40,Celery!G40,Collards!I40,SweetCorn!G40,Cucumbers!G40,Eggplant!G40,Escarole!G40,Garlic!H40,HeadLettuce!G40,Kale!I40,Mushrooms!G40,MustardGreens!I40,Onions!J40,Okra!I40,Peppers!G40,Potatoes!G40,Pumpkin!J40) + SUM(Radishes!G40,Romaine!G40,Spinach!G40,Squash!G40,SweetPotatoes!K40,Tomatoes!G40,TurnipGreens!I40)</f>
        <v>48848.422543912777</v>
      </c>
      <c r="H31" s="7">
        <f>SUM(Artichokes!H40,Asparagus!H40,LimaBeans!H40,SnapBeans!H40,Broccoli!H40,BrusselsSprouts!J40,Cabbage!I40,Carrots!H40,Cauliflower!H40,Celery!H40,Collards!J40,SweetCorn!H40,Cucumbers!H40,Eggplant!H40,Escarole!H40,Garlic!I40,HeadLettuce!H40,Kale!J40,Mushrooms!H40,MustardGreens!J40,Onions!K40,Okra!J40,Peppers!H40,Potatoes!H40,Pumpkin!K40) + SUM(Radishes!H40,Romaine!H40,Spinach!H40,Squash!H40,SweetPotatoes!L40,Tomatoes!H40,TurnipGreens!J40)</f>
        <v>187.7065634725964</v>
      </c>
      <c r="I31" s="7">
        <f>SUM(Artichokes!I40, Asparagus!I40, LimaBeans!I40, SnapBeans!I40,Broccoli!I40,BrusselsSprouts!K40,Cabbage!J40,Carrots!I40,Cauliflower!I40,Celery!I40,Collards!K40,SweetCorn!I40,Cucumbers!I40,Eggplant!I40,Escarole!I40,Garlic!J40,HeadLettuce!I40,Kale!K40,Mushrooms!I40,MustardGreens!K40,Onions!L40,Okra!K40,Peppers!I40,Potatoes!I40,Pumpkin!L40) + SUM(Radishes!I40,Romaine!I40,Spinach!I40,Squash!I40,SweetPotatoes!M40,Tomatoes!I40,TurnipGreens!K40)</f>
        <v>174.49847459696571</v>
      </c>
    </row>
    <row r="32" spans="1:9" ht="12" customHeight="1" x14ac:dyDescent="0.2">
      <c r="A32" s="3" t="s">
        <v>33</v>
      </c>
      <c r="B32" s="21">
        <v>263.43599999999998</v>
      </c>
      <c r="C32" s="114">
        <f>SUM(Artichokes!C41, Asparagus!C41, LimaBeans!C41, SnapBeans!C41,Broccoli!C41,BrusselsSprouts!C41,Cabbage!C41,Carrots!C41,Cauliflower!C41,Celery!C41,Collards!C41,SweetCorn!C41,Cucumbers!C41,Eggplant!C41,Escarole!C41,Garlic!C41,HeadLettuce!C41,Kale!C41,Mushrooms!C41,MustardGreens!C41,Onions!C41,Okra!C41,Peppers!C41,Potatoes!C41,Pumpkin!C41) + SUM(Radishes!C41,Romaine!C41,Spinach!C41,Squash!C41,SweetPotatoes!C41,Tomatoes!C41,TurnipGreens!C41)</f>
        <v>51989.5481736</v>
      </c>
      <c r="D32" s="114">
        <f>SUM(Artichokes!D41, Asparagus!D41, LimaBeans!D41, SnapBeans!D41,Broccoli!D41,BrusselsSprouts!D41,Cabbage!D41,Carrots!D41,Cauliflower!D41,Celery!D41,Collards!D41,SweetCorn!D41,Cucumbers!D41,Eggplant!D41,Escarole!D41,Garlic!D41,HeadLettuce!D41,Kale!D41,Mushrooms!D41,MustardGreens!D41,Onions!D41,Okra!D41,Peppers!D41,Potatoes!D41,Pumpkin!D41) + SUM(Radishes!D41,Romaine!D41,Spinach!D41,Squash!D41,SweetPotatoes!D41,Tomatoes!D41,TurnipGreens!D41)</f>
        <v>4265.5911790016007</v>
      </c>
      <c r="E32" s="114">
        <f>SUM(Artichokes!E41, Asparagus!E41, LimaBeans!E41, SnapBeans!E41,Broccoli!E41,BrusselsSprouts!F41,Cabbage!E41,Carrots!E41,Cauliflower!E41,Celery!E41,Collards!F41,SweetCorn!E41,Cucumbers!E41,Eggplant!E41,Escarole!E41,Garlic!E41,HeadLettuce!E41,Kale!F41,Mushrooms!E41,MustardGreens!F41,Onions!F41,Okra!F41,Peppers!E41,Potatoes!E41,Pumpkin!F41) + SUM(Radishes!E41,Romaine!E41,Spinach!E41,Squash!E41,SweetPotatoes!F41,Tomatoes!E41,TurnipGreens!F41)</f>
        <v>57075.921732601608</v>
      </c>
      <c r="F32" s="114">
        <f>SUM(Artichokes!F41, Asparagus!F41, LimaBeans!F41, SnapBeans!F41,Broccoli!F41,BrusselsSprouts!G41,Cabbage!F41,Carrots!F41,Cauliflower!F41,Celery!F41,Collards!G41,SweetCorn!F41,Cucumbers!F41,Eggplant!F41,Escarole!F41,Garlic!F41,HeadLettuce!F41,Kale!G41,Mushrooms!F41,MustardGreens!G41,Onions!G41,Okra!G41,Peppers!F41,Potatoes!F41,Pumpkin!G41) + SUM(Radishes!F41,Romaine!F41,Spinach!F41,Squash!F41,SweetPotatoes!G41,Tomatoes!F41,TurnipGreens!G41)</f>
        <v>4039.7728322789003</v>
      </c>
      <c r="G32" s="114">
        <f>SUM(Artichokes!G41, Asparagus!G41, LimaBeans!G41, SnapBeans!G41,Broccoli!G41,BrusselsSprouts!I41,Cabbage!H41,Carrots!G41,Cauliflower!G41,Celery!G41,Collards!I41,SweetCorn!G41,Cucumbers!G41,Eggplant!G41,Escarole!G41,Garlic!H41,HeadLettuce!G41,Kale!I41,Mushrooms!G41,MustardGreens!I41,Onions!J41,Okra!I41,Peppers!G41,Potatoes!G41,Pumpkin!J41) + SUM(Radishes!G41,Romaine!G41,Spinach!G41,Squash!G41,SweetPotatoes!K41,Tomatoes!G41,TurnipGreens!I41)</f>
        <v>50896.903031851594</v>
      </c>
      <c r="H32" s="7">
        <f>SUM(Artichokes!H41,Asparagus!H41,LimaBeans!H41,SnapBeans!H41,Broccoli!H41,BrusselsSprouts!J41,Cabbage!I41,Carrots!H41,Cauliflower!H41,Celery!H41,Collards!J41,SweetCorn!H41,Cucumbers!H41,Eggplant!H41,Escarole!H41,Garlic!I41,HeadLettuce!H41,Kale!J41,Mushrooms!H41,MustardGreens!J41,Onions!K41,Okra!J41,Peppers!H41,Potatoes!H41,Pumpkin!K41) + SUM(Radishes!H41,Romaine!H41,Spinach!H41,Squash!H41,SweetPotatoes!L41,Tomatoes!H41,TurnipGreens!J41)</f>
        <v>193.21582843529438</v>
      </c>
      <c r="I32" s="7">
        <f>SUM(Artichokes!I41, Asparagus!I41, LimaBeans!I41, SnapBeans!I41,Broccoli!I41,BrusselsSprouts!K41,Cabbage!J41,Carrots!I41,Cauliflower!I41,Celery!I41,Collards!K41,SweetCorn!I41,Cucumbers!I41,Eggplant!I41,Escarole!I41,Garlic!J41,HeadLettuce!I41,Kale!K41,Mushrooms!I41,MustardGreens!K41,Onions!L41,Okra!K41,Peppers!I41,Potatoes!I41,Pumpkin!L41) + SUM(Radishes!I41,Romaine!I41,Spinach!I41,Squash!I41,SweetPotatoes!M41,Tomatoes!I41,TurnipGreens!K41)</f>
        <v>179.61953334744146</v>
      </c>
    </row>
    <row r="33" spans="1:9" ht="12" customHeight="1" x14ac:dyDescent="0.2">
      <c r="A33" s="3" t="s">
        <v>34</v>
      </c>
      <c r="B33" s="21">
        <v>266.55700000000002</v>
      </c>
      <c r="C33" s="114">
        <f>SUM(Artichokes!C42, Asparagus!C42, LimaBeans!C42, SnapBeans!C42,Broccoli!C42,BrusselsSprouts!C42,Cabbage!C42,Carrots!C42,Cauliflower!C42,Celery!C42,Collards!C42,SweetCorn!C42,Cucumbers!C42,Eggplant!C42,Escarole!C42,Garlic!C42,HeadLettuce!C42,Kale!C42,Mushrooms!C42,MustardGreens!C42,Onions!C42,Okra!C42,Peppers!C42,Potatoes!C42,Pumpkin!C42) + SUM(Radishes!C42,Romaine!C42,Spinach!C42,Squash!C42,SweetPotatoes!C42,Tomatoes!C42,TurnipGreens!C42)</f>
        <v>49872.826467680003</v>
      </c>
      <c r="D33" s="114">
        <f>SUM(Artichokes!D42, Asparagus!D42, LimaBeans!D42, SnapBeans!D42,Broccoli!D42,BrusselsSprouts!D42,Cabbage!D42,Carrots!D42,Cauliflower!D42,Celery!D42,Collards!D42,SweetCorn!D42,Cucumbers!D42,Eggplant!D42,Escarole!D42,Garlic!D42,HeadLettuce!D42,Kale!D42,Mushrooms!D42,MustardGreens!D42,Onions!D42,Okra!D42,Peppers!D42,Potatoes!D42,Pumpkin!D42) + SUM(Radishes!D42,Romaine!D42,Spinach!D42,Squash!D42,SweetPotatoes!D42,Tomatoes!D42,TurnipGreens!D42)</f>
        <v>5038.5642702293007</v>
      </c>
      <c r="E33" s="114">
        <f>SUM(Artichokes!E42, Asparagus!E42, LimaBeans!E42, SnapBeans!E42,Broccoli!E42,BrusselsSprouts!F42,Cabbage!E42,Carrots!E42,Cauliflower!E42,Celery!E42,Collards!F42,SweetCorn!E42,Cucumbers!E42,Eggplant!E42,Escarole!E42,Garlic!E42,HeadLettuce!E42,Kale!F42,Mushrooms!E42,MustardGreens!F42,Onions!F42,Okra!F42,Peppers!E42,Potatoes!E42,Pumpkin!F42) + SUM(Radishes!E42,Romaine!E42,Spinach!E42,Squash!E42,SweetPotatoes!F42,Tomatoes!E42,TurnipGreens!F42)</f>
        <v>56065.730117909297</v>
      </c>
      <c r="F33" s="114">
        <f>SUM(Artichokes!F42, Asparagus!F42, LimaBeans!F42, SnapBeans!F42,Broccoli!F42,BrusselsSprouts!G42,Cabbage!F42,Carrots!F42,Cauliflower!F42,Celery!F42,Collards!G42,SweetCorn!F42,Cucumbers!F42,Eggplant!F42,Escarole!F42,Garlic!F42,HeadLettuce!F42,Kale!G42,Mushrooms!F42,MustardGreens!G42,Onions!G42,Okra!G42,Peppers!F42,Potatoes!F42,Pumpkin!G42) + SUM(Radishes!F42,Romaine!F42,Spinach!F42,Squash!F42,SweetPotatoes!G42,Tomatoes!F42,TurnipGreens!G42)</f>
        <v>3789.6780171859004</v>
      </c>
      <c r="G33" s="114">
        <f>SUM(Artichokes!G42, Asparagus!G42, LimaBeans!G42, SnapBeans!G42,Broccoli!G42,BrusselsSprouts!I42,Cabbage!H42,Carrots!G42,Cauliflower!G42,Celery!G42,Collards!I42,SweetCorn!G42,Cucumbers!G42,Eggplant!G42,Escarole!G42,Garlic!H42,HeadLettuce!G42,Kale!I42,Mushrooms!G42,MustardGreens!I42,Onions!J42,Okra!I42,Peppers!G42,Potatoes!G42,Pumpkin!J42) + SUM(Radishes!G42,Romaine!G42,Spinach!G42,Squash!G42,SweetPotatoes!K42,Tomatoes!G42,TurnipGreens!I42)</f>
        <v>50122.409666868974</v>
      </c>
      <c r="H33" s="7">
        <f>SUM(Artichokes!H42,Asparagus!H42,LimaBeans!H42,SnapBeans!H42,Broccoli!H42,BrusselsSprouts!J42,Cabbage!I42,Carrots!H42,Cauliflower!H42,Celery!H42,Collards!J42,SweetCorn!H42,Cucumbers!H42,Eggplant!H42,Escarole!H42,Garlic!I42,HeadLettuce!H42,Kale!J42,Mushrooms!H42,MustardGreens!J42,Onions!K42,Okra!J42,Peppers!H42,Potatoes!H42,Pumpkin!K42) + SUM(Radishes!H42,Romaine!H42,Spinach!H42,Squash!H42,SweetPotatoes!L42,Tomatoes!H42,TurnipGreens!J42)</f>
        <v>188.04798751581694</v>
      </c>
      <c r="I33" s="7">
        <f>SUM(Artichokes!I42, Asparagus!I42, LimaBeans!I42, SnapBeans!I42,Broccoli!I42,BrusselsSprouts!K42,Cabbage!J42,Carrots!I42,Cauliflower!I42,Celery!I42,Collards!K42,SweetCorn!I42,Cucumbers!I42,Eggplant!I42,Escarole!I42,Garlic!J42,HeadLettuce!I42,Kale!K42,Mushrooms!I42,MustardGreens!K42,Onions!L42,Okra!K42,Peppers!I42,Potatoes!I42,Pumpkin!L42) + SUM(Radishes!I42,Romaine!I42,Spinach!I42,Squash!I42,SweetPotatoes!M42,Tomatoes!I42,TurnipGreens!K42)</f>
        <v>174.70032850355719</v>
      </c>
    </row>
    <row r="34" spans="1:9" ht="12" customHeight="1" x14ac:dyDescent="0.2">
      <c r="A34" s="2" t="s">
        <v>35</v>
      </c>
      <c r="B34" s="20">
        <v>269.66699999999997</v>
      </c>
      <c r="C34" s="113">
        <f>SUM(Artichokes!C43, Asparagus!C43, LimaBeans!C43, SnapBeans!C43,Broccoli!C43,BrusselsSprouts!C43,Cabbage!C43,Carrots!C43,Cauliflower!C43,Celery!C43,Collards!C43,SweetCorn!C43,Cucumbers!C43,Eggplant!C43,Escarole!C43,Garlic!C43,HeadLettuce!C43,Kale!C43,Mushrooms!C43,MustardGreens!C43,Onions!C43,Okra!C43,Peppers!C43,Potatoes!C43,Pumpkin!C43) + SUM(Radishes!C43,Romaine!C43,Spinach!C43,Squash!C43,SweetPotatoes!C43,Tomatoes!C43,TurnipGreens!C43)</f>
        <v>50894.737260000002</v>
      </c>
      <c r="D34" s="113">
        <f>SUM(Artichokes!D43, Asparagus!D43, LimaBeans!D43, SnapBeans!D43,Broccoli!D43,BrusselsSprouts!D43,Cabbage!D43,Carrots!D43,Cauliflower!D43,Celery!D43,Collards!D43,SweetCorn!D43,Cucumbers!D43,Eggplant!D43,Escarole!D43,Garlic!D43,HeadLettuce!D43,Kale!D43,Mushrooms!D43,MustardGreens!D43,Onions!D43,Okra!D43,Peppers!D43,Potatoes!D43,Pumpkin!D43) + SUM(Radishes!D43,Romaine!D43,Spinach!D43,Squash!D43,SweetPotatoes!D43,Tomatoes!D43,TurnipGreens!D43)</f>
        <v>6051.1463899968003</v>
      </c>
      <c r="E34" s="113">
        <f>SUM(Artichokes!E43, Asparagus!E43, LimaBeans!E43, SnapBeans!E43,Broccoli!E43,BrusselsSprouts!F43,Cabbage!E43,Carrots!E43,Cauliflower!E43,Celery!E43,Collards!F43,SweetCorn!E43,Cucumbers!E43,Eggplant!E43,Escarole!E43,Garlic!E43,HeadLettuce!E43,Kale!F43,Mushrooms!E43,MustardGreens!F43,Onions!F43,Okra!F43,Peppers!E43,Potatoes!E43,Pumpkin!F43) + SUM(Radishes!E43,Romaine!E43,Spinach!E43,Squash!E43,SweetPotatoes!F43,Tomatoes!E43,TurnipGreens!F43)</f>
        <v>58017.129369996794</v>
      </c>
      <c r="F34" s="113">
        <f>SUM(Artichokes!F43, Asparagus!F43, LimaBeans!F43, SnapBeans!F43,Broccoli!F43,BrusselsSprouts!G43,Cabbage!F43,Carrots!F43,Cauliflower!F43,Celery!F43,Collards!G43,SweetCorn!F43,Cucumbers!F43,Eggplant!F43,Escarole!F43,Garlic!F43,HeadLettuce!F43,Kale!G43,Mushrooms!F43,MustardGreens!G43,Onions!G43,Okra!G43,Peppers!F43,Potatoes!F43,Pumpkin!G43) + SUM(Radishes!F43,Romaine!F43,Spinach!F43,Squash!F43,SweetPotatoes!G43,Tomatoes!F43,TurnipGreens!G43)</f>
        <v>3837.4682607957993</v>
      </c>
      <c r="G34" s="113">
        <f>SUM(Artichokes!G43, Asparagus!G43, LimaBeans!G43, SnapBeans!G43,Broccoli!G43,BrusselsSprouts!I43,Cabbage!H43,Carrots!G43,Cauliflower!G43,Celery!G43,Collards!I43,SweetCorn!G43,Cucumbers!G43,Eggplant!G43,Escarole!G43,Garlic!H43,HeadLettuce!G43,Kale!I43,Mushrooms!G43,MustardGreens!I43,Onions!J43,Okra!I43,Peppers!G43,Potatoes!G43,Pumpkin!J43) + SUM(Radishes!G43,Romaine!G43,Spinach!G43,Squash!G43,SweetPotatoes!K43,Tomatoes!G43,TurnipGreens!I43)</f>
        <v>52070.889751653682</v>
      </c>
      <c r="H34" s="6">
        <f>SUM(Artichokes!H43,Asparagus!H43,LimaBeans!H43,SnapBeans!H43,Broccoli!H43,BrusselsSprouts!J43,Cabbage!I43,Carrots!H43,Cauliflower!H43,Celery!H43,Collards!J43,SweetCorn!H43,Cucumbers!H43,Eggplant!H43,Escarole!H43,Garlic!I43,HeadLettuce!H43,Kale!J43,Mushrooms!H43,MustardGreens!J43,Onions!K43,Okra!J43,Peppers!H43,Potatoes!H43,Pumpkin!K43) + SUM(Radishes!H43,Romaine!H43,Spinach!H43,Squash!H43,SweetPotatoes!L43,Tomatoes!H43,TurnipGreens!J43)</f>
        <v>193.10512130563717</v>
      </c>
      <c r="I34" s="6">
        <f>SUM(Artichokes!I43, Asparagus!I43, LimaBeans!I43, SnapBeans!I43,Broccoli!I43,BrusselsSprouts!K43,Cabbage!J43,Carrots!I43,Cauliflower!I43,Celery!I43,Collards!K43,SweetCorn!I43,Cucumbers!I43,Eggplant!I43,Escarole!I43,Garlic!J43,HeadLettuce!I43,Kale!K43,Mushrooms!I43,MustardGreens!K43,Onions!L43,Okra!K43,Peppers!I43,Potatoes!I43,Pumpkin!L43) + SUM(Radishes!I43,Romaine!I43,Spinach!I43,Squash!I43,SweetPotatoes!M43,Tomatoes!I43,TurnipGreens!K43)</f>
        <v>179.35909272823767</v>
      </c>
    </row>
    <row r="35" spans="1:9" ht="12" customHeight="1" x14ac:dyDescent="0.2">
      <c r="A35" s="2" t="s">
        <v>36</v>
      </c>
      <c r="B35" s="20">
        <v>272.91199999999998</v>
      </c>
      <c r="C35" s="113">
        <f>SUM(Artichokes!C44, Asparagus!C44, LimaBeans!C44, SnapBeans!C44,Broccoli!C44,BrusselsSprouts!C44,Cabbage!C44,Carrots!C44,Cauliflower!C44,Celery!C44,Collards!C44,SweetCorn!C44,Cucumbers!C44,Eggplant!C44,Escarole!C44,Garlic!C44,HeadLettuce!C44,Kale!C44,Mushrooms!C44,MustardGreens!C44,Onions!C44,Okra!C44,Peppers!C44,Potatoes!C44,Pumpkin!C44) + SUM(Radishes!C44,Romaine!C44,Spinach!C44,Squash!C44,SweetPotatoes!C44,Tomatoes!C44,TurnipGreens!C44)</f>
        <v>53665.9758592</v>
      </c>
      <c r="D35" s="113">
        <f>SUM(Artichokes!D44, Asparagus!D44, LimaBeans!D44, SnapBeans!D44,Broccoli!D44,BrusselsSprouts!D44,Cabbage!D44,Carrots!D44,Cauliflower!D44,Celery!D44,Collards!D44,SweetCorn!D44,Cucumbers!D44,Eggplant!D44,Escarole!D44,Garlic!D44,HeadLettuce!D44,Kale!D44,Mushrooms!D44,MustardGreens!D44,Onions!D44,Okra!D44,Peppers!D44,Potatoes!D44,Pumpkin!D44) + SUM(Radishes!D44,Romaine!D44,Spinach!D44,Squash!D44,SweetPotatoes!D44,Tomatoes!D44,TurnipGreens!D44)</f>
        <v>5889.9765652729002</v>
      </c>
      <c r="E35" s="113">
        <f>SUM(Artichokes!E44, Asparagus!E44, LimaBeans!E44, SnapBeans!E44,Broccoli!E44,BrusselsSprouts!F44,Cabbage!E44,Carrots!E44,Cauliflower!E44,Celery!E44,Collards!F44,SweetCorn!E44,Cucumbers!E44,Eggplant!E44,Escarole!E44,Garlic!E44,HeadLettuce!E44,Kale!F44,Mushrooms!E44,MustardGreens!F44,Onions!F44,Okra!F44,Peppers!E44,Potatoes!E44,Pumpkin!F44) + SUM(Radishes!E44,Romaine!E44,Spinach!E44,Squash!E44,SweetPotatoes!F44,Tomatoes!E44,TurnipGreens!F44)</f>
        <v>60619.5721044729</v>
      </c>
      <c r="F35" s="113">
        <f>SUM(Artichokes!F44, Asparagus!F44, LimaBeans!F44, SnapBeans!F44,Broccoli!F44,BrusselsSprouts!G44,Cabbage!F44,Carrots!F44,Cauliflower!F44,Celery!F44,Collards!G44,SweetCorn!F44,Cucumbers!F44,Eggplant!F44,Escarole!F44,Garlic!F44,HeadLettuce!F44,Kale!G44,Mushrooms!F44,MustardGreens!G44,Onions!G44,Okra!G44,Peppers!F44,Potatoes!F44,Pumpkin!G44) + SUM(Radishes!F44,Romaine!F44,Spinach!F44,Squash!F44,SweetPotatoes!G44,Tomatoes!F44,TurnipGreens!G44)</f>
        <v>4020.5587970755996</v>
      </c>
      <c r="G35" s="113">
        <f>SUM(Artichokes!G44, Asparagus!G44, LimaBeans!G44, SnapBeans!G44,Broccoli!G44,BrusselsSprouts!I44,Cabbage!H44,Carrots!G44,Cauliflower!G44,Celery!G44,Collards!I44,SweetCorn!G44,Cucumbers!G44,Eggplant!G44,Escarole!G44,Garlic!H44,HeadLettuce!G44,Kale!I44,Mushrooms!G44,MustardGreens!I44,Onions!J44,Okra!I44,Peppers!G44,Potatoes!G44,Pumpkin!J44) + SUM(Radishes!G44,Romaine!G44,Spinach!G44,Squash!G44,SweetPotatoes!K44,Tomatoes!G44,TurnipGreens!I44)</f>
        <v>54307.333968774969</v>
      </c>
      <c r="H35" s="6">
        <f>SUM(Artichokes!H44,Asparagus!H44,LimaBeans!H44,SnapBeans!H44,Broccoli!H44,BrusselsSprouts!J44,Cabbage!I44,Carrots!H44,Cauliflower!H44,Celery!H44,Collards!J44,SweetCorn!H44,Cucumbers!H44,Eggplant!H44,Escarole!H44,Garlic!I44,HeadLettuce!H44,Kale!J44,Mushrooms!H44,MustardGreens!J44,Onions!K44,Okra!J44,Peppers!H44,Potatoes!H44,Pumpkin!K44) + SUM(Radishes!H44,Romaine!H44,Spinach!H44,Squash!H44,SweetPotatoes!L44,Tomatoes!H44,TurnipGreens!J44)</f>
        <v>199.00542137172062</v>
      </c>
      <c r="I35" s="6">
        <f>SUM(Artichokes!I44, Asparagus!I44, LimaBeans!I44, SnapBeans!I44,Broccoli!I44,BrusselsSprouts!K44,Cabbage!J44,Carrots!I44,Cauliflower!I44,Celery!I44,Collards!K44,SweetCorn!I44,Cucumbers!I44,Eggplant!I44,Escarole!I44,Garlic!J44,HeadLettuce!I44,Kale!K44,Mushrooms!I44,MustardGreens!K44,Onions!L44,Okra!K44,Peppers!I44,Potatoes!I44,Pumpkin!L44) + SUM(Radishes!I44,Romaine!I44,Spinach!I44,Squash!I44,SweetPotatoes!M44,Tomatoes!I44,TurnipGreens!K44)</f>
        <v>184.74801001269645</v>
      </c>
    </row>
    <row r="36" spans="1:9" ht="12" customHeight="1" x14ac:dyDescent="0.2">
      <c r="A36" s="2" t="s">
        <v>37</v>
      </c>
      <c r="B36" s="20">
        <v>276.11500000000001</v>
      </c>
      <c r="C36" s="113">
        <f>SUM(Artichokes!C45, Asparagus!C45, LimaBeans!C45, SnapBeans!C45,Broccoli!C45,BrusselsSprouts!C45,Cabbage!C45,Carrots!C45,Cauliflower!C45,Celery!C45,Collards!C45,SweetCorn!C45,Cucumbers!C45,Eggplant!C45,Escarole!C45,Garlic!C45,HeadLettuce!C45,Kale!C45,Mushrooms!C45,MustardGreens!C45,Onions!C45,Okra!C45,Peppers!C45,Potatoes!C45,Pumpkin!C45) + SUM(Radishes!C45,Romaine!C45,Spinach!C45,Squash!C45,SweetPotatoes!C45,Tomatoes!C45,TurnipGreens!C45)</f>
        <v>52130.433824319996</v>
      </c>
      <c r="D36" s="113">
        <f>SUM(Artichokes!D45, Asparagus!D45, LimaBeans!D45, SnapBeans!D45,Broccoli!D45,BrusselsSprouts!D45,Cabbage!D45,Carrots!D45,Cauliflower!D45,Celery!D45,Collards!D45,SweetCorn!D45,Cucumbers!D45,Eggplant!D45,Escarole!D45,Garlic!D45,HeadLettuce!D45,Kale!D45,Mushrooms!D45,MustardGreens!D45,Onions!D45,Okra!D45,Peppers!D45,Potatoes!D45,Pumpkin!D45) + SUM(Radishes!D45,Romaine!D45,Spinach!D45,Squash!D45,SweetPotatoes!D45,Tomatoes!D45,TurnipGreens!D45)</f>
        <v>7007.5521358321002</v>
      </c>
      <c r="E36" s="113">
        <f>SUM(Artichokes!E45, Asparagus!E45, LimaBeans!E45, SnapBeans!E45,Broccoli!E45,BrusselsSprouts!F45,Cabbage!E45,Carrots!E45,Cauliflower!E45,Celery!E45,Collards!F45,SweetCorn!E45,Cucumbers!E45,Eggplant!E45,Escarole!E45,Garlic!E45,HeadLettuce!E45,Kale!F45,Mushrooms!E45,MustardGreens!F45,Onions!F45,Okra!F45,Peppers!E45,Potatoes!E45,Pumpkin!F45) + SUM(Radishes!E45,Romaine!E45,Spinach!E45,Squash!E45,SweetPotatoes!F45,Tomatoes!E45,TurnipGreens!F45)</f>
        <v>60288.750400152101</v>
      </c>
      <c r="F36" s="113">
        <f>SUM(Artichokes!F45, Asparagus!F45, LimaBeans!F45, SnapBeans!F45,Broccoli!F45,BrusselsSprouts!G45,Cabbage!F45,Carrots!F45,Cauliflower!F45,Celery!F45,Collards!G45,SweetCorn!F45,Cucumbers!F45,Eggplant!F45,Escarole!F45,Garlic!F45,HeadLettuce!F45,Kale!G45,Mushrooms!F45,MustardGreens!G45,Onions!G45,Okra!G45,Peppers!F45,Potatoes!F45,Pumpkin!G45) + SUM(Radishes!F45,Romaine!F45,Spinach!F45,Squash!F45,SweetPotatoes!G45,Tomatoes!F45,TurnipGreens!G45)</f>
        <v>4013.1182625895003</v>
      </c>
      <c r="G36" s="113">
        <f>SUM(Artichokes!G45, Asparagus!G45, LimaBeans!G45, SnapBeans!G45,Broccoli!G45,BrusselsSprouts!I45,Cabbage!H45,Carrots!G45,Cauliflower!G45,Celery!G45,Collards!I45,SweetCorn!G45,Cucumbers!G45,Eggplant!G45,Escarole!G45,Garlic!H45,HeadLettuce!G45,Kale!I45,Mushrooms!G45,MustardGreens!I45,Onions!J45,Okra!I45,Peppers!G45,Potatoes!G45,Pumpkin!J45) + SUM(Radishes!G45,Romaine!G45,Spinach!G45,Squash!G45,SweetPotatoes!K45,Tomatoes!G45,TurnipGreens!I45)</f>
        <v>53999.746215159859</v>
      </c>
      <c r="H36" s="6">
        <f>SUM(Artichokes!H45,Asparagus!H45,LimaBeans!H45,SnapBeans!H45,Broccoli!H45,BrusselsSprouts!J45,Cabbage!I45,Carrots!H45,Cauliflower!H45,Celery!H45,Collards!J45,SweetCorn!H45,Cucumbers!H45,Eggplant!H45,Escarole!H45,Garlic!I45,HeadLettuce!H45,Kale!J45,Mushrooms!H45,MustardGreens!J45,Onions!K45,Okra!J45,Peppers!H45,Potatoes!H45,Pumpkin!K45) + SUM(Radishes!H45,Romaine!H45,Spinach!H45,Squash!H45,SweetPotatoes!L45,Tomatoes!H45,TurnipGreens!J45)</f>
        <v>195.58312470219209</v>
      </c>
      <c r="I36" s="6">
        <f>SUM(Artichokes!I45, Asparagus!I45, LimaBeans!I45, SnapBeans!I45,Broccoli!I45,BrusselsSprouts!K45,Cabbage!J45,Carrots!I45,Cauliflower!I45,Celery!I45,Collards!K45,SweetCorn!I45,Cucumbers!I45,Eggplant!I45,Escarole!I45,Garlic!J45,HeadLettuce!I45,Kale!K45,Mushrooms!I45,MustardGreens!K45,Onions!L45,Okra!K45,Peppers!I45,Potatoes!I45,Pumpkin!L45) + SUM(Radishes!I45,Romaine!I45,Spinach!I45,Squash!I45,SweetPotatoes!M45,Tomatoes!I45,TurnipGreens!K45)</f>
        <v>181.17051768019869</v>
      </c>
    </row>
    <row r="37" spans="1:9" ht="12" customHeight="1" x14ac:dyDescent="0.2">
      <c r="A37" s="2" t="s">
        <v>38</v>
      </c>
      <c r="B37" s="20">
        <v>279.29500000000002</v>
      </c>
      <c r="C37" s="113">
        <f>SUM(Artichokes!C46, Asparagus!C46, LimaBeans!C46, SnapBeans!C46,Broccoli!C46,BrusselsSprouts!C46,Cabbage!C46,Carrots!C46,Cauliflower!C46,Celery!C46,Collards!C46,SweetCorn!C46,Cucumbers!C46,Eggplant!C46,Escarole!C46,Garlic!C46,HeadLettuce!C46,Kale!C46,Mushrooms!C46,MustardGreens!C46,Onions!C46,Okra!C46,Peppers!C46,Potatoes!C46,Pumpkin!C46) + SUM(Radishes!C46,Romaine!C46,Spinach!C46,Squash!C46,SweetPotatoes!C46,Tomatoes!C46,TurnipGreens!C46)</f>
        <v>55180.776698853006</v>
      </c>
      <c r="D37" s="113">
        <f>SUM(Artichokes!D46, Asparagus!D46, LimaBeans!D46, SnapBeans!D46,Broccoli!D46,BrusselsSprouts!D46,Cabbage!D46,Carrots!D46,Cauliflower!D46,Celery!D46,Collards!D46,SweetCorn!D46,Cucumbers!D46,Eggplant!D46,Escarole!D46,Garlic!D46,HeadLettuce!D46,Kale!D46,Mushrooms!D46,MustardGreens!D46,Onions!D46,Okra!D46,Peppers!D46,Potatoes!D46,Pumpkin!D46) + SUM(Radishes!D46,Romaine!D46,Spinach!D46,Squash!D46,SweetPotatoes!D46,Tomatoes!D46,TurnipGreens!D46)</f>
        <v>6582.6894872129997</v>
      </c>
      <c r="E37" s="113">
        <f>SUM(Artichokes!E46, Asparagus!E46, LimaBeans!E46, SnapBeans!E46,Broccoli!E46,BrusselsSprouts!F46,Cabbage!E46,Carrots!E46,Cauliflower!E46,Celery!E46,Collards!F46,SweetCorn!E46,Cucumbers!E46,Eggplant!E46,Escarole!E46,Garlic!E46,HeadLettuce!E46,Kale!F46,Mushrooms!E46,MustardGreens!F46,Onions!F46,Okra!F46,Peppers!E46,Potatoes!E46,Pumpkin!F46) + SUM(Radishes!E46,Romaine!E46,Spinach!E46,Squash!E46,SweetPotatoes!F46,Tomatoes!E46,TurnipGreens!F46)</f>
        <v>63006.615246066016</v>
      </c>
      <c r="F37" s="113">
        <f>SUM(Artichokes!F46, Asparagus!F46, LimaBeans!F46, SnapBeans!F46,Broccoli!F46,BrusselsSprouts!G46,Cabbage!F46,Carrots!F46,Cauliflower!F46,Celery!F46,Collards!G46,SweetCorn!F46,Cucumbers!F46,Eggplant!F46,Escarole!F46,Garlic!F46,HeadLettuce!F46,Kale!G46,Mushrooms!F46,MustardGreens!G46,Onions!G46,Okra!G46,Peppers!F46,Potatoes!F46,Pumpkin!G46) + SUM(Radishes!F46,Romaine!F46,Spinach!F46,Squash!F46,SweetPotatoes!G46,Tomatoes!F46,TurnipGreens!G46)</f>
        <v>4109.8033046200999</v>
      </c>
      <c r="G37" s="113">
        <f>SUM(Artichokes!G46, Asparagus!G46, LimaBeans!G46, SnapBeans!G46,Broccoli!G46,BrusselsSprouts!I46,Cabbage!H46,Carrots!G46,Cauliflower!G46,Celery!G46,Collards!I46,SweetCorn!G46,Cucumbers!G46,Eggplant!G46,Escarole!G46,Garlic!H46,HeadLettuce!G46,Kale!I46,Mushrooms!G46,MustardGreens!I46,Onions!J46,Okra!I46,Peppers!G46,Potatoes!G46,Pumpkin!J46) + SUM(Radishes!G46,Romaine!G46,Spinach!G46,Squash!G46,SweetPotatoes!K46,Tomatoes!G46,TurnipGreens!I46)</f>
        <v>56240.376171045908</v>
      </c>
      <c r="H37" s="6">
        <f>SUM(Artichokes!H46,Asparagus!H46,LimaBeans!H46,SnapBeans!H46,Broccoli!H46,BrusselsSprouts!J46,Cabbage!I46,Carrots!H46,Cauliflower!H46,Celery!H46,Collards!J46,SweetCorn!H46,Cucumbers!H46,Eggplant!H46,Escarole!H46,Garlic!I46,HeadLettuce!H46,Kale!J46,Mushrooms!H46,MustardGreens!J46,Onions!K46,Okra!J46,Peppers!H46,Potatoes!H46,Pumpkin!K46) + SUM(Radishes!H46,Romaine!H46,Spinach!H46,Squash!H46,SweetPotatoes!L46,Tomatoes!H46,TurnipGreens!J46)</f>
        <v>201.37899488837931</v>
      </c>
      <c r="I37" s="6">
        <f>SUM(Artichokes!I46, Asparagus!I46, LimaBeans!I46, SnapBeans!I46,Broccoli!I46,BrusselsSprouts!K46,Cabbage!J46,Carrots!I46,Cauliflower!I46,Celery!I46,Collards!K46,SweetCorn!I46,Cucumbers!I46,Eggplant!I46,Escarole!I46,Garlic!J46,HeadLettuce!I46,Kale!K46,Mushrooms!I46,MustardGreens!K46,Onions!L46,Okra!K46,Peppers!I46,Potatoes!I46,Pumpkin!L46) + SUM(Radishes!I46,Romaine!I46,Spinach!I46,Squash!I46,SweetPotatoes!M46,Tomatoes!I46,TurnipGreens!K46)</f>
        <v>186.45298506637741</v>
      </c>
    </row>
    <row r="38" spans="1:9" ht="12" customHeight="1" x14ac:dyDescent="0.2">
      <c r="A38" s="2" t="s">
        <v>39</v>
      </c>
      <c r="B38" s="20">
        <v>282.38499999999999</v>
      </c>
      <c r="C38" s="113">
        <f>SUM(Artichokes!C47, Asparagus!C47, LimaBeans!C47, SnapBeans!C47,Broccoli!C47,BrusselsSprouts!C47,Cabbage!C47,Carrots!C47,Cauliflower!C47,Celery!C47,Collards!C47,SweetCorn!C47,Cucumbers!C47,Eggplant!C47,Escarole!C47,Garlic!C47,HeadLettuce!C47,Kale!C47,Mushrooms!C47,MustardGreens!C47,Onions!C47,Okra!C47,Peppers!C47,Potatoes!C47,Pumpkin!C47) + SUM(Radishes!C47,Romaine!C47,Spinach!C47,Squash!C47,SweetPotatoes!C47,Tomatoes!C47,TurnipGreens!C47)</f>
        <v>55825.632640000003</v>
      </c>
      <c r="D38" s="113">
        <f>SUM(Artichokes!D47, Asparagus!D47, LimaBeans!D47, SnapBeans!D47,Broccoli!D47,BrusselsSprouts!D47,Cabbage!D47,Carrots!D47,Cauliflower!D47,Celery!D47,Collards!D47,SweetCorn!D47,Cucumbers!D47,Eggplant!D47,Escarole!D47,Garlic!D47,HeadLettuce!D47,Kale!D47,Mushrooms!D47,MustardGreens!D47,Onions!D47,Okra!D47,Peppers!D47,Potatoes!D47,Pumpkin!D47) + SUM(Radishes!D47,Romaine!D47,Spinach!D47,Squash!D47,SweetPotatoes!D47,Tomatoes!D47,TurnipGreens!D47)</f>
        <v>6358.1964556522998</v>
      </c>
      <c r="E38" s="113">
        <f>SUM(Artichokes!E47, Asparagus!E47, LimaBeans!E47, SnapBeans!E47,Broccoli!E47,BrusselsSprouts!F47,Cabbage!E47,Carrots!E47,Cauliflower!E47,Celery!E47,Collards!F47,SweetCorn!E47,Cucumbers!E47,Eggplant!E47,Escarole!E47,Garlic!E47,HeadLettuce!E47,Kale!F47,Mushrooms!E47,MustardGreens!F47,Onions!F47,Okra!F47,Peppers!E47,Potatoes!E47,Pumpkin!F47) + SUM(Radishes!E47,Romaine!E47,Spinach!E47,Squash!E47,SweetPotatoes!F47,Tomatoes!E47,TurnipGreens!F47)</f>
        <v>63528.436755652307</v>
      </c>
      <c r="F38" s="113">
        <f>SUM(Artichokes!F47, Asparagus!F47, LimaBeans!F47, SnapBeans!F47,Broccoli!F47,BrusselsSprouts!G47,Cabbage!F47,Carrots!F47,Cauliflower!F47,Celery!F47,Collards!G47,SweetCorn!F47,Cucumbers!F47,Eggplant!F47,Escarole!F47,Garlic!F47,HeadLettuce!F47,Kale!G47,Mushrooms!F47,MustardGreens!G47,Onions!G47,Okra!G47,Peppers!F47,Potatoes!F47,Pumpkin!G47) + SUM(Radishes!F47,Romaine!F47,Spinach!F47,Squash!F47,SweetPotatoes!G47,Tomatoes!F47,TurnipGreens!G47)</f>
        <v>4478.8762367753998</v>
      </c>
      <c r="G38" s="113">
        <f>SUM(Artichokes!G47, Asparagus!G47, LimaBeans!G47, SnapBeans!G47,Broccoli!G47,BrusselsSprouts!I47,Cabbage!H47,Carrots!G47,Cauliflower!G47,Celery!G47,Collards!I47,SweetCorn!G47,Cucumbers!G47,Eggplant!G47,Escarole!G47,Garlic!H47,HeadLettuce!G47,Kale!I47,Mushrooms!G47,MustardGreens!I47,Onions!J47,Okra!I47,Peppers!G47,Potatoes!G47,Pumpkin!J47) + SUM(Radishes!G47,Romaine!G47,Spinach!G47,Squash!G47,SweetPotatoes!K47,Tomatoes!G47,TurnipGreens!I47)</f>
        <v>56659.974048876902</v>
      </c>
      <c r="H38" s="6">
        <f>SUM(Artichokes!H47,Asparagus!H47,LimaBeans!H47,SnapBeans!H47,Broccoli!H47,BrusselsSprouts!J47,Cabbage!I47,Carrots!H47,Cauliflower!H47,Celery!H47,Collards!J47,SweetCorn!H47,Cucumbers!H47,Eggplant!H47,Escarole!H47,Garlic!I47,HeadLettuce!H47,Kale!J47,Mushrooms!H47,MustardGreens!J47,Onions!K47,Okra!J47,Peppers!H47,Potatoes!H47,Pumpkin!K47) + SUM(Radishes!H47,Romaine!H47,Spinach!H47,Squash!H47,SweetPotatoes!L47,Tomatoes!H47,TurnipGreens!J47)</f>
        <v>200.66095285830235</v>
      </c>
      <c r="I38" s="6">
        <f>SUM(Artichokes!I47, Asparagus!I47, LimaBeans!I47, SnapBeans!I47,Broccoli!I47,BrusselsSprouts!K47,Cabbage!J47,Carrots!I47,Cauliflower!I47,Celery!I47,Collards!K47,SweetCorn!I47,Cucumbers!I47,Eggplant!I47,Escarole!I47,Garlic!J47,HeadLettuce!I47,Kale!K47,Mushrooms!I47,MustardGreens!K47,Onions!L47,Okra!K47,Peppers!I47,Potatoes!I47,Pumpkin!L47) + SUM(Radishes!I47,Romaine!I47,Spinach!I47,Squash!I47,SweetPotatoes!M47,Tomatoes!I47,TurnipGreens!K47)</f>
        <v>185.90028115945995</v>
      </c>
    </row>
    <row r="39" spans="1:9" ht="12" customHeight="1" x14ac:dyDescent="0.2">
      <c r="A39" s="3" t="s">
        <v>40</v>
      </c>
      <c r="B39" s="21">
        <v>285.30901899999998</v>
      </c>
      <c r="C39" s="114">
        <f>SUM(Artichokes!C48, Asparagus!C48, LimaBeans!C48, SnapBeans!C48,Broccoli!C48,BrusselsSprouts!C48,Cabbage!C48,Carrots!C48,Cauliflower!C48,Celery!C48,Collards!C48,SweetCorn!C48,Cucumbers!C48,Eggplant!C48,Escarole!C48,Garlic!C48,HeadLettuce!C48,Kale!C48,Mushrooms!C48,MustardGreens!C48,Onions!C48,Okra!C48,Peppers!C48,Potatoes!C48,Pumpkin!C48) + SUM(Radishes!C48,Romaine!C48,Spinach!C48,Squash!C48,SweetPotatoes!C48,Tomatoes!C48,TurnipGreens!C48)</f>
        <v>55162.658640000001</v>
      </c>
      <c r="D39" s="114">
        <f>SUM(Artichokes!D48, Asparagus!D48, LimaBeans!D48, SnapBeans!D48,Broccoli!D48,BrusselsSprouts!D48,Cabbage!D48,Carrots!D48,Cauliflower!D48,Celery!D48,Collards!D48,SweetCorn!D48,Cucumbers!D48,Eggplant!D48,Escarole!D48,Garlic!D48,HeadLettuce!D48,Kale!D48,Mushrooms!D48,MustardGreens!D48,Onions!D48,Okra!D48,Peppers!D48,Potatoes!D48,Pumpkin!D48) + SUM(Radishes!D48,Romaine!D48,Spinach!D48,Squash!D48,SweetPotatoes!D48,Tomatoes!D48,TurnipGreens!D48)</f>
        <v>6872.7648037401013</v>
      </c>
      <c r="E39" s="114">
        <f>SUM(Artichokes!E48, Asparagus!E48, LimaBeans!E48, SnapBeans!E48,Broccoli!E48,BrusselsSprouts!F48,Cabbage!E48,Carrots!E48,Cauliflower!E48,Celery!E48,Collards!F48,SweetCorn!E48,Cucumbers!E48,Eggplant!E48,Escarole!E48,Garlic!E48,HeadLettuce!E48,Kale!F48,Mushrooms!E48,MustardGreens!F48,Onions!F48,Okra!F48,Peppers!E48,Potatoes!E48,Pumpkin!F48) + SUM(Radishes!E48,Romaine!E48,Spinach!E48,Squash!E48,SweetPotatoes!F48,Tomatoes!E48,TurnipGreens!F48)</f>
        <v>63301.777563740099</v>
      </c>
      <c r="F39" s="114">
        <f>SUM(Artichokes!F48, Asparagus!F48, LimaBeans!F48, SnapBeans!F48,Broccoli!F48,BrusselsSprouts!G48,Cabbage!F48,Carrots!F48,Cauliflower!F48,Celery!F48,Collards!G48,SweetCorn!F48,Cucumbers!F48,Eggplant!F48,Escarole!F48,Garlic!F48,HeadLettuce!F48,Kale!G48,Mushrooms!F48,MustardGreens!G48,Onions!G48,Okra!G48,Peppers!F48,Potatoes!F48,Pumpkin!G48) + SUM(Radishes!F48,Romaine!F48,Spinach!F48,Squash!F48,SweetPotatoes!G48,Tomatoes!F48,TurnipGreens!G48)</f>
        <v>4412.9573714916005</v>
      </c>
      <c r="G39" s="114">
        <f>SUM(Artichokes!G48, Asparagus!G48, LimaBeans!G48, SnapBeans!G48,Broccoli!G48,BrusselsSprouts!I48,Cabbage!H48,Carrots!G48,Cauliflower!G48,Celery!G48,Collards!I48,SweetCorn!G48,Cucumbers!G48,Eggplant!G48,Escarole!G48,Garlic!H48,HeadLettuce!G48,Kale!I48,Mushrooms!G48,MustardGreens!I48,Onions!J48,Okra!I48,Peppers!G48,Potatoes!G48,Pumpkin!J48) + SUM(Radishes!G48,Romaine!G48,Spinach!G48,Squash!G48,SweetPotatoes!K48,Tomatoes!G48,TurnipGreens!I48)</f>
        <v>56487.261306859982</v>
      </c>
      <c r="H39" s="7">
        <f>SUM(Artichokes!H48,Asparagus!H48,LimaBeans!H48,SnapBeans!H48,Broccoli!H48,BrusselsSprouts!J48,Cabbage!I48,Carrots!H48,Cauliflower!H48,Celery!H48,Collards!J48,SweetCorn!H48,Cucumbers!H48,Eggplant!H48,Escarole!H48,Garlic!I48,HeadLettuce!H48,Kale!J48,Mushrooms!H48,MustardGreens!J48,Onions!K48,Okra!J48,Peppers!H48,Potatoes!H48,Pumpkin!K48) + SUM(Radishes!H48,Romaine!H48,Spinach!H48,Squash!H48,SweetPotatoes!L48,Tomatoes!H48,TurnipGreens!J48)</f>
        <v>197.99887138930214</v>
      </c>
      <c r="I39" s="7">
        <f>SUM(Artichokes!I48, Asparagus!I48, LimaBeans!I48, SnapBeans!I48,Broccoli!I48,BrusselsSprouts!K48,Cabbage!J48,Carrots!I48,Cauliflower!I48,Celery!I48,Collards!K48,SweetCorn!I48,Cucumbers!I48,Eggplant!I48,Escarole!I48,Garlic!J48,HeadLettuce!I48,Kale!K48,Mushrooms!I48,MustardGreens!K48,Onions!L48,Okra!K48,Peppers!I48,Potatoes!I48,Pumpkin!L48) + SUM(Radishes!I48,Romaine!I48,Spinach!I48,Squash!I48,SweetPotatoes!M48,Tomatoes!I48,TurnipGreens!K48)</f>
        <v>183.41231807914309</v>
      </c>
    </row>
    <row r="40" spans="1:9" ht="12" customHeight="1" x14ac:dyDescent="0.2">
      <c r="A40" s="3" t="s">
        <v>41</v>
      </c>
      <c r="B40" s="21">
        <v>288.10481800000002</v>
      </c>
      <c r="C40" s="114">
        <f>SUM(Artichokes!C49, Asparagus!C49, LimaBeans!C49, SnapBeans!C49,Broccoli!C49,BrusselsSprouts!C49,Cabbage!C49,Carrots!C49,Cauliflower!C49,Celery!C49,Collards!C49,SweetCorn!C49,Cucumbers!C49,Eggplant!C49,Escarole!C49,Garlic!C49,HeadLettuce!C49,Kale!C49,Mushrooms!C49,MustardGreens!C49,Onions!C49,Okra!C49,Peppers!C49,Potatoes!C49,Pumpkin!C49) + SUM(Radishes!C49,Romaine!C49,Spinach!C49,Squash!C49,SweetPotatoes!C49,Tomatoes!C49,TurnipGreens!C49)</f>
        <v>54712.979700000011</v>
      </c>
      <c r="D40" s="114">
        <f>SUM(Artichokes!D49, Asparagus!D49, LimaBeans!D49, SnapBeans!D49,Broccoli!D49,BrusselsSprouts!D49,Cabbage!D49,Carrots!D49,Cauliflower!D49,Celery!D49,Collards!D49,SweetCorn!D49,Cucumbers!D49,Eggplant!D49,Escarole!D49,Garlic!D49,HeadLettuce!D49,Kale!D49,Mushrooms!D49,MustardGreens!D49,Onions!D49,Okra!D49,Peppers!D49,Potatoes!D49,Pumpkin!D49) + SUM(Radishes!D49,Romaine!D49,Spinach!D49,Squash!D49,SweetPotatoes!D49,Tomatoes!D49,TurnipGreens!D49)</f>
        <v>7559.7576582332003</v>
      </c>
      <c r="E40" s="114">
        <f>SUM(Artichokes!E49, Asparagus!E49, LimaBeans!E49, SnapBeans!E49,Broccoli!E49,BrusselsSprouts!F49,Cabbage!E49,Carrots!E49,Cauliflower!E49,Celery!E49,Collards!F49,SweetCorn!E49,Cucumbers!E49,Eggplant!E49,Escarole!E49,Garlic!E49,HeadLettuce!E49,Kale!F49,Mushrooms!E49,MustardGreens!F49,Onions!F49,Okra!F49,Peppers!E49,Potatoes!E49,Pumpkin!F49) + SUM(Radishes!E49,Romaine!E49,Spinach!E49,Squash!E49,SweetPotatoes!F49,Tomatoes!E49,TurnipGreens!F49)</f>
        <v>63613.392343621723</v>
      </c>
      <c r="F40" s="114">
        <f>SUM(Artichokes!F49, Asparagus!F49, LimaBeans!F49, SnapBeans!F49,Broccoli!F49,BrusselsSprouts!G49,Cabbage!F49,Carrots!F49,Cauliflower!F49,Celery!F49,Collards!G49,SweetCorn!F49,Cucumbers!F49,Eggplant!F49,Escarole!F49,Garlic!F49,HeadLettuce!F49,Kale!G49,Mushrooms!F49,MustardGreens!G49,Onions!G49,Okra!G49,Peppers!F49,Potatoes!F49,Pumpkin!G49) + SUM(Radishes!F49,Romaine!F49,Spinach!F49,Squash!F49,SweetPotatoes!G49,Tomatoes!F49,TurnipGreens!G49)</f>
        <v>4502.3934801696005</v>
      </c>
      <c r="G40" s="114">
        <f>SUM(Artichokes!G49, Asparagus!G49, LimaBeans!G49, SnapBeans!G49,Broccoli!G49,BrusselsSprouts!I49,Cabbage!H49,Carrots!G49,Cauliflower!G49,Celery!G49,Collards!I49,SweetCorn!G49,Cucumbers!G49,Eggplant!G49,Escarole!G49,Garlic!H49,HeadLettuce!G49,Kale!I49,Mushrooms!G49,MustardGreens!I49,Onions!J49,Okra!I49,Peppers!G49,Potatoes!G49,Pumpkin!J49) + SUM(Radishes!G49,Romaine!G49,Spinach!G49,Squash!G49,SweetPotatoes!K49,Tomatoes!G49,TurnipGreens!I49)</f>
        <v>56842.429147501985</v>
      </c>
      <c r="H40" s="7">
        <f>SUM(Artichokes!H49,Asparagus!H49,LimaBeans!H49,SnapBeans!H49,Broccoli!H49,BrusselsSprouts!J49,Cabbage!I49,Carrots!H49,Cauliflower!H49,Celery!H49,Collards!J49,SweetCorn!H49,Cucumbers!H49,Eggplant!H49,Escarole!H49,Garlic!I49,HeadLettuce!H49,Kale!J49,Mushrooms!H49,MustardGreens!J49,Onions!K49,Okra!J49,Peppers!H49,Potatoes!H49,Pumpkin!K49) + SUM(Radishes!H49,Romaine!H49,Spinach!H49,Squash!H49,SweetPotatoes!L49,Tomatoes!H49,TurnipGreens!J49)</f>
        <v>197.30977274841706</v>
      </c>
      <c r="I40" s="7">
        <f>SUM(Artichokes!I49, Asparagus!I49, LimaBeans!I49, SnapBeans!I49,Broccoli!I49,BrusselsSprouts!K49,Cabbage!J49,Carrots!I49,Cauliflower!I49,Celery!I49,Collards!K49,SweetCorn!I49,Cucumbers!I49,Eggplant!I49,Escarole!I49,Garlic!J49,HeadLettuce!I49,Kale!K49,Mushrooms!I49,MustardGreens!K49,Onions!L49,Okra!K49,Peppers!I49,Potatoes!I49,Pumpkin!L49) + SUM(Radishes!I49,Romaine!I49,Spinach!I49,Squash!I49,SweetPotatoes!M49,Tomatoes!I49,TurnipGreens!K49)</f>
        <v>182.57244759091898</v>
      </c>
    </row>
    <row r="41" spans="1:9" ht="12" customHeight="1" x14ac:dyDescent="0.2">
      <c r="A41" s="3" t="s">
        <v>42</v>
      </c>
      <c r="B41" s="21">
        <v>290.81963400000001</v>
      </c>
      <c r="C41" s="114">
        <f>SUM(Artichokes!C50, Asparagus!C50, LimaBeans!C50, SnapBeans!C50,Broccoli!C50,BrusselsSprouts!C50,Cabbage!C50,Carrots!C50,Cauliflower!C50,Celery!C50,Collards!C50,SweetCorn!C50,Cucumbers!C50,Eggplant!C50,Escarole!C50,Garlic!C50,HeadLettuce!C50,Kale!C50,Mushrooms!C50,MustardGreens!C50,Onions!C50,Okra!C50,Peppers!C50,Potatoes!C50,Pumpkin!C50) + SUM(Radishes!C50,Romaine!C50,Spinach!C50,Squash!C50,SweetPotatoes!C50,Tomatoes!C50,TurnipGreens!C50)</f>
        <v>55725.214279000924</v>
      </c>
      <c r="D41" s="114">
        <f>SUM(Artichokes!D50, Asparagus!D50, LimaBeans!D50, SnapBeans!D50,Broccoli!D50,BrusselsSprouts!D50,Cabbage!D50,Carrots!D50,Cauliflower!D50,Celery!D50,Collards!D50,SweetCorn!D50,Cucumbers!D50,Eggplant!D50,Escarole!D50,Garlic!D50,HeadLettuce!D50,Kale!D50,Mushrooms!D50,MustardGreens!D50,Onions!D50,Okra!D50,Peppers!D50,Potatoes!D50,Pumpkin!D50) + SUM(Radishes!D50,Romaine!D50,Spinach!D50,Squash!D50,SweetPotatoes!D50,Tomatoes!D50,TurnipGreens!D50)</f>
        <v>7962.9328391610006</v>
      </c>
      <c r="E41" s="114">
        <f>SUM(Artichokes!E50, Asparagus!E50, LimaBeans!E50, SnapBeans!E50,Broccoli!E50,BrusselsSprouts!F50,Cabbage!E50,Carrots!E50,Cauliflower!E50,Celery!E50,Collards!F50,SweetCorn!E50,Cucumbers!E50,Eggplant!E50,Escarole!E50,Garlic!E50,HeadLettuce!E50,Kale!F50,Mushrooms!E50,MustardGreens!F50,Onions!F50,Okra!F50,Peppers!E50,Potatoes!E50,Pumpkin!F50) + SUM(Radishes!E50,Romaine!E50,Spinach!E50,Squash!E50,SweetPotatoes!F50,Tomatoes!E50,TurnipGreens!F50)</f>
        <v>64937.922824112058</v>
      </c>
      <c r="F41" s="114">
        <f>SUM(Artichokes!F50, Asparagus!F50, LimaBeans!F50, SnapBeans!F50,Broccoli!F50,BrusselsSprouts!G50,Cabbage!F50,Carrots!F50,Cauliflower!F50,Celery!F50,Collards!G50,SweetCorn!F50,Cucumbers!F50,Eggplant!F50,Escarole!F50,Garlic!F50,HeadLettuce!F50,Kale!G50,Mushrooms!F50,MustardGreens!G50,Onions!G50,Okra!G50,Peppers!F50,Potatoes!F50,Pumpkin!G50) + SUM(Radishes!F50,Romaine!F50,Spinach!F50,Squash!F50,SweetPotatoes!G50,Tomatoes!F50,TurnipGreens!G50)</f>
        <v>4385.3964093779996</v>
      </c>
      <c r="G41" s="114">
        <f>SUM(Artichokes!G50, Asparagus!G50, LimaBeans!G50, SnapBeans!G50,Broccoli!G50,BrusselsSprouts!I50,Cabbage!H50,Carrots!G50,Cauliflower!G50,Celery!G50,Collards!I50,SweetCorn!G50,Cucumbers!G50,Eggplant!G50,Escarole!G50,Garlic!H50,HeadLettuce!G50,Kale!I50,Mushrooms!G50,MustardGreens!I50,Onions!J50,Okra!I50,Peppers!G50,Potatoes!G50,Pumpkin!J50) + SUM(Radishes!G50,Romaine!G50,Spinach!G50,Squash!G50,SweetPotatoes!K50,Tomatoes!G50,TurnipGreens!I50)</f>
        <v>58348.887233435453</v>
      </c>
      <c r="H41" s="7">
        <f>SUM(Artichokes!H50,Asparagus!H50,LimaBeans!H50,SnapBeans!H50,Broccoli!H50,BrusselsSprouts!J50,Cabbage!I50,Carrots!H50,Cauliflower!H50,Celery!H50,Collards!J50,SweetCorn!H50,Cucumbers!H50,Eggplant!H50,Escarole!H50,Garlic!I50,HeadLettuce!H50,Kale!J50,Mushrooms!H50,MustardGreens!J50,Onions!K50,Okra!J50,Peppers!H50,Potatoes!H50,Pumpkin!K50) + SUM(Radishes!H50,Romaine!H50,Spinach!H50,Squash!H50,SweetPotatoes!L50,Tomatoes!H50,TurnipGreens!J50)</f>
        <v>200.64788861932178</v>
      </c>
      <c r="I41" s="7">
        <f>SUM(Artichokes!I50, Asparagus!I50, LimaBeans!I50, SnapBeans!I50,Broccoli!I50,BrusselsSprouts!K50,Cabbage!J50,Carrots!I50,Cauliflower!I50,Celery!I50,Collards!K50,SweetCorn!I50,Cucumbers!I50,Eggplant!I50,Escarole!I50,Garlic!J50,HeadLettuce!I50,Kale!K50,Mushrooms!I50,MustardGreens!K50,Onions!L50,Okra!K50,Peppers!I50,Potatoes!I50,Pumpkin!L50) + SUM(Radishes!I50,Romaine!I50,Spinach!I50,Squash!I50,SweetPotatoes!M50,Tomatoes!I50,TurnipGreens!K50)</f>
        <v>185.75401608177913</v>
      </c>
    </row>
    <row r="42" spans="1:9" ht="12" customHeight="1" x14ac:dyDescent="0.2">
      <c r="A42" s="3" t="s">
        <v>43</v>
      </c>
      <c r="B42" s="21">
        <v>293.46318500000001</v>
      </c>
      <c r="C42" s="114">
        <f>SUM(Artichokes!C51, Asparagus!C51, LimaBeans!C51, SnapBeans!C51,Broccoli!C51,BrusselsSprouts!C51,Cabbage!C51,Carrots!C51,Cauliflower!C51,Celery!C51,Collards!C51,SweetCorn!C51,Cucumbers!C51,Eggplant!C51,Escarole!C51,Garlic!C51,HeadLettuce!C51,Kale!C51,Mushrooms!C51,MustardGreens!C51,Onions!C51,Okra!C51,Peppers!C51,Potatoes!C51,Pumpkin!C51) + SUM(Radishes!C51,Romaine!C51,Spinach!C51,Squash!C51,SweetPotatoes!C51,Tomatoes!C51,TurnipGreens!C51)</f>
        <v>57743.57670030494</v>
      </c>
      <c r="D42" s="114">
        <f>SUM(Artichokes!D51, Asparagus!D51, LimaBeans!D51, SnapBeans!D51,Broccoli!D51,BrusselsSprouts!D51,Cabbage!D51,Carrots!D51,Cauliflower!D51,Celery!D51,Collards!D51,SweetCorn!D51,Cucumbers!D51,Eggplant!D51,Escarole!D51,Garlic!D51,HeadLettuce!D51,Kale!D51,Mushrooms!D51,MustardGreens!D51,Onions!D51,Okra!D51,Peppers!D51,Potatoes!D51,Pumpkin!D51) + SUM(Radishes!D51,Romaine!D51,Spinach!D51,Squash!D51,SweetPotatoes!D51,Tomatoes!D51,TurnipGreens!D51)</f>
        <v>8115.4517047098998</v>
      </c>
      <c r="E42" s="114">
        <f>SUM(Artichokes!E51, Asparagus!E51, LimaBeans!E51, SnapBeans!E51,Broccoli!E51,BrusselsSprouts!F51,Cabbage!E51,Carrots!E51,Cauliflower!E51,Celery!E51,Collards!F51,SweetCorn!E51,Cucumbers!E51,Eggplant!E51,Escarole!E51,Garlic!E51,HeadLettuce!E51,Kale!F51,Mushrooms!E51,MustardGreens!F51,Onions!F51,Okra!F51,Peppers!E51,Potatoes!E51,Pumpkin!F51) + SUM(Radishes!E51,Romaine!E51,Spinach!E51,Squash!E51,SweetPotatoes!F51,Tomatoes!E51,TurnipGreens!F51)</f>
        <v>67111.564740041606</v>
      </c>
      <c r="F42" s="114">
        <f>SUM(Artichokes!F51, Asparagus!F51, LimaBeans!F51, SnapBeans!F51,Broccoli!F51,BrusselsSprouts!G51,Cabbage!F51,Carrots!F51,Cauliflower!F51,Celery!F51,Collards!G51,SweetCorn!F51,Cucumbers!F51,Eggplant!F51,Escarole!F51,Garlic!F51,HeadLettuce!F51,Kale!G51,Mushrooms!F51,MustardGreens!G51,Onions!G51,Okra!G51,Peppers!F51,Potatoes!F51,Pumpkin!G51) + SUM(Radishes!F51,Romaine!F51,Spinach!F51,Squash!F51,SweetPotatoes!G51,Tomatoes!F51,TurnipGreens!G51)</f>
        <v>4343.2214379546003</v>
      </c>
      <c r="G42" s="114">
        <f>SUM(Artichokes!G51, Asparagus!G51, LimaBeans!G51, SnapBeans!G51,Broccoli!G51,BrusselsSprouts!I51,Cabbage!H51,Carrots!G51,Cauliflower!G51,Celery!G51,Collards!I51,SweetCorn!G51,Cucumbers!G51,Eggplant!G51,Escarole!G51,Garlic!H51,HeadLettuce!G51,Kale!I51,Mushrooms!G51,MustardGreens!I51,Onions!J51,Okra!I51,Peppers!G51,Potatoes!G51,Pumpkin!J51) + SUM(Radishes!G51,Romaine!G51,Spinach!G51,Squash!G51,SweetPotatoes!K51,Tomatoes!G51,TurnipGreens!I51)</f>
        <v>59981.234559754841</v>
      </c>
      <c r="H42" s="7">
        <f>SUM(Artichokes!H51,Asparagus!H51,LimaBeans!H51,SnapBeans!H51,Broccoli!H51,BrusselsSprouts!J51,Cabbage!I51,Carrots!H51,Cauliflower!H51,Celery!H51,Collards!J51,SweetCorn!H51,Cucumbers!H51,Eggplant!H51,Escarole!H51,Garlic!I51,HeadLettuce!H51,Kale!J51,Mushrooms!H51,MustardGreens!J51,Onions!K51,Okra!J51,Peppers!H51,Potatoes!H51,Pumpkin!K51) + SUM(Radishes!H51,Romaine!H51,Spinach!H51,Squash!H51,SweetPotatoes!L51,Tomatoes!H51,TurnipGreens!J51)</f>
        <v>204.4023511461175</v>
      </c>
      <c r="I42" s="7">
        <f>SUM(Artichokes!I51, Asparagus!I51, LimaBeans!I51, SnapBeans!I51,Broccoli!I51,BrusselsSprouts!K51,Cabbage!J51,Carrots!I51,Cauliflower!I51,Celery!I51,Collards!K51,SweetCorn!I51,Cucumbers!I51,Eggplant!I51,Escarole!I51,Garlic!J51,HeadLettuce!I51,Kale!K51,Mushrooms!I51,MustardGreens!K51,Onions!L51,Okra!K51,Peppers!I51,Potatoes!I51,Pumpkin!L51) + SUM(Radishes!I51,Romaine!I51,Spinach!I51,Squash!I51,SweetPotatoes!M51,Tomatoes!I51,TurnipGreens!K51)</f>
        <v>189.19306462073359</v>
      </c>
    </row>
    <row r="43" spans="1:9" ht="12" customHeight="1" x14ac:dyDescent="0.2">
      <c r="A43" s="3" t="s">
        <v>44</v>
      </c>
      <c r="B43" s="21">
        <v>296.186216</v>
      </c>
      <c r="C43" s="114">
        <f>SUM(Artichokes!C52, Asparagus!C52, LimaBeans!C52, SnapBeans!C52,Broccoli!C52,BrusselsSprouts!C52,Cabbage!C52,Carrots!C52,Cauliflower!C52,Celery!C52,Collards!C52,SweetCorn!C52,Cucumbers!C52,Eggplant!C52,Escarole!C52,Garlic!C52,HeadLettuce!C52,Kale!C52,Mushrooms!C52,MustardGreens!C52,Onions!C52,Okra!C52,Peppers!C52,Potatoes!C52,Pumpkin!C52) + SUM(Radishes!C52,Romaine!C52,Spinach!C52,Squash!C52,SweetPotatoes!C52,Tomatoes!C52,TurnipGreens!C52)</f>
        <v>54698.460013435601</v>
      </c>
      <c r="D43" s="114">
        <f>SUM(Artichokes!D52, Asparagus!D52, LimaBeans!D52, SnapBeans!D52,Broccoli!D52,BrusselsSprouts!D52,Cabbage!D52,Carrots!D52,Cauliflower!D52,Celery!D52,Collards!D52,SweetCorn!D52,Cucumbers!D52,Eggplant!D52,Escarole!D52,Garlic!D52,HeadLettuce!D52,Kale!D52,Mushrooms!D52,MustardGreens!D52,Onions!D52,Okra!D52,Peppers!D52,Potatoes!D52,Pumpkin!D52) + SUM(Radishes!D52,Romaine!D52,Spinach!D52,Squash!D52,SweetPotatoes!D52,Tomatoes!D52,TurnipGreens!D52)</f>
        <v>8655.833277826101</v>
      </c>
      <c r="E43" s="114">
        <f>SUM(Artichokes!E52, Asparagus!E52, LimaBeans!E52, SnapBeans!E52,Broccoli!E52,BrusselsSprouts!F52,Cabbage!E52,Carrots!E52,Cauliflower!E52,Celery!E52,Collards!F52,SweetCorn!E52,Cucumbers!E52,Eggplant!E52,Escarole!E52,Garlic!E52,HeadLettuce!E52,Kale!F52,Mushrooms!E52,MustardGreens!F52,Onions!F52,Okra!F52,Peppers!E52,Potatoes!E52,Pumpkin!F52) + SUM(Radishes!E52,Romaine!E52,Spinach!E52,Squash!E52,SweetPotatoes!F52,Tomatoes!E52,TurnipGreens!F52)</f>
        <v>64845.52523659468</v>
      </c>
      <c r="F43" s="114">
        <f>SUM(Artichokes!F52, Asparagus!F52, LimaBeans!F52, SnapBeans!F52,Broccoli!F52,BrusselsSprouts!G52,Cabbage!F52,Carrots!F52,Cauliflower!F52,Celery!F52,Collards!G52,SweetCorn!F52,Cucumbers!F52,Eggplant!F52,Escarole!F52,Garlic!F52,HeadLettuce!F52,Kale!G52,Mushrooms!F52,MustardGreens!G52,Onions!G52,Okra!G52,Peppers!F52,Potatoes!F52,Pumpkin!G52) + SUM(Radishes!F52,Romaine!F52,Spinach!F52,Squash!F52,SweetPotatoes!G52,Tomatoes!F52,TurnipGreens!G52)</f>
        <v>4472.9701093246003</v>
      </c>
      <c r="G43" s="114">
        <f>SUM(Artichokes!G52, Asparagus!G52, LimaBeans!G52, SnapBeans!G52,Broccoli!G52,BrusselsSprouts!I52,Cabbage!H52,Carrots!G52,Cauliflower!G52,Celery!G52,Collards!I52,SweetCorn!G52,Cucumbers!G52,Eggplant!G52,Escarole!G52,Garlic!H52,HeadLettuce!G52,Kale!I52,Mushrooms!G52,MustardGreens!I52,Onions!J52,Okra!I52,Peppers!G52,Potatoes!G52,Pumpkin!J52) + SUM(Radishes!G52,Romaine!G52,Spinach!G52,Squash!G52,SweetPotatoes!K52,Tomatoes!G52,TurnipGreens!I52)</f>
        <v>58181.588037158159</v>
      </c>
      <c r="H43" s="7">
        <f>SUM(Artichokes!H52,Asparagus!H52,LimaBeans!H52,SnapBeans!H52,Broccoli!H52,BrusselsSprouts!J52,Cabbage!I52,Carrots!H52,Cauliflower!H52,Celery!H52,Collards!J52,SweetCorn!H52,Cucumbers!H52,Eggplant!H52,Escarole!H52,Garlic!I52,HeadLettuce!H52,Kale!J52,Mushrooms!H52,MustardGreens!J52,Onions!K52,Okra!J52,Peppers!H52,Potatoes!H52,Pumpkin!K52) + SUM(Radishes!H52,Romaine!H52,Spinach!H52,Squash!H52,SweetPotatoes!L52,Tomatoes!H52,TurnipGreens!J52)</f>
        <v>196.44721854790882</v>
      </c>
      <c r="I43" s="7">
        <f>SUM(Artichokes!I52, Asparagus!I52, LimaBeans!I52, SnapBeans!I52,Broccoli!I52,BrusselsSprouts!K52,Cabbage!J52,Carrots!I52,Cauliflower!I52,Celery!I52,Collards!K52,SweetCorn!I52,Cucumbers!I52,Eggplant!I52,Escarole!I52,Garlic!J52,HeadLettuce!I52,Kale!K52,Mushrooms!I52,MustardGreens!K52,Onions!L52,Okra!K52,Peppers!I52,Potatoes!I52,Pumpkin!L52) + SUM(Radishes!I52,Romaine!I52,Spinach!I52,Squash!I52,SweetPotatoes!M52,Tomatoes!I52,TurnipGreens!K52)</f>
        <v>181.61774734978286</v>
      </c>
    </row>
    <row r="44" spans="1:9" ht="12" customHeight="1" x14ac:dyDescent="0.2">
      <c r="A44" s="2" t="s">
        <v>45</v>
      </c>
      <c r="B44" s="20">
        <v>298.99582500000002</v>
      </c>
      <c r="C44" s="113">
        <f>SUM(Artichokes!C53, Asparagus!C53, LimaBeans!C53, SnapBeans!C53,Broccoli!C53,BrusselsSprouts!C53,Cabbage!C53,Carrots!C53,Cauliflower!C53,Celery!C53,Collards!C53,SweetCorn!C53,Cucumbers!C53,Eggplant!C53,Escarole!C53,Garlic!C53,HeadLettuce!C53,Kale!C53,Mushrooms!C53,MustardGreens!C53,Onions!C53,Okra!C53,Peppers!C53,Potatoes!C53,Pumpkin!C53) + SUM(Radishes!C53,Romaine!C53,Spinach!C53,Squash!C53,SweetPotatoes!C53,Tomatoes!C53,TurnipGreens!C53)</f>
        <v>53976.408855097521</v>
      </c>
      <c r="D44" s="113">
        <f>SUM(Artichokes!D53, Asparagus!D53, LimaBeans!D53, SnapBeans!D53,Broccoli!D53,BrusselsSprouts!D53,Cabbage!D53,Carrots!D53,Cauliflower!D53,Celery!D53,Collards!D53,SweetCorn!D53,Cucumbers!D53,Eggplant!D53,Escarole!D53,Garlic!D53,HeadLettuce!D53,Kale!D53,Mushrooms!D53,MustardGreens!D53,Onions!D53,Okra!D53,Peppers!D53,Potatoes!D53,Pumpkin!D53) + SUM(Radishes!D53,Romaine!D53,Spinach!D53,Squash!D53,SweetPotatoes!D53,Tomatoes!D53,TurnipGreens!D53)</f>
        <v>9133.4653209277003</v>
      </c>
      <c r="E44" s="113">
        <f>SUM(Artichokes!E53, Asparagus!E53, LimaBeans!E53, SnapBeans!E53,Broccoli!E53,BrusselsSprouts!F53,Cabbage!E53,Carrots!E53,Cauliflower!E53,Celery!E53,Collards!F53,SweetCorn!E53,Cucumbers!E53,Eggplant!E53,Escarole!E53,Garlic!E53,HeadLettuce!E53,Kale!F53,Mushrooms!E53,MustardGreens!F53,Onions!F53,Okra!F53,Peppers!E53,Potatoes!E53,Pumpkin!F53) + SUM(Radishes!E53,Romaine!E53,Spinach!E53,Squash!E53,SweetPotatoes!F53,Tomatoes!E53,TurnipGreens!F53)</f>
        <v>64389.70504762065</v>
      </c>
      <c r="F44" s="113">
        <f>SUM(Artichokes!F53, Asparagus!F53, LimaBeans!F53, SnapBeans!F53,Broccoli!F53,BrusselsSprouts!G53,Cabbage!F53,Carrots!F53,Cauliflower!F53,Celery!F53,Collards!G53,SweetCorn!F53,Cucumbers!F53,Eggplant!F53,Escarole!F53,Garlic!F53,HeadLettuce!F53,Kale!G53,Mushrooms!F53,MustardGreens!G53,Onions!G53,Okra!G53,Peppers!F53,Potatoes!F53,Pumpkin!G53) + SUM(Radishes!F53,Romaine!F53,Spinach!F53,Squash!F53,SweetPotatoes!G53,Tomatoes!F53,TurnipGreens!G53)</f>
        <v>4238.1889429261</v>
      </c>
      <c r="G44" s="113">
        <f>SUM(Artichokes!G53, Asparagus!G53, LimaBeans!G53, SnapBeans!G53,Broccoli!G53,BrusselsSprouts!I53,Cabbage!H53,Carrots!G53,Cauliflower!G53,Celery!G53,Collards!I53,SweetCorn!G53,Cucumbers!G53,Eggplant!G53,Escarole!G53,Garlic!H53,HeadLettuce!G53,Kale!I53,Mushrooms!G53,MustardGreens!I53,Onions!J53,Okra!I53,Peppers!G53,Potatoes!G53,Pumpkin!J53) + SUM(Radishes!G53,Romaine!G53,Spinach!G53,Squash!G53,SweetPotatoes!K53,Tomatoes!G53,TurnipGreens!I53)</f>
        <v>58024.327387638012</v>
      </c>
      <c r="H44" s="6">
        <f>SUM(Artichokes!H53,Asparagus!H53,LimaBeans!H53,SnapBeans!H53,Broccoli!H53,BrusselsSprouts!J53,Cabbage!I53,Carrots!H53,Cauliflower!H53,Celery!H53,Collards!J53,SweetCorn!H53,Cucumbers!H53,Eggplant!H53,Escarole!H53,Garlic!I53,HeadLettuce!H53,Kale!J53,Mushrooms!H53,MustardGreens!J53,Onions!K53,Okra!J53,Peppers!H53,Potatoes!H53,Pumpkin!K53) + SUM(Radishes!H53,Romaine!H53,Spinach!H53,Squash!H53,SweetPotatoes!L53,Tomatoes!H53,TurnipGreens!J53)</f>
        <v>194.07565193542928</v>
      </c>
      <c r="I44" s="6">
        <f>SUM(Artichokes!I53, Asparagus!I53, LimaBeans!I53, SnapBeans!I53,Broccoli!I53,BrusselsSprouts!K53,Cabbage!J53,Carrots!I53,Cauliflower!I53,Celery!I53,Collards!K53,SweetCorn!I53,Cucumbers!I53,Eggplant!I53,Escarole!I53,Garlic!J53,HeadLettuce!I53,Kale!K53,Mushrooms!I53,MustardGreens!K53,Onions!L53,Okra!K53,Peppers!I53,Potatoes!I53,Pumpkin!L53) + SUM(Radishes!I53,Romaine!I53,Spinach!I53,Squash!I53,SweetPotatoes!M53,Tomatoes!I53,TurnipGreens!K53)</f>
        <v>179.32337413158487</v>
      </c>
    </row>
    <row r="45" spans="1:9" ht="12" customHeight="1" x14ac:dyDescent="0.2">
      <c r="A45" s="2" t="s">
        <v>46</v>
      </c>
      <c r="B45" s="20">
        <v>302.003917</v>
      </c>
      <c r="C45" s="113">
        <f>SUM(Artichokes!C54, Asparagus!C54, LimaBeans!C54, SnapBeans!C54,Broccoli!C54,BrusselsSprouts!C54,Cabbage!C54,Carrots!C54,Cauliflower!C54,Celery!C54,Collards!C54,SweetCorn!C54,Cucumbers!C54,Eggplant!C54,Escarole!C54,Garlic!C54,HeadLettuce!C54,Kale!C54,Mushrooms!C54,MustardGreens!C54,Onions!C54,Okra!C54,Peppers!C54,Potatoes!C54,Pumpkin!C54) + SUM(Radishes!C54,Romaine!C54,Spinach!C54,Squash!C54,SweetPotatoes!C54,Tomatoes!C54,TurnipGreens!C54)</f>
        <v>54139.766738210747</v>
      </c>
      <c r="D45" s="113">
        <f>SUM(Artichokes!D54, Asparagus!D54, LimaBeans!D54, SnapBeans!D54,Broccoli!D54,BrusselsSprouts!D54,Cabbage!D54,Carrots!D54,Cauliflower!D54,Celery!D54,Collards!D54,SweetCorn!D54,Cucumbers!D54,Eggplant!D54,Escarole!D54,Garlic!D54,HeadLettuce!D54,Kale!D54,Mushrooms!D54,MustardGreens!D54,Onions!D54,Okra!D54,Peppers!D54,Potatoes!D54,Pumpkin!D54) + SUM(Radishes!D54,Romaine!D54,Spinach!D54,Squash!D54,SweetPotatoes!D54,Tomatoes!D54,TurnipGreens!D54)</f>
        <v>10022.6495272873</v>
      </c>
      <c r="E45" s="113">
        <f>SUM(Artichokes!E54, Asparagus!E54, LimaBeans!E54, SnapBeans!E54,Broccoli!E54,BrusselsSprouts!F54,Cabbage!E54,Carrots!E54,Cauliflower!E54,Celery!E54,Collards!F54,SweetCorn!E54,Cucumbers!E54,Eggplant!E54,Escarole!E54,Garlic!E54,HeadLettuce!E54,Kale!F54,Mushrooms!E54,MustardGreens!F54,Onions!F54,Okra!F54,Peppers!E54,Potatoes!E54,Pumpkin!F54) + SUM(Radishes!E54,Romaine!E54,Spinach!E54,Squash!E54,SweetPotatoes!F54,Tomatoes!E54,TurnipGreens!F54)</f>
        <v>65324.604587705879</v>
      </c>
      <c r="F45" s="113">
        <f>SUM(Artichokes!F54, Asparagus!F54, LimaBeans!F54, SnapBeans!F54,Broccoli!F54,BrusselsSprouts!G54,Cabbage!F54,Carrots!F54,Cauliflower!F54,Celery!F54,Collards!G54,SweetCorn!F54,Cucumbers!F54,Eggplant!F54,Escarole!F54,Garlic!F54,HeadLettuce!F54,Kale!G54,Mushrooms!F54,MustardGreens!G54,Onions!G54,Okra!G54,Peppers!F54,Potatoes!F54,Pumpkin!G54) + SUM(Radishes!F54,Romaine!F54,Spinach!F54,Squash!F54,SweetPotatoes!G54,Tomatoes!F54,TurnipGreens!G54)</f>
        <v>4124.5688596278997</v>
      </c>
      <c r="G45" s="113">
        <f>SUM(Artichokes!G54, Asparagus!G54, LimaBeans!G54, SnapBeans!G54,Broccoli!G54,BrusselsSprouts!I54,Cabbage!H54,Carrots!G54,Cauliflower!G54,Celery!G54,Collards!I54,SweetCorn!G54,Cucumbers!G54,Eggplant!G54,Escarole!G54,Garlic!H54,HeadLettuce!G54,Kale!I54,Mushrooms!G54,MustardGreens!I54,Onions!J54,Okra!I54,Peppers!G54,Potatoes!G54,Pumpkin!J54) + SUM(Radishes!G54,Romaine!G54,Spinach!G54,Squash!G54,SweetPotatoes!K54,Tomatoes!G54,TurnipGreens!I54)</f>
        <v>58664.270906445694</v>
      </c>
      <c r="H45" s="6">
        <f>SUM(Artichokes!H54,Asparagus!H54,LimaBeans!H54,SnapBeans!H54,Broccoli!H54,BrusselsSprouts!J54,Cabbage!I54,Carrots!H54,Cauliflower!H54,Celery!H54,Collards!J54,SweetCorn!H54,Cucumbers!H54,Eggplant!H54,Escarole!H54,Garlic!I54,HeadLettuce!H54,Kale!J54,Mushrooms!H54,MustardGreens!J54,Onions!K54,Okra!J54,Peppers!H54,Potatoes!H54,Pumpkin!K54) + SUM(Radishes!H54,Romaine!H54,Spinach!H54,Squash!H54,SweetPotatoes!L54,Tomatoes!H54,TurnipGreens!J54)</f>
        <v>194.26177781913373</v>
      </c>
      <c r="I45" s="6">
        <f>SUM(Artichokes!I54, Asparagus!I54, LimaBeans!I54, SnapBeans!I54,Broccoli!I54,BrusselsSprouts!K54,Cabbage!J54,Carrots!I54,Cauliflower!I54,Celery!I54,Collards!K54,SweetCorn!I54,Cucumbers!I54,Eggplant!I54,Escarole!I54,Garlic!J54,HeadLettuce!I54,Kale!K54,Mushrooms!I54,MustardGreens!K54,Onions!L54,Okra!K54,Peppers!I54,Potatoes!I54,Pumpkin!L54) + SUM(Radishes!I54,Romaine!I54,Spinach!I54,Squash!I54,SweetPotatoes!M54,Tomatoes!I54,TurnipGreens!K54)</f>
        <v>179.56174355494292</v>
      </c>
    </row>
    <row r="46" spans="1:9" ht="12" customHeight="1" x14ac:dyDescent="0.2">
      <c r="A46" s="2" t="s">
        <v>47</v>
      </c>
      <c r="B46" s="20">
        <v>304.79776099999998</v>
      </c>
      <c r="C46" s="113">
        <f>SUM(Artichokes!C55, Asparagus!C55, LimaBeans!C55, SnapBeans!C55,Broccoli!C55,BrusselsSprouts!C55,Cabbage!C55,Carrots!C55,Cauliflower!C55,Celery!C55,Collards!C55,SweetCorn!C55,Cucumbers!C55,Eggplant!C55,Escarole!C55,Garlic!C55,HeadLettuce!C55,Kale!C55,Mushrooms!C55,MustardGreens!C55,Onions!C55,Okra!C55,Peppers!C55,Potatoes!C55,Pumpkin!C55) + SUM(Radishes!C55,Romaine!C55,Spinach!C55,Squash!C55,SweetPotatoes!C55,Tomatoes!C55,TurnipGreens!C55)</f>
        <v>52356.102695423528</v>
      </c>
      <c r="D46" s="113">
        <f>SUM(Artichokes!D55, Asparagus!D55, LimaBeans!D55, SnapBeans!D55,Broccoli!D55,BrusselsSprouts!D55,Cabbage!D55,Carrots!D55,Cauliflower!D55,Celery!D55,Collards!D55,SweetCorn!D55,Cucumbers!D55,Eggplant!D55,Escarole!D55,Garlic!D55,HeadLettuce!D55,Kale!D55,Mushrooms!D55,MustardGreens!D55,Onions!D55,Okra!D55,Peppers!D55,Potatoes!D55,Pumpkin!D55) + SUM(Radishes!D55,Romaine!D55,Spinach!D55,Squash!D55,SweetPotatoes!D55,Tomatoes!D55,TurnipGreens!D55)</f>
        <v>10275.1023873577</v>
      </c>
      <c r="E46" s="113">
        <f>SUM(Artichokes!E55, Asparagus!E55, LimaBeans!E55, SnapBeans!E55,Broccoli!E55,BrusselsSprouts!F55,Cabbage!E55,Carrots!E55,Cauliflower!E55,Celery!E55,Collards!F55,SweetCorn!E55,Cucumbers!E55,Eggplant!E55,Escarole!E55,Garlic!E55,HeadLettuce!E55,Kale!F55,Mushrooms!E55,MustardGreens!F55,Onions!F55,Okra!F55,Peppers!E55,Potatoes!E55,Pumpkin!F55) + SUM(Radishes!E55,Romaine!E55,Spinach!E55,Squash!E55,SweetPotatoes!F55,Tomatoes!E55,TurnipGreens!F55)</f>
        <v>64103.176130571359</v>
      </c>
      <c r="F46" s="113">
        <f>SUM(Artichokes!F55, Asparagus!F55, LimaBeans!F55, SnapBeans!F55,Broccoli!F55,BrusselsSprouts!G55,Cabbage!F55,Carrots!F55,Cauliflower!F55,Celery!F55,Collards!G55,SweetCorn!F55,Cucumbers!F55,Eggplant!F55,Escarole!F55,Garlic!F55,HeadLettuce!F55,Kale!G55,Mushrooms!F55,MustardGreens!G55,Onions!G55,Okra!G55,Peppers!F55,Potatoes!F55,Pumpkin!G55) + SUM(Radishes!F55,Romaine!F55,Spinach!F55,Squash!F55,SweetPotatoes!G55,Tomatoes!F55,TurnipGreens!G55)</f>
        <v>4287.4720670811548</v>
      </c>
      <c r="G46" s="113">
        <f>SUM(Artichokes!G55, Asparagus!G55, LimaBeans!G55, SnapBeans!G55,Broccoli!G55,BrusselsSprouts!I55,Cabbage!H55,Carrots!G55,Cauliflower!G55,Celery!G55,Collards!I55,SweetCorn!G55,Cucumbers!G55,Eggplant!G55,Escarole!G55,Garlic!H55,HeadLettuce!G55,Kale!I55,Mushrooms!G55,MustardGreens!I55,Onions!J55,Okra!I55,Peppers!G55,Potatoes!G55,Pumpkin!J55) + SUM(Radishes!G55,Romaine!G55,Spinach!G55,Squash!G55,SweetPotatoes!K55,Tomatoes!G55,TurnipGreens!I55)</f>
        <v>57400.399929747364</v>
      </c>
      <c r="H46" s="6">
        <f>SUM(Artichokes!H55,Asparagus!H55,LimaBeans!H55,SnapBeans!H55,Broccoli!H55,BrusselsSprouts!J55,Cabbage!I55,Carrots!H55,Cauliflower!H55,Celery!H55,Collards!J55,SweetCorn!H55,Cucumbers!H55,Eggplant!H55,Escarole!H55,Garlic!I55,HeadLettuce!H55,Kale!J55,Mushrooms!H55,MustardGreens!J55,Onions!K55,Okra!J55,Peppers!H55,Potatoes!H55,Pumpkin!K55) + SUM(Radishes!H55,Romaine!H55,Spinach!H55,Squash!H55,SweetPotatoes!L55,Tomatoes!H55,TurnipGreens!J55)</f>
        <v>188.33333705857595</v>
      </c>
      <c r="I46" s="6">
        <f>SUM(Artichokes!I55, Asparagus!I55, LimaBeans!I55, SnapBeans!I55,Broccoli!I55,BrusselsSprouts!K55,Cabbage!J55,Carrots!I55,Cauliflower!I55,Celery!I55,Collards!K55,SweetCorn!I55,Cucumbers!I55,Eggplant!I55,Escarole!I55,Garlic!J55,HeadLettuce!I55,Kale!K55,Mushrooms!I55,MustardGreens!K55,Onions!L55,Okra!K55,Peppers!I55,Potatoes!I55,Pumpkin!L55) + SUM(Radishes!I55,Romaine!I55,Spinach!I55,Squash!I55,SweetPotatoes!M55,Tomatoes!I55,TurnipGreens!K55)</f>
        <v>174.06546361786098</v>
      </c>
    </row>
    <row r="47" spans="1:9" ht="12" customHeight="1" x14ac:dyDescent="0.2">
      <c r="A47" s="2" t="s">
        <v>48</v>
      </c>
      <c r="B47" s="20">
        <v>307.43940600000002</v>
      </c>
      <c r="C47" s="113">
        <f>SUM(Artichokes!C56, Asparagus!C56, LimaBeans!C56, SnapBeans!C56,Broccoli!C56,BrusselsSprouts!C56,Cabbage!C56,Carrots!C56,Cauliflower!C56,Celery!C56,Collards!C56,SweetCorn!C56,Cucumbers!C56,Eggplant!C56,Escarole!C56,Garlic!C56,HeadLettuce!C56,Kale!C56,Mushrooms!C56,MustardGreens!C56,Onions!C56,Okra!C56,Peppers!C56,Potatoes!C56,Pumpkin!C56) + SUM(Radishes!C56,Romaine!C56,Spinach!C56,Squash!C56,SweetPotatoes!C56,Tomatoes!C56,TurnipGreens!C56)</f>
        <v>51881.744521034809</v>
      </c>
      <c r="D47" s="113">
        <f>SUM(Artichokes!D56, Asparagus!D56, LimaBeans!D56, SnapBeans!D56,Broccoli!D56,BrusselsSprouts!D56,Cabbage!D56,Carrots!D56,Cauliflower!D56,Celery!D56,Collards!D56,SweetCorn!D56,Cucumbers!D56,Eggplant!D56,Escarole!D56,Garlic!D56,HeadLettuce!D56,Kale!D56,Mushrooms!D56,MustardGreens!D56,Onions!D56,Okra!D56,Peppers!D56,Potatoes!D56,Pumpkin!D56) + SUM(Radishes!D56,Romaine!D56,Spinach!D56,Squash!D56,SweetPotatoes!D56,Tomatoes!D56,TurnipGreens!D56)</f>
        <v>10353.101180797999</v>
      </c>
      <c r="E47" s="113">
        <f>SUM(Artichokes!E56, Asparagus!E56, LimaBeans!E56, SnapBeans!E56,Broccoli!E56,BrusselsSprouts!F56,Cabbage!E56,Carrots!E56,Cauliflower!E56,Celery!E56,Collards!F56,SweetCorn!E56,Cucumbers!E56,Eggplant!E56,Escarole!E56,Garlic!E56,HeadLettuce!E56,Kale!F56,Mushrooms!E56,MustardGreens!F56,Onions!F56,Okra!F56,Peppers!E56,Potatoes!E56,Pumpkin!F56) + SUM(Radishes!E56,Romaine!E56,Spinach!E56,Squash!E56,SweetPotatoes!F56,Tomatoes!E56,TurnipGreens!F56)</f>
        <v>63709.463514705909</v>
      </c>
      <c r="F47" s="113">
        <f>SUM(Artichokes!F56, Asparagus!F56, LimaBeans!F56, SnapBeans!F56,Broccoli!F56,BrusselsSprouts!G56,Cabbage!F56,Carrots!F56,Cauliflower!F56,Celery!F56,Collards!G56,SweetCorn!F56,Cucumbers!F56,Eggplant!F56,Escarole!F56,Garlic!F56,HeadLettuce!F56,Kale!G56,Mushrooms!F56,MustardGreens!G56,Onions!G56,Okra!G56,Peppers!F56,Potatoes!F56,Pumpkin!G56) + SUM(Radishes!F56,Romaine!F56,Spinach!F56,Squash!F56,SweetPotatoes!G56,Tomatoes!F56,TurnipGreens!G56)</f>
        <v>4169.8639994810273</v>
      </c>
      <c r="G47" s="113">
        <f>SUM(Artichokes!G56, Asparagus!G56, LimaBeans!G56, SnapBeans!G56,Broccoli!G56,BrusselsSprouts!I56,Cabbage!H56,Carrots!G56,Cauliflower!G56,Celery!G56,Collards!I56,SweetCorn!G56,Cucumbers!G56,Eggplant!G56,Escarole!G56,Garlic!H56,HeadLettuce!G56,Kale!I56,Mushrooms!G56,MustardGreens!I56,Onions!J56,Okra!I56,Peppers!G56,Potatoes!G56,Pumpkin!J56) + SUM(Radishes!G56,Romaine!G56,Spinach!G56,Squash!G56,SweetPotatoes!K56,Tomatoes!G56,TurnipGreens!I56)</f>
        <v>57036.969111581282</v>
      </c>
      <c r="H47" s="6">
        <f>SUM(Artichokes!H56,Asparagus!H56,LimaBeans!H56,SnapBeans!H56,Broccoli!H56,BrusselsSprouts!J56,Cabbage!I56,Carrots!H56,Cauliflower!H56,Celery!H56,Collards!J56,SweetCorn!H56,Cucumbers!H56,Eggplant!H56,Escarole!H56,Garlic!I56,HeadLettuce!H56,Kale!J56,Mushrooms!H56,MustardGreens!J56,Onions!K56,Okra!J56,Peppers!H56,Potatoes!H56,Pumpkin!K56) + SUM(Radishes!H56,Romaine!H56,Spinach!H56,Squash!H56,SweetPotatoes!L56,Tomatoes!H56,TurnipGreens!J56)</f>
        <v>185.53239645287505</v>
      </c>
      <c r="I47" s="6">
        <f>SUM(Artichokes!I56, Asparagus!I56, LimaBeans!I56, SnapBeans!I56,Broccoli!I56,BrusselsSprouts!K56,Cabbage!J56,Carrots!I56,Cauliflower!I56,Celery!I56,Collards!K56,SweetCorn!I56,Cucumbers!I56,Eggplant!I56,Escarole!I56,Garlic!J56,HeadLettuce!I56,Kale!K56,Mushrooms!I56,MustardGreens!K56,Onions!L56,Okra!K56,Peppers!I56,Potatoes!I56,Pumpkin!L56) + SUM(Radishes!I56,Romaine!I56,Spinach!I56,Squash!I56,SweetPotatoes!M56,Tomatoes!I56,TurnipGreens!K56)</f>
        <v>171.317815387454</v>
      </c>
    </row>
    <row r="48" spans="1:9" ht="12" customHeight="1" x14ac:dyDescent="0.2">
      <c r="A48" s="2" t="s">
        <v>69</v>
      </c>
      <c r="B48" s="20">
        <v>309.74127900000002</v>
      </c>
      <c r="C48" s="113">
        <f>SUM(Artichokes!C57, Asparagus!C57, LimaBeans!C57, SnapBeans!C57,Broccoli!C57,BrusselsSprouts!C57,Cabbage!C57,Carrots!C57,Cauliflower!C57,Celery!C57,Collards!C57,SweetCorn!C57,Cucumbers!C57,Eggplant!C57,Escarole!C57,Garlic!C57,HeadLettuce!C57,Kale!C57,Mushrooms!C57,MustardGreens!C57,Onions!C57,Okra!C57,Peppers!C57,Potatoes!C57,Pumpkin!C57) + SUM(Radishes!C57,Romaine!C57,Spinach!C57,Squash!C57,SweetPotatoes!C57,Tomatoes!C57,TurnipGreens!C57)</f>
        <v>52490.049004123153</v>
      </c>
      <c r="D48" s="113">
        <f>SUM(Artichokes!D57, Asparagus!D57, LimaBeans!D57, SnapBeans!D57,Broccoli!D57,BrusselsSprouts!D57,Cabbage!D57,Carrots!D57,Cauliflower!D57,Celery!D57,Collards!D57,SweetCorn!D57,Cucumbers!D57,Eggplant!D57,Escarole!D57,Garlic!D57,HeadLettuce!D57,Kale!D57,Mushrooms!D57,MustardGreens!D57,Onions!D57,Okra!D57,Peppers!D57,Potatoes!D57,Pumpkin!D57) + SUM(Radishes!D57,Romaine!D57,Spinach!D57,Squash!D57,SweetPotatoes!D57,Tomatoes!D57,TurnipGreens!D57)</f>
        <v>11958.701496046237</v>
      </c>
      <c r="E48" s="113">
        <f>SUM(Artichokes!E57, Asparagus!E57, LimaBeans!E57, SnapBeans!E57,Broccoli!E57,BrusselsSprouts!F57,Cabbage!E57,Carrots!E57,Cauliflower!E57,Celery!E57,Collards!F57,SweetCorn!E57,Cucumbers!E57,Eggplant!E57,Escarole!E57,Garlic!E57,HeadLettuce!E57,Kale!F57,Mushrooms!E57,MustardGreens!F57,Onions!F57,Okra!F57,Peppers!E57,Potatoes!E57,Pumpkin!F57) + SUM(Radishes!E57,Romaine!E57,Spinach!E57,Squash!E57,SweetPotatoes!F57,Tomatoes!E57,TurnipGreens!F57)</f>
        <v>66018.297733840547</v>
      </c>
      <c r="F48" s="113">
        <f>SUM(Artichokes!F57, Asparagus!F57, LimaBeans!F57, SnapBeans!F57,Broccoli!F57,BrusselsSprouts!G57,Cabbage!F57,Carrots!F57,Cauliflower!F57,Celery!F57,Collards!G57,SweetCorn!F57,Cucumbers!F57,Eggplant!F57,Escarole!F57,Garlic!F57,HeadLettuce!F57,Kale!G57,Mushrooms!F57,MustardGreens!G57,Onions!G57,Okra!G57,Peppers!F57,Potatoes!F57,Pumpkin!G57) + SUM(Radishes!F57,Romaine!F57,Spinach!F57,Squash!F57,SweetPotatoes!G57,Tomatoes!F57,TurnipGreens!G57)</f>
        <v>4502.0633792476556</v>
      </c>
      <c r="G48" s="113">
        <f>SUM(Artichokes!G57, Asparagus!G57, LimaBeans!G57, SnapBeans!G57,Broccoli!G57,BrusselsSprouts!I57,Cabbage!H57,Carrots!G57,Cauliflower!G57,Celery!G57,Collards!I57,SweetCorn!G57,Cucumbers!G57,Eggplant!G57,Escarole!G57,Garlic!H57,HeadLettuce!G57,Kale!I57,Mushrooms!G57,MustardGreens!I57,Onions!J57,Okra!I57,Peppers!G57,Potatoes!G57,Pumpkin!J57) + SUM(Radishes!G57,Romaine!G57,Spinach!G57,Squash!G57,SweetPotatoes!K57,Tomatoes!G57,TurnipGreens!I57)</f>
        <v>58955.5755002238</v>
      </c>
      <c r="H48" s="6">
        <f>SUM(Artichokes!H57,Asparagus!H57,LimaBeans!H57,SnapBeans!H57,Broccoli!H57,BrusselsSprouts!J57,Cabbage!I57,Carrots!H57,Cauliflower!H57,Celery!H57,Collards!J57,SweetCorn!H57,Cucumbers!H57,Eggplant!H57,Escarole!H57,Garlic!I57,HeadLettuce!H57,Kale!J57,Mushrooms!H57,MustardGreens!J57,Onions!K57,Okra!J57,Peppers!H57,Potatoes!H57,Pumpkin!K57) + SUM(Radishes!H57,Romaine!H57,Spinach!H57,Squash!H57,SweetPotatoes!L57,Tomatoes!H57,TurnipGreens!J57)</f>
        <v>190.34575535519113</v>
      </c>
      <c r="I48" s="6">
        <f>SUM(Artichokes!I57, Asparagus!I57, LimaBeans!I57, SnapBeans!I57,Broccoli!I57,BrusselsSprouts!K57,Cabbage!J57,Carrots!I57,Cauliflower!I57,Celery!I57,Collards!K57,SweetCorn!I57,Cucumbers!I57,Eggplant!I57,Escarole!I57,Garlic!J57,HeadLettuce!I57,Kale!K57,Mushrooms!I57,MustardGreens!K57,Onions!L57,Okra!K57,Peppers!I57,Potatoes!I57,Pumpkin!L57) + SUM(Radishes!I57,Romaine!I57,Spinach!I57,Squash!I57,SweetPotatoes!M57,Tomatoes!I57,TurnipGreens!K57)</f>
        <v>175.72032553755284</v>
      </c>
    </row>
    <row r="49" spans="1:10" ht="12" customHeight="1" x14ac:dyDescent="0.2">
      <c r="A49" s="33" t="s">
        <v>70</v>
      </c>
      <c r="B49" s="31">
        <v>311.97391399999998</v>
      </c>
      <c r="C49" s="115">
        <f>SUM(Artichokes!C58, Asparagus!C58, LimaBeans!C58, SnapBeans!C58,Broccoli!C58,BrusselsSprouts!C58,Cabbage!C58,Carrots!C58,Cauliflower!C58,Celery!C58,Collards!C58,SweetCorn!C58,Cucumbers!C58,Eggplant!C58,Escarole!C58,Garlic!C58,HeadLettuce!C58,Kale!C58,Mushrooms!C58,MustardGreens!C58,Onions!C58,Okra!C58,Peppers!C58,Potatoes!C58,Pumpkin!C58) + SUM(Radishes!C58,Romaine!C58,Spinach!C58,Squash!C58,SweetPotatoes!C58,Tomatoes!C58,TurnipGreens!C58)</f>
        <v>51563.847270187551</v>
      </c>
      <c r="D49" s="115">
        <f>SUM(Artichokes!D58, Asparagus!D58, LimaBeans!D58, SnapBeans!D58,Broccoli!D58,BrusselsSprouts!D58,Cabbage!D58,Carrots!D58,Cauliflower!D58,Celery!D58,Collards!D58,SweetCorn!D58,Cucumbers!D58,Eggplant!D58,Escarole!D58,Garlic!D58,HeadLettuce!D58,Kale!D58,Mushrooms!D58,MustardGreens!D58,Onions!D58,Okra!D58,Peppers!D58,Potatoes!D58,Pumpkin!D58) + SUM(Radishes!D58,Romaine!D58,Spinach!D58,Squash!D58,SweetPotatoes!D58,Tomatoes!D58,TurnipGreens!D58)</f>
        <v>12293.224636136207</v>
      </c>
      <c r="E49" s="115">
        <f>SUM(Artichokes!E58, Asparagus!E58, LimaBeans!E58, SnapBeans!E58,Broccoli!E58,BrusselsSprouts!F58,Cabbage!E58,Carrots!E58,Cauliflower!E58,Celery!E58,Collards!F58,SweetCorn!E58,Cucumbers!E58,Eggplant!E58,Escarole!E58,Garlic!E58,HeadLettuce!E58,Kale!F58,Mushrooms!E58,MustardGreens!F58,Onions!F58,Okra!F58,Peppers!E58,Potatoes!E58,Pumpkin!F58) + SUM(Radishes!E58,Romaine!E58,Spinach!E58,Squash!E58,SweetPotatoes!F58,Tomatoes!E58,TurnipGreens!F58)</f>
        <v>65345.196329751023</v>
      </c>
      <c r="F49" s="115">
        <f>SUM(Artichokes!F58, Asparagus!F58, LimaBeans!F58, SnapBeans!F58,Broccoli!F58,BrusselsSprouts!G58,Cabbage!F58,Carrots!F58,Cauliflower!F58,Celery!F58,Collards!G58,SweetCorn!F58,Cucumbers!F58,Eggplant!F58,Escarole!F58,Garlic!F58,HeadLettuce!F58,Kale!G58,Mushrooms!F58,MustardGreens!G58,Onions!G58,Okra!G58,Peppers!F58,Potatoes!F58,Pumpkin!G58) + SUM(Radishes!F58,Romaine!F58,Spinach!F58,Squash!F58,SweetPotatoes!G58,Tomatoes!F58,TurnipGreens!G58)</f>
        <v>4719.595302273694</v>
      </c>
      <c r="G49" s="115">
        <f>SUM(Artichokes!G58, Asparagus!G58, LimaBeans!G58, SnapBeans!G58,Broccoli!G58,BrusselsSprouts!I58,Cabbage!H58,Carrots!G58,Cauliflower!G58,Celery!G58,Collards!I58,SweetCorn!G58,Cucumbers!G58,Eggplant!G58,Escarole!G58,Garlic!H58,HeadLettuce!G58,Kale!I58,Mushrooms!G58,MustardGreens!I58,Onions!J58,Okra!I58,Peppers!G58,Potatoes!G58,Pumpkin!J58) + SUM(Radishes!G58,Romaine!G58,Spinach!G58,Squash!G58,SweetPotatoes!K58,Tomatoes!G58,TurnipGreens!I58)</f>
        <v>57968.97830894326</v>
      </c>
      <c r="H49" s="30">
        <f>SUM(Artichokes!H58,Asparagus!H58,LimaBeans!H58,SnapBeans!H58,Broccoli!H58,BrusselsSprouts!J58,Cabbage!I58,Carrots!H58,Cauliflower!H58,Celery!H58,Collards!J58,SweetCorn!H58,Cucumbers!H58,Eggplant!H58,Escarole!H58,Garlic!I58,HeadLettuce!H58,Kale!J58,Mushrooms!H58,MustardGreens!J58,Onions!K58,Okra!J58,Peppers!H58,Potatoes!H58,Pumpkin!K58) + SUM(Radishes!H58,Romaine!H58,Spinach!H58,Squash!H58,SweetPotatoes!L58,Tomatoes!H58,TurnipGreens!J58)</f>
        <v>185.82263968618682</v>
      </c>
      <c r="I49" s="30">
        <f>SUM(Artichokes!I58, Asparagus!I58, LimaBeans!I58, SnapBeans!I58,Broccoli!I58,BrusselsSprouts!K58,Cabbage!J58,Carrots!I58,Cauliflower!I58,Celery!I58,Collards!K58,SweetCorn!I58,Cucumbers!I58,Eggplant!I58,Escarole!I58,Garlic!J58,HeadLettuce!I58,Kale!K58,Mushrooms!I58,MustardGreens!K58,Onions!L58,Okra!K58,Peppers!I58,Potatoes!I58,Pumpkin!L58) + SUM(Radishes!I58,Romaine!I58,Spinach!I58,Squash!I58,SweetPotatoes!M58,Tomatoes!I58,TurnipGreens!K58)</f>
        <v>171.36090879430068</v>
      </c>
    </row>
    <row r="50" spans="1:10" s="29" customFormat="1" ht="12" customHeight="1" x14ac:dyDescent="0.2">
      <c r="A50" s="3">
        <v>2012</v>
      </c>
      <c r="B50" s="21">
        <v>314.16755799999999</v>
      </c>
      <c r="C50" s="114">
        <f>SUM(Artichokes!C59, Asparagus!C59, LimaBeans!C59, SnapBeans!C59,Broccoli!C59,BrusselsSprouts!C59,Cabbage!C59,Carrots!C59,Cauliflower!C59,Celery!C59,Collards!C59,SweetCorn!C59,Cucumbers!C59,Eggplant!C59,Escarole!C59,Garlic!C59,HeadLettuce!C59,Kale!C59,Mushrooms!C59,MustardGreens!C59,Onions!C59,Okra!C59,Peppers!C59,Potatoes!C59,Pumpkin!C59) + SUM(Radishes!C59,Romaine!C59,Spinach!C59,Squash!C59,SweetPotatoes!C59,Tomatoes!C59,TurnipGreens!C59)</f>
        <v>52616.727825498601</v>
      </c>
      <c r="D50" s="114">
        <f>SUM(Artichokes!D59, Asparagus!D59, LimaBeans!D59, SnapBeans!D59,Broccoli!D59,BrusselsSprouts!D59,Cabbage!D59,Carrots!D59,Cauliflower!D59,Celery!D59,Collards!D59,SweetCorn!D59,Cucumbers!D59,Eggplant!D59,Escarole!D59,Garlic!D59,HeadLettuce!D59,Kale!D59,Mushrooms!D59,MustardGreens!D59,Onions!D59,Okra!D59,Peppers!D59,Potatoes!D59,Pumpkin!D59) + SUM(Radishes!D59,Romaine!D59,Spinach!D59,Squash!D59,SweetPotatoes!D59,Tomatoes!D59,TurnipGreens!D59)</f>
        <v>12389.07921217566</v>
      </c>
      <c r="E50" s="114">
        <f>SUM(Artichokes!E59, Asparagus!E59, LimaBeans!E59, SnapBeans!E59,Broccoli!E59,BrusselsSprouts!F59,Cabbage!E59,Carrots!E59,Cauliflower!E59,Celery!E59,Collards!F59,SweetCorn!E59,Cucumbers!E59,Eggplant!E59,Escarole!E59,Garlic!E59,HeadLettuce!E59,Kale!F59,Mushrooms!E59,MustardGreens!F59,Onions!F59,Okra!F59,Peppers!E59,Potatoes!E59,Pumpkin!F59) + SUM(Radishes!E59,Romaine!E59,Spinach!E59,Squash!E59,SweetPotatoes!F59,Tomatoes!E59,TurnipGreens!F59)</f>
        <v>66583.424139383482</v>
      </c>
      <c r="F50" s="114">
        <f>SUM(Artichokes!F59, Asparagus!F59, LimaBeans!F59, SnapBeans!F59,Broccoli!F59,BrusselsSprouts!G59,Cabbage!F59,Carrots!F59,Cauliflower!F59,Celery!F59,Collards!G59,SweetCorn!F59,Cucumbers!F59,Eggplant!F59,Escarole!F59,Garlic!F59,HeadLettuce!F59,Kale!G59,Mushrooms!F59,MustardGreens!G59,Onions!G59,Okra!G59,Peppers!F59,Potatoes!F59,Pumpkin!G59) + SUM(Radishes!F59,Romaine!F59,Spinach!F59,Squash!F59,SweetPotatoes!G59,Tomatoes!F59,TurnipGreens!G59)</f>
        <v>4819.8325548812008</v>
      </c>
      <c r="G50" s="114">
        <f>SUM(Artichokes!G59, Asparagus!G59, LimaBeans!G59, SnapBeans!G59,Broccoli!G59,BrusselsSprouts!I59,Cabbage!H59,Carrots!G59,Cauliflower!G59,Celery!G59,Collards!I59,SweetCorn!G59,Cucumbers!G59,Eggplant!G59,Escarole!G59,Garlic!H59,HeadLettuce!G59,Kale!I59,Mushrooms!G59,MustardGreens!I59,Onions!J59,Okra!I59,Peppers!G59,Potatoes!G59,Pumpkin!J59) + SUM(Radishes!G59,Romaine!G59,Spinach!G59,Squash!G59,SweetPotatoes!K59,Tomatoes!G59,TurnipGreens!I59)</f>
        <v>59292.145584119404</v>
      </c>
      <c r="H50" s="7">
        <f>SUM(Artichokes!H59,Asparagus!H59,LimaBeans!H59,SnapBeans!H59,Broccoli!H59,BrusselsSprouts!J59,Cabbage!I59,Carrots!H59,Cauliflower!H59,Celery!H59,Collards!J59,SweetCorn!H59,Cucumbers!H59,Eggplant!H59,Escarole!H59,Garlic!I59,HeadLettuce!H59,Kale!J59,Mushrooms!H59,MustardGreens!J59,Onions!K59,Okra!J59,Peppers!H59,Potatoes!H59,Pumpkin!K59) + SUM(Radishes!H59,Romaine!H59,Spinach!H59,Squash!H59,SweetPotatoes!L59,Tomatoes!H59,TurnipGreens!J59)</f>
        <v>188.73135250847929</v>
      </c>
      <c r="I50" s="7">
        <f>SUM(Artichokes!I59, Asparagus!I59, LimaBeans!I59, SnapBeans!I59,Broccoli!I59,BrusselsSprouts!K59,Cabbage!J59,Carrots!I59,Cauliflower!I59,Celery!I59,Collards!K59,SweetCorn!I59,Cucumbers!I59,Eggplant!I59,Escarole!I59,Garlic!J59,HeadLettuce!I59,Kale!K59,Mushrooms!I59,MustardGreens!K59,Onions!L59,Okra!K59,Peppers!I59,Potatoes!I59,Pumpkin!L59) + SUM(Radishes!I59,Romaine!I59,Spinach!I59,Squash!I59,SweetPotatoes!M59,Tomatoes!I59,TurnipGreens!K59)</f>
        <v>174.08136916890425</v>
      </c>
    </row>
    <row r="51" spans="1:10" s="93" customFormat="1" ht="12" customHeight="1" x14ac:dyDescent="0.2">
      <c r="A51" s="33">
        <v>2013</v>
      </c>
      <c r="B51" s="31">
        <v>316.29476599999998</v>
      </c>
      <c r="C51" s="114">
        <f>SUM(Artichokes!C60, Asparagus!C60, LimaBeans!C60, SnapBeans!C60,Broccoli!C60,BrusselsSprouts!C60,Cabbage!C60,Carrots!C60,Cauliflower!C60,Celery!C60,Collards!C60,SweetCorn!C60,Cucumbers!C60,Eggplant!C60,Escarole!C60,Garlic!C60,HeadLettuce!C60,Kale!C60,Mushrooms!C60,MustardGreens!C60,Onions!C60,Okra!C60,Peppers!C60,Potatoes!C60,Pumpkin!C60) + SUM(Radishes!C60,Romaine!C60,Spinach!C60,Squash!C60,SweetPotatoes!C60,Tomatoes!C60,TurnipGreens!C60)</f>
        <v>51312.486776344245</v>
      </c>
      <c r="D51" s="114">
        <f>SUM(Artichokes!D60, Asparagus!D60, LimaBeans!D60, SnapBeans!D60,Broccoli!D60,BrusselsSprouts!D60,Cabbage!D60,Carrots!D60,Cauliflower!D60,Celery!D60,Collards!D60,SweetCorn!D60,Cucumbers!D60,Eggplant!D60,Escarole!D60,Garlic!D60,HeadLettuce!D60,Kale!D60,Mushrooms!D60,MustardGreens!D60,Onions!D60,Okra!D60,Peppers!D60,Potatoes!D60,Pumpkin!D60) + SUM(Radishes!D60,Romaine!D60,Spinach!D60,Squash!D60,SweetPotatoes!D60,Tomatoes!D60,TurnipGreens!D60)</f>
        <v>12975.105741318013</v>
      </c>
      <c r="E51" s="114">
        <f>SUM(Artichokes!E60, Asparagus!E60, LimaBeans!E60, SnapBeans!E60,Broccoli!E60,BrusselsSprouts!F60,Cabbage!E60,Carrots!E60,Cauliflower!E60,Celery!E60,Collards!F60,SweetCorn!E60,Cucumbers!E60,Eggplant!E60,Escarole!E60,Garlic!E60,HeadLettuce!E60,Kale!F60,Mushrooms!E60,MustardGreens!F60,Onions!F60,Okra!F60,Peppers!E60,Potatoes!E60,Pumpkin!F60) + SUM(Radishes!E60,Romaine!E60,Spinach!E60,Squash!E60,SweetPotatoes!F60,Tomatoes!E60,TurnipGreens!F60)</f>
        <v>65758.851612122671</v>
      </c>
      <c r="F51" s="114">
        <f>SUM(Artichokes!F60, Asparagus!F60, LimaBeans!F60, SnapBeans!F60,Broccoli!F60,BrusselsSprouts!G60,Cabbage!F60,Carrots!F60,Cauliflower!F60,Celery!F60,Collards!G60,SweetCorn!F60,Cucumbers!F60,Eggplant!F60,Escarole!F60,Garlic!F60,HeadLettuce!F60,Kale!G60,Mushrooms!F60,MustardGreens!G60,Onions!G60,Okra!G60,Peppers!F60,Potatoes!F60,Pumpkin!G60) + SUM(Radishes!F60,Romaine!F60,Spinach!F60,Squash!F60,SweetPotatoes!G60,Tomatoes!F60,TurnipGreens!G60)</f>
        <v>4872.9393017854991</v>
      </c>
      <c r="G51" s="114">
        <f>SUM(Artichokes!G60, Asparagus!G60, LimaBeans!G60, SnapBeans!G60,Broccoli!G60,BrusselsSprouts!I60,Cabbage!H60,Carrots!G60,Cauliflower!G60,Celery!G60,Collards!I60,SweetCorn!G60,Cucumbers!G60,Eggplant!G60,Escarole!G60,Garlic!H60,HeadLettuce!G60,Kale!I60,Mushrooms!G60,MustardGreens!I60,Onions!J60,Okra!I60,Peppers!G60,Potatoes!G60,Pumpkin!J60) + SUM(Radishes!G60,Romaine!G60,Spinach!G60,Squash!G60,SweetPotatoes!K60,Tomatoes!G60,TurnipGreens!I60)</f>
        <v>58403.870687734845</v>
      </c>
      <c r="H51" s="7">
        <f>SUM(Artichokes!H60,Asparagus!H60,LimaBeans!H60,SnapBeans!H60,Broccoli!H60,BrusselsSprouts!J60,Cabbage!I60,Carrots!H60,Cauliflower!H60,Celery!H60,Collards!J60,SweetCorn!H60,Cucumbers!H60,Eggplant!H60,Escarole!H60,Garlic!I60,HeadLettuce!H60,Kale!J60,Mushrooms!H60,MustardGreens!J60,Onions!K60,Okra!J60,Peppers!H60,Potatoes!H60,Pumpkin!K60) + SUM(Radishes!H60,Romaine!H60,Spinach!H60,Squash!H60,SweetPotatoes!L60,Tomatoes!H60,TurnipGreens!J60)</f>
        <v>184.66080886256347</v>
      </c>
      <c r="I51" s="7">
        <f>SUM(Artichokes!I60, Asparagus!I60, LimaBeans!I60, SnapBeans!I60,Broccoli!I60,BrusselsSprouts!K60,Cabbage!J60,Carrots!I60,Cauliflower!I60,Celery!I60,Collards!K60,SweetCorn!I60,Cucumbers!I60,Eggplant!I60,Escarole!I60,Garlic!J60,HeadLettuce!I60,Kale!K60,Mushrooms!I60,MustardGreens!K60,Onions!L60,Okra!K60,Peppers!I60,Potatoes!I60,Pumpkin!L60) + SUM(Radishes!I60,Romaine!I60,Spinach!I60,Squash!I60,SweetPotatoes!M60,Tomatoes!I60,TurnipGreens!K60)</f>
        <v>170.36721771032518</v>
      </c>
    </row>
    <row r="52" spans="1:10" s="93" customFormat="1" ht="12" customHeight="1" x14ac:dyDescent="0.2">
      <c r="A52" s="33">
        <v>2014</v>
      </c>
      <c r="B52" s="31">
        <v>318.576955</v>
      </c>
      <c r="C52" s="114">
        <f>SUM(Artichokes!C61, Asparagus!C61, LimaBeans!C61, SnapBeans!C61,Broccoli!C61,BrusselsSprouts!C61,Cabbage!C61,Carrots!C61,Cauliflower!C61,Celery!C61,Collards!C61,SweetCorn!C61,Cucumbers!C61,Eggplant!C61,Escarole!C61,Garlic!C61,HeadLettuce!C61,Kale!C61,Mushrooms!C61,MustardGreens!C61,Onions!C61,Okra!C61,Peppers!C61,Potatoes!C61,Pumpkin!C61) + SUM(Radishes!C61,Romaine!C61,Spinach!C61,Squash!C61,SweetPotatoes!C61,Tomatoes!C61,TurnipGreens!C61)</f>
        <v>51337.377735683331</v>
      </c>
      <c r="D52" s="114">
        <f>SUM(Artichokes!D61, Asparagus!D61, LimaBeans!D61, SnapBeans!D61,Broccoli!D61,BrusselsSprouts!D61,Cabbage!D61,Carrots!D61,Cauliflower!D61,Celery!D61,Collards!D61,SweetCorn!D61,Cucumbers!D61,Eggplant!D61,Escarole!D61,Garlic!D61,HeadLettuce!D61,Kale!D61,Mushrooms!D61,MustardGreens!D61,Onions!D61,Okra!D61,Peppers!D61,Potatoes!D61,Pumpkin!D61) + SUM(Radishes!D61,Romaine!D61,Spinach!D61,Squash!D61,SweetPotatoes!D61,Tomatoes!D61,TurnipGreens!D61)</f>
        <v>13950.186148585164</v>
      </c>
      <c r="E52" s="114">
        <f>SUM(Artichokes!E61, Asparagus!E61, LimaBeans!E61, SnapBeans!E61,Broccoli!E61,BrusselsSprouts!F61,Cabbage!E61,Carrots!E61,Cauliflower!E61,Celery!E61,Collards!F61,SweetCorn!E61,Cucumbers!E61,Eggplant!E61,Escarole!E61,Garlic!E61,HeadLettuce!E61,Kale!F61,Mushrooms!E61,MustardGreens!F61,Onions!F61,Okra!F61,Peppers!E61,Potatoes!E61,Pumpkin!F61) + SUM(Radishes!E61,Romaine!E61,Spinach!E61,Squash!E61,SweetPotatoes!F61,Tomatoes!E61,TurnipGreens!F61)</f>
        <v>66811.886045907959</v>
      </c>
      <c r="F52" s="114">
        <f>SUM(Artichokes!F61, Asparagus!F61, LimaBeans!F61, SnapBeans!F61,Broccoli!F61,BrusselsSprouts!G61,Cabbage!F61,Carrots!F61,Cauliflower!F61,Celery!F61,Collards!G61,SweetCorn!F61,Cucumbers!F61,Eggplant!F61,Escarole!F61,Garlic!F61,HeadLettuce!F61,Kale!G61,Mushrooms!F61,MustardGreens!G61,Onions!G61,Okra!G61,Peppers!F61,Potatoes!F61,Pumpkin!G61) + SUM(Radishes!F61,Romaine!F61,Spinach!F61,Squash!F61,SweetPotatoes!G61,Tomatoes!F61,TurnipGreens!G61)</f>
        <v>4672.0486949513052</v>
      </c>
      <c r="G52" s="114">
        <f>SUM(Artichokes!G61, Asparagus!G61, LimaBeans!G61, SnapBeans!G61,Broccoli!G61,BrusselsSprouts!I61,Cabbage!H61,Carrots!G61,Cauliflower!G61,Celery!G61,Collards!I61,SweetCorn!G61,Cucumbers!G61,Eggplant!G61,Escarole!G61,Garlic!H61,HeadLettuce!G61,Kale!I61,Mushrooms!G61,MustardGreens!I61,Onions!J61,Okra!I61,Peppers!G61,Potatoes!G61,Pumpkin!J61) + SUM(Radishes!G61,Romaine!G61,Spinach!G61,Squash!G61,SweetPotatoes!K61,Tomatoes!G61,TurnipGreens!I61)</f>
        <v>59436.314493122583</v>
      </c>
      <c r="H52" s="7">
        <f>SUM(Artichokes!H61,Asparagus!H61,LimaBeans!H61,SnapBeans!H61,Broccoli!H61,BrusselsSprouts!J61,Cabbage!I61,Carrots!H61,Cauliflower!H61,Celery!H61,Collards!J61,SweetCorn!H61,Cucumbers!H61,Eggplant!H61,Escarole!H61,Garlic!I61,HeadLettuce!H61,Kale!J61,Mushrooms!H61,MustardGreens!J61,Onions!K61,Okra!J61,Peppers!H61,Potatoes!H61,Pumpkin!K61) + SUM(Radishes!H61,Romaine!H61,Spinach!H61,Squash!H61,SweetPotatoes!L61,Tomatoes!H61,TurnipGreens!J61)</f>
        <v>186.57986853395767</v>
      </c>
      <c r="I52" s="7">
        <f>SUM(Artichokes!I61, Asparagus!I61, LimaBeans!I61, SnapBeans!I61,Broccoli!I61,BrusselsSprouts!K61,Cabbage!J61,Carrots!I61,Cauliflower!I61,Celery!I61,Collards!K61,SweetCorn!I61,Cucumbers!I61,Eggplant!I61,Escarole!I61,Garlic!J61,HeadLettuce!I61,Kale!K61,Mushrooms!I61,MustardGreens!K61,Onions!L61,Okra!K61,Peppers!I61,Potatoes!I61,Pumpkin!L61) + SUM(Radishes!I61,Romaine!I61,Spinach!I61,Squash!I61,SweetPotatoes!M61,Tomatoes!I61,TurnipGreens!K61)</f>
        <v>172.01273588013646</v>
      </c>
    </row>
    <row r="53" spans="1:10" s="93" customFormat="1" ht="12" customHeight="1" x14ac:dyDescent="0.2">
      <c r="A53" s="33">
        <v>2015</v>
      </c>
      <c r="B53" s="31">
        <v>320.87070299999999</v>
      </c>
      <c r="C53" s="114">
        <f>SUM(Artichokes!C62, Asparagus!C62, LimaBeans!C62, SnapBeans!C62,Broccoli!C62,BrusselsSprouts!C62,Cabbage!C62,Carrots!C62,Cauliflower!C62,Celery!C62,Collards!C62,SweetCorn!C62,Cucumbers!C62,Eggplant!C62,Escarole!C62,Garlic!C62,HeadLettuce!C62,Kale!C62,Mushrooms!C62,MustardGreens!C62,Onions!C62,Okra!C62,Peppers!C62,Potatoes!C62,Pumpkin!C62) + SUM(Radishes!C62,Romaine!C62,Spinach!C62,Squash!C62,SweetPotatoes!C62,Tomatoes!C62,TurnipGreens!C62)</f>
        <v>50971.173184045387</v>
      </c>
      <c r="D53" s="114">
        <f>SUM(Artichokes!D62, Asparagus!D62, LimaBeans!D62, SnapBeans!D62,Broccoli!D62,BrusselsSprouts!D62,Cabbage!D62,Carrots!D62,Cauliflower!D62,Celery!D62,Collards!D62,SweetCorn!D62,Cucumbers!D62,Eggplant!D62,Escarole!D62,Garlic!D62,HeadLettuce!D62,Kale!D62,Mushrooms!D62,MustardGreens!D62,Onions!D62,Okra!D62,Peppers!D62,Potatoes!D62,Pumpkin!D62) + SUM(Radishes!D62,Romaine!D62,Spinach!D62,Squash!D62,SweetPotatoes!D62,Tomatoes!D62,TurnipGreens!D62)</f>
        <v>14231.529438380188</v>
      </c>
      <c r="E53" s="114">
        <f>SUM(Artichokes!E62, Asparagus!E62, LimaBeans!E62, SnapBeans!E62,Broccoli!E62,BrusselsSprouts!F62,Cabbage!E62,Carrots!E62,Cauliflower!E62,Celery!E62,Collards!F62,SweetCorn!E62,Cucumbers!E62,Eggplant!E62,Escarole!E62,Garlic!E62,HeadLettuce!E62,Kale!F62,Mushrooms!E62,MustardGreens!F62,Onions!F62,Okra!F62,Peppers!E62,Potatoes!E62,Pumpkin!F62) + SUM(Radishes!E62,Romaine!E62,Spinach!E62,Squash!E62,SweetPotatoes!F62,Tomatoes!E62,TurnipGreens!F62)</f>
        <v>66949.883559001682</v>
      </c>
      <c r="F53" s="114">
        <f>SUM(Artichokes!F62, Asparagus!F62, LimaBeans!F62, SnapBeans!F62,Broccoli!F62,BrusselsSprouts!G62,Cabbage!F62,Carrots!F62,Cauliflower!F62,Celery!F62,Collards!G62,SweetCorn!F62,Cucumbers!F62,Eggplant!F62,Escarole!F62,Garlic!F62,HeadLettuce!F62,Kale!G62,Mushrooms!F62,MustardGreens!G62,Onions!G62,Okra!G62,Peppers!F62,Potatoes!F62,Pumpkin!G62) + SUM(Radishes!F62,Romaine!F62,Spinach!F62,Squash!F62,SweetPotatoes!G62,Tomatoes!F62,TurnipGreens!G62)</f>
        <v>4433.505725405731</v>
      </c>
      <c r="G53" s="114">
        <f>SUM(Artichokes!G62, Asparagus!G62, LimaBeans!G62, SnapBeans!G62,Broccoli!G62,BrusselsSprouts!I62,Cabbage!H62,Carrots!G62,Cauliflower!G62,Celery!G62,Collards!I62,SweetCorn!G62,Cucumbers!G62,Eggplant!G62,Escarole!G62,Garlic!H62,HeadLettuce!G62,Kale!I62,Mushrooms!G62,MustardGreens!I62,Onions!J62,Okra!I62,Peppers!G62,Potatoes!G62,Pumpkin!J62) + SUM(Radishes!G62,Romaine!G62,Spinach!G62,Squash!G62,SweetPotatoes!K62,Tomatoes!G62,TurnipGreens!I62)</f>
        <v>59869.529525849168</v>
      </c>
      <c r="H53" s="7">
        <f>SUM(Artichokes!H62,Asparagus!H62,LimaBeans!H62,SnapBeans!H62,Broccoli!H62,BrusselsSprouts!J62,Cabbage!I62,Carrots!H62,Cauliflower!H62,Celery!H62,Collards!J62,SweetCorn!H62,Cucumbers!H62,Eggplant!H62,Escarole!H62,Garlic!I62,HeadLettuce!H62,Kale!J62,Mushrooms!H62,MustardGreens!J62,Onions!K62,Okra!J62,Peppers!H62,Potatoes!H62,Pumpkin!K62) + SUM(Radishes!H62,Romaine!H62,Spinach!H62,Squash!H62,SweetPotatoes!L62,Tomatoes!H62,TurnipGreens!J62)</f>
        <v>186.59533862733019</v>
      </c>
      <c r="I53" s="7">
        <f>SUM(Artichokes!I62, Asparagus!I62, LimaBeans!I62, SnapBeans!I62,Broccoli!I62,BrusselsSprouts!K62,Cabbage!J62,Carrots!I62,Cauliflower!I62,Celery!I62,Collards!K62,SweetCorn!I62,Cucumbers!I62,Eggplant!I62,Escarole!I62,Garlic!J62,HeadLettuce!I62,Kale!K62,Mushrooms!I62,MustardGreens!K62,Onions!L62,Okra!K62,Peppers!I62,Potatoes!I62,Pumpkin!L62) + SUM(Radishes!I62,Romaine!I62,Spinach!I62,Squash!I62,SweetPotatoes!M62,Tomatoes!I62,TurnipGreens!K62)</f>
        <v>172.10781858500667</v>
      </c>
    </row>
    <row r="54" spans="1:10" s="93" customFormat="1" ht="12" customHeight="1" x14ac:dyDescent="0.2">
      <c r="A54" s="125">
        <v>2016</v>
      </c>
      <c r="B54" s="126">
        <v>323.16101099999997</v>
      </c>
      <c r="C54" s="134">
        <f>SUM(Artichokes!C63, Asparagus!C63, LimaBeans!C63, SnapBeans!C63,Broccoli!C63,BrusselsSprouts!C63,Cabbage!C63,Carrots!C63,Cauliflower!C63,Celery!C63,Collards!C63,SweetCorn!C63,Cucumbers!C63,Eggplant!C63,Escarole!C63,Garlic!C63,HeadLettuce!C63,Kale!C63,Mushrooms!C63,MustardGreens!C63,Onions!C63,Okra!C63,Peppers!C63,Potatoes!C63,Pumpkin!C63) + SUM(Radishes!C63,Romaine!C63,Spinach!C63,Squash!C63,SweetPotatoes!C63,Tomatoes!C63,TurnipGreens!C63)</f>
        <v>54916.426792557999</v>
      </c>
      <c r="D54" s="134">
        <f>SUM(Artichokes!D63, Asparagus!D63, LimaBeans!D63, SnapBeans!D63,Broccoli!D63,BrusselsSprouts!D63,Cabbage!D63,Carrots!D63,Cauliflower!D63,Celery!D63,Collards!D63,SweetCorn!D63,Cucumbers!D63,Eggplant!D63,Escarole!D63,Garlic!D63,HeadLettuce!D63,Kale!D63,Mushrooms!D63,MustardGreens!D63,Onions!D63,Okra!D63,Peppers!D63,Potatoes!D63,Pumpkin!D63) + SUM(Radishes!D63,Romaine!D63,Spinach!D63,Squash!D63,SweetPotatoes!D63,Tomatoes!D63,TurnipGreens!D63)</f>
        <v>15851.485965872267</v>
      </c>
      <c r="E54" s="134">
        <f>SUM(Artichokes!E63, Asparagus!E63, LimaBeans!E63, SnapBeans!E63,Broccoli!E63,BrusselsSprouts!F63,Cabbage!E63,Carrots!E63,Cauliflower!E63,Celery!E63,Collards!F63,SweetCorn!E63,Cucumbers!E63,Eggplant!E63,Escarole!E63,Garlic!E63,HeadLettuce!E63,Kale!F63,Mushrooms!E63,MustardGreens!F63,Onions!F63,Okra!F63,Peppers!E63,Potatoes!E63,Pumpkin!F63) + SUM(Radishes!E63,Romaine!E63,Spinach!E63,Squash!E63,SweetPotatoes!F63,Tomatoes!E63,TurnipGreens!F63)</f>
        <v>72452.540765356636</v>
      </c>
      <c r="F54" s="134">
        <f>SUM(Artichokes!F63, Asparagus!F63, LimaBeans!F63, SnapBeans!F63,Broccoli!F63,BrusselsSprouts!G63,Cabbage!F63,Carrots!F63,Cauliflower!F63,Celery!F63,Collards!G63,SweetCorn!F63,Cucumbers!F63,Eggplant!F63,Escarole!F63,Garlic!F63,HeadLettuce!F63,Kale!G63,Mushrooms!F63,MustardGreens!G63,Onions!G63,Okra!G63,Peppers!F63,Potatoes!F63,Pumpkin!G63) + SUM(Radishes!F63,Romaine!F63,Spinach!F63,Squash!F63,SweetPotatoes!G63,Tomatoes!F63,TurnipGreens!G63)</f>
        <v>4946.2030492280428</v>
      </c>
      <c r="G54" s="134">
        <f>SUM(Artichokes!G63, Asparagus!G63, LimaBeans!G63, SnapBeans!G63,Broccoli!G63,BrusselsSprouts!I63,Cabbage!H63,Carrots!G63,Cauliflower!G63,Celery!G63,Collards!I63,SweetCorn!G63,Cucumbers!G63,Eggplant!G63,Escarole!G63,Garlic!H63,HeadLettuce!G63,Kale!I63,Mushrooms!G63,MustardGreens!I63,Onions!J63,Okra!I63,Peppers!G63,Potatoes!G63,Pumpkin!J63) + SUM(Radishes!G63,Romaine!G63,Spinach!G63,Squash!G63,SweetPotatoes!K63,Tomatoes!G63,TurnipGreens!I63)</f>
        <v>64573.385949565913</v>
      </c>
      <c r="H54" s="131">
        <f>SUM(Artichokes!H63,Asparagus!H63,LimaBeans!H63,SnapBeans!H63,Broccoli!H63,BrusselsSprouts!J63,Cabbage!I63,Carrots!H63,Cauliflower!H63,Celery!H63,Collards!J63,SweetCorn!H63,Cucumbers!H63,Eggplant!H63,Escarole!H63,Garlic!I63,HeadLettuce!H63,Kale!J63,Mushrooms!H63,MustardGreens!J63,Onions!K63,Okra!J63,Peppers!H63,Potatoes!H63,Pumpkin!K63) + SUM(Radishes!H63,Romaine!H63,Spinach!H63,Squash!H63,SweetPotatoes!L63,Tomatoes!H63,TurnipGreens!J63)</f>
        <v>199.83115910907111</v>
      </c>
      <c r="I54" s="131">
        <f>SUM(Artichokes!I63, Asparagus!I63, LimaBeans!I63, SnapBeans!I63,Broccoli!I63,BrusselsSprouts!K63,Cabbage!J63,Carrots!I63,Cauliflower!I63,Celery!I63,Collards!K63,SweetCorn!I63,Cucumbers!I63,Eggplant!I63,Escarole!I63,Garlic!J63,HeadLettuce!I63,Kale!K63,Mushrooms!I63,MustardGreens!K63,Onions!L63,Okra!K63,Peppers!I63,Potatoes!I63,Pumpkin!L63) + SUM(Radishes!I63,Romaine!I63,Spinach!I63,Squash!I63,SweetPotatoes!M63,Tomatoes!I63,TurnipGreens!K63)</f>
        <v>184.22751717648464</v>
      </c>
    </row>
    <row r="55" spans="1:10" s="93" customFormat="1" ht="12" customHeight="1" x14ac:dyDescent="0.2">
      <c r="A55" s="125">
        <v>2017</v>
      </c>
      <c r="B55" s="126">
        <v>325.20603</v>
      </c>
      <c r="C55" s="134">
        <f>SUM(Artichokes!C64, Asparagus!C64, LimaBeans!C64, SnapBeans!C64,Broccoli!C64,BrusselsSprouts!C64,Cabbage!C64,Carrots!C64,Cauliflower!C64,Celery!C64,Collards!C64,SweetCorn!C64,Cucumbers!C64,Eggplant!C64,Escarole!C64,Garlic!C64,HeadLettuce!C64,Kale!C64,Mushrooms!C64,MustardGreens!C64,Onions!C64,Okra!C64,Peppers!C64,Potatoes!C64,Pumpkin!C64) + SUM(Radishes!C64,Romaine!C64,Spinach!C64,Squash!C64,SweetPotatoes!C64,Tomatoes!C64,TurnipGreens!C64)</f>
        <v>55524.2310389868</v>
      </c>
      <c r="D55" s="134">
        <f>SUM(Artichokes!D64, Asparagus!D64, LimaBeans!D64, SnapBeans!D64,Broccoli!D64,BrusselsSprouts!D64,Cabbage!D64,Carrots!D64,Cauliflower!D64,Celery!D64,Collards!D64,SweetCorn!D64,Cucumbers!D64,Eggplant!D64,Escarole!D64,Garlic!D64,HeadLettuce!D64,Kale!D64,Mushrooms!D64,MustardGreens!D64,Onions!D64,Okra!D64,Peppers!D64,Potatoes!D64,Pumpkin!D64) + SUM(Radishes!D64,Romaine!D64,Spinach!D64,Squash!D64,SweetPotatoes!D64,Tomatoes!D64,TurnipGreens!D64)</f>
        <v>16278.551553869936</v>
      </c>
      <c r="E55" s="134">
        <f>SUM(Artichokes!E64, Asparagus!E64, LimaBeans!E64, SnapBeans!E64,Broccoli!E64,BrusselsSprouts!F64,Cabbage!E64,Carrots!E64,Cauliflower!E64,Celery!E64,Collards!F64,SweetCorn!E64,Cucumbers!E64,Eggplant!E64,Escarole!E64,Garlic!E64,HeadLettuce!E64,Kale!F64,Mushrooms!E64,MustardGreens!F64,Onions!F64,Okra!F64,Peppers!E64,Potatoes!E64,Pumpkin!F64) + SUM(Radishes!E64,Romaine!E64,Spinach!E64,Squash!E64,SweetPotatoes!F64,Tomatoes!E64,TurnipGreens!F64)</f>
        <v>73581.118668787894</v>
      </c>
      <c r="F55" s="134">
        <f>SUM(Artichokes!F64, Asparagus!F64, LimaBeans!F64, SnapBeans!F64,Broccoli!F64,BrusselsSprouts!G64,Cabbage!F64,Carrots!F64,Cauliflower!F64,Celery!F64,Collards!G64,SweetCorn!F64,Cucumbers!F64,Eggplant!F64,Escarole!F64,Garlic!F64,HeadLettuce!F64,Kale!G64,Mushrooms!F64,MustardGreens!G64,Onions!G64,Okra!G64,Peppers!F64,Potatoes!F64,Pumpkin!G64) + SUM(Radishes!F64,Romaine!F64,Spinach!F64,Squash!F64,SweetPotatoes!G64,Tomatoes!F64,TurnipGreens!G64)</f>
        <v>4998.1850352346873</v>
      </c>
      <c r="G55" s="134">
        <f>SUM(Artichokes!G64, Asparagus!G64, LimaBeans!G64, SnapBeans!G64,Broccoli!G64,BrusselsSprouts!I64,Cabbage!H64,Carrots!G64,Cauliflower!G64,Celery!G64,Collards!I64,SweetCorn!G64,Cucumbers!G64,Eggplant!G64,Escarole!G64,Garlic!H64,HeadLettuce!G64,Kale!I64,Mushrooms!G64,MustardGreens!I64,Onions!J64,Okra!I64,Peppers!G64,Potatoes!G64,Pumpkin!J64) + SUM(Radishes!G64,Romaine!G64,Spinach!G64,Squash!G64,SweetPotatoes!K64,Tomatoes!G64,TurnipGreens!I64)</f>
        <v>66039.313672429606</v>
      </c>
      <c r="H55" s="131">
        <f>SUM(Artichokes!H64,Asparagus!H64,LimaBeans!H64,SnapBeans!H64,Broccoli!H64,BrusselsSprouts!J64,Cabbage!I64,Carrots!H64,Cauliflower!H64,Celery!H64,Collards!J64,SweetCorn!H64,Cucumbers!H64,Eggplant!H64,Escarole!H64,Garlic!I64,HeadLettuce!H64,Kale!J64,Mushrooms!H64,MustardGreens!J64,Onions!K64,Okra!J64,Peppers!H64,Potatoes!H64,Pumpkin!K64) + SUM(Radishes!H64,Romaine!H64,Spinach!H64,Squash!H64,SweetPotatoes!L64,Tomatoes!H64,TurnipGreens!J64)</f>
        <v>203.08195873274494</v>
      </c>
      <c r="I55" s="131">
        <f>SUM(Artichokes!I64, Asparagus!I64, LimaBeans!I64, SnapBeans!I64,Broccoli!I64,BrusselsSprouts!K64,Cabbage!J64,Carrots!I64,Cauliflower!I64,Celery!I64,Collards!K64,SweetCorn!I64,Cucumbers!I64,Eggplant!I64,Escarole!I64,Garlic!J64,HeadLettuce!I64,Kale!K64,Mushrooms!I64,MustardGreens!K64,Onions!L64,Okra!K64,Peppers!I64,Potatoes!I64,Pumpkin!L64) + SUM(Radishes!I64,Romaine!I64,Spinach!I64,Squash!I64,SweetPotatoes!M64,Tomatoes!I64,TurnipGreens!K64)</f>
        <v>187.23759249107195</v>
      </c>
    </row>
    <row r="56" spans="1:10" s="93" customFormat="1" ht="12" customHeight="1" x14ac:dyDescent="0.2">
      <c r="A56" s="125">
        <v>2018</v>
      </c>
      <c r="B56" s="126">
        <v>326.92397599999998</v>
      </c>
      <c r="C56" s="134">
        <f>SUM(Artichokes!C65, Asparagus!C65, LimaBeans!C65, SnapBeans!C65,Broccoli!C65,BrusselsSprouts!C65,Cabbage!C65,Carrots!C65,Cauliflower!C65,Celery!C65,Collards!C65,SweetCorn!C65,Cucumbers!C65,Eggplant!C65,Escarole!C65,Garlic!C65,HeadLettuce!C65,Kale!C65,Mushrooms!C65,MustardGreens!C65,Onions!C65,Okra!C65,Peppers!C65,Potatoes!C65,Pumpkin!C65) + SUM(Radishes!C65,Romaine!C65,Spinach!C65,Squash!C65,SweetPotatoes!C65,Tomatoes!C65,TurnipGreens!C65)</f>
        <v>51409.05889693585</v>
      </c>
      <c r="D56" s="134">
        <f>SUM(Artichokes!D65, Asparagus!D65, LimaBeans!D65, SnapBeans!D65,Broccoli!D65,BrusselsSprouts!D65,Cabbage!D65,Carrots!D65,Cauliflower!D65,Celery!D65,Collards!D65,SweetCorn!D65,Cucumbers!D65,Eggplant!D65,Escarole!D65,Garlic!D65,HeadLettuce!D65,Kale!D65,Mushrooms!D65,MustardGreens!D65,Onions!D65,Okra!D65,Peppers!D65,Potatoes!D65,Pumpkin!D65) + SUM(Radishes!D65,Romaine!D65,Spinach!D65,Squash!D65,SweetPotatoes!D65,Tomatoes!D65,TurnipGreens!D65)</f>
        <v>16736.400637748477</v>
      </c>
      <c r="E56" s="134">
        <f>SUM(Artichokes!E65, Asparagus!E65, LimaBeans!E65, SnapBeans!E65,Broccoli!E65,BrusselsSprouts!F65,Cabbage!E65,Carrots!E65,Cauliflower!E65,Celery!E65,Collards!F65,SweetCorn!E65,Cucumbers!E65,Eggplant!E65,Escarole!E65,Garlic!E65,HeadLettuce!E65,Kale!F65,Mushrooms!E65,MustardGreens!F65,Onions!F65,Okra!F65,Peppers!E65,Potatoes!E65,Pumpkin!F65) + SUM(Radishes!E65,Romaine!E65,Spinach!E65,Squash!E65,SweetPotatoes!F65,Tomatoes!E65,TurnipGreens!F65)</f>
        <v>69849.578539821057</v>
      </c>
      <c r="F56" s="134">
        <f>SUM(Artichokes!F65, Asparagus!F65, LimaBeans!F65, SnapBeans!F65,Broccoli!F65,BrusselsSprouts!G65,Cabbage!F65,Carrots!F65,Cauliflower!F65,Celery!F65,Collards!G65,SweetCorn!F65,Cucumbers!F65,Eggplant!F65,Escarole!F65,Garlic!F65,HeadLettuce!F65,Kale!G65,Mushrooms!F65,MustardGreens!G65,Onions!G65,Okra!G65,Peppers!F65,Potatoes!F65,Pumpkin!G65) + SUM(Radishes!F65,Romaine!F65,Spinach!F65,Squash!F65,SweetPotatoes!G65,Tomatoes!F65,TurnipGreens!G65)</f>
        <v>4899.878426263931</v>
      </c>
      <c r="G56" s="134">
        <f>SUM(Artichokes!G65, Asparagus!G65, LimaBeans!G65, SnapBeans!G65,Broccoli!G65,BrusselsSprouts!I65,Cabbage!H65,Carrots!G65,Cauliflower!G65,Celery!G65,Collards!I65,SweetCorn!G65,Cucumbers!G65,Eggplant!G65,Escarole!G65,Garlic!H65,HeadLettuce!G65,Kale!I65,Mushrooms!G65,MustardGreens!I65,Onions!J65,Okra!I65,Peppers!G65,Potatoes!G65,Pumpkin!J65) + SUM(Radishes!G65,Romaine!G65,Spinach!G65,Squash!G65,SweetPotatoes!K65,Tomatoes!G65,TurnipGreens!I65)</f>
        <v>62493.484619653318</v>
      </c>
      <c r="H56" s="131">
        <f>SUM(Artichokes!H65,Asparagus!H65,LimaBeans!H65,SnapBeans!H65,Broccoli!H65,BrusselsSprouts!J65,Cabbage!I65,Carrots!H65,Cauliflower!H65,Celery!H65,Collards!J65,SweetCorn!H65,Cucumbers!H65,Eggplant!H65,Escarole!H65,Garlic!I65,HeadLettuce!H65,Kale!J65,Mushrooms!H65,MustardGreens!J65,Onions!K65,Okra!J65,Peppers!H65,Potatoes!H65,Pumpkin!K65) + SUM(Radishes!H65,Romaine!H65,Spinach!H65,Squash!H65,SweetPotatoes!L65,Tomatoes!H65,TurnipGreens!J65)</f>
        <v>191.16610521660056</v>
      </c>
      <c r="I56" s="131">
        <f>SUM(Artichokes!I65, Asparagus!I65, LimaBeans!I65, SnapBeans!I65,Broccoli!I65,BrusselsSprouts!K65,Cabbage!J65,Carrots!I65,Cauliflower!I65,Celery!I65,Collards!K65,SweetCorn!I65,Cucumbers!I65,Eggplant!I65,Escarole!I65,Garlic!J65,HeadLettuce!I65,Kale!K65,Mushrooms!I65,MustardGreens!K65,Onions!L65,Okra!K65,Peppers!I65,Potatoes!I65,Pumpkin!L65) + SUM(Radishes!I65,Romaine!I65,Spinach!I65,Squash!I65,SweetPotatoes!M65,Tomatoes!I65,TurnipGreens!K65)</f>
        <v>176.39419973631084</v>
      </c>
    </row>
    <row r="57" spans="1:10" s="93" customFormat="1" ht="12" customHeight="1" x14ac:dyDescent="0.2">
      <c r="A57" s="125">
        <v>2019</v>
      </c>
      <c r="B57" s="126">
        <v>328.475998</v>
      </c>
      <c r="C57" s="134">
        <f>SUM(Artichokes!C66, Asparagus!C66, LimaBeans!C66, SnapBeans!C66,Broccoli!C66,BrusselsSprouts!C66,Cabbage!C66,Carrots!C66,Cauliflower!C66,Celery!C66,Collards!C66,SweetCorn!C66,Cucumbers!C66,Eggplant!C66,Escarole!C66,Garlic!C66,HeadLettuce!C66,Kale!C66,Mushrooms!C66,MustardGreens!C66,Onions!C66,Okra!C66,Peppers!C66,Potatoes!C66,Pumpkin!C66) + SUM(Radishes!C66,Romaine!C66,Spinach!C66,Squash!C66,SweetPotatoes!C66,Tomatoes!C66,TurnipGreens!C66)</f>
        <v>48378.719715757616</v>
      </c>
      <c r="D57" s="134">
        <f>SUM(Artichokes!D66, Asparagus!D66, LimaBeans!D66, SnapBeans!D66,Broccoli!D66,BrusselsSprouts!D66,Cabbage!D66,Carrots!D66,Cauliflower!D66,Celery!D66,Collards!D66,SweetCorn!D66,Cucumbers!D66,Eggplant!D66,Escarole!D66,Garlic!D66,HeadLettuce!D66,Kale!D66,Mushrooms!D66,MustardGreens!D66,Onions!D66,Okra!D66,Peppers!D66,Potatoes!D66,Pumpkin!D66) + SUM(Radishes!D66,Romaine!D66,Spinach!D66,Squash!D66,SweetPotatoes!D66,Tomatoes!D66,TurnipGreens!D66)</f>
        <v>17136.5115779191</v>
      </c>
      <c r="E57" s="134">
        <f>SUM(Artichokes!E66, Asparagus!E66, LimaBeans!E66, SnapBeans!E66,Broccoli!E66,BrusselsSprouts!F66,Cabbage!E66,Carrots!E66,Cauliflower!E66,Celery!E66,Collards!F66,SweetCorn!E66,Cucumbers!E66,Eggplant!E66,Escarole!E66,Garlic!E66,HeadLettuce!E66,Kale!F66,Mushrooms!E66,MustardGreens!F66,Onions!F66,Okra!F66,Peppers!E66,Potatoes!E66,Pumpkin!F66) + SUM(Radishes!E66,Romaine!E66,Spinach!E66,Squash!E66,SweetPotatoes!F66,Tomatoes!E66,TurnipGreens!F66)</f>
        <v>67217.537494018878</v>
      </c>
      <c r="F57" s="134">
        <f>SUM(Artichokes!F66, Asparagus!F66, LimaBeans!F66, SnapBeans!F66,Broccoli!F66,BrusselsSprouts!G66,Cabbage!F66,Carrots!F66,Cauliflower!F66,Celery!F66,Collards!G66,SweetCorn!F66,Cucumbers!F66,Eggplant!F66,Escarole!F66,Garlic!F66,HeadLettuce!F66,Kale!G66,Mushrooms!F66,MustardGreens!G66,Onions!G66,Okra!G66,Peppers!F66,Potatoes!F66,Pumpkin!G66) + SUM(Radishes!F66,Romaine!F66,Spinach!F66,Squash!F66,SweetPotatoes!G66,Tomatoes!F66,TurnipGreens!G66)</f>
        <v>4944.8547027703207</v>
      </c>
      <c r="G57" s="134">
        <f>SUM(Artichokes!G66, Asparagus!G66, LimaBeans!G66, SnapBeans!G66,Broccoli!G66,BrusselsSprouts!I66,Cabbage!H66,Carrots!G66,Cauliflower!G66,Celery!G66,Collards!I66,SweetCorn!G66,Cucumbers!G66,Eggplant!G66,Escarole!G66,Garlic!H66,HeadLettuce!G66,Kale!I66,Mushrooms!G66,MustardGreens!I66,Onions!J66,Okra!I66,Peppers!G66,Potatoes!G66,Pumpkin!J66) + SUM(Radishes!G66,Romaine!G66,Spinach!G66,Squash!G66,SweetPotatoes!K66,Tomatoes!G66,TurnipGreens!I66)</f>
        <v>59769.769784844604</v>
      </c>
      <c r="H57" s="131">
        <f>SUM(Artichokes!H66,Asparagus!H66,LimaBeans!H66,SnapBeans!H66,Broccoli!H66,BrusselsSprouts!J66,Cabbage!I66,Carrots!H66,Cauliflower!H66,Celery!H66,Collards!J66,SweetCorn!H66,Cucumbers!H66,Eggplant!H66,Escarole!H66,Garlic!I66,HeadLettuce!H66,Kale!J66,Mushrooms!H66,MustardGreens!J66,Onions!K66,Okra!J66,Peppers!H66,Potatoes!H66,Pumpkin!K66) + SUM(Radishes!H66,Romaine!H66,Spinach!H66,Squash!H66,SweetPotatoes!L66,Tomatoes!H66,TurnipGreens!J66)</f>
        <v>181.96982139055194</v>
      </c>
      <c r="I57" s="131">
        <f>SUM(Artichokes!I66, Asparagus!I66, LimaBeans!I66, SnapBeans!I66,Broccoli!I66,BrusselsSprouts!K66,Cabbage!J66,Carrots!I66,Cauliflower!I66,Celery!I66,Collards!K66,SweetCorn!I66,Cucumbers!I66,Eggplant!I66,Escarole!I66,Garlic!J66,HeadLettuce!I66,Kale!K66,Mushrooms!I66,MustardGreens!K66,Onions!L66,Okra!K66,Peppers!I66,Potatoes!I66,Pumpkin!L66) + SUM(Radishes!I66,Romaine!I66,Spinach!I66,Squash!I66,SweetPotatoes!M66,Tomatoes!I66,TurnipGreens!K66)</f>
        <v>167.78116333003013</v>
      </c>
    </row>
    <row r="58" spans="1:10" s="93" customFormat="1" ht="12" customHeight="1" thickBot="1" x14ac:dyDescent="0.25">
      <c r="A58" s="125">
        <v>2020</v>
      </c>
      <c r="B58" s="126">
        <v>330.11398000000003</v>
      </c>
      <c r="C58" s="134">
        <f>SUM(Artichokes!C67, Asparagus!C67, LimaBeans!C67, SnapBeans!C67,Broccoli!C67,BrusselsSprouts!C67,Cabbage!C67,Carrots!C67,Cauliflower!C67,Celery!C67,Collards!C67,SweetCorn!C67,Cucumbers!C67,Eggplant!C67,Escarole!C67,Garlic!C67,HeadLettuce!C67,Kale!C67,Mushrooms!C67,MustardGreens!C67,Onions!C67,Okra!C67,Peppers!C67,Potatoes!C67,Pumpkin!C67) + SUM(Radishes!C67,Romaine!C67,Spinach!C67,Squash!C67,SweetPotatoes!C67,Tomatoes!C67,TurnipGreens!C67)</f>
        <v>48258.161858738807</v>
      </c>
      <c r="D58" s="134">
        <f>SUM(Artichokes!D67, Asparagus!D67, LimaBeans!D67, SnapBeans!D67,Broccoli!D67,BrusselsSprouts!D67,Cabbage!D67,Carrots!D67,Cauliflower!D67,Celery!D67,Collards!D67,SweetCorn!D67,Cucumbers!D67,Eggplant!D67,Escarole!D67,Garlic!D67,HeadLettuce!D67,Kale!D67,Mushrooms!D67,MustardGreens!D67,Onions!D67,Okra!D67,Peppers!D67,Potatoes!D67,Pumpkin!D67) + SUM(Radishes!D67,Romaine!D67,Spinach!D67,Squash!D67,SweetPotatoes!D67,Tomatoes!D67,TurnipGreens!D67)</f>
        <v>17375.029861763614</v>
      </c>
      <c r="E58" s="134">
        <f>SUM(Artichokes!E67, Asparagus!E67, LimaBeans!E67, SnapBeans!E67,Broccoli!E67,BrusselsSprouts!F67,Cabbage!E67,Carrots!E67,Cauliflower!E67,Celery!E67,Collards!F67,SweetCorn!E67,Cucumbers!E67,Eggplant!E67,Escarole!E67,Garlic!E67,HeadLettuce!E67,Kale!F67,Mushrooms!E67,MustardGreens!F67,Onions!F67,Okra!F67,Peppers!E67,Potatoes!E67,Pumpkin!F67) + SUM(Radishes!E67,Romaine!E67,Spinach!E67,Squash!E67,SweetPotatoes!F67,Tomatoes!E67,TurnipGreens!F67)</f>
        <v>67408.338944330419</v>
      </c>
      <c r="F58" s="134">
        <f>SUM(Artichokes!F67, Asparagus!F67, LimaBeans!F67, SnapBeans!F67,Broccoli!F67,BrusselsSprouts!G67,Cabbage!F67,Carrots!F67,Cauliflower!F67,Celery!F67,Collards!G67,SweetCorn!F67,Cucumbers!F67,Eggplant!F67,Escarole!F67,Garlic!F67,HeadLettuce!F67,Kale!G67,Mushrooms!F67,MustardGreens!G67,Onions!G67,Okra!G67,Peppers!F67,Potatoes!F67,Pumpkin!G67) + SUM(Radishes!F67,Romaine!F67,Spinach!F67,Squash!F67,SweetPotatoes!G67,Tomatoes!F67,TurnipGreens!G67)</f>
        <v>4707.2754132799364</v>
      </c>
      <c r="G58" s="134">
        <f>SUM(Artichokes!G67, Asparagus!G67, LimaBeans!G68, SnapBeans!G67,Broccoli!G67,BrusselsSprouts!I67,Cabbage!H67,Carrots!G67,Cauliflower!G67,Celery!G67,Collards!I67,SweetCorn!G67,Cucumbers!G67,Eggplant!G67,Escarole!G67,Garlic!H67,HeadLettuce!G67,Kale!I67,Mushrooms!G68,MustardGreens!I67,Onions!J67,Okra!I67,Peppers!G67,Potatoes!G67,Pumpkin!J67) + SUM(Radishes!G67,Romaine!G67,Spinach!G67,Squash!G67,SweetPotatoes!K67,Tomatoes!G67,TurnipGreens!I67)</f>
        <v>60051.480782790706</v>
      </c>
      <c r="H58" s="131">
        <f>SUM(Artichokes!H67,Asparagus!H67,LimaBeans!H67,SnapBeans!H67,Broccoli!H67,BrusselsSprouts!J67,Cabbage!I67,Carrots!H67,Cauliflower!H67,Celery!H67,Collards!J67,SweetCorn!H67,Cucumbers!H67,Eggplant!H67,Escarole!H67,Garlic!I67,HeadLettuce!H67,Kale!J67,Mushrooms!H67,MustardGreens!J67,Onions!K67,Okra!J67,Peppers!H67,Potatoes!H67,Pumpkin!K67) + SUM(Radishes!H67,Romaine!H67,Spinach!H67,Squash!H67,SweetPotatoes!L67,Tomatoes!H67,TurnipGreens!J67)</f>
        <v>181.9138531114032</v>
      </c>
      <c r="I58" s="131">
        <f>SUM(Artichokes!I67, Asparagus!I67, LimaBeans!I67, SnapBeans!I67,Broccoli!I67,BrusselsSprouts!K67,Cabbage!J67,Carrots!I67,Cauliflower!I67,Celery!I67,Collards!K67,SweetCorn!I67,Cucumbers!I67,Eggplant!I67,Escarole!I67,Garlic!J67,HeadLettuce!I67,Kale!K67,Mushrooms!I67,MustardGreens!K67,Onions!L67,Okra!K67,Peppers!I67,Potatoes!I67,Pumpkin!L67) + SUM(Radishes!I67,Romaine!I67,Spinach!I67,Squash!I67,SweetPotatoes!M67,Tomatoes!I67,TurnipGreens!K67)</f>
        <v>167.71139948876456</v>
      </c>
    </row>
    <row r="59" spans="1:10" ht="12" customHeight="1" thickTop="1" x14ac:dyDescent="0.2">
      <c r="A59" s="234" t="s">
        <v>222</v>
      </c>
      <c r="B59" s="235"/>
      <c r="C59" s="235"/>
      <c r="D59" s="235"/>
      <c r="E59" s="235"/>
      <c r="F59" s="235"/>
      <c r="G59" s="235"/>
      <c r="H59" s="235"/>
      <c r="I59" s="236"/>
      <c r="J59" s="38"/>
    </row>
    <row r="60" spans="1:10" s="93" customFormat="1" ht="12" customHeight="1" x14ac:dyDescent="0.2">
      <c r="A60" s="237"/>
      <c r="B60" s="238"/>
      <c r="C60" s="238"/>
      <c r="D60" s="238"/>
      <c r="E60" s="238"/>
      <c r="F60" s="238"/>
      <c r="G60" s="238"/>
      <c r="H60" s="238"/>
      <c r="I60" s="239"/>
      <c r="J60" s="77"/>
    </row>
    <row r="61" spans="1:10" s="93" customFormat="1" ht="12" customHeight="1" x14ac:dyDescent="0.2">
      <c r="A61" s="240"/>
      <c r="B61" s="241"/>
      <c r="C61" s="241"/>
      <c r="D61" s="241"/>
      <c r="E61" s="241"/>
      <c r="F61" s="241"/>
      <c r="G61" s="241"/>
      <c r="H61" s="241"/>
      <c r="I61" s="242"/>
      <c r="J61" s="77"/>
    </row>
    <row r="62" spans="1:10" ht="12" customHeight="1" x14ac:dyDescent="0.2">
      <c r="A62" s="228"/>
      <c r="B62" s="229"/>
      <c r="C62" s="229"/>
      <c r="D62" s="229"/>
      <c r="E62" s="229"/>
      <c r="F62" s="229"/>
      <c r="G62" s="229"/>
      <c r="H62" s="229"/>
      <c r="I62" s="230"/>
      <c r="J62" s="37"/>
    </row>
    <row r="63" spans="1:10" ht="12" customHeight="1" x14ac:dyDescent="0.2">
      <c r="A63" s="223" t="s">
        <v>198</v>
      </c>
      <c r="B63" s="224"/>
      <c r="C63" s="224"/>
      <c r="D63" s="224"/>
      <c r="E63" s="224"/>
      <c r="F63" s="224"/>
      <c r="G63" s="224"/>
      <c r="H63" s="224"/>
      <c r="I63" s="225"/>
      <c r="J63" s="37"/>
    </row>
    <row r="64" spans="1:10" ht="12" customHeight="1" x14ac:dyDescent="0.2">
      <c r="A64" s="223"/>
      <c r="B64" s="224"/>
      <c r="C64" s="224"/>
      <c r="D64" s="224"/>
      <c r="E64" s="224"/>
      <c r="F64" s="224"/>
      <c r="G64" s="224"/>
      <c r="H64" s="224"/>
      <c r="I64" s="225"/>
      <c r="J64" s="37"/>
    </row>
  </sheetData>
  <mergeCells count="19">
    <mergeCell ref="C7:G7"/>
    <mergeCell ref="H7:I7"/>
    <mergeCell ref="A63:I64"/>
    <mergeCell ref="H4:I4"/>
    <mergeCell ref="A2:A6"/>
    <mergeCell ref="B2:B6"/>
    <mergeCell ref="C3:C6"/>
    <mergeCell ref="D3:D6"/>
    <mergeCell ref="A62:I62"/>
    <mergeCell ref="G2:I3"/>
    <mergeCell ref="A59:I61"/>
    <mergeCell ref="H1:I1"/>
    <mergeCell ref="E3:E6"/>
    <mergeCell ref="F3:F6"/>
    <mergeCell ref="G4:G6"/>
    <mergeCell ref="H5:H6"/>
    <mergeCell ref="C2:E2"/>
    <mergeCell ref="A1:G1"/>
    <mergeCell ref="I5:I6"/>
  </mergeCells>
  <phoneticPr fontId="7" type="noConversion"/>
  <printOptions horizontalCentered="1"/>
  <pageMargins left="0.45" right="0.45" top="0.75" bottom="0.75" header="0" footer="0"/>
  <pageSetup scale="71" fitToWidth="2" orientation="landscape" r:id="rId1"/>
  <headerFooter alignWithMargins="0"/>
  <ignoredErrors>
    <ignoredError sqref="A49 A8:A4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autoPageBreaks="0" fitToPage="1"/>
  </sheetPr>
  <dimension ref="A1:J76"/>
  <sheetViews>
    <sheetView showZeros="0" showOutlineSymbols="0" zoomScaleNormal="100" workbookViewId="0">
      <pane ySplit="6" topLeftCell="A7" activePane="bottomLeft" state="frozen"/>
      <selection sqref="A1:G1"/>
      <selection pane="bottomLeft" sqref="A1:G1"/>
    </sheetView>
  </sheetViews>
  <sheetFormatPr defaultColWidth="12.7109375" defaultRowHeight="12" customHeight="1" x14ac:dyDescent="0.2"/>
  <cols>
    <col min="1" max="1" width="12.7109375" style="13" customWidth="1"/>
    <col min="2" max="16384" width="12.7109375" style="13"/>
  </cols>
  <sheetData>
    <row r="1" spans="1:9" s="1" customFormat="1" ht="12" customHeight="1" thickBot="1" x14ac:dyDescent="0.25">
      <c r="A1" s="201" t="s">
        <v>145</v>
      </c>
      <c r="B1" s="201"/>
      <c r="C1" s="201"/>
      <c r="D1" s="201"/>
      <c r="E1" s="201"/>
      <c r="F1" s="201"/>
      <c r="G1" s="201"/>
      <c r="H1" s="200" t="s">
        <v>19</v>
      </c>
      <c r="I1" s="200"/>
    </row>
    <row r="2" spans="1:9" ht="12" customHeight="1" thickTop="1" x14ac:dyDescent="0.2">
      <c r="A2" s="194" t="s">
        <v>1</v>
      </c>
      <c r="B2" s="197" t="s">
        <v>85</v>
      </c>
      <c r="C2" s="244" t="s">
        <v>2</v>
      </c>
      <c r="D2" s="245"/>
      <c r="E2" s="246"/>
      <c r="F2" s="192" t="s">
        <v>146</v>
      </c>
      <c r="G2" s="244" t="s">
        <v>147</v>
      </c>
      <c r="H2" s="245"/>
      <c r="I2" s="245"/>
    </row>
    <row r="3" spans="1:9" ht="12" customHeight="1" x14ac:dyDescent="0.2">
      <c r="A3" s="195"/>
      <c r="B3" s="198"/>
      <c r="C3" s="243" t="s">
        <v>86</v>
      </c>
      <c r="D3" s="243" t="s">
        <v>87</v>
      </c>
      <c r="E3" s="243" t="s">
        <v>88</v>
      </c>
      <c r="F3" s="243" t="s">
        <v>95</v>
      </c>
      <c r="G3" s="243" t="s">
        <v>137</v>
      </c>
      <c r="H3" s="227" t="s">
        <v>28</v>
      </c>
      <c r="I3" s="247"/>
    </row>
    <row r="4" spans="1:9" ht="12" customHeight="1" x14ac:dyDescent="0.2">
      <c r="A4" s="195"/>
      <c r="B4" s="198"/>
      <c r="C4" s="195"/>
      <c r="D4" s="195"/>
      <c r="E4" s="195"/>
      <c r="F4" s="195"/>
      <c r="G4" s="195"/>
      <c r="H4" s="243" t="s">
        <v>4</v>
      </c>
      <c r="I4" s="193" t="s">
        <v>139</v>
      </c>
    </row>
    <row r="5" spans="1:9" ht="12" customHeight="1" x14ac:dyDescent="0.2">
      <c r="A5" s="196"/>
      <c r="B5" s="199"/>
      <c r="C5" s="196"/>
      <c r="D5" s="196"/>
      <c r="E5" s="196"/>
      <c r="F5" s="196"/>
      <c r="G5" s="196"/>
      <c r="H5" s="196"/>
      <c r="I5" s="193" t="s">
        <v>188</v>
      </c>
    </row>
    <row r="6" spans="1:9" ht="12" customHeight="1" x14ac:dyDescent="0.2">
      <c r="A6" s="40"/>
      <c r="B6" s="167" t="s">
        <v>121</v>
      </c>
      <c r="C6" s="214" t="s">
        <v>122</v>
      </c>
      <c r="D6" s="221"/>
      <c r="E6" s="221"/>
      <c r="F6" s="221"/>
      <c r="G6" s="222"/>
      <c r="H6" s="214" t="s">
        <v>118</v>
      </c>
      <c r="I6" s="222"/>
    </row>
    <row r="7" spans="1:9" ht="12" customHeight="1" x14ac:dyDescent="0.2">
      <c r="A7" s="2">
        <v>1960</v>
      </c>
      <c r="B7" s="20">
        <v>180.67099999999999</v>
      </c>
      <c r="C7" s="8">
        <v>41.8</v>
      </c>
      <c r="D7" s="8" t="s">
        <v>3</v>
      </c>
      <c r="E7" s="8">
        <f t="shared" ref="E7:E38" si="0">SUM(C7,D7)</f>
        <v>41.8</v>
      </c>
      <c r="F7" s="8" t="s">
        <v>3</v>
      </c>
      <c r="G7" s="8">
        <f t="shared" ref="G7:G38" si="1">E7-SUM(F7)</f>
        <v>41.8</v>
      </c>
      <c r="H7" s="142">
        <f t="shared" ref="H7:H38" si="2">IF(G7=0,0,IF(B7=0,0,G7/B7))</f>
        <v>0.23135976443369438</v>
      </c>
      <c r="I7" s="142">
        <f t="shared" ref="I7:I16" si="3">H7*0.93</f>
        <v>0.21516458092333579</v>
      </c>
    </row>
    <row r="8" spans="1:9" ht="12" customHeight="1" x14ac:dyDescent="0.2">
      <c r="A8" s="3">
        <v>1961</v>
      </c>
      <c r="B8" s="21">
        <v>183.691</v>
      </c>
      <c r="C8" s="9">
        <v>51</v>
      </c>
      <c r="D8" s="9" t="s">
        <v>3</v>
      </c>
      <c r="E8" s="9">
        <f t="shared" si="0"/>
        <v>51</v>
      </c>
      <c r="F8" s="9" t="s">
        <v>3</v>
      </c>
      <c r="G8" s="9">
        <f t="shared" si="1"/>
        <v>51</v>
      </c>
      <c r="H8" s="143">
        <f t="shared" si="2"/>
        <v>0.27764016745512843</v>
      </c>
      <c r="I8" s="143">
        <f t="shared" si="3"/>
        <v>0.25820535573326947</v>
      </c>
    </row>
    <row r="9" spans="1:9" ht="12" customHeight="1" x14ac:dyDescent="0.2">
      <c r="A9" s="3">
        <v>1962</v>
      </c>
      <c r="B9" s="21">
        <v>186.53800000000001</v>
      </c>
      <c r="C9" s="9">
        <v>44</v>
      </c>
      <c r="D9" s="9" t="s">
        <v>3</v>
      </c>
      <c r="E9" s="9">
        <f t="shared" si="0"/>
        <v>44</v>
      </c>
      <c r="F9" s="9" t="s">
        <v>3</v>
      </c>
      <c r="G9" s="9">
        <f t="shared" si="1"/>
        <v>44</v>
      </c>
      <c r="H9" s="143">
        <f t="shared" si="2"/>
        <v>0.23587687227267365</v>
      </c>
      <c r="I9" s="143">
        <f t="shared" si="3"/>
        <v>0.21936549121358651</v>
      </c>
    </row>
    <row r="10" spans="1:9" ht="12" customHeight="1" x14ac:dyDescent="0.2">
      <c r="A10" s="3">
        <v>1963</v>
      </c>
      <c r="B10" s="21">
        <v>189.24199999999999</v>
      </c>
      <c r="C10" s="9">
        <v>48</v>
      </c>
      <c r="D10" s="9" t="s">
        <v>3</v>
      </c>
      <c r="E10" s="9">
        <f t="shared" si="0"/>
        <v>48</v>
      </c>
      <c r="F10" s="9" t="s">
        <v>3</v>
      </c>
      <c r="G10" s="9">
        <f t="shared" si="1"/>
        <v>48</v>
      </c>
      <c r="H10" s="143">
        <f t="shared" si="2"/>
        <v>0.25364348294776001</v>
      </c>
      <c r="I10" s="143">
        <f t="shared" si="3"/>
        <v>0.23588843914141683</v>
      </c>
    </row>
    <row r="11" spans="1:9" ht="12" customHeight="1" x14ac:dyDescent="0.2">
      <c r="A11" s="3">
        <v>1964</v>
      </c>
      <c r="B11" s="21">
        <v>191.88900000000001</v>
      </c>
      <c r="C11" s="9">
        <v>56.6</v>
      </c>
      <c r="D11" s="9" t="s">
        <v>3</v>
      </c>
      <c r="E11" s="9">
        <f t="shared" si="0"/>
        <v>56.6</v>
      </c>
      <c r="F11" s="9" t="s">
        <v>3</v>
      </c>
      <c r="G11" s="9">
        <f t="shared" si="1"/>
        <v>56.6</v>
      </c>
      <c r="H11" s="143">
        <f t="shared" si="2"/>
        <v>0.29496219168373383</v>
      </c>
      <c r="I11" s="143">
        <f t="shared" si="3"/>
        <v>0.2743148382658725</v>
      </c>
    </row>
    <row r="12" spans="1:9" ht="12" customHeight="1" x14ac:dyDescent="0.2">
      <c r="A12" s="3">
        <v>1965</v>
      </c>
      <c r="B12" s="21">
        <v>194.303</v>
      </c>
      <c r="C12" s="9">
        <v>64.400000000000006</v>
      </c>
      <c r="D12" s="9" t="s">
        <v>3</v>
      </c>
      <c r="E12" s="9">
        <f t="shared" si="0"/>
        <v>64.400000000000006</v>
      </c>
      <c r="F12" s="9" t="s">
        <v>3</v>
      </c>
      <c r="G12" s="9">
        <f t="shared" si="1"/>
        <v>64.400000000000006</v>
      </c>
      <c r="H12" s="143">
        <f t="shared" si="2"/>
        <v>0.33144109972568619</v>
      </c>
      <c r="I12" s="143">
        <f t="shared" si="3"/>
        <v>0.30824022274488816</v>
      </c>
    </row>
    <row r="13" spans="1:9" ht="12" customHeight="1" x14ac:dyDescent="0.2">
      <c r="A13" s="2">
        <v>1966</v>
      </c>
      <c r="B13" s="20">
        <v>196.56</v>
      </c>
      <c r="C13" s="8">
        <v>66.8</v>
      </c>
      <c r="D13" s="8" t="s">
        <v>3</v>
      </c>
      <c r="E13" s="8">
        <f t="shared" si="0"/>
        <v>66.8</v>
      </c>
      <c r="F13" s="8" t="s">
        <v>3</v>
      </c>
      <c r="G13" s="8">
        <f t="shared" si="1"/>
        <v>66.8</v>
      </c>
      <c r="H13" s="142">
        <f t="shared" si="2"/>
        <v>0.33984533984533982</v>
      </c>
      <c r="I13" s="142">
        <f t="shared" si="3"/>
        <v>0.31605616605616604</v>
      </c>
    </row>
    <row r="14" spans="1:9" ht="12" customHeight="1" x14ac:dyDescent="0.2">
      <c r="A14" s="2">
        <v>1967</v>
      </c>
      <c r="B14" s="20">
        <v>198.71199999999999</v>
      </c>
      <c r="C14" s="8">
        <v>73</v>
      </c>
      <c r="D14" s="8" t="s">
        <v>3</v>
      </c>
      <c r="E14" s="8">
        <f t="shared" si="0"/>
        <v>73</v>
      </c>
      <c r="F14" s="8" t="s">
        <v>3</v>
      </c>
      <c r="G14" s="8">
        <f t="shared" si="1"/>
        <v>73</v>
      </c>
      <c r="H14" s="142">
        <f t="shared" si="2"/>
        <v>0.36736583598373529</v>
      </c>
      <c r="I14" s="142">
        <f t="shared" si="3"/>
        <v>0.34165022746487383</v>
      </c>
    </row>
    <row r="15" spans="1:9" ht="12" customHeight="1" x14ac:dyDescent="0.2">
      <c r="A15" s="2">
        <v>1968</v>
      </c>
      <c r="B15" s="20">
        <v>200.70599999999999</v>
      </c>
      <c r="C15" s="8">
        <v>57.6</v>
      </c>
      <c r="D15" s="8" t="s">
        <v>3</v>
      </c>
      <c r="E15" s="8">
        <f t="shared" si="0"/>
        <v>57.6</v>
      </c>
      <c r="F15" s="8" t="s">
        <v>3</v>
      </c>
      <c r="G15" s="8">
        <f t="shared" si="1"/>
        <v>57.6</v>
      </c>
      <c r="H15" s="142">
        <f t="shared" si="2"/>
        <v>0.28698693611551229</v>
      </c>
      <c r="I15" s="142">
        <f t="shared" si="3"/>
        <v>0.26689785058742643</v>
      </c>
    </row>
    <row r="16" spans="1:9" ht="12" customHeight="1" x14ac:dyDescent="0.2">
      <c r="A16" s="2">
        <v>1969</v>
      </c>
      <c r="B16" s="20">
        <v>202.67699999999999</v>
      </c>
      <c r="C16" s="8">
        <v>65.7</v>
      </c>
      <c r="D16" s="8" t="s">
        <v>3</v>
      </c>
      <c r="E16" s="8">
        <f t="shared" si="0"/>
        <v>65.7</v>
      </c>
      <c r="F16" s="8" t="s">
        <v>3</v>
      </c>
      <c r="G16" s="8">
        <f t="shared" si="1"/>
        <v>65.7</v>
      </c>
      <c r="H16" s="142">
        <f t="shared" si="2"/>
        <v>0.32416110362794004</v>
      </c>
      <c r="I16" s="142">
        <f t="shared" si="3"/>
        <v>0.30146982637398423</v>
      </c>
    </row>
    <row r="17" spans="1:9" ht="12" customHeight="1" x14ac:dyDescent="0.2">
      <c r="A17" s="2">
        <v>1970</v>
      </c>
      <c r="B17" s="20">
        <v>205.05199999999999</v>
      </c>
      <c r="C17" s="8">
        <v>67.099999999999994</v>
      </c>
      <c r="D17" s="8">
        <v>28.5</v>
      </c>
      <c r="E17" s="8">
        <f t="shared" si="0"/>
        <v>95.6</v>
      </c>
      <c r="F17" s="8" t="s">
        <v>3</v>
      </c>
      <c r="G17" s="8">
        <f t="shared" si="1"/>
        <v>95.6</v>
      </c>
      <c r="H17" s="142">
        <f t="shared" si="2"/>
        <v>0.46622320191951311</v>
      </c>
      <c r="I17" s="142">
        <f t="shared" ref="I17:I47" si="4">H17*0.93</f>
        <v>0.43358757778514723</v>
      </c>
    </row>
    <row r="18" spans="1:9" ht="12" customHeight="1" x14ac:dyDescent="0.2">
      <c r="A18" s="3">
        <v>1971</v>
      </c>
      <c r="B18" s="21">
        <v>207.661</v>
      </c>
      <c r="C18" s="9">
        <v>79.2</v>
      </c>
      <c r="D18" s="9">
        <v>26.099999999999998</v>
      </c>
      <c r="E18" s="9">
        <f t="shared" si="0"/>
        <v>105.3</v>
      </c>
      <c r="F18" s="9" t="s">
        <v>3</v>
      </c>
      <c r="G18" s="9">
        <f t="shared" si="1"/>
        <v>105.3</v>
      </c>
      <c r="H18" s="143">
        <f t="shared" si="2"/>
        <v>0.50707643707773731</v>
      </c>
      <c r="I18" s="143">
        <f t="shared" si="4"/>
        <v>0.47158108648229574</v>
      </c>
    </row>
    <row r="19" spans="1:9" ht="12" customHeight="1" x14ac:dyDescent="0.2">
      <c r="A19" s="3">
        <v>1972</v>
      </c>
      <c r="B19" s="21">
        <v>209.89599999999999</v>
      </c>
      <c r="C19" s="9">
        <v>71</v>
      </c>
      <c r="D19" s="9">
        <v>46.8</v>
      </c>
      <c r="E19" s="9">
        <f t="shared" si="0"/>
        <v>117.8</v>
      </c>
      <c r="F19" s="9" t="s">
        <v>3</v>
      </c>
      <c r="G19" s="9">
        <f t="shared" si="1"/>
        <v>117.8</v>
      </c>
      <c r="H19" s="143">
        <f t="shared" si="2"/>
        <v>0.56123032358882496</v>
      </c>
      <c r="I19" s="143">
        <f t="shared" si="4"/>
        <v>0.52194420093760729</v>
      </c>
    </row>
    <row r="20" spans="1:9" ht="12" customHeight="1" x14ac:dyDescent="0.2">
      <c r="A20" s="3">
        <v>1973</v>
      </c>
      <c r="B20" s="21">
        <v>211.90899999999999</v>
      </c>
      <c r="C20" s="9">
        <v>60</v>
      </c>
      <c r="D20" s="9">
        <v>43.5</v>
      </c>
      <c r="E20" s="9">
        <f t="shared" si="0"/>
        <v>103.5</v>
      </c>
      <c r="F20" s="9" t="s">
        <v>3</v>
      </c>
      <c r="G20" s="9">
        <f t="shared" si="1"/>
        <v>103.5</v>
      </c>
      <c r="H20" s="143">
        <f t="shared" si="2"/>
        <v>0.4884171979481759</v>
      </c>
      <c r="I20" s="143">
        <f t="shared" si="4"/>
        <v>0.45422799409180359</v>
      </c>
    </row>
    <row r="21" spans="1:9" ht="12" customHeight="1" x14ac:dyDescent="0.2">
      <c r="A21" s="3">
        <v>1974</v>
      </c>
      <c r="B21" s="21">
        <v>213.85400000000001</v>
      </c>
      <c r="C21" s="9">
        <v>70.2</v>
      </c>
      <c r="D21" s="9">
        <v>37.799999999999997</v>
      </c>
      <c r="E21" s="9">
        <f t="shared" si="0"/>
        <v>108</v>
      </c>
      <c r="F21" s="9" t="s">
        <v>3</v>
      </c>
      <c r="G21" s="9">
        <f t="shared" si="1"/>
        <v>108</v>
      </c>
      <c r="H21" s="143">
        <f t="shared" si="2"/>
        <v>0.50501744180609198</v>
      </c>
      <c r="I21" s="143">
        <f t="shared" si="4"/>
        <v>0.46966622087966559</v>
      </c>
    </row>
    <row r="22" spans="1:9" ht="12" customHeight="1" x14ac:dyDescent="0.2">
      <c r="A22" s="3">
        <v>1975</v>
      </c>
      <c r="B22" s="21">
        <v>215.97300000000001</v>
      </c>
      <c r="C22" s="9">
        <v>73.400000000000006</v>
      </c>
      <c r="D22" s="9">
        <v>32.400000000000006</v>
      </c>
      <c r="E22" s="9">
        <f t="shared" si="0"/>
        <v>105.80000000000001</v>
      </c>
      <c r="F22" s="9" t="s">
        <v>3</v>
      </c>
      <c r="G22" s="9">
        <f t="shared" si="1"/>
        <v>105.80000000000001</v>
      </c>
      <c r="H22" s="143">
        <f t="shared" si="2"/>
        <v>0.48987604932097994</v>
      </c>
      <c r="I22" s="143">
        <f t="shared" si="4"/>
        <v>0.4555847258685114</v>
      </c>
    </row>
    <row r="23" spans="1:9" ht="12" customHeight="1" x14ac:dyDescent="0.2">
      <c r="A23" s="2">
        <v>1976</v>
      </c>
      <c r="B23" s="20">
        <v>218.035</v>
      </c>
      <c r="C23" s="8">
        <v>80.599999999999994</v>
      </c>
      <c r="D23" s="8">
        <v>42.900000000000006</v>
      </c>
      <c r="E23" s="8">
        <f t="shared" si="0"/>
        <v>123.5</v>
      </c>
      <c r="F23" s="8">
        <v>4.5999999999999996</v>
      </c>
      <c r="G23" s="8">
        <f t="shared" si="1"/>
        <v>118.9</v>
      </c>
      <c r="H23" s="142">
        <f t="shared" si="2"/>
        <v>0.5453252918109478</v>
      </c>
      <c r="I23" s="142">
        <f t="shared" si="4"/>
        <v>0.50715252138418143</v>
      </c>
    </row>
    <row r="24" spans="1:9" ht="12" customHeight="1" x14ac:dyDescent="0.2">
      <c r="A24" s="2">
        <v>1977</v>
      </c>
      <c r="B24" s="20">
        <v>220.23899999999998</v>
      </c>
      <c r="C24" s="8">
        <v>71.3</v>
      </c>
      <c r="D24" s="8">
        <v>34.5</v>
      </c>
      <c r="E24" s="8">
        <f t="shared" si="0"/>
        <v>105.8</v>
      </c>
      <c r="F24" s="8">
        <v>3.8</v>
      </c>
      <c r="G24" s="8">
        <f t="shared" si="1"/>
        <v>102</v>
      </c>
      <c r="H24" s="142">
        <f t="shared" si="2"/>
        <v>0.4631332325337475</v>
      </c>
      <c r="I24" s="142">
        <f t="shared" si="4"/>
        <v>0.43071390625638517</v>
      </c>
    </row>
    <row r="25" spans="1:9" ht="12" customHeight="1" x14ac:dyDescent="0.2">
      <c r="A25" s="2">
        <v>1978</v>
      </c>
      <c r="B25" s="20">
        <v>222.58500000000001</v>
      </c>
      <c r="C25" s="8">
        <v>52.5</v>
      </c>
      <c r="D25" s="8">
        <v>58.5</v>
      </c>
      <c r="E25" s="8">
        <f t="shared" si="0"/>
        <v>111</v>
      </c>
      <c r="F25" s="8">
        <v>3.3</v>
      </c>
      <c r="G25" s="8">
        <f t="shared" si="1"/>
        <v>107.7</v>
      </c>
      <c r="H25" s="142">
        <f t="shared" si="2"/>
        <v>0.48386009838937932</v>
      </c>
      <c r="I25" s="142">
        <f t="shared" si="4"/>
        <v>0.44998989150212282</v>
      </c>
    </row>
    <row r="26" spans="1:9" ht="12" customHeight="1" x14ac:dyDescent="0.2">
      <c r="A26" s="2">
        <v>1979</v>
      </c>
      <c r="B26" s="20">
        <v>225.05500000000001</v>
      </c>
      <c r="C26" s="8">
        <v>87.3</v>
      </c>
      <c r="D26" s="8">
        <v>54</v>
      </c>
      <c r="E26" s="8">
        <f t="shared" si="0"/>
        <v>141.30000000000001</v>
      </c>
      <c r="F26" s="8">
        <v>4</v>
      </c>
      <c r="G26" s="8">
        <f t="shared" si="1"/>
        <v>137.30000000000001</v>
      </c>
      <c r="H26" s="142">
        <f t="shared" si="2"/>
        <v>0.61007309324387371</v>
      </c>
      <c r="I26" s="142">
        <f t="shared" si="4"/>
        <v>0.56736797671680261</v>
      </c>
    </row>
    <row r="27" spans="1:9" ht="12" customHeight="1" x14ac:dyDescent="0.2">
      <c r="A27" s="2">
        <v>1980</v>
      </c>
      <c r="B27" s="20">
        <v>227.726</v>
      </c>
      <c r="C27" s="8">
        <v>79.2</v>
      </c>
      <c r="D27" s="8">
        <v>58.5</v>
      </c>
      <c r="E27" s="8">
        <f t="shared" si="0"/>
        <v>137.69999999999999</v>
      </c>
      <c r="F27" s="8">
        <v>4</v>
      </c>
      <c r="G27" s="8">
        <f t="shared" si="1"/>
        <v>133.69999999999999</v>
      </c>
      <c r="H27" s="142">
        <f t="shared" si="2"/>
        <v>0.58710906967144727</v>
      </c>
      <c r="I27" s="142">
        <f t="shared" si="4"/>
        <v>0.54601143479444603</v>
      </c>
    </row>
    <row r="28" spans="1:9" ht="12" customHeight="1" x14ac:dyDescent="0.2">
      <c r="A28" s="3">
        <v>1981</v>
      </c>
      <c r="B28" s="21">
        <v>229.96600000000001</v>
      </c>
      <c r="C28" s="9">
        <v>111.6</v>
      </c>
      <c r="D28" s="9">
        <v>65.400000000000006</v>
      </c>
      <c r="E28" s="9">
        <f t="shared" si="0"/>
        <v>177</v>
      </c>
      <c r="F28" s="9">
        <v>5.0999999999999996</v>
      </c>
      <c r="G28" s="9">
        <f t="shared" si="1"/>
        <v>171.9</v>
      </c>
      <c r="H28" s="143">
        <f t="shared" si="2"/>
        <v>0.74750180461459514</v>
      </c>
      <c r="I28" s="143">
        <f t="shared" si="4"/>
        <v>0.69517667829157348</v>
      </c>
    </row>
    <row r="29" spans="1:9" ht="12" customHeight="1" x14ac:dyDescent="0.2">
      <c r="A29" s="3">
        <v>1982</v>
      </c>
      <c r="B29" s="21">
        <v>232.18799999999999</v>
      </c>
      <c r="C29" s="9">
        <v>116.3</v>
      </c>
      <c r="D29" s="9">
        <v>79.199999999999989</v>
      </c>
      <c r="E29" s="9">
        <f t="shared" si="0"/>
        <v>195.5</v>
      </c>
      <c r="F29" s="9">
        <v>4.4000000000000004</v>
      </c>
      <c r="G29" s="9">
        <f t="shared" si="1"/>
        <v>191.1</v>
      </c>
      <c r="H29" s="143">
        <f t="shared" si="2"/>
        <v>0.82303995038503286</v>
      </c>
      <c r="I29" s="143">
        <f t="shared" si="4"/>
        <v>0.76542715385808058</v>
      </c>
    </row>
    <row r="30" spans="1:9" ht="12" customHeight="1" x14ac:dyDescent="0.2">
      <c r="A30" s="3">
        <v>1983</v>
      </c>
      <c r="B30" s="21">
        <v>234.30699999999999</v>
      </c>
      <c r="C30" s="9">
        <v>89.2</v>
      </c>
      <c r="D30" s="9">
        <v>86.1</v>
      </c>
      <c r="E30" s="9">
        <f t="shared" si="0"/>
        <v>175.3</v>
      </c>
      <c r="F30" s="9">
        <v>3.2</v>
      </c>
      <c r="G30" s="9">
        <f t="shared" si="1"/>
        <v>172.10000000000002</v>
      </c>
      <c r="H30" s="143">
        <f t="shared" si="2"/>
        <v>0.73450643813458427</v>
      </c>
      <c r="I30" s="143">
        <f t="shared" si="4"/>
        <v>0.68309098746516339</v>
      </c>
    </row>
    <row r="31" spans="1:9" ht="12" customHeight="1" x14ac:dyDescent="0.2">
      <c r="A31" s="3">
        <v>1984</v>
      </c>
      <c r="B31" s="21">
        <v>236.34800000000001</v>
      </c>
      <c r="C31" s="9">
        <v>109.9</v>
      </c>
      <c r="D31" s="9">
        <v>120</v>
      </c>
      <c r="E31" s="9">
        <f t="shared" si="0"/>
        <v>229.9</v>
      </c>
      <c r="F31" s="9">
        <v>4.3</v>
      </c>
      <c r="G31" s="9">
        <f t="shared" si="1"/>
        <v>225.6</v>
      </c>
      <c r="H31" s="143">
        <f t="shared" si="2"/>
        <v>0.95452468394062984</v>
      </c>
      <c r="I31" s="143">
        <f t="shared" si="4"/>
        <v>0.88770795606478581</v>
      </c>
    </row>
    <row r="32" spans="1:9" ht="12" customHeight="1" x14ac:dyDescent="0.2">
      <c r="A32" s="3">
        <v>1985</v>
      </c>
      <c r="B32" s="21">
        <v>238.46600000000001</v>
      </c>
      <c r="C32" s="9">
        <v>133.80000000000001</v>
      </c>
      <c r="D32" s="9">
        <v>116.10000000000001</v>
      </c>
      <c r="E32" s="9">
        <f t="shared" si="0"/>
        <v>249.90000000000003</v>
      </c>
      <c r="F32" s="9">
        <v>6</v>
      </c>
      <c r="G32" s="9">
        <f t="shared" si="1"/>
        <v>243.90000000000003</v>
      </c>
      <c r="H32" s="143">
        <f t="shared" si="2"/>
        <v>1.0227873155921601</v>
      </c>
      <c r="I32" s="143">
        <f t="shared" si="4"/>
        <v>0.95119220350070888</v>
      </c>
    </row>
    <row r="33" spans="1:9" ht="12" customHeight="1" x14ac:dyDescent="0.2">
      <c r="A33" s="2">
        <v>1986</v>
      </c>
      <c r="B33" s="20">
        <v>240.65100000000001</v>
      </c>
      <c r="C33" s="8">
        <v>105.2</v>
      </c>
      <c r="D33" s="8">
        <v>125.39999999999999</v>
      </c>
      <c r="E33" s="8">
        <f t="shared" si="0"/>
        <v>230.6</v>
      </c>
      <c r="F33" s="8">
        <v>5.5</v>
      </c>
      <c r="G33" s="8">
        <f t="shared" si="1"/>
        <v>225.1</v>
      </c>
      <c r="H33" s="142">
        <f t="shared" si="2"/>
        <v>0.93537944990878896</v>
      </c>
      <c r="I33" s="142">
        <f t="shared" si="4"/>
        <v>0.86990288841517383</v>
      </c>
    </row>
    <row r="34" spans="1:9" ht="12" customHeight="1" x14ac:dyDescent="0.2">
      <c r="A34" s="2">
        <v>1987</v>
      </c>
      <c r="B34" s="20">
        <v>242.804</v>
      </c>
      <c r="C34" s="8">
        <v>121.7</v>
      </c>
      <c r="D34" s="8">
        <v>124.80000000000001</v>
      </c>
      <c r="E34" s="8">
        <f t="shared" si="0"/>
        <v>246.5</v>
      </c>
      <c r="F34" s="8">
        <v>5.4</v>
      </c>
      <c r="G34" s="8">
        <f t="shared" si="1"/>
        <v>241.1</v>
      </c>
      <c r="H34" s="142">
        <f t="shared" si="2"/>
        <v>0.99298199370685813</v>
      </c>
      <c r="I34" s="142">
        <f t="shared" si="4"/>
        <v>0.92347325414737813</v>
      </c>
    </row>
    <row r="35" spans="1:9" ht="12" customHeight="1" x14ac:dyDescent="0.2">
      <c r="A35" s="2">
        <v>1988</v>
      </c>
      <c r="B35" s="20">
        <v>245.02099999999999</v>
      </c>
      <c r="C35" s="8">
        <v>124.6</v>
      </c>
      <c r="D35" s="8">
        <v>106.19999999999999</v>
      </c>
      <c r="E35" s="8">
        <f t="shared" si="0"/>
        <v>230.79999999999998</v>
      </c>
      <c r="F35" s="8">
        <v>6.7</v>
      </c>
      <c r="G35" s="8">
        <f t="shared" si="1"/>
        <v>224.1</v>
      </c>
      <c r="H35" s="142">
        <f t="shared" si="2"/>
        <v>0.9146154819382829</v>
      </c>
      <c r="I35" s="142">
        <f t="shared" si="4"/>
        <v>0.85059239820260313</v>
      </c>
    </row>
    <row r="36" spans="1:9" ht="12" customHeight="1" x14ac:dyDescent="0.2">
      <c r="A36" s="2">
        <v>1989</v>
      </c>
      <c r="B36" s="20">
        <v>247.34200000000001</v>
      </c>
      <c r="C36" s="8">
        <v>129.6</v>
      </c>
      <c r="D36" s="8">
        <v>117.70219923000002</v>
      </c>
      <c r="E36" s="8">
        <f t="shared" si="0"/>
        <v>247.30219923000001</v>
      </c>
      <c r="F36" s="8">
        <v>6.3</v>
      </c>
      <c r="G36" s="8">
        <f t="shared" si="1"/>
        <v>241.00219923</v>
      </c>
      <c r="H36" s="142">
        <f t="shared" si="2"/>
        <v>0.97436828047804247</v>
      </c>
      <c r="I36" s="142">
        <f t="shared" si="4"/>
        <v>0.9061625008445795</v>
      </c>
    </row>
    <row r="37" spans="1:9" ht="12" customHeight="1" x14ac:dyDescent="0.2">
      <c r="A37" s="2">
        <v>1990</v>
      </c>
      <c r="B37" s="20">
        <v>250.13200000000001</v>
      </c>
      <c r="C37" s="8">
        <v>111.4</v>
      </c>
      <c r="D37" s="8">
        <v>106.66550774999999</v>
      </c>
      <c r="E37" s="8">
        <f t="shared" si="0"/>
        <v>218.06550774999999</v>
      </c>
      <c r="F37" s="8">
        <v>6.5</v>
      </c>
      <c r="G37" s="8">
        <f t="shared" si="1"/>
        <v>211.56550774999999</v>
      </c>
      <c r="H37" s="142">
        <f t="shared" si="2"/>
        <v>0.84581544044744372</v>
      </c>
      <c r="I37" s="142">
        <f t="shared" si="4"/>
        <v>0.78660835961612274</v>
      </c>
    </row>
    <row r="38" spans="1:9" ht="12" customHeight="1" x14ac:dyDescent="0.2">
      <c r="A38" s="3">
        <v>1991</v>
      </c>
      <c r="B38" s="21">
        <v>253.49299999999999</v>
      </c>
      <c r="C38" s="9">
        <v>120.6</v>
      </c>
      <c r="D38" s="9">
        <v>94.702132920000025</v>
      </c>
      <c r="E38" s="9">
        <f t="shared" si="0"/>
        <v>215.30213292000002</v>
      </c>
      <c r="F38" s="9">
        <v>5.7</v>
      </c>
      <c r="G38" s="9">
        <f t="shared" si="1"/>
        <v>209.60213292000003</v>
      </c>
      <c r="H38" s="143">
        <f t="shared" si="2"/>
        <v>0.82685570378669249</v>
      </c>
      <c r="I38" s="143">
        <f t="shared" si="4"/>
        <v>0.76897580452162406</v>
      </c>
    </row>
    <row r="39" spans="1:9" ht="12" customHeight="1" x14ac:dyDescent="0.2">
      <c r="A39" s="3">
        <v>1992</v>
      </c>
      <c r="B39" s="21">
        <v>256.89400000000001</v>
      </c>
      <c r="C39" s="9">
        <v>110.4</v>
      </c>
      <c r="D39" s="9">
        <v>120.27607766000003</v>
      </c>
      <c r="E39" s="9">
        <f t="shared" ref="E39:E67" si="5">SUM(C39,D39)</f>
        <v>230.67607766000003</v>
      </c>
      <c r="F39" s="9">
        <v>4.9000000000000004</v>
      </c>
      <c r="G39" s="9">
        <f t="shared" ref="G39:G59" si="6">E39-SUM(F39)</f>
        <v>225.77607766000003</v>
      </c>
      <c r="H39" s="143">
        <f t="shared" ref="H39:H59" si="7">IF(G39=0,0,IF(B39=0,0,G39/B39))</f>
        <v>0.87886862931792886</v>
      </c>
      <c r="I39" s="143">
        <f t="shared" si="4"/>
        <v>0.81734782526567384</v>
      </c>
    </row>
    <row r="40" spans="1:9" ht="12" customHeight="1" x14ac:dyDescent="0.2">
      <c r="A40" s="3">
        <v>1993</v>
      </c>
      <c r="B40" s="21">
        <v>260.255</v>
      </c>
      <c r="C40" s="9">
        <v>101.2</v>
      </c>
      <c r="D40" s="9">
        <v>128.11700712000001</v>
      </c>
      <c r="E40" s="9">
        <f t="shared" si="5"/>
        <v>229.31700712000003</v>
      </c>
      <c r="F40" s="9">
        <v>4.5</v>
      </c>
      <c r="G40" s="9">
        <f t="shared" si="6"/>
        <v>224.81700712000003</v>
      </c>
      <c r="H40" s="143">
        <f t="shared" si="7"/>
        <v>0.86383357522429938</v>
      </c>
      <c r="I40" s="143">
        <f t="shared" si="4"/>
        <v>0.80336522495859841</v>
      </c>
    </row>
    <row r="41" spans="1:9" ht="12" customHeight="1" x14ac:dyDescent="0.2">
      <c r="A41" s="3">
        <v>1994</v>
      </c>
      <c r="B41" s="21">
        <v>263.43599999999998</v>
      </c>
      <c r="C41" s="9">
        <v>130</v>
      </c>
      <c r="D41" s="9">
        <v>209.48812035999998</v>
      </c>
      <c r="E41" s="9">
        <f t="shared" si="5"/>
        <v>339.48812035999998</v>
      </c>
      <c r="F41" s="9">
        <v>5.9</v>
      </c>
      <c r="G41" s="9">
        <f t="shared" si="6"/>
        <v>333.58812036</v>
      </c>
      <c r="H41" s="143">
        <f t="shared" si="7"/>
        <v>1.2662966350840432</v>
      </c>
      <c r="I41" s="143">
        <f t="shared" si="4"/>
        <v>1.1776558706281604</v>
      </c>
    </row>
    <row r="42" spans="1:9" ht="12" customHeight="1" x14ac:dyDescent="0.2">
      <c r="A42" s="3">
        <v>1995</v>
      </c>
      <c r="B42" s="21">
        <v>266.55700000000002</v>
      </c>
      <c r="C42" s="9">
        <v>92</v>
      </c>
      <c r="D42" s="9">
        <v>159.60754786000001</v>
      </c>
      <c r="E42" s="9">
        <f t="shared" si="5"/>
        <v>251.60754786000001</v>
      </c>
      <c r="F42" s="9">
        <v>5.0999999999999996</v>
      </c>
      <c r="G42" s="9">
        <f t="shared" si="6"/>
        <v>246.50754786000002</v>
      </c>
      <c r="H42" s="143">
        <f t="shared" si="7"/>
        <v>0.9247836217394404</v>
      </c>
      <c r="I42" s="143">
        <f t="shared" si="4"/>
        <v>0.86004876821767962</v>
      </c>
    </row>
    <row r="43" spans="1:9" ht="12" customHeight="1" x14ac:dyDescent="0.2">
      <c r="A43" s="2">
        <v>1996</v>
      </c>
      <c r="B43" s="20">
        <v>269.66699999999997</v>
      </c>
      <c r="C43" s="8">
        <v>89</v>
      </c>
      <c r="D43" s="8">
        <v>182.50968275000002</v>
      </c>
      <c r="E43" s="8">
        <f t="shared" si="5"/>
        <v>271.50968275000002</v>
      </c>
      <c r="F43" s="8">
        <v>4.6974729999999996</v>
      </c>
      <c r="G43" s="8">
        <f t="shared" si="6"/>
        <v>266.81220975000002</v>
      </c>
      <c r="H43" s="142">
        <f t="shared" si="7"/>
        <v>0.98941364627485029</v>
      </c>
      <c r="I43" s="142">
        <f t="shared" si="4"/>
        <v>0.92015469103561087</v>
      </c>
    </row>
    <row r="44" spans="1:9" ht="12" customHeight="1" x14ac:dyDescent="0.2">
      <c r="A44" s="2">
        <v>1997</v>
      </c>
      <c r="B44" s="20">
        <v>272.91199999999998</v>
      </c>
      <c r="C44" s="8">
        <v>93</v>
      </c>
      <c r="D44" s="8">
        <v>187.32788638000002</v>
      </c>
      <c r="E44" s="8">
        <f t="shared" si="5"/>
        <v>280.32788638</v>
      </c>
      <c r="F44" s="8">
        <v>4.7657020000000001</v>
      </c>
      <c r="G44" s="8">
        <f t="shared" si="6"/>
        <v>275.56218438000002</v>
      </c>
      <c r="H44" s="142">
        <f t="shared" si="7"/>
        <v>1.0097107653016359</v>
      </c>
      <c r="I44" s="142">
        <f t="shared" si="4"/>
        <v>0.9390310117305215</v>
      </c>
    </row>
    <row r="45" spans="1:9" ht="12" customHeight="1" x14ac:dyDescent="0.2">
      <c r="A45" s="2">
        <v>1998</v>
      </c>
      <c r="B45" s="20">
        <v>276.11500000000001</v>
      </c>
      <c r="C45" s="8">
        <v>87.3</v>
      </c>
      <c r="D45" s="8">
        <v>243.47419614000003</v>
      </c>
      <c r="E45" s="8">
        <f t="shared" si="5"/>
        <v>330.77419614000002</v>
      </c>
      <c r="F45" s="8">
        <v>4.9816760000000002</v>
      </c>
      <c r="G45" s="8">
        <f t="shared" si="6"/>
        <v>325.79252014000002</v>
      </c>
      <c r="H45" s="142">
        <f t="shared" si="7"/>
        <v>1.1799160499791754</v>
      </c>
      <c r="I45" s="142">
        <f t="shared" si="4"/>
        <v>1.0973219264806333</v>
      </c>
    </row>
    <row r="46" spans="1:9" ht="12" customHeight="1" x14ac:dyDescent="0.2">
      <c r="A46" s="2">
        <v>1999</v>
      </c>
      <c r="B46" s="20">
        <v>279.29500000000002</v>
      </c>
      <c r="C46" s="8">
        <v>112.5</v>
      </c>
      <c r="D46" s="8">
        <v>264.06206427000006</v>
      </c>
      <c r="E46" s="8">
        <f t="shared" si="5"/>
        <v>376.56206427000006</v>
      </c>
      <c r="F46" s="8">
        <v>7.6638039999999998</v>
      </c>
      <c r="G46" s="8">
        <f t="shared" si="6"/>
        <v>368.89826027000004</v>
      </c>
      <c r="H46" s="142">
        <f t="shared" si="7"/>
        <v>1.3208194212928983</v>
      </c>
      <c r="I46" s="142">
        <f t="shared" si="4"/>
        <v>1.2283620618023956</v>
      </c>
    </row>
    <row r="47" spans="1:9" ht="12" customHeight="1" x14ac:dyDescent="0.2">
      <c r="A47" s="2">
        <v>2000</v>
      </c>
      <c r="B47" s="20">
        <v>282.38499999999999</v>
      </c>
      <c r="C47" s="8">
        <v>101.2</v>
      </c>
      <c r="D47" s="8">
        <v>255.53070736000006</v>
      </c>
      <c r="E47" s="8">
        <f t="shared" si="5"/>
        <v>356.73070736000005</v>
      </c>
      <c r="F47" s="8">
        <v>6.0824179999999997</v>
      </c>
      <c r="G47" s="8">
        <f t="shared" si="6"/>
        <v>350.64828936000004</v>
      </c>
      <c r="H47" s="142">
        <f t="shared" si="7"/>
        <v>1.241738369106008</v>
      </c>
      <c r="I47" s="142">
        <f t="shared" si="4"/>
        <v>1.1548166832685876</v>
      </c>
    </row>
    <row r="48" spans="1:9" ht="12" customHeight="1" x14ac:dyDescent="0.2">
      <c r="A48" s="3">
        <v>2001</v>
      </c>
      <c r="B48" s="21">
        <v>285.30901899999998</v>
      </c>
      <c r="C48" s="9">
        <v>100</v>
      </c>
      <c r="D48" s="9">
        <v>258.15801915000003</v>
      </c>
      <c r="E48" s="9">
        <f t="shared" si="5"/>
        <v>358.15801915000003</v>
      </c>
      <c r="F48" s="9">
        <v>7.3346359999999997</v>
      </c>
      <c r="G48" s="9">
        <f t="shared" si="6"/>
        <v>350.82338315000004</v>
      </c>
      <c r="H48" s="143">
        <f t="shared" si="7"/>
        <v>1.229625983712769</v>
      </c>
      <c r="I48" s="143">
        <f t="shared" ref="I48:I53" si="8">H48*0.93</f>
        <v>1.1435521648528753</v>
      </c>
    </row>
    <row r="49" spans="1:10" ht="12" customHeight="1" x14ac:dyDescent="0.2">
      <c r="A49" s="3">
        <v>2002</v>
      </c>
      <c r="B49" s="21">
        <v>288.10481800000002</v>
      </c>
      <c r="C49" s="9">
        <v>94.3</v>
      </c>
      <c r="D49" s="9">
        <v>292.85174269000004</v>
      </c>
      <c r="E49" s="9">
        <f t="shared" si="5"/>
        <v>387.15174269000005</v>
      </c>
      <c r="F49" s="9">
        <v>5.7581239999999996</v>
      </c>
      <c r="G49" s="9">
        <f t="shared" si="6"/>
        <v>381.39361869000004</v>
      </c>
      <c r="H49" s="143">
        <f t="shared" si="7"/>
        <v>1.3238015987986707</v>
      </c>
      <c r="I49" s="143">
        <f t="shared" si="8"/>
        <v>1.2311354868827638</v>
      </c>
    </row>
    <row r="50" spans="1:10" ht="12" customHeight="1" x14ac:dyDescent="0.2">
      <c r="A50" s="3">
        <v>2003</v>
      </c>
      <c r="B50" s="21">
        <v>290.81963400000001</v>
      </c>
      <c r="C50" s="9">
        <v>100.8</v>
      </c>
      <c r="D50" s="9">
        <v>322.82767644000006</v>
      </c>
      <c r="E50" s="9">
        <f t="shared" si="5"/>
        <v>423.62767644000007</v>
      </c>
      <c r="F50" s="9">
        <v>5.9987170000000001</v>
      </c>
      <c r="G50" s="9">
        <f t="shared" si="6"/>
        <v>417.62895944000007</v>
      </c>
      <c r="H50" s="143">
        <f t="shared" si="7"/>
        <v>1.4360411423941206</v>
      </c>
      <c r="I50" s="143">
        <f t="shared" si="8"/>
        <v>1.3355182624265323</v>
      </c>
    </row>
    <row r="51" spans="1:10" ht="12" customHeight="1" x14ac:dyDescent="0.2">
      <c r="A51" s="3">
        <v>2004</v>
      </c>
      <c r="B51" s="21">
        <v>293.46318500000001</v>
      </c>
      <c r="C51" s="9">
        <v>82.5</v>
      </c>
      <c r="D51" s="9">
        <v>332.66160439999999</v>
      </c>
      <c r="E51" s="9">
        <f t="shared" si="5"/>
        <v>415.16160439999999</v>
      </c>
      <c r="F51" s="9">
        <v>15.081049999999999</v>
      </c>
      <c r="G51" s="9">
        <f t="shared" si="6"/>
        <v>400.08055439999998</v>
      </c>
      <c r="H51" s="143">
        <f t="shared" si="7"/>
        <v>1.3633074772223983</v>
      </c>
      <c r="I51" s="143">
        <f t="shared" si="8"/>
        <v>1.2678759538168305</v>
      </c>
    </row>
    <row r="52" spans="1:10" ht="12" customHeight="1" x14ac:dyDescent="0.2">
      <c r="A52" s="3">
        <v>2005</v>
      </c>
      <c r="B52" s="21">
        <v>296.186216</v>
      </c>
      <c r="C52" s="9">
        <v>86.9</v>
      </c>
      <c r="D52" s="9">
        <v>337.31274854000003</v>
      </c>
      <c r="E52" s="9">
        <f t="shared" si="5"/>
        <v>424.21274854000001</v>
      </c>
      <c r="F52" s="9">
        <v>10.980089</v>
      </c>
      <c r="G52" s="9">
        <f t="shared" si="6"/>
        <v>413.23265953999999</v>
      </c>
      <c r="H52" s="143">
        <f t="shared" si="7"/>
        <v>1.3951785640828065</v>
      </c>
      <c r="I52" s="143">
        <f t="shared" si="8"/>
        <v>1.2975160645970101</v>
      </c>
    </row>
    <row r="53" spans="1:10" ht="12" customHeight="1" x14ac:dyDescent="0.2">
      <c r="A53" s="2">
        <v>2006</v>
      </c>
      <c r="B53" s="20">
        <v>298.99582500000002</v>
      </c>
      <c r="C53" s="8">
        <v>117.5</v>
      </c>
      <c r="D53" s="8">
        <v>391.54444504000003</v>
      </c>
      <c r="E53" s="8">
        <f t="shared" si="5"/>
        <v>509.04444504000003</v>
      </c>
      <c r="F53" s="8">
        <v>7.4243139999999999</v>
      </c>
      <c r="G53" s="8">
        <f t="shared" si="6"/>
        <v>501.62013104000005</v>
      </c>
      <c r="H53" s="142">
        <f t="shared" si="7"/>
        <v>1.6776827269745322</v>
      </c>
      <c r="I53" s="142">
        <f t="shared" si="8"/>
        <v>1.5602449360863151</v>
      </c>
    </row>
    <row r="54" spans="1:10" ht="12" customHeight="1" x14ac:dyDescent="0.2">
      <c r="A54" s="2">
        <v>2007</v>
      </c>
      <c r="B54" s="20">
        <v>302.003917</v>
      </c>
      <c r="C54" s="8">
        <v>105.6</v>
      </c>
      <c r="D54" s="8">
        <v>366.54851800000006</v>
      </c>
      <c r="E54" s="8">
        <f t="shared" si="5"/>
        <v>472.14851800000008</v>
      </c>
      <c r="F54" s="8">
        <v>4.4718340000000003</v>
      </c>
      <c r="G54" s="8">
        <f t="shared" si="6"/>
        <v>467.67668400000008</v>
      </c>
      <c r="H54" s="142">
        <f t="shared" si="7"/>
        <v>1.5485782060237321</v>
      </c>
      <c r="I54" s="142">
        <f t="shared" ref="I54:I59" si="9">H54*0.93</f>
        <v>1.440177731602071</v>
      </c>
    </row>
    <row r="55" spans="1:10" ht="12" customHeight="1" x14ac:dyDescent="0.2">
      <c r="A55" s="2">
        <v>2008</v>
      </c>
      <c r="B55" s="20">
        <v>304.79776099999998</v>
      </c>
      <c r="C55" s="8">
        <v>114.4</v>
      </c>
      <c r="D55" s="8">
        <v>359.42489699999999</v>
      </c>
      <c r="E55" s="8">
        <f t="shared" si="5"/>
        <v>473.82489699999996</v>
      </c>
      <c r="F55" s="8">
        <v>5.3863979999999998</v>
      </c>
      <c r="G55" s="8">
        <f t="shared" si="6"/>
        <v>468.43849899999998</v>
      </c>
      <c r="H55" s="142">
        <f t="shared" si="7"/>
        <v>1.5368830055152538</v>
      </c>
      <c r="I55" s="142">
        <f t="shared" si="9"/>
        <v>1.4293011951291861</v>
      </c>
    </row>
    <row r="56" spans="1:10" ht="12" customHeight="1" x14ac:dyDescent="0.2">
      <c r="A56" s="2">
        <v>2009</v>
      </c>
      <c r="B56" s="20">
        <v>307.43940600000002</v>
      </c>
      <c r="C56" s="8">
        <v>107.5</v>
      </c>
      <c r="D56" s="8">
        <v>363.33895899999999</v>
      </c>
      <c r="E56" s="8">
        <f t="shared" si="5"/>
        <v>470.83895899999999</v>
      </c>
      <c r="F56" s="8">
        <v>4.074363</v>
      </c>
      <c r="G56" s="8">
        <f t="shared" si="6"/>
        <v>466.76459599999998</v>
      </c>
      <c r="H56" s="142">
        <f t="shared" si="7"/>
        <v>1.5182328188599219</v>
      </c>
      <c r="I56" s="142">
        <f t="shared" si="9"/>
        <v>1.4119565215397274</v>
      </c>
    </row>
    <row r="57" spans="1:10" ht="12" customHeight="1" x14ac:dyDescent="0.2">
      <c r="A57" s="2">
        <v>2010</v>
      </c>
      <c r="B57" s="20">
        <v>309.74127900000002</v>
      </c>
      <c r="C57" s="8">
        <v>90</v>
      </c>
      <c r="D57" s="8">
        <v>370.10878368639999</v>
      </c>
      <c r="E57" s="8">
        <f t="shared" si="5"/>
        <v>460.10878368639999</v>
      </c>
      <c r="F57" s="8">
        <v>5.5620380026199987</v>
      </c>
      <c r="G57" s="8">
        <f t="shared" si="6"/>
        <v>454.54674568377999</v>
      </c>
      <c r="H57" s="142">
        <f t="shared" si="7"/>
        <v>1.4675045804397933</v>
      </c>
      <c r="I57" s="142">
        <f t="shared" si="9"/>
        <v>1.3647792598090078</v>
      </c>
    </row>
    <row r="58" spans="1:10" ht="12" customHeight="1" x14ac:dyDescent="0.2">
      <c r="A58" s="33">
        <v>2011</v>
      </c>
      <c r="B58" s="31">
        <v>311.97391399999998</v>
      </c>
      <c r="C58" s="39">
        <v>99.9</v>
      </c>
      <c r="D58" s="39">
        <v>435.21244466898014</v>
      </c>
      <c r="E58" s="39">
        <f t="shared" si="5"/>
        <v>535.11244466898017</v>
      </c>
      <c r="F58" s="39">
        <v>5.1556229194800007</v>
      </c>
      <c r="G58" s="39">
        <f t="shared" si="6"/>
        <v>529.95682174950014</v>
      </c>
      <c r="H58" s="144">
        <f t="shared" si="7"/>
        <v>1.6987215852588886</v>
      </c>
      <c r="I58" s="144">
        <f t="shared" si="9"/>
        <v>1.5798110742907665</v>
      </c>
    </row>
    <row r="59" spans="1:10" s="29" customFormat="1" ht="12" customHeight="1" x14ac:dyDescent="0.2">
      <c r="A59" s="33">
        <v>2012</v>
      </c>
      <c r="B59" s="31">
        <v>314.16755799999999</v>
      </c>
      <c r="C59" s="39">
        <v>105.9</v>
      </c>
      <c r="D59" s="39">
        <v>358.9318849859601</v>
      </c>
      <c r="E59" s="39">
        <f t="shared" si="5"/>
        <v>464.83188498596007</v>
      </c>
      <c r="F59" s="39">
        <v>5.9359283269000001</v>
      </c>
      <c r="G59" s="39">
        <f t="shared" si="6"/>
        <v>458.89595665906006</v>
      </c>
      <c r="H59" s="144">
        <f t="shared" si="7"/>
        <v>1.4606726409957966</v>
      </c>
      <c r="I59" s="144">
        <f t="shared" si="9"/>
        <v>1.3584255561260909</v>
      </c>
      <c r="J59"/>
    </row>
    <row r="60" spans="1:10" s="93" customFormat="1" ht="12" customHeight="1" x14ac:dyDescent="0.2">
      <c r="A60" s="33">
        <v>2013</v>
      </c>
      <c r="B60" s="31">
        <v>316.29476599999998</v>
      </c>
      <c r="C60" s="39">
        <v>95.9</v>
      </c>
      <c r="D60" s="39">
        <v>315.08496280910009</v>
      </c>
      <c r="E60" s="39">
        <f t="shared" si="5"/>
        <v>410.98496280910013</v>
      </c>
      <c r="F60" s="39">
        <v>5.0924936257800004</v>
      </c>
      <c r="G60" s="39">
        <f t="shared" ref="G60" si="10">E60-SUM(F60)</f>
        <v>405.89246918332015</v>
      </c>
      <c r="H60" s="144">
        <f t="shared" ref="H60" si="11">IF(G60=0,0,IF(B60=0,0,G60/B60))</f>
        <v>1.2832727974490736</v>
      </c>
      <c r="I60" s="144">
        <f t="shared" ref="I60" si="12">H60*0.93</f>
        <v>1.1934437016276385</v>
      </c>
      <c r="J60" s="83"/>
    </row>
    <row r="61" spans="1:10" s="93" customFormat="1" ht="12" customHeight="1" x14ac:dyDescent="0.2">
      <c r="A61" s="33">
        <v>2014</v>
      </c>
      <c r="B61" s="31">
        <v>318.576955</v>
      </c>
      <c r="C61" s="39">
        <v>94.9</v>
      </c>
      <c r="D61" s="39">
        <v>367.42304725917995</v>
      </c>
      <c r="E61" s="39">
        <f t="shared" si="5"/>
        <v>462.32304725917993</v>
      </c>
      <c r="F61" s="39">
        <v>4.5596590179799996</v>
      </c>
      <c r="G61" s="39">
        <f t="shared" ref="G61" si="13">E61-SUM(F61)</f>
        <v>457.76338824119995</v>
      </c>
      <c r="H61" s="144">
        <f t="shared" ref="H61" si="14">IF(G61=0,0,IF(B61=0,0,G61/B61))</f>
        <v>1.4369005072611105</v>
      </c>
      <c r="I61" s="144">
        <f t="shared" ref="I61" si="15">H61*0.93</f>
        <v>1.3363174717528328</v>
      </c>
      <c r="J61" s="83"/>
    </row>
    <row r="62" spans="1:10" s="93" customFormat="1" ht="12" customHeight="1" x14ac:dyDescent="0.2">
      <c r="A62" s="33">
        <v>2015</v>
      </c>
      <c r="B62" s="31">
        <v>320.87070299999999</v>
      </c>
      <c r="C62" s="39">
        <v>91.8</v>
      </c>
      <c r="D62" s="39">
        <v>365.16162522488003</v>
      </c>
      <c r="E62" s="39">
        <f t="shared" si="5"/>
        <v>456.96162522488004</v>
      </c>
      <c r="F62" s="39">
        <v>3.2551170207599998</v>
      </c>
      <c r="G62" s="39">
        <f t="shared" ref="G62" si="16">E62-SUM(F62)</f>
        <v>453.70650820412004</v>
      </c>
      <c r="H62" s="144">
        <f t="shared" ref="H62" si="17">IF(G62=0,0,IF(B62=0,0,G62/B62))</f>
        <v>1.413985458822397</v>
      </c>
      <c r="I62" s="144">
        <f t="shared" ref="I62" si="18">H62*0.93</f>
        <v>1.3150064767048293</v>
      </c>
      <c r="J62" s="83"/>
    </row>
    <row r="63" spans="1:10" s="93" customFormat="1" ht="12" customHeight="1" x14ac:dyDescent="0.2">
      <c r="A63" s="125">
        <v>2016</v>
      </c>
      <c r="B63" s="126">
        <v>323.16101099999997</v>
      </c>
      <c r="C63" s="127">
        <v>98.6</v>
      </c>
      <c r="D63" s="127">
        <v>355.80488725188007</v>
      </c>
      <c r="E63" s="127">
        <f t="shared" si="5"/>
        <v>454.40488725188004</v>
      </c>
      <c r="F63" s="127">
        <v>3.7778610828200003</v>
      </c>
      <c r="G63" s="127">
        <f t="shared" ref="G63:G64" si="19">E63-SUM(F63)</f>
        <v>450.62702616906006</v>
      </c>
      <c r="H63" s="146">
        <f t="shared" ref="H63:H64" si="20">IF(G63=0,0,IF(B63=0,0,G63/B63))</f>
        <v>1.394435005555358</v>
      </c>
      <c r="I63" s="146">
        <f t="shared" ref="I63:I64" si="21">H63*0.93</f>
        <v>1.296824555166483</v>
      </c>
      <c r="J63" s="83"/>
    </row>
    <row r="64" spans="1:10" s="93" customFormat="1" ht="12" customHeight="1" x14ac:dyDescent="0.2">
      <c r="A64" s="125">
        <v>2017</v>
      </c>
      <c r="B64" s="126">
        <v>325.20603</v>
      </c>
      <c r="C64" s="127">
        <v>93.6</v>
      </c>
      <c r="D64" s="127">
        <v>374.31254207930004</v>
      </c>
      <c r="E64" s="127">
        <f t="shared" si="5"/>
        <v>467.91254207930001</v>
      </c>
      <c r="F64" s="127">
        <v>4.0482885904999995</v>
      </c>
      <c r="G64" s="127">
        <f t="shared" si="19"/>
        <v>463.86425348879999</v>
      </c>
      <c r="H64" s="146">
        <f t="shared" si="20"/>
        <v>1.4263703950655526</v>
      </c>
      <c r="I64" s="146">
        <f t="shared" si="21"/>
        <v>1.326524467410964</v>
      </c>
      <c r="J64" s="83"/>
    </row>
    <row r="65" spans="1:10" s="93" customFormat="1" ht="12" customHeight="1" x14ac:dyDescent="0.2">
      <c r="A65" s="128">
        <v>2018</v>
      </c>
      <c r="B65" s="129">
        <v>326.92397599999998</v>
      </c>
      <c r="C65" s="130">
        <v>100.05</v>
      </c>
      <c r="D65" s="130">
        <v>346.46604858865999</v>
      </c>
      <c r="E65" s="130">
        <f t="shared" si="5"/>
        <v>446.51604858866</v>
      </c>
      <c r="F65" s="130">
        <v>4.24001557342</v>
      </c>
      <c r="G65" s="130">
        <f t="shared" ref="G65:G67" si="22">E65-SUM(F65)</f>
        <v>442.27603301523999</v>
      </c>
      <c r="H65" s="145">
        <f t="shared" ref="H65:H67" si="23">IF(G65=0,0,IF(B65=0,0,G65/B65))</f>
        <v>1.3528406158110595</v>
      </c>
      <c r="I65" s="146">
        <f t="shared" ref="I65:I67" si="24">H65*0.93</f>
        <v>1.2581417727042854</v>
      </c>
      <c r="J65" s="83"/>
    </row>
    <row r="66" spans="1:10" s="93" customFormat="1" ht="12" customHeight="1" x14ac:dyDescent="0.2">
      <c r="A66" s="128">
        <v>2019</v>
      </c>
      <c r="B66" s="129">
        <v>328.475998</v>
      </c>
      <c r="C66" s="130">
        <v>95.7</v>
      </c>
      <c r="D66" s="162">
        <v>356.67670643550002</v>
      </c>
      <c r="E66" s="130">
        <f t="shared" si="5"/>
        <v>452.37670643550001</v>
      </c>
      <c r="F66" s="162">
        <v>3.8938549595</v>
      </c>
      <c r="G66" s="130">
        <f t="shared" si="22"/>
        <v>448.48285147600001</v>
      </c>
      <c r="H66" s="145">
        <f t="shared" si="23"/>
        <v>1.3653443606433613</v>
      </c>
      <c r="I66" s="145">
        <f t="shared" si="24"/>
        <v>1.2697702553983261</v>
      </c>
      <c r="J66" s="83"/>
    </row>
    <row r="67" spans="1:10" s="93" customFormat="1" ht="12" customHeight="1" thickBot="1" x14ac:dyDescent="0.25">
      <c r="A67" s="148">
        <v>2020</v>
      </c>
      <c r="B67" s="149">
        <v>330.11398000000003</v>
      </c>
      <c r="C67" s="147">
        <v>81.2</v>
      </c>
      <c r="D67" s="124">
        <v>321.2</v>
      </c>
      <c r="E67" s="150">
        <f t="shared" si="5"/>
        <v>402.4</v>
      </c>
      <c r="F67" s="147">
        <v>5.9</v>
      </c>
      <c r="G67" s="150">
        <f t="shared" si="22"/>
        <v>396.5</v>
      </c>
      <c r="H67" s="152">
        <f t="shared" si="23"/>
        <v>1.2011002987513584</v>
      </c>
      <c r="I67" s="175">
        <f t="shared" si="24"/>
        <v>1.1170232778387634</v>
      </c>
      <c r="J67" s="83"/>
    </row>
    <row r="68" spans="1:10" ht="12" customHeight="1" thickTop="1" x14ac:dyDescent="0.2">
      <c r="A68" s="254" t="s">
        <v>8</v>
      </c>
      <c r="B68" s="255"/>
      <c r="C68" s="255"/>
      <c r="D68" s="255"/>
      <c r="E68" s="255"/>
      <c r="F68" s="255"/>
      <c r="G68" s="255"/>
      <c r="H68" s="255"/>
      <c r="I68" s="256"/>
      <c r="J68" s="15"/>
    </row>
    <row r="69" spans="1:10" ht="12" customHeight="1" x14ac:dyDescent="0.2">
      <c r="A69" s="248"/>
      <c r="B69" s="249"/>
      <c r="C69" s="249"/>
      <c r="D69" s="249"/>
      <c r="E69" s="249"/>
      <c r="F69" s="249"/>
      <c r="G69" s="249"/>
      <c r="H69" s="249"/>
      <c r="I69" s="250"/>
      <c r="J69" s="15"/>
    </row>
    <row r="70" spans="1:10" ht="12" customHeight="1" x14ac:dyDescent="0.2">
      <c r="A70" s="251" t="s">
        <v>221</v>
      </c>
      <c r="B70" s="252"/>
      <c r="C70" s="252"/>
      <c r="D70" s="252"/>
      <c r="E70" s="252"/>
      <c r="F70" s="252"/>
      <c r="G70" s="252"/>
      <c r="H70" s="252"/>
      <c r="I70" s="253"/>
      <c r="J70" s="15"/>
    </row>
    <row r="71" spans="1:10" ht="12" customHeight="1" x14ac:dyDescent="0.2">
      <c r="A71" s="251"/>
      <c r="B71" s="252"/>
      <c r="C71" s="252"/>
      <c r="D71" s="252"/>
      <c r="E71" s="252"/>
      <c r="F71" s="252"/>
      <c r="G71" s="252"/>
      <c r="H71" s="252"/>
      <c r="I71" s="253"/>
      <c r="J71" s="15"/>
    </row>
    <row r="72" spans="1:10" ht="12" customHeight="1" x14ac:dyDescent="0.2">
      <c r="A72" s="251"/>
      <c r="B72" s="252"/>
      <c r="C72" s="252"/>
      <c r="D72" s="252"/>
      <c r="E72" s="252"/>
      <c r="F72" s="252"/>
      <c r="G72" s="252"/>
      <c r="H72" s="252"/>
      <c r="I72" s="253"/>
    </row>
    <row r="73" spans="1:10" ht="12" customHeight="1" x14ac:dyDescent="0.2">
      <c r="A73" s="251"/>
      <c r="B73" s="252"/>
      <c r="C73" s="252"/>
      <c r="D73" s="252"/>
      <c r="E73" s="252"/>
      <c r="F73" s="252"/>
      <c r="G73" s="252"/>
      <c r="H73" s="252"/>
      <c r="I73" s="253"/>
    </row>
    <row r="74" spans="1:10" ht="12" customHeight="1" x14ac:dyDescent="0.2">
      <c r="A74" s="248"/>
      <c r="B74" s="249"/>
      <c r="C74" s="249"/>
      <c r="D74" s="249"/>
      <c r="E74" s="249"/>
      <c r="F74" s="249"/>
      <c r="G74" s="249"/>
      <c r="H74" s="249"/>
      <c r="I74" s="250"/>
    </row>
    <row r="75" spans="1:10" ht="12" customHeight="1" x14ac:dyDescent="0.2">
      <c r="A75" s="223" t="s">
        <v>198</v>
      </c>
      <c r="B75" s="224"/>
      <c r="C75" s="224"/>
      <c r="D75" s="224"/>
      <c r="E75" s="224"/>
      <c r="F75" s="224"/>
      <c r="G75" s="224"/>
      <c r="H75" s="224"/>
      <c r="I75" s="225"/>
    </row>
    <row r="76" spans="1:10" ht="12" customHeight="1" x14ac:dyDescent="0.2">
      <c r="A76" s="223"/>
      <c r="B76" s="224"/>
      <c r="C76" s="224"/>
      <c r="D76" s="224"/>
      <c r="E76" s="224"/>
      <c r="F76" s="224"/>
      <c r="G76" s="224"/>
      <c r="H76" s="224"/>
      <c r="I76" s="225"/>
    </row>
  </sheetData>
  <mergeCells count="20">
    <mergeCell ref="C6:G6"/>
    <mergeCell ref="H6:I6"/>
    <mergeCell ref="A75:I76"/>
    <mergeCell ref="A74:I74"/>
    <mergeCell ref="A70:I73"/>
    <mergeCell ref="A68:I68"/>
    <mergeCell ref="A69:I69"/>
    <mergeCell ref="C3:C5"/>
    <mergeCell ref="D3:D5"/>
    <mergeCell ref="E3:E5"/>
    <mergeCell ref="F3:F5"/>
    <mergeCell ref="H1:I1"/>
    <mergeCell ref="H4:H5"/>
    <mergeCell ref="C2:E2"/>
    <mergeCell ref="G3:G5"/>
    <mergeCell ref="H3:I3"/>
    <mergeCell ref="A1:G1"/>
    <mergeCell ref="G2:I2"/>
    <mergeCell ref="A2:A5"/>
    <mergeCell ref="B2:B5"/>
  </mergeCells>
  <phoneticPr fontId="7" type="noConversion"/>
  <printOptions horizontalCentered="1"/>
  <pageMargins left="0.45" right="0.45" top="0.75" bottom="0.75" header="0" footer="0"/>
  <pageSetup scale="66" fitToWidth="2"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autoPageBreaks="0" fitToPage="1"/>
  </sheetPr>
  <dimension ref="A1:J75"/>
  <sheetViews>
    <sheetView showZeros="0" showOutlineSymbols="0" zoomScaleNormal="100" workbookViewId="0">
      <pane ySplit="6" topLeftCell="A7" activePane="bottomLeft" state="frozen"/>
      <selection sqref="A1:G1"/>
      <selection pane="bottomLeft" sqref="A1:G1"/>
    </sheetView>
  </sheetViews>
  <sheetFormatPr defaultColWidth="12.7109375" defaultRowHeight="12" customHeight="1" x14ac:dyDescent="0.2"/>
  <cols>
    <col min="1" max="1" width="12.7109375" style="13" customWidth="1"/>
    <col min="2" max="16384" width="12.7109375" style="13"/>
  </cols>
  <sheetData>
    <row r="1" spans="1:10" s="1" customFormat="1" ht="12" customHeight="1" thickBot="1" x14ac:dyDescent="0.25">
      <c r="A1" s="201" t="s">
        <v>148</v>
      </c>
      <c r="B1" s="201"/>
      <c r="C1" s="201"/>
      <c r="D1" s="201"/>
      <c r="E1" s="201"/>
      <c r="F1" s="201"/>
      <c r="G1" s="201"/>
      <c r="H1" s="200" t="s">
        <v>19</v>
      </c>
      <c r="I1" s="200"/>
    </row>
    <row r="2" spans="1:10" ht="12" customHeight="1" thickTop="1" x14ac:dyDescent="0.2">
      <c r="A2" s="257" t="s">
        <v>1</v>
      </c>
      <c r="B2" s="258" t="s">
        <v>85</v>
      </c>
      <c r="C2" s="218" t="s">
        <v>2</v>
      </c>
      <c r="D2" s="218"/>
      <c r="E2" s="218"/>
      <c r="F2" s="117" t="s">
        <v>146</v>
      </c>
      <c r="G2" s="244" t="s">
        <v>147</v>
      </c>
      <c r="H2" s="245"/>
      <c r="I2" s="245"/>
    </row>
    <row r="3" spans="1:10" ht="12" customHeight="1" x14ac:dyDescent="0.2">
      <c r="A3" s="217"/>
      <c r="B3" s="259"/>
      <c r="C3" s="217" t="s">
        <v>86</v>
      </c>
      <c r="D3" s="217" t="s">
        <v>87</v>
      </c>
      <c r="E3" s="217" t="s">
        <v>88</v>
      </c>
      <c r="F3" s="217" t="s">
        <v>95</v>
      </c>
      <c r="G3" s="217" t="s">
        <v>137</v>
      </c>
      <c r="H3" s="226" t="s">
        <v>28</v>
      </c>
      <c r="I3" s="227"/>
      <c r="J3" s="4"/>
    </row>
    <row r="4" spans="1:10" ht="12" customHeight="1" x14ac:dyDescent="0.2">
      <c r="A4" s="217"/>
      <c r="B4" s="259"/>
      <c r="C4" s="217"/>
      <c r="D4" s="217"/>
      <c r="E4" s="217"/>
      <c r="F4" s="217"/>
      <c r="G4" s="217"/>
      <c r="H4" s="217" t="s">
        <v>4</v>
      </c>
      <c r="I4" s="14" t="s">
        <v>139</v>
      </c>
      <c r="J4" s="4"/>
    </row>
    <row r="5" spans="1:10" ht="12" customHeight="1" x14ac:dyDescent="0.2">
      <c r="A5" s="217"/>
      <c r="B5" s="259"/>
      <c r="C5" s="217"/>
      <c r="D5" s="217"/>
      <c r="E5" s="217"/>
      <c r="F5" s="217"/>
      <c r="G5" s="217"/>
      <c r="H5" s="217"/>
      <c r="I5" s="14" t="s">
        <v>194</v>
      </c>
    </row>
    <row r="6" spans="1:10" ht="12" customHeight="1" x14ac:dyDescent="0.2">
      <c r="A6" s="41"/>
      <c r="B6" s="167" t="s">
        <v>121</v>
      </c>
      <c r="C6" s="214" t="s">
        <v>122</v>
      </c>
      <c r="D6" s="221"/>
      <c r="E6" s="221"/>
      <c r="F6" s="221"/>
      <c r="G6" s="222"/>
      <c r="H6" s="214" t="s">
        <v>118</v>
      </c>
      <c r="I6" s="222"/>
      <c r="J6" s="41"/>
    </row>
    <row r="7" spans="1:10" ht="12" customHeight="1" x14ac:dyDescent="0.2">
      <c r="A7" s="2">
        <v>1960</v>
      </c>
      <c r="B7" s="20">
        <v>180.67099999999999</v>
      </c>
      <c r="C7" s="8">
        <v>129</v>
      </c>
      <c r="D7" s="8" t="s">
        <v>3</v>
      </c>
      <c r="E7" s="8">
        <f t="shared" ref="E7:E38" si="0">SUM(C7,D7)</f>
        <v>129</v>
      </c>
      <c r="F7" s="8" t="s">
        <v>3</v>
      </c>
      <c r="G7" s="8">
        <f t="shared" ref="G7:G38" si="1">E7-SUM(F7)</f>
        <v>129</v>
      </c>
      <c r="H7" s="142">
        <f t="shared" ref="H7:H38" si="2">IF(G7=0,0,IF(B7=0,0,G7/B7))</f>
        <v>0.71400501463987032</v>
      </c>
      <c r="I7" s="142">
        <f>H7*0.91</f>
        <v>0.64974456332228203</v>
      </c>
    </row>
    <row r="8" spans="1:10" ht="12" customHeight="1" x14ac:dyDescent="0.2">
      <c r="A8" s="3">
        <v>1961</v>
      </c>
      <c r="B8" s="21">
        <v>183.691</v>
      </c>
      <c r="C8" s="9">
        <v>115.8</v>
      </c>
      <c r="D8" s="9" t="s">
        <v>3</v>
      </c>
      <c r="E8" s="9">
        <f t="shared" si="0"/>
        <v>115.8</v>
      </c>
      <c r="F8" s="9" t="s">
        <v>3</v>
      </c>
      <c r="G8" s="9">
        <f t="shared" si="1"/>
        <v>115.8</v>
      </c>
      <c r="H8" s="143">
        <f t="shared" si="2"/>
        <v>0.6304064978687034</v>
      </c>
      <c r="I8" s="143">
        <f>H8*0.91</f>
        <v>0.57366991306052006</v>
      </c>
    </row>
    <row r="9" spans="1:10" ht="12" customHeight="1" x14ac:dyDescent="0.2">
      <c r="A9" s="3">
        <v>1962</v>
      </c>
      <c r="B9" s="21">
        <v>186.53800000000001</v>
      </c>
      <c r="C9" s="9">
        <v>109.1</v>
      </c>
      <c r="D9" s="9" t="s">
        <v>3</v>
      </c>
      <c r="E9" s="9">
        <f t="shared" si="0"/>
        <v>109.1</v>
      </c>
      <c r="F9" s="9" t="s">
        <v>3</v>
      </c>
      <c r="G9" s="9">
        <f t="shared" si="1"/>
        <v>109.1</v>
      </c>
      <c r="H9" s="143">
        <f t="shared" si="2"/>
        <v>0.58486742647610668</v>
      </c>
      <c r="I9" s="143">
        <f t="shared" ref="I9:I47" si="3">H9*0.91</f>
        <v>0.53222935809325711</v>
      </c>
    </row>
    <row r="10" spans="1:10" ht="12" customHeight="1" x14ac:dyDescent="0.2">
      <c r="A10" s="3">
        <v>1963</v>
      </c>
      <c r="B10" s="21">
        <v>189.24199999999999</v>
      </c>
      <c r="C10" s="9">
        <v>108.5</v>
      </c>
      <c r="D10" s="9" t="s">
        <v>3</v>
      </c>
      <c r="E10" s="9">
        <f t="shared" si="0"/>
        <v>108.5</v>
      </c>
      <c r="F10" s="9" t="s">
        <v>3</v>
      </c>
      <c r="G10" s="9">
        <f t="shared" si="1"/>
        <v>108.5</v>
      </c>
      <c r="H10" s="143">
        <f t="shared" si="2"/>
        <v>0.57333995624649925</v>
      </c>
      <c r="I10" s="143">
        <f t="shared" si="3"/>
        <v>0.52173936018431433</v>
      </c>
    </row>
    <row r="11" spans="1:10" ht="12" customHeight="1" x14ac:dyDescent="0.2">
      <c r="A11" s="3">
        <v>1964</v>
      </c>
      <c r="B11" s="21">
        <v>191.88900000000001</v>
      </c>
      <c r="C11" s="9">
        <v>104.2</v>
      </c>
      <c r="D11" s="9" t="s">
        <v>3</v>
      </c>
      <c r="E11" s="9">
        <f t="shared" si="0"/>
        <v>104.2</v>
      </c>
      <c r="F11" s="9" t="s">
        <v>3</v>
      </c>
      <c r="G11" s="9">
        <f t="shared" si="1"/>
        <v>104.2</v>
      </c>
      <c r="H11" s="143">
        <f t="shared" si="2"/>
        <v>0.54302226808206822</v>
      </c>
      <c r="I11" s="143">
        <f t="shared" si="3"/>
        <v>0.49415026395468209</v>
      </c>
    </row>
    <row r="12" spans="1:10" ht="12" customHeight="1" x14ac:dyDescent="0.2">
      <c r="A12" s="3">
        <v>1965</v>
      </c>
      <c r="B12" s="21">
        <v>194.303</v>
      </c>
      <c r="C12" s="9">
        <v>107</v>
      </c>
      <c r="D12" s="9" t="s">
        <v>3</v>
      </c>
      <c r="E12" s="9">
        <f t="shared" si="0"/>
        <v>107</v>
      </c>
      <c r="F12" s="9" t="s">
        <v>3</v>
      </c>
      <c r="G12" s="9">
        <f t="shared" si="1"/>
        <v>107</v>
      </c>
      <c r="H12" s="143">
        <f t="shared" si="2"/>
        <v>0.55068629923367118</v>
      </c>
      <c r="I12" s="143">
        <f t="shared" si="3"/>
        <v>0.50112453230264076</v>
      </c>
    </row>
    <row r="13" spans="1:10" ht="12" customHeight="1" x14ac:dyDescent="0.2">
      <c r="A13" s="2">
        <v>1966</v>
      </c>
      <c r="B13" s="20">
        <v>196.56</v>
      </c>
      <c r="C13" s="8">
        <v>88.1</v>
      </c>
      <c r="D13" s="8" t="s">
        <v>3</v>
      </c>
      <c r="E13" s="8">
        <f t="shared" si="0"/>
        <v>88.1</v>
      </c>
      <c r="F13" s="8" t="s">
        <v>3</v>
      </c>
      <c r="G13" s="8">
        <f t="shared" si="1"/>
        <v>88.1</v>
      </c>
      <c r="H13" s="142">
        <f t="shared" si="2"/>
        <v>0.44820919820919819</v>
      </c>
      <c r="I13" s="142">
        <f t="shared" si="3"/>
        <v>0.40787037037037038</v>
      </c>
    </row>
    <row r="14" spans="1:10" ht="12" customHeight="1" x14ac:dyDescent="0.2">
      <c r="A14" s="2">
        <v>1967</v>
      </c>
      <c r="B14" s="20">
        <v>198.71199999999999</v>
      </c>
      <c r="C14" s="8">
        <v>88.2</v>
      </c>
      <c r="D14" s="8" t="s">
        <v>3</v>
      </c>
      <c r="E14" s="8">
        <f t="shared" si="0"/>
        <v>88.2</v>
      </c>
      <c r="F14" s="8" t="s">
        <v>3</v>
      </c>
      <c r="G14" s="8">
        <f t="shared" si="1"/>
        <v>88.2</v>
      </c>
      <c r="H14" s="142">
        <f t="shared" si="2"/>
        <v>0.44385844840774591</v>
      </c>
      <c r="I14" s="142">
        <f t="shared" si="3"/>
        <v>0.40391118805104881</v>
      </c>
    </row>
    <row r="15" spans="1:10" ht="12" customHeight="1" x14ac:dyDescent="0.2">
      <c r="A15" s="2">
        <v>1968</v>
      </c>
      <c r="B15" s="20">
        <v>200.70599999999999</v>
      </c>
      <c r="C15" s="8">
        <v>91.8</v>
      </c>
      <c r="D15" s="8" t="s">
        <v>3</v>
      </c>
      <c r="E15" s="8">
        <f t="shared" si="0"/>
        <v>91.8</v>
      </c>
      <c r="F15" s="8" t="s">
        <v>3</v>
      </c>
      <c r="G15" s="8">
        <f t="shared" si="1"/>
        <v>91.8</v>
      </c>
      <c r="H15" s="142">
        <f t="shared" si="2"/>
        <v>0.45738542943409766</v>
      </c>
      <c r="I15" s="142">
        <f t="shared" si="3"/>
        <v>0.41622074078502891</v>
      </c>
    </row>
    <row r="16" spans="1:10" ht="12" customHeight="1" x14ac:dyDescent="0.2">
      <c r="A16" s="2">
        <v>1969</v>
      </c>
      <c r="B16" s="20">
        <v>202.67699999999999</v>
      </c>
      <c r="C16" s="8">
        <v>81</v>
      </c>
      <c r="D16" s="8" t="s">
        <v>3</v>
      </c>
      <c r="E16" s="8">
        <f t="shared" si="0"/>
        <v>81</v>
      </c>
      <c r="F16" s="8" t="s">
        <v>3</v>
      </c>
      <c r="G16" s="8">
        <f t="shared" si="1"/>
        <v>81</v>
      </c>
      <c r="H16" s="142">
        <f t="shared" si="2"/>
        <v>0.39965067570567947</v>
      </c>
      <c r="I16" s="142">
        <f t="shared" si="3"/>
        <v>0.36368211489216834</v>
      </c>
    </row>
    <row r="17" spans="1:9" ht="12" customHeight="1" x14ac:dyDescent="0.2">
      <c r="A17" s="2">
        <v>1970</v>
      </c>
      <c r="B17" s="20">
        <v>205.05199999999999</v>
      </c>
      <c r="C17" s="8">
        <v>97.4</v>
      </c>
      <c r="D17" s="8" t="s">
        <v>3</v>
      </c>
      <c r="E17" s="8">
        <f t="shared" si="0"/>
        <v>97.4</v>
      </c>
      <c r="F17" s="8">
        <v>6.7809999999999997</v>
      </c>
      <c r="G17" s="8">
        <f t="shared" si="1"/>
        <v>90.619</v>
      </c>
      <c r="H17" s="142">
        <f t="shared" si="2"/>
        <v>0.44193180266468995</v>
      </c>
      <c r="I17" s="142">
        <f t="shared" si="3"/>
        <v>0.40215794042486785</v>
      </c>
    </row>
    <row r="18" spans="1:9" ht="12" customHeight="1" x14ac:dyDescent="0.2">
      <c r="A18" s="3">
        <v>1971</v>
      </c>
      <c r="B18" s="21">
        <v>207.661</v>
      </c>
      <c r="C18" s="9">
        <v>85.8</v>
      </c>
      <c r="D18" s="9" t="s">
        <v>3</v>
      </c>
      <c r="E18" s="9">
        <f t="shared" si="0"/>
        <v>85.8</v>
      </c>
      <c r="F18" s="9">
        <v>7.1740000000000004</v>
      </c>
      <c r="G18" s="9">
        <f t="shared" si="1"/>
        <v>78.625999999999991</v>
      </c>
      <c r="H18" s="143">
        <f t="shared" si="2"/>
        <v>0.37862670409946975</v>
      </c>
      <c r="I18" s="143">
        <f t="shared" si="3"/>
        <v>0.34455030073051746</v>
      </c>
    </row>
    <row r="19" spans="1:9" ht="12" customHeight="1" x14ac:dyDescent="0.2">
      <c r="A19" s="3">
        <v>1972</v>
      </c>
      <c r="B19" s="21">
        <v>209.89599999999999</v>
      </c>
      <c r="C19" s="9">
        <v>94.7</v>
      </c>
      <c r="D19" s="9" t="s">
        <v>3</v>
      </c>
      <c r="E19" s="9">
        <f t="shared" si="0"/>
        <v>94.7</v>
      </c>
      <c r="F19" s="9">
        <v>10.08</v>
      </c>
      <c r="G19" s="9">
        <f t="shared" si="1"/>
        <v>84.62</v>
      </c>
      <c r="H19" s="143">
        <f t="shared" si="2"/>
        <v>0.40315203719937498</v>
      </c>
      <c r="I19" s="143">
        <f t="shared" si="3"/>
        <v>0.36686835385143124</v>
      </c>
    </row>
    <row r="20" spans="1:9" ht="12" customHeight="1" x14ac:dyDescent="0.2">
      <c r="A20" s="3">
        <v>1973</v>
      </c>
      <c r="B20" s="21">
        <v>211.90899999999999</v>
      </c>
      <c r="C20" s="9">
        <v>88</v>
      </c>
      <c r="D20" s="9">
        <v>7.2889999999999997</v>
      </c>
      <c r="E20" s="9">
        <f t="shared" si="0"/>
        <v>95.289000000000001</v>
      </c>
      <c r="F20" s="9">
        <v>10.452999999999999</v>
      </c>
      <c r="G20" s="9">
        <f t="shared" si="1"/>
        <v>84.835999999999999</v>
      </c>
      <c r="H20" s="143">
        <f t="shared" si="2"/>
        <v>0.40034165608822658</v>
      </c>
      <c r="I20" s="143">
        <f t="shared" si="3"/>
        <v>0.36431090704028618</v>
      </c>
    </row>
    <row r="21" spans="1:9" ht="12" customHeight="1" x14ac:dyDescent="0.2">
      <c r="A21" s="3">
        <v>1974</v>
      </c>
      <c r="B21" s="21">
        <v>213.85400000000001</v>
      </c>
      <c r="C21" s="9">
        <v>84.9</v>
      </c>
      <c r="D21" s="9">
        <v>9.109</v>
      </c>
      <c r="E21" s="9">
        <f t="shared" si="0"/>
        <v>94.009</v>
      </c>
      <c r="F21" s="9">
        <v>10.874000000000001</v>
      </c>
      <c r="G21" s="9">
        <f t="shared" si="1"/>
        <v>83.135000000000005</v>
      </c>
      <c r="H21" s="143">
        <f t="shared" si="2"/>
        <v>0.38874652800508758</v>
      </c>
      <c r="I21" s="143">
        <f t="shared" si="3"/>
        <v>0.3537593404846297</v>
      </c>
    </row>
    <row r="22" spans="1:9" ht="12" customHeight="1" x14ac:dyDescent="0.2">
      <c r="A22" s="3">
        <v>1975</v>
      </c>
      <c r="B22" s="21">
        <v>215.97300000000001</v>
      </c>
      <c r="C22" s="9">
        <v>91.5</v>
      </c>
      <c r="D22" s="9">
        <v>8.4849999999999994</v>
      </c>
      <c r="E22" s="9">
        <f t="shared" si="0"/>
        <v>99.984999999999999</v>
      </c>
      <c r="F22" s="9">
        <v>11.057</v>
      </c>
      <c r="G22" s="9">
        <f t="shared" si="1"/>
        <v>88.927999999999997</v>
      </c>
      <c r="H22" s="143">
        <f t="shared" si="2"/>
        <v>0.41175517310034121</v>
      </c>
      <c r="I22" s="143">
        <f t="shared" si="3"/>
        <v>0.37469720752131053</v>
      </c>
    </row>
    <row r="23" spans="1:9" ht="12" customHeight="1" x14ac:dyDescent="0.2">
      <c r="A23" s="2">
        <v>1976</v>
      </c>
      <c r="B23" s="20">
        <v>218.035</v>
      </c>
      <c r="C23" s="8">
        <v>96.211098398169298</v>
      </c>
      <c r="D23" s="8">
        <v>8.2449999999999992</v>
      </c>
      <c r="E23" s="8">
        <f t="shared" si="0"/>
        <v>104.4560983981693</v>
      </c>
      <c r="F23" s="8">
        <v>10.436</v>
      </c>
      <c r="G23" s="8">
        <f t="shared" si="1"/>
        <v>94.020098398169296</v>
      </c>
      <c r="H23" s="142">
        <f t="shared" si="2"/>
        <v>0.43121562317136836</v>
      </c>
      <c r="I23" s="142">
        <f t="shared" si="3"/>
        <v>0.3924062170859452</v>
      </c>
    </row>
    <row r="24" spans="1:9" ht="12" customHeight="1" x14ac:dyDescent="0.2">
      <c r="A24" s="2">
        <v>1977</v>
      </c>
      <c r="B24" s="20">
        <v>220.23899999999998</v>
      </c>
      <c r="C24" s="8">
        <v>76.738558352402706</v>
      </c>
      <c r="D24" s="8">
        <v>7.093</v>
      </c>
      <c r="E24" s="8">
        <f t="shared" si="0"/>
        <v>83.831558352402709</v>
      </c>
      <c r="F24" s="8">
        <v>9.827</v>
      </c>
      <c r="G24" s="8">
        <f t="shared" si="1"/>
        <v>74.004558352402711</v>
      </c>
      <c r="H24" s="142">
        <f t="shared" si="2"/>
        <v>0.33601931698020204</v>
      </c>
      <c r="I24" s="142">
        <f t="shared" si="3"/>
        <v>0.30577757845198389</v>
      </c>
    </row>
    <row r="25" spans="1:9" ht="12" customHeight="1" x14ac:dyDescent="0.2">
      <c r="A25" s="2">
        <v>1978</v>
      </c>
      <c r="B25" s="20">
        <v>222.58500000000001</v>
      </c>
      <c r="C25" s="8">
        <v>71.7</v>
      </c>
      <c r="D25" s="8">
        <v>5.0380000000000003</v>
      </c>
      <c r="E25" s="8">
        <f t="shared" si="0"/>
        <v>76.738</v>
      </c>
      <c r="F25" s="8">
        <v>12.6</v>
      </c>
      <c r="G25" s="8">
        <f t="shared" si="1"/>
        <v>64.138000000000005</v>
      </c>
      <c r="H25" s="142">
        <f t="shared" si="2"/>
        <v>0.28815059415504191</v>
      </c>
      <c r="I25" s="142">
        <f t="shared" si="3"/>
        <v>0.26221704068108814</v>
      </c>
    </row>
    <row r="26" spans="1:9" ht="12" customHeight="1" x14ac:dyDescent="0.2">
      <c r="A26" s="2">
        <v>1979</v>
      </c>
      <c r="B26" s="20">
        <v>225.05500000000001</v>
      </c>
      <c r="C26" s="8">
        <v>64.8</v>
      </c>
      <c r="D26" s="8">
        <v>6.7</v>
      </c>
      <c r="E26" s="8">
        <f t="shared" si="0"/>
        <v>71.5</v>
      </c>
      <c r="F26" s="8">
        <v>15.1</v>
      </c>
      <c r="G26" s="8">
        <f t="shared" si="1"/>
        <v>56.4</v>
      </c>
      <c r="H26" s="142">
        <f t="shared" si="2"/>
        <v>0.25060540756703914</v>
      </c>
      <c r="I26" s="142">
        <f t="shared" si="3"/>
        <v>0.22805092088600562</v>
      </c>
    </row>
    <row r="27" spans="1:9" ht="12" customHeight="1" x14ac:dyDescent="0.2">
      <c r="A27" s="2">
        <v>1980</v>
      </c>
      <c r="B27" s="20">
        <v>227.726</v>
      </c>
      <c r="C27" s="8">
        <v>78.900000000000006</v>
      </c>
      <c r="D27" s="8">
        <v>7.242</v>
      </c>
      <c r="E27" s="8">
        <f t="shared" si="0"/>
        <v>86.14200000000001</v>
      </c>
      <c r="F27" s="8">
        <v>19.2</v>
      </c>
      <c r="G27" s="8">
        <f t="shared" si="1"/>
        <v>66.942000000000007</v>
      </c>
      <c r="H27" s="142">
        <f t="shared" si="2"/>
        <v>0.29395852910954395</v>
      </c>
      <c r="I27" s="142">
        <f t="shared" si="3"/>
        <v>0.26750226148968503</v>
      </c>
    </row>
    <row r="28" spans="1:9" ht="12" customHeight="1" x14ac:dyDescent="0.2">
      <c r="A28" s="3">
        <v>1981</v>
      </c>
      <c r="B28" s="21">
        <v>229.96600000000001</v>
      </c>
      <c r="C28" s="9">
        <v>82.1</v>
      </c>
      <c r="D28" s="9">
        <v>8.7629999999999999</v>
      </c>
      <c r="E28" s="9">
        <f t="shared" si="0"/>
        <v>90.863</v>
      </c>
      <c r="F28" s="9">
        <v>19.475000000000001</v>
      </c>
      <c r="G28" s="9">
        <f t="shared" si="1"/>
        <v>71.388000000000005</v>
      </c>
      <c r="H28" s="143">
        <f t="shared" si="2"/>
        <v>0.31042849812580992</v>
      </c>
      <c r="I28" s="143">
        <f t="shared" si="3"/>
        <v>0.28248993329448702</v>
      </c>
    </row>
    <row r="29" spans="1:9" ht="12" customHeight="1" x14ac:dyDescent="0.2">
      <c r="A29" s="3">
        <v>1982</v>
      </c>
      <c r="B29" s="21">
        <v>232.18799999999999</v>
      </c>
      <c r="C29" s="9">
        <v>89.4</v>
      </c>
      <c r="D29" s="9">
        <v>16.131</v>
      </c>
      <c r="E29" s="9">
        <f t="shared" si="0"/>
        <v>105.53100000000001</v>
      </c>
      <c r="F29" s="9">
        <v>17.895</v>
      </c>
      <c r="G29" s="9">
        <f t="shared" si="1"/>
        <v>87.63600000000001</v>
      </c>
      <c r="H29" s="143">
        <f t="shared" si="2"/>
        <v>0.37743552638379252</v>
      </c>
      <c r="I29" s="143">
        <f t="shared" si="3"/>
        <v>0.34346632900925123</v>
      </c>
    </row>
    <row r="30" spans="1:9" ht="12" customHeight="1" x14ac:dyDescent="0.2">
      <c r="A30" s="3">
        <v>1983</v>
      </c>
      <c r="B30" s="21">
        <v>234.30699999999999</v>
      </c>
      <c r="C30" s="9">
        <v>98</v>
      </c>
      <c r="D30" s="9">
        <v>20.231999999999999</v>
      </c>
      <c r="E30" s="9">
        <f t="shared" si="0"/>
        <v>118.232</v>
      </c>
      <c r="F30" s="9">
        <v>16.945</v>
      </c>
      <c r="G30" s="9">
        <f t="shared" si="1"/>
        <v>101.28700000000001</v>
      </c>
      <c r="H30" s="143">
        <f t="shared" si="2"/>
        <v>0.43228328645751091</v>
      </c>
      <c r="I30" s="143">
        <f t="shared" si="3"/>
        <v>0.39337779067633494</v>
      </c>
    </row>
    <row r="31" spans="1:9" ht="12" customHeight="1" x14ac:dyDescent="0.2">
      <c r="A31" s="3">
        <v>1984</v>
      </c>
      <c r="B31" s="21">
        <v>236.34800000000001</v>
      </c>
      <c r="C31" s="9">
        <v>104.3</v>
      </c>
      <c r="D31" s="9">
        <v>14.308</v>
      </c>
      <c r="E31" s="9">
        <f t="shared" si="0"/>
        <v>118.608</v>
      </c>
      <c r="F31" s="9">
        <v>22.61</v>
      </c>
      <c r="G31" s="9">
        <f t="shared" si="1"/>
        <v>95.998000000000005</v>
      </c>
      <c r="H31" s="143">
        <f t="shared" si="2"/>
        <v>0.40617225447221894</v>
      </c>
      <c r="I31" s="143">
        <f t="shared" si="3"/>
        <v>0.36961675156971924</v>
      </c>
    </row>
    <row r="32" spans="1:9" ht="12" customHeight="1" x14ac:dyDescent="0.2">
      <c r="A32" s="3">
        <v>1985</v>
      </c>
      <c r="B32" s="21">
        <v>238.46600000000001</v>
      </c>
      <c r="C32" s="9">
        <v>115.2</v>
      </c>
      <c r="D32" s="9">
        <v>18.033999999999999</v>
      </c>
      <c r="E32" s="9">
        <f t="shared" si="0"/>
        <v>133.23400000000001</v>
      </c>
      <c r="F32" s="9">
        <v>22.260999999999999</v>
      </c>
      <c r="G32" s="9">
        <f t="shared" si="1"/>
        <v>110.97300000000001</v>
      </c>
      <c r="H32" s="143">
        <f t="shared" si="2"/>
        <v>0.46536193838953988</v>
      </c>
      <c r="I32" s="143">
        <f t="shared" si="3"/>
        <v>0.42347936393448132</v>
      </c>
    </row>
    <row r="33" spans="1:9" ht="12" customHeight="1" x14ac:dyDescent="0.2">
      <c r="A33" s="2">
        <v>1986</v>
      </c>
      <c r="B33" s="20">
        <v>240.65100000000001</v>
      </c>
      <c r="C33" s="8">
        <v>138.69999999999999</v>
      </c>
      <c r="D33" s="8">
        <v>24.05</v>
      </c>
      <c r="E33" s="8">
        <f t="shared" si="0"/>
        <v>162.75</v>
      </c>
      <c r="F33" s="8">
        <v>17.603000000000002</v>
      </c>
      <c r="G33" s="8">
        <f t="shared" si="1"/>
        <v>145.14699999999999</v>
      </c>
      <c r="H33" s="142">
        <f t="shared" si="2"/>
        <v>0.60314314089698351</v>
      </c>
      <c r="I33" s="142">
        <f t="shared" si="3"/>
        <v>0.54886025821625506</v>
      </c>
    </row>
    <row r="34" spans="1:9" ht="12" customHeight="1" x14ac:dyDescent="0.2">
      <c r="A34" s="2">
        <v>1987</v>
      </c>
      <c r="B34" s="20">
        <v>242.804</v>
      </c>
      <c r="C34" s="8">
        <v>138.80000000000001</v>
      </c>
      <c r="D34" s="8">
        <v>28.4</v>
      </c>
      <c r="E34" s="8">
        <f t="shared" si="0"/>
        <v>167.20000000000002</v>
      </c>
      <c r="F34" s="8">
        <v>29.739000000000001</v>
      </c>
      <c r="G34" s="8">
        <f t="shared" si="1"/>
        <v>137.46100000000001</v>
      </c>
      <c r="H34" s="142">
        <f t="shared" si="2"/>
        <v>0.56613976705490854</v>
      </c>
      <c r="I34" s="142">
        <f t="shared" si="3"/>
        <v>0.51518718801996677</v>
      </c>
    </row>
    <row r="35" spans="1:9" ht="12" customHeight="1" x14ac:dyDescent="0.2">
      <c r="A35" s="2">
        <v>1988</v>
      </c>
      <c r="B35" s="20">
        <v>245.02099999999999</v>
      </c>
      <c r="C35" s="8">
        <v>148.1</v>
      </c>
      <c r="D35" s="8">
        <v>32.343000000000004</v>
      </c>
      <c r="E35" s="8">
        <f t="shared" si="0"/>
        <v>180.44299999999998</v>
      </c>
      <c r="F35" s="8">
        <v>37.807000000000002</v>
      </c>
      <c r="G35" s="8">
        <f t="shared" si="1"/>
        <v>142.63599999999997</v>
      </c>
      <c r="H35" s="142">
        <f t="shared" si="2"/>
        <v>0.58213785757139169</v>
      </c>
      <c r="I35" s="142">
        <f t="shared" si="3"/>
        <v>0.52974545038996645</v>
      </c>
    </row>
    <row r="36" spans="1:9" ht="12" customHeight="1" x14ac:dyDescent="0.2">
      <c r="A36" s="2">
        <v>1989</v>
      </c>
      <c r="B36" s="20">
        <v>247.34200000000001</v>
      </c>
      <c r="C36" s="8">
        <v>149.19999999999999</v>
      </c>
      <c r="D36" s="8">
        <v>34.485503000000001</v>
      </c>
      <c r="E36" s="8">
        <f t="shared" si="0"/>
        <v>183.68550299999998</v>
      </c>
      <c r="F36" s="8">
        <v>42.615000000000002</v>
      </c>
      <c r="G36" s="8">
        <f t="shared" si="1"/>
        <v>141.07050299999997</v>
      </c>
      <c r="H36" s="142">
        <f t="shared" si="2"/>
        <v>0.57034592992698352</v>
      </c>
      <c r="I36" s="142">
        <f t="shared" si="3"/>
        <v>0.51901479623355506</v>
      </c>
    </row>
    <row r="37" spans="1:9" ht="12" customHeight="1" x14ac:dyDescent="0.2">
      <c r="A37" s="2">
        <v>1990</v>
      </c>
      <c r="B37" s="20">
        <v>250.13200000000001</v>
      </c>
      <c r="C37" s="8">
        <v>142.4</v>
      </c>
      <c r="D37" s="8">
        <v>43.779249999999998</v>
      </c>
      <c r="E37" s="8">
        <f t="shared" si="0"/>
        <v>186.17925</v>
      </c>
      <c r="F37" s="8">
        <v>39.384999999999998</v>
      </c>
      <c r="G37" s="8">
        <f t="shared" si="1"/>
        <v>146.79425000000001</v>
      </c>
      <c r="H37" s="142">
        <f t="shared" si="2"/>
        <v>0.58686713415316716</v>
      </c>
      <c r="I37" s="142">
        <f t="shared" si="3"/>
        <v>0.53404909207938212</v>
      </c>
    </row>
    <row r="38" spans="1:9" ht="12" customHeight="1" x14ac:dyDescent="0.2">
      <c r="A38" s="3">
        <v>1991</v>
      </c>
      <c r="B38" s="21">
        <v>253.49299999999999</v>
      </c>
      <c r="C38" s="9">
        <v>137</v>
      </c>
      <c r="D38" s="9">
        <v>52.436748000000001</v>
      </c>
      <c r="E38" s="9">
        <f t="shared" si="0"/>
        <v>189.43674799999999</v>
      </c>
      <c r="F38" s="9">
        <v>37.186999999999998</v>
      </c>
      <c r="G38" s="9">
        <f t="shared" si="1"/>
        <v>152.24974800000001</v>
      </c>
      <c r="H38" s="143">
        <f t="shared" si="2"/>
        <v>0.600607306710639</v>
      </c>
      <c r="I38" s="143">
        <f t="shared" si="3"/>
        <v>0.54655264910668155</v>
      </c>
    </row>
    <row r="39" spans="1:9" ht="12" customHeight="1" x14ac:dyDescent="0.2">
      <c r="A39" s="3">
        <v>1992</v>
      </c>
      <c r="B39" s="21">
        <v>256.89400000000001</v>
      </c>
      <c r="C39" s="9">
        <v>137.6</v>
      </c>
      <c r="D39" s="9">
        <v>57.707262999999998</v>
      </c>
      <c r="E39" s="9">
        <f t="shared" ref="E39:E67" si="4">SUM(C39,D39)</f>
        <v>195.30726299999998</v>
      </c>
      <c r="F39" s="9">
        <v>42.287467999999997</v>
      </c>
      <c r="G39" s="9">
        <f t="shared" ref="G39:G59" si="5">E39-SUM(F39)</f>
        <v>153.01979499999999</v>
      </c>
      <c r="H39" s="143">
        <f t="shared" ref="H39:H59" si="6">IF(G39=0,0,IF(B39=0,0,G39/B39))</f>
        <v>0.59565344071873993</v>
      </c>
      <c r="I39" s="143">
        <f t="shared" si="3"/>
        <v>0.54204463105405332</v>
      </c>
    </row>
    <row r="40" spans="1:9" ht="12" customHeight="1" x14ac:dyDescent="0.2">
      <c r="A40" s="3">
        <v>1993</v>
      </c>
      <c r="B40" s="21">
        <v>260.255</v>
      </c>
      <c r="C40" s="9">
        <v>125.2</v>
      </c>
      <c r="D40" s="9">
        <v>69.310739999999996</v>
      </c>
      <c r="E40" s="9">
        <f t="shared" si="4"/>
        <v>194.51074</v>
      </c>
      <c r="F40" s="9">
        <v>46.855276000000003</v>
      </c>
      <c r="G40" s="9">
        <f t="shared" si="5"/>
        <v>147.65546399999999</v>
      </c>
      <c r="H40" s="143">
        <f t="shared" si="6"/>
        <v>0.56734919213847956</v>
      </c>
      <c r="I40" s="143">
        <f t="shared" si="3"/>
        <v>0.51628776484601646</v>
      </c>
    </row>
    <row r="41" spans="1:9" ht="12" customHeight="1" x14ac:dyDescent="0.2">
      <c r="A41" s="3">
        <v>1994</v>
      </c>
      <c r="B41" s="21">
        <v>263.43599999999998</v>
      </c>
      <c r="C41" s="9">
        <v>131.1</v>
      </c>
      <c r="D41" s="9">
        <v>64.816411000000002</v>
      </c>
      <c r="E41" s="9">
        <f t="shared" si="4"/>
        <v>195.91641099999998</v>
      </c>
      <c r="F41" s="9">
        <v>48.540447999999998</v>
      </c>
      <c r="G41" s="9">
        <f t="shared" si="5"/>
        <v>147.37596299999998</v>
      </c>
      <c r="H41" s="143">
        <f t="shared" si="6"/>
        <v>0.55943744590716526</v>
      </c>
      <c r="I41" s="143">
        <f t="shared" si="3"/>
        <v>0.5090880757755204</v>
      </c>
    </row>
    <row r="42" spans="1:9" ht="12" customHeight="1" x14ac:dyDescent="0.2">
      <c r="A42" s="3">
        <v>1995</v>
      </c>
      <c r="B42" s="21">
        <v>266.55700000000002</v>
      </c>
      <c r="C42" s="9">
        <v>110</v>
      </c>
      <c r="D42" s="9">
        <v>79.126000000000005</v>
      </c>
      <c r="E42" s="9">
        <f t="shared" si="4"/>
        <v>189.126</v>
      </c>
      <c r="F42" s="9">
        <v>40.719177999999999</v>
      </c>
      <c r="G42" s="9">
        <f t="shared" si="5"/>
        <v>148.40682200000001</v>
      </c>
      <c r="H42" s="143">
        <f t="shared" si="6"/>
        <v>0.55675454780778599</v>
      </c>
      <c r="I42" s="143">
        <f t="shared" si="3"/>
        <v>0.50664663850508529</v>
      </c>
    </row>
    <row r="43" spans="1:9" ht="12" customHeight="1" x14ac:dyDescent="0.2">
      <c r="A43" s="2">
        <v>1996</v>
      </c>
      <c r="B43" s="20">
        <v>269.66699999999997</v>
      </c>
      <c r="C43" s="8">
        <v>111.4</v>
      </c>
      <c r="D43" s="8">
        <v>76.135418999999999</v>
      </c>
      <c r="E43" s="8">
        <f t="shared" si="4"/>
        <v>187.53541899999999</v>
      </c>
      <c r="F43" s="8">
        <v>31.695350000000001</v>
      </c>
      <c r="G43" s="8">
        <f t="shared" si="5"/>
        <v>155.840069</v>
      </c>
      <c r="H43" s="142">
        <f t="shared" si="6"/>
        <v>0.57789818183166652</v>
      </c>
      <c r="I43" s="142">
        <f t="shared" si="3"/>
        <v>0.52588734546681659</v>
      </c>
    </row>
    <row r="44" spans="1:9" ht="12" customHeight="1" x14ac:dyDescent="0.2">
      <c r="A44" s="2">
        <v>1997</v>
      </c>
      <c r="B44" s="20">
        <v>272.91199999999998</v>
      </c>
      <c r="C44" s="8">
        <v>124.8</v>
      </c>
      <c r="D44" s="8">
        <v>88.642881000000003</v>
      </c>
      <c r="E44" s="8">
        <f t="shared" si="4"/>
        <v>213.442881</v>
      </c>
      <c r="F44" s="8">
        <v>33.649417</v>
      </c>
      <c r="G44" s="8">
        <f t="shared" si="5"/>
        <v>179.793464</v>
      </c>
      <c r="H44" s="142">
        <f t="shared" si="6"/>
        <v>0.65879647651990392</v>
      </c>
      <c r="I44" s="142">
        <f t="shared" si="3"/>
        <v>0.5995047936331126</v>
      </c>
    </row>
    <row r="45" spans="1:9" ht="12" customHeight="1" x14ac:dyDescent="0.2">
      <c r="A45" s="2">
        <v>1998</v>
      </c>
      <c r="B45" s="20">
        <v>276.11500000000001</v>
      </c>
      <c r="C45" s="8">
        <v>126.4</v>
      </c>
      <c r="D45" s="8">
        <v>109.84496499999999</v>
      </c>
      <c r="E45" s="8">
        <f t="shared" si="4"/>
        <v>236.24496499999998</v>
      </c>
      <c r="F45" s="8">
        <v>34.393082</v>
      </c>
      <c r="G45" s="8">
        <f t="shared" si="5"/>
        <v>201.85188299999999</v>
      </c>
      <c r="H45" s="142">
        <f t="shared" si="6"/>
        <v>0.73104280100682684</v>
      </c>
      <c r="I45" s="142">
        <f t="shared" si="3"/>
        <v>0.66524894891621245</v>
      </c>
    </row>
    <row r="46" spans="1:9" ht="12" customHeight="1" x14ac:dyDescent="0.2">
      <c r="A46" s="2">
        <v>1999</v>
      </c>
      <c r="B46" s="20">
        <v>279.29500000000002</v>
      </c>
      <c r="C46" s="8">
        <v>145.5</v>
      </c>
      <c r="D46" s="8">
        <v>142.28486699999999</v>
      </c>
      <c r="E46" s="8">
        <f t="shared" si="4"/>
        <v>287.78486699999996</v>
      </c>
      <c r="F46" s="8">
        <v>38.062736999999998</v>
      </c>
      <c r="G46" s="8">
        <f t="shared" si="5"/>
        <v>249.72212999999996</v>
      </c>
      <c r="H46" s="142">
        <f t="shared" si="6"/>
        <v>0.89411600637318944</v>
      </c>
      <c r="I46" s="142">
        <f t="shared" si="3"/>
        <v>0.81364556579960245</v>
      </c>
    </row>
    <row r="47" spans="1:9" ht="12" customHeight="1" x14ac:dyDescent="0.2">
      <c r="A47" s="2">
        <v>2000</v>
      </c>
      <c r="B47" s="20">
        <v>282.38499999999999</v>
      </c>
      <c r="C47" s="8">
        <v>150.4</v>
      </c>
      <c r="D47" s="8">
        <v>159.37884058000003</v>
      </c>
      <c r="E47" s="8">
        <f t="shared" si="4"/>
        <v>309.77884058000006</v>
      </c>
      <c r="F47" s="8">
        <v>39.634698040000004</v>
      </c>
      <c r="G47" s="8">
        <f t="shared" si="5"/>
        <v>270.14414254000008</v>
      </c>
      <c r="H47" s="142">
        <f t="shared" si="6"/>
        <v>0.95665188497972653</v>
      </c>
      <c r="I47" s="142">
        <f t="shared" si="3"/>
        <v>0.87055321533155117</v>
      </c>
    </row>
    <row r="48" spans="1:9" ht="12" customHeight="1" x14ac:dyDescent="0.2">
      <c r="A48" s="3">
        <v>2001</v>
      </c>
      <c r="B48" s="21">
        <v>285.30901899999998</v>
      </c>
      <c r="C48" s="9">
        <v>137.19999999999999</v>
      </c>
      <c r="D48" s="9">
        <v>156.83659846</v>
      </c>
      <c r="E48" s="9">
        <f t="shared" si="4"/>
        <v>294.03659845999999</v>
      </c>
      <c r="F48" s="9">
        <v>31.599934000000001</v>
      </c>
      <c r="G48" s="9">
        <f t="shared" si="5"/>
        <v>262.43666445999997</v>
      </c>
      <c r="H48" s="143">
        <f t="shared" si="6"/>
        <v>0.91983304761915008</v>
      </c>
      <c r="I48" s="143">
        <f t="shared" ref="I48:I53" si="7">H48*0.91</f>
        <v>0.83704807333342657</v>
      </c>
    </row>
    <row r="49" spans="1:9" ht="12" customHeight="1" x14ac:dyDescent="0.2">
      <c r="A49" s="3">
        <v>2002</v>
      </c>
      <c r="B49" s="21">
        <v>288.10481800000002</v>
      </c>
      <c r="C49" s="9">
        <v>126.7</v>
      </c>
      <c r="D49" s="9">
        <v>180.25314836000001</v>
      </c>
      <c r="E49" s="9">
        <f t="shared" si="4"/>
        <v>306.95314836</v>
      </c>
      <c r="F49" s="9">
        <v>29.340043999999999</v>
      </c>
      <c r="G49" s="9">
        <f t="shared" si="5"/>
        <v>277.61310436000002</v>
      </c>
      <c r="H49" s="143">
        <f t="shared" si="6"/>
        <v>0.9635836925156871</v>
      </c>
      <c r="I49" s="143">
        <f t="shared" si="7"/>
        <v>0.87686116018927529</v>
      </c>
    </row>
    <row r="50" spans="1:9" ht="12" customHeight="1" x14ac:dyDescent="0.2">
      <c r="A50" s="3">
        <v>2003</v>
      </c>
      <c r="B50" s="21">
        <v>290.81963400000001</v>
      </c>
      <c r="C50" s="9">
        <v>119.4</v>
      </c>
      <c r="D50" s="9">
        <v>212.62347359</v>
      </c>
      <c r="E50" s="9">
        <f t="shared" si="4"/>
        <v>332.02347358999998</v>
      </c>
      <c r="F50" s="9">
        <v>28.637981</v>
      </c>
      <c r="G50" s="9">
        <f t="shared" si="5"/>
        <v>303.38549258999996</v>
      </c>
      <c r="H50" s="143">
        <f t="shared" si="6"/>
        <v>1.0432084258451406</v>
      </c>
      <c r="I50" s="143">
        <f t="shared" si="7"/>
        <v>0.94931966751907804</v>
      </c>
    </row>
    <row r="51" spans="1:9" ht="12" customHeight="1" x14ac:dyDescent="0.2">
      <c r="A51" s="3">
        <v>2004</v>
      </c>
      <c r="B51" s="21">
        <v>293.46318500000001</v>
      </c>
      <c r="C51" s="9">
        <v>152.4</v>
      </c>
      <c r="D51" s="9">
        <v>203.71777</v>
      </c>
      <c r="E51" s="9">
        <f t="shared" si="4"/>
        <v>356.11777000000001</v>
      </c>
      <c r="F51" s="9">
        <v>26.054708000000002</v>
      </c>
      <c r="G51" s="9">
        <f t="shared" si="5"/>
        <v>330.063062</v>
      </c>
      <c r="H51" s="143">
        <f t="shared" si="6"/>
        <v>1.1247170986711672</v>
      </c>
      <c r="I51" s="143">
        <f t="shared" si="7"/>
        <v>1.0234925597907623</v>
      </c>
    </row>
    <row r="52" spans="1:9" ht="12" customHeight="1" x14ac:dyDescent="0.2">
      <c r="A52" s="3">
        <v>2005</v>
      </c>
      <c r="B52" s="21">
        <v>296.186216</v>
      </c>
      <c r="C52" s="9">
        <v>114.4</v>
      </c>
      <c r="D52" s="9">
        <v>238.799577</v>
      </c>
      <c r="E52" s="9">
        <f t="shared" si="4"/>
        <v>353.19957699999998</v>
      </c>
      <c r="F52" s="9">
        <v>22.568764999999999</v>
      </c>
      <c r="G52" s="9">
        <f t="shared" si="5"/>
        <v>330.63081199999999</v>
      </c>
      <c r="H52" s="143">
        <f t="shared" si="6"/>
        <v>1.1162937170580551</v>
      </c>
      <c r="I52" s="143">
        <f t="shared" si="7"/>
        <v>1.0158272825228303</v>
      </c>
    </row>
    <row r="53" spans="1:9" ht="12" customHeight="1" x14ac:dyDescent="0.2">
      <c r="A53" s="2">
        <v>2006</v>
      </c>
      <c r="B53" s="20">
        <v>298.99582500000002</v>
      </c>
      <c r="C53" s="8">
        <v>91.1</v>
      </c>
      <c r="D53" s="8">
        <v>265.25292300000001</v>
      </c>
      <c r="E53" s="8">
        <f t="shared" si="4"/>
        <v>356.35292300000003</v>
      </c>
      <c r="F53" s="8">
        <v>17.327646999999999</v>
      </c>
      <c r="G53" s="8">
        <f t="shared" si="5"/>
        <v>339.02527600000002</v>
      </c>
      <c r="H53" s="142">
        <f t="shared" si="6"/>
        <v>1.1338796319313154</v>
      </c>
      <c r="I53" s="142">
        <f t="shared" si="7"/>
        <v>1.031830465057497</v>
      </c>
    </row>
    <row r="54" spans="1:9" ht="12" customHeight="1" x14ac:dyDescent="0.2">
      <c r="A54" s="2">
        <v>2007</v>
      </c>
      <c r="B54" s="20">
        <v>302.003917</v>
      </c>
      <c r="C54" s="8">
        <v>92.7</v>
      </c>
      <c r="D54" s="8">
        <v>273.46608691999995</v>
      </c>
      <c r="E54" s="8">
        <f t="shared" si="4"/>
        <v>366.16608691999994</v>
      </c>
      <c r="F54" s="8">
        <v>15.654182</v>
      </c>
      <c r="G54" s="8">
        <f t="shared" si="5"/>
        <v>350.51190491999995</v>
      </c>
      <c r="H54" s="142">
        <f t="shared" si="6"/>
        <v>1.1606203932778791</v>
      </c>
      <c r="I54" s="142">
        <f t="shared" ref="I54:I59" si="8">H54*0.91</f>
        <v>1.05616455788287</v>
      </c>
    </row>
    <row r="55" spans="1:9" ht="12" customHeight="1" x14ac:dyDescent="0.2">
      <c r="A55" s="2">
        <v>2008</v>
      </c>
      <c r="B55" s="20">
        <v>304.79776099999998</v>
      </c>
      <c r="C55" s="8">
        <v>71.8</v>
      </c>
      <c r="D55" s="8">
        <v>308.26235400000002</v>
      </c>
      <c r="E55" s="8">
        <f t="shared" si="4"/>
        <v>380.06235400000003</v>
      </c>
      <c r="F55" s="8">
        <v>18.988765999999998</v>
      </c>
      <c r="G55" s="8">
        <f t="shared" si="5"/>
        <v>361.07358800000003</v>
      </c>
      <c r="H55" s="142">
        <f t="shared" si="6"/>
        <v>1.1846333346261033</v>
      </c>
      <c r="I55" s="142">
        <f t="shared" si="8"/>
        <v>1.078016334509754</v>
      </c>
    </row>
    <row r="56" spans="1:9" ht="12" customHeight="1" x14ac:dyDescent="0.2">
      <c r="A56" s="2">
        <v>2009</v>
      </c>
      <c r="B56" s="20">
        <v>307.43940600000002</v>
      </c>
      <c r="C56" s="8">
        <v>70.3</v>
      </c>
      <c r="D56" s="8">
        <v>343.99900000000002</v>
      </c>
      <c r="E56" s="8">
        <f t="shared" si="4"/>
        <v>414.29900000000004</v>
      </c>
      <c r="F56" s="8">
        <v>16.362572</v>
      </c>
      <c r="G56" s="8">
        <f t="shared" si="5"/>
        <v>397.93642800000003</v>
      </c>
      <c r="H56" s="142">
        <f t="shared" si="6"/>
        <v>1.2943572627121196</v>
      </c>
      <c r="I56" s="142">
        <f t="shared" si="8"/>
        <v>1.1778651090680288</v>
      </c>
    </row>
    <row r="57" spans="1:9" ht="12" customHeight="1" x14ac:dyDescent="0.2">
      <c r="A57" s="2">
        <v>2010</v>
      </c>
      <c r="B57" s="20">
        <v>309.74127900000002</v>
      </c>
      <c r="C57" s="8">
        <v>67.900000000000006</v>
      </c>
      <c r="D57" s="8">
        <v>377.18936614964008</v>
      </c>
      <c r="E57" s="8">
        <f t="shared" si="4"/>
        <v>445.08936614964011</v>
      </c>
      <c r="F57" s="8">
        <v>21.890481075540006</v>
      </c>
      <c r="G57" s="8">
        <f t="shared" si="5"/>
        <v>423.19888507410013</v>
      </c>
      <c r="H57" s="142">
        <f t="shared" si="6"/>
        <v>1.3662979840478418</v>
      </c>
      <c r="I57" s="142">
        <f t="shared" si="8"/>
        <v>1.2433311654835359</v>
      </c>
    </row>
    <row r="58" spans="1:9" ht="12" customHeight="1" x14ac:dyDescent="0.2">
      <c r="A58" s="33">
        <v>2011</v>
      </c>
      <c r="B58" s="31">
        <v>311.97391399999998</v>
      </c>
      <c r="C58" s="39">
        <v>65</v>
      </c>
      <c r="D58" s="39">
        <v>385.08101949240006</v>
      </c>
      <c r="E58" s="39">
        <f t="shared" si="4"/>
        <v>450.08101949240006</v>
      </c>
      <c r="F58" s="39">
        <v>18.950554166939995</v>
      </c>
      <c r="G58" s="39">
        <f t="shared" si="5"/>
        <v>431.13046532546008</v>
      </c>
      <c r="H58" s="144">
        <f t="shared" si="6"/>
        <v>1.3819439574215815</v>
      </c>
      <c r="I58" s="144">
        <f t="shared" si="8"/>
        <v>1.2575690012536391</v>
      </c>
    </row>
    <row r="59" spans="1:9" s="43" customFormat="1" ht="12" customHeight="1" x14ac:dyDescent="0.2">
      <c r="A59" s="33">
        <v>2012</v>
      </c>
      <c r="B59" s="31">
        <v>314.16755799999999</v>
      </c>
      <c r="C59" s="39">
        <v>62</v>
      </c>
      <c r="D59" s="39">
        <v>413.66339529746</v>
      </c>
      <c r="E59" s="39">
        <f t="shared" si="4"/>
        <v>475.66339529746</v>
      </c>
      <c r="F59" s="39">
        <v>20.597030521540006</v>
      </c>
      <c r="G59" s="39">
        <f t="shared" si="5"/>
        <v>455.06636477591996</v>
      </c>
      <c r="H59" s="144">
        <f t="shared" si="6"/>
        <v>1.4484829931928236</v>
      </c>
      <c r="I59" s="144">
        <f t="shared" si="8"/>
        <v>1.3181195238054695</v>
      </c>
    </row>
    <row r="60" spans="1:9" s="93" customFormat="1" ht="12" customHeight="1" x14ac:dyDescent="0.2">
      <c r="A60" s="33">
        <v>2013</v>
      </c>
      <c r="B60" s="31">
        <v>316.29476599999998</v>
      </c>
      <c r="C60" s="39">
        <v>62</v>
      </c>
      <c r="D60" s="39">
        <v>402.03788729169997</v>
      </c>
      <c r="E60" s="39">
        <f t="shared" si="4"/>
        <v>464.03788729169997</v>
      </c>
      <c r="F60" s="39">
        <v>16.373046944760002</v>
      </c>
      <c r="G60" s="39">
        <f t="shared" ref="G60" si="9">E60-SUM(F60)</f>
        <v>447.66484034693997</v>
      </c>
      <c r="H60" s="144">
        <f t="shared" ref="H60" si="10">IF(G60=0,0,IF(B60=0,0,G60/B60))</f>
        <v>1.4153406520389276</v>
      </c>
      <c r="I60" s="144">
        <f t="shared" ref="I60" si="11">H60*0.91</f>
        <v>1.2879599933554242</v>
      </c>
    </row>
    <row r="61" spans="1:9" s="93" customFormat="1" ht="12" customHeight="1" x14ac:dyDescent="0.2">
      <c r="A61" s="33">
        <v>2014</v>
      </c>
      <c r="B61" s="31">
        <v>318.576955</v>
      </c>
      <c r="C61" s="39">
        <v>56.8</v>
      </c>
      <c r="D61" s="39">
        <v>486.83222423990003</v>
      </c>
      <c r="E61" s="39">
        <f t="shared" si="4"/>
        <v>543.63222423989998</v>
      </c>
      <c r="F61" s="39">
        <v>17.301747529</v>
      </c>
      <c r="G61" s="39">
        <f t="shared" ref="G61" si="12">E61-SUM(F61)</f>
        <v>526.33047671090003</v>
      </c>
      <c r="H61" s="144">
        <f t="shared" ref="H61" si="13">IF(G61=0,0,IF(B61=0,0,G61/B61))</f>
        <v>1.6521297866975344</v>
      </c>
      <c r="I61" s="144">
        <f t="shared" ref="I61" si="14">H61*0.91</f>
        <v>1.5034381058947563</v>
      </c>
    </row>
    <row r="62" spans="1:9" s="93" customFormat="1" ht="12" customHeight="1" x14ac:dyDescent="0.2">
      <c r="A62" s="33">
        <v>2015</v>
      </c>
      <c r="B62" s="31">
        <v>320.87070299999999</v>
      </c>
      <c r="C62" s="39">
        <v>47.4</v>
      </c>
      <c r="D62" s="39">
        <v>431.32896024196009</v>
      </c>
      <c r="E62" s="39">
        <f t="shared" si="4"/>
        <v>478.72896024196007</v>
      </c>
      <c r="F62" s="39">
        <v>11.358951810799999</v>
      </c>
      <c r="G62" s="39">
        <f t="shared" ref="G62" si="15">E62-SUM(F62)</f>
        <v>467.37000843116004</v>
      </c>
      <c r="H62" s="144">
        <f t="shared" ref="H62" si="16">IF(G62=0,0,IF(B62=0,0,G62/B62))</f>
        <v>1.4565680321121746</v>
      </c>
      <c r="I62" s="144">
        <f t="shared" ref="I62" si="17">H62*0.91</f>
        <v>1.3254769092220788</v>
      </c>
    </row>
    <row r="63" spans="1:9" s="93" customFormat="1" ht="12" customHeight="1" x14ac:dyDescent="0.2">
      <c r="A63" s="128">
        <v>2016</v>
      </c>
      <c r="B63" s="129">
        <v>323.16101099999997</v>
      </c>
      <c r="C63" s="130">
        <v>64.94</v>
      </c>
      <c r="D63" s="130">
        <v>473.30358904223999</v>
      </c>
      <c r="E63" s="127">
        <f t="shared" si="4"/>
        <v>538.24358904224005</v>
      </c>
      <c r="F63" s="130">
        <v>32.771248603720004</v>
      </c>
      <c r="G63" s="127">
        <f t="shared" ref="G63:G64" si="18">E63-SUM(F63)</f>
        <v>505.47234043852006</v>
      </c>
      <c r="H63" s="146">
        <f t="shared" ref="H63:H64" si="19">IF(G63=0,0,IF(B63=0,0,G63/B63))</f>
        <v>1.5641501395059074</v>
      </c>
      <c r="I63" s="146">
        <f t="shared" ref="I63:I64" si="20">H63*0.91</f>
        <v>1.4233766269503758</v>
      </c>
    </row>
    <row r="64" spans="1:9" s="93" customFormat="1" ht="12" customHeight="1" x14ac:dyDescent="0.2">
      <c r="A64" s="125">
        <v>2017</v>
      </c>
      <c r="B64" s="126">
        <v>325.20603</v>
      </c>
      <c r="C64" s="127">
        <v>65.3</v>
      </c>
      <c r="D64" s="127">
        <v>502.40647562930019</v>
      </c>
      <c r="E64" s="127">
        <f t="shared" si="4"/>
        <v>567.70647562930014</v>
      </c>
      <c r="F64" s="127">
        <v>41.30606235294001</v>
      </c>
      <c r="G64" s="127">
        <f t="shared" si="18"/>
        <v>526.40041327636015</v>
      </c>
      <c r="H64" s="146">
        <f t="shared" si="19"/>
        <v>1.6186674437628361</v>
      </c>
      <c r="I64" s="146">
        <f t="shared" si="20"/>
        <v>1.472987373824181</v>
      </c>
    </row>
    <row r="65" spans="1:10" s="93" customFormat="1" ht="12" customHeight="1" x14ac:dyDescent="0.2">
      <c r="A65" s="128">
        <v>2018</v>
      </c>
      <c r="B65" s="129">
        <v>326.92397599999998</v>
      </c>
      <c r="C65" s="130">
        <v>61.76</v>
      </c>
      <c r="D65" s="130">
        <v>567.68326982971996</v>
      </c>
      <c r="E65" s="130">
        <f t="shared" si="4"/>
        <v>629.44326982971995</v>
      </c>
      <c r="F65" s="130">
        <v>54.64395823744001</v>
      </c>
      <c r="G65" s="127">
        <f t="shared" ref="G65:G67" si="21">E65-SUM(F65)</f>
        <v>574.79931159227999</v>
      </c>
      <c r="H65" s="146">
        <f t="shared" ref="H65:H67" si="22">IF(G65=0,0,IF(B65=0,0,G65/B65))</f>
        <v>1.7582048237180379</v>
      </c>
      <c r="I65" s="146">
        <f t="shared" ref="I65:I67" si="23">H65*0.91</f>
        <v>1.5999663895834144</v>
      </c>
    </row>
    <row r="66" spans="1:10" s="93" customFormat="1" ht="12" customHeight="1" x14ac:dyDescent="0.2">
      <c r="A66" s="128">
        <v>2019</v>
      </c>
      <c r="B66" s="129">
        <v>328.475998</v>
      </c>
      <c r="C66" s="162">
        <v>58.1</v>
      </c>
      <c r="D66" s="130">
        <v>572.02625218023991</v>
      </c>
      <c r="E66" s="130">
        <f t="shared" si="4"/>
        <v>630.12625218023993</v>
      </c>
      <c r="F66" s="162">
        <v>52.330740860860004</v>
      </c>
      <c r="G66" s="130">
        <f t="shared" si="21"/>
        <v>577.7955113193799</v>
      </c>
      <c r="H66" s="145">
        <f t="shared" si="22"/>
        <v>1.7590189689274645</v>
      </c>
      <c r="I66" s="145">
        <f t="shared" si="23"/>
        <v>1.6007072617239928</v>
      </c>
    </row>
    <row r="67" spans="1:10" s="93" customFormat="1" ht="12" customHeight="1" thickBot="1" x14ac:dyDescent="0.25">
      <c r="A67" s="148">
        <v>2020</v>
      </c>
      <c r="B67" s="149">
        <v>330.11398000000003</v>
      </c>
      <c r="C67" s="147">
        <v>52.1</v>
      </c>
      <c r="D67" s="124">
        <v>586</v>
      </c>
      <c r="E67" s="150">
        <f t="shared" si="4"/>
        <v>638.1</v>
      </c>
      <c r="F67" s="147">
        <v>35.478290478619996</v>
      </c>
      <c r="G67" s="161">
        <f t="shared" si="21"/>
        <v>602.62170952138001</v>
      </c>
      <c r="H67" s="175">
        <f t="shared" si="22"/>
        <v>1.8254958772766303</v>
      </c>
      <c r="I67" s="175">
        <f t="shared" si="23"/>
        <v>1.6612012483217335</v>
      </c>
    </row>
    <row r="68" spans="1:10" ht="12" customHeight="1" thickTop="1" x14ac:dyDescent="0.2">
      <c r="A68" s="260" t="s">
        <v>8</v>
      </c>
      <c r="B68" s="261"/>
      <c r="C68" s="261"/>
      <c r="D68" s="261"/>
      <c r="E68" s="261"/>
      <c r="F68" s="261"/>
      <c r="G68" s="261"/>
      <c r="H68" s="261"/>
      <c r="I68" s="262"/>
      <c r="J68" s="44"/>
    </row>
    <row r="69" spans="1:10" ht="12" customHeight="1" x14ac:dyDescent="0.2">
      <c r="A69" s="263"/>
      <c r="B69" s="264"/>
      <c r="C69" s="264"/>
      <c r="D69" s="264"/>
      <c r="E69" s="264"/>
      <c r="F69" s="264"/>
      <c r="G69" s="264"/>
      <c r="H69" s="264"/>
      <c r="I69" s="265"/>
      <c r="J69" s="44"/>
    </row>
    <row r="70" spans="1:10" ht="12" customHeight="1" x14ac:dyDescent="0.2">
      <c r="A70" s="266" t="s">
        <v>223</v>
      </c>
      <c r="B70" s="267"/>
      <c r="C70" s="267"/>
      <c r="D70" s="267"/>
      <c r="E70" s="267"/>
      <c r="F70" s="267"/>
      <c r="G70" s="267"/>
      <c r="H70" s="267"/>
      <c r="I70" s="268"/>
      <c r="J70" s="44"/>
    </row>
    <row r="71" spans="1:10" ht="12" customHeight="1" x14ac:dyDescent="0.2">
      <c r="A71" s="266"/>
      <c r="B71" s="267"/>
      <c r="C71" s="267"/>
      <c r="D71" s="267"/>
      <c r="E71" s="267"/>
      <c r="F71" s="267"/>
      <c r="G71" s="267"/>
      <c r="H71" s="267"/>
      <c r="I71" s="268"/>
      <c r="J71" s="44"/>
    </row>
    <row r="72" spans="1:10" ht="12" customHeight="1" x14ac:dyDescent="0.2">
      <c r="A72" s="266"/>
      <c r="B72" s="267"/>
      <c r="C72" s="267"/>
      <c r="D72" s="267"/>
      <c r="E72" s="267"/>
      <c r="F72" s="267"/>
      <c r="G72" s="267"/>
      <c r="H72" s="267"/>
      <c r="I72" s="268"/>
      <c r="J72" s="44"/>
    </row>
    <row r="73" spans="1:10" ht="12" customHeight="1" x14ac:dyDescent="0.2">
      <c r="A73" s="263"/>
      <c r="B73" s="264"/>
      <c r="C73" s="264"/>
      <c r="D73" s="264"/>
      <c r="E73" s="264"/>
      <c r="F73" s="264"/>
      <c r="G73" s="264"/>
      <c r="H73" s="264"/>
      <c r="I73" s="265"/>
      <c r="J73" s="44"/>
    </row>
    <row r="74" spans="1:10" ht="12" customHeight="1" x14ac:dyDescent="0.2">
      <c r="A74" s="223" t="s">
        <v>198</v>
      </c>
      <c r="B74" s="224"/>
      <c r="C74" s="224"/>
      <c r="D74" s="224"/>
      <c r="E74" s="224"/>
      <c r="F74" s="224"/>
      <c r="G74" s="224"/>
      <c r="H74" s="224"/>
      <c r="I74" s="225"/>
      <c r="J74" s="42"/>
    </row>
    <row r="75" spans="1:10" ht="12" customHeight="1" x14ac:dyDescent="0.2">
      <c r="A75" s="223"/>
      <c r="B75" s="224"/>
      <c r="C75" s="224"/>
      <c r="D75" s="224"/>
      <c r="E75" s="224"/>
      <c r="F75" s="224"/>
      <c r="G75" s="224"/>
      <c r="H75" s="224"/>
      <c r="I75" s="225"/>
      <c r="J75" s="42"/>
    </row>
  </sheetData>
  <mergeCells count="20">
    <mergeCell ref="C6:G6"/>
    <mergeCell ref="A68:I68"/>
    <mergeCell ref="A69:I69"/>
    <mergeCell ref="A73:I73"/>
    <mergeCell ref="A74:I75"/>
    <mergeCell ref="A70:I72"/>
    <mergeCell ref="H6:I6"/>
    <mergeCell ref="H1:I1"/>
    <mergeCell ref="H4:H5"/>
    <mergeCell ref="H3:I3"/>
    <mergeCell ref="E3:E5"/>
    <mergeCell ref="G3:G5"/>
    <mergeCell ref="A1:G1"/>
    <mergeCell ref="C3:C5"/>
    <mergeCell ref="D3:D5"/>
    <mergeCell ref="F3:F5"/>
    <mergeCell ref="A2:A5"/>
    <mergeCell ref="B2:B5"/>
    <mergeCell ref="C2:E2"/>
    <mergeCell ref="G2:I2"/>
  </mergeCells>
  <phoneticPr fontId="7" type="noConversion"/>
  <printOptions horizontalCentered="1"/>
  <pageMargins left="0.45" right="0.45" top="0.75" bottom="0.75" header="0" footer="0"/>
  <pageSetup scale="66" fitToWidth="2"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autoPageBreaks="0" fitToPage="1"/>
  </sheetPr>
  <dimension ref="A1:J75"/>
  <sheetViews>
    <sheetView showZeros="0" showOutlineSymbols="0" zoomScaleNormal="100" workbookViewId="0">
      <pane ySplit="6" topLeftCell="A7" activePane="bottomLeft" state="frozen"/>
      <selection sqref="A1:G1"/>
      <selection pane="bottomLeft" sqref="A1:G1"/>
    </sheetView>
  </sheetViews>
  <sheetFormatPr defaultColWidth="12.7109375" defaultRowHeight="12" customHeight="1" x14ac:dyDescent="0.2"/>
  <cols>
    <col min="1" max="1" width="12.7109375" style="13" customWidth="1"/>
    <col min="2" max="16384" width="12.7109375" style="13"/>
  </cols>
  <sheetData>
    <row r="1" spans="1:10" s="1" customFormat="1" ht="12" customHeight="1" thickBot="1" x14ac:dyDescent="0.25">
      <c r="A1" s="201" t="s">
        <v>149</v>
      </c>
      <c r="B1" s="201"/>
      <c r="C1" s="201"/>
      <c r="D1" s="201"/>
      <c r="E1" s="201"/>
      <c r="F1" s="201"/>
      <c r="G1" s="201"/>
      <c r="H1" s="200" t="s">
        <v>19</v>
      </c>
      <c r="I1" s="200"/>
    </row>
    <row r="2" spans="1:10" ht="12" customHeight="1" thickTop="1" x14ac:dyDescent="0.2">
      <c r="A2" s="196" t="s">
        <v>1</v>
      </c>
      <c r="B2" s="199" t="s">
        <v>85</v>
      </c>
      <c r="C2" s="269" t="s">
        <v>2</v>
      </c>
      <c r="D2" s="269"/>
      <c r="E2" s="269"/>
      <c r="F2" s="118" t="s">
        <v>146</v>
      </c>
      <c r="G2" s="244" t="s">
        <v>147</v>
      </c>
      <c r="H2" s="245"/>
      <c r="I2" s="245"/>
    </row>
    <row r="3" spans="1:10" ht="12" customHeight="1" x14ac:dyDescent="0.2">
      <c r="A3" s="217"/>
      <c r="B3" s="259"/>
      <c r="C3" s="217" t="s">
        <v>86</v>
      </c>
      <c r="D3" s="217" t="s">
        <v>87</v>
      </c>
      <c r="E3" s="217" t="s">
        <v>88</v>
      </c>
      <c r="F3" s="217" t="s">
        <v>95</v>
      </c>
      <c r="G3" s="217" t="s">
        <v>137</v>
      </c>
      <c r="H3" s="226" t="s">
        <v>28</v>
      </c>
      <c r="I3" s="227"/>
    </row>
    <row r="4" spans="1:10" ht="12" customHeight="1" x14ac:dyDescent="0.2">
      <c r="A4" s="217"/>
      <c r="B4" s="259"/>
      <c r="C4" s="217"/>
      <c r="D4" s="217"/>
      <c r="E4" s="217"/>
      <c r="F4" s="217"/>
      <c r="G4" s="217"/>
      <c r="H4" s="217" t="s">
        <v>4</v>
      </c>
      <c r="I4" s="14" t="s">
        <v>139</v>
      </c>
      <c r="J4" s="4"/>
    </row>
    <row r="5" spans="1:10" ht="12" customHeight="1" x14ac:dyDescent="0.2">
      <c r="A5" s="217"/>
      <c r="B5" s="259"/>
      <c r="C5" s="217"/>
      <c r="D5" s="217"/>
      <c r="E5" s="217"/>
      <c r="F5" s="217"/>
      <c r="G5" s="217"/>
      <c r="H5" s="217"/>
      <c r="I5" s="14" t="s">
        <v>191</v>
      </c>
    </row>
    <row r="6" spans="1:10" ht="12" customHeight="1" x14ac:dyDescent="0.2">
      <c r="A6" s="46"/>
      <c r="B6" s="167" t="s">
        <v>121</v>
      </c>
      <c r="C6" s="214" t="s">
        <v>122</v>
      </c>
      <c r="D6" s="221"/>
      <c r="E6" s="221"/>
      <c r="F6" s="221"/>
      <c r="G6" s="222"/>
      <c r="H6" s="214" t="s">
        <v>118</v>
      </c>
      <c r="I6" s="222"/>
      <c r="J6" s="46"/>
    </row>
    <row r="7" spans="1:10" ht="12" customHeight="1" x14ac:dyDescent="0.2">
      <c r="A7" s="2">
        <v>1960</v>
      </c>
      <c r="B7" s="20">
        <v>180.67099999999999</v>
      </c>
      <c r="C7" s="8" t="s">
        <v>3</v>
      </c>
      <c r="D7" s="8" t="s">
        <v>3</v>
      </c>
      <c r="E7" s="8" t="s">
        <v>3</v>
      </c>
      <c r="F7" s="8" t="s">
        <v>3</v>
      </c>
      <c r="G7" s="8" t="s">
        <v>3</v>
      </c>
      <c r="H7" s="8" t="s">
        <v>3</v>
      </c>
      <c r="I7" s="8" t="s">
        <v>3</v>
      </c>
    </row>
    <row r="8" spans="1:10" ht="12" customHeight="1" x14ac:dyDescent="0.2">
      <c r="A8" s="3">
        <v>1961</v>
      </c>
      <c r="B8" s="21">
        <v>183.691</v>
      </c>
      <c r="C8" s="9" t="s">
        <v>3</v>
      </c>
      <c r="D8" s="9" t="s">
        <v>3</v>
      </c>
      <c r="E8" s="9" t="s">
        <v>3</v>
      </c>
      <c r="F8" s="9" t="s">
        <v>3</v>
      </c>
      <c r="G8" s="9" t="s">
        <v>3</v>
      </c>
      <c r="H8" s="9" t="s">
        <v>3</v>
      </c>
      <c r="I8" s="9" t="s">
        <v>3</v>
      </c>
    </row>
    <row r="9" spans="1:10" ht="12" customHeight="1" x14ac:dyDescent="0.2">
      <c r="A9" s="3">
        <v>1962</v>
      </c>
      <c r="B9" s="21">
        <v>186.53800000000001</v>
      </c>
      <c r="C9" s="9" t="s">
        <v>3</v>
      </c>
      <c r="D9" s="9" t="s">
        <v>3</v>
      </c>
      <c r="E9" s="9" t="s">
        <v>3</v>
      </c>
      <c r="F9" s="9" t="s">
        <v>3</v>
      </c>
      <c r="G9" s="9" t="s">
        <v>3</v>
      </c>
      <c r="H9" s="9" t="s">
        <v>3</v>
      </c>
      <c r="I9" s="9" t="s">
        <v>3</v>
      </c>
    </row>
    <row r="10" spans="1:10" ht="12" customHeight="1" x14ac:dyDescent="0.2">
      <c r="A10" s="3">
        <v>1963</v>
      </c>
      <c r="B10" s="21">
        <v>189.24199999999999</v>
      </c>
      <c r="C10" s="9" t="s">
        <v>3</v>
      </c>
      <c r="D10" s="9" t="s">
        <v>3</v>
      </c>
      <c r="E10" s="9" t="s">
        <v>3</v>
      </c>
      <c r="F10" s="9" t="s">
        <v>3</v>
      </c>
      <c r="G10" s="9" t="s">
        <v>3</v>
      </c>
      <c r="H10" s="9" t="s">
        <v>3</v>
      </c>
      <c r="I10" s="9" t="s">
        <v>3</v>
      </c>
    </row>
    <row r="11" spans="1:10" ht="12" customHeight="1" x14ac:dyDescent="0.2">
      <c r="A11" s="3">
        <v>1964</v>
      </c>
      <c r="B11" s="21">
        <v>191.88900000000001</v>
      </c>
      <c r="C11" s="9" t="s">
        <v>3</v>
      </c>
      <c r="D11" s="9" t="s">
        <v>3</v>
      </c>
      <c r="E11" s="9" t="s">
        <v>3</v>
      </c>
      <c r="F11" s="9" t="s">
        <v>3</v>
      </c>
      <c r="G11" s="9" t="s">
        <v>3</v>
      </c>
      <c r="H11" s="9" t="s">
        <v>3</v>
      </c>
      <c r="I11" s="9" t="s">
        <v>3</v>
      </c>
    </row>
    <row r="12" spans="1:10" ht="12" customHeight="1" x14ac:dyDescent="0.2">
      <c r="A12" s="3">
        <v>1965</v>
      </c>
      <c r="B12" s="21">
        <v>194.303</v>
      </c>
      <c r="C12" s="9" t="s">
        <v>3</v>
      </c>
      <c r="D12" s="9" t="s">
        <v>3</v>
      </c>
      <c r="E12" s="9" t="s">
        <v>3</v>
      </c>
      <c r="F12" s="9" t="s">
        <v>3</v>
      </c>
      <c r="G12" s="9" t="s">
        <v>3</v>
      </c>
      <c r="H12" s="9" t="s">
        <v>3</v>
      </c>
      <c r="I12" s="9" t="s">
        <v>3</v>
      </c>
    </row>
    <row r="13" spans="1:10" ht="12" customHeight="1" x14ac:dyDescent="0.2">
      <c r="A13" s="2">
        <v>1966</v>
      </c>
      <c r="B13" s="20">
        <v>196.56</v>
      </c>
      <c r="C13" s="8" t="s">
        <v>3</v>
      </c>
      <c r="D13" s="8" t="s">
        <v>3</v>
      </c>
      <c r="E13" s="8" t="s">
        <v>3</v>
      </c>
      <c r="F13" s="8" t="s">
        <v>3</v>
      </c>
      <c r="G13" s="8" t="s">
        <v>3</v>
      </c>
      <c r="H13" s="8" t="s">
        <v>3</v>
      </c>
      <c r="I13" s="8" t="s">
        <v>3</v>
      </c>
    </row>
    <row r="14" spans="1:10" ht="12" customHeight="1" x14ac:dyDescent="0.2">
      <c r="A14" s="2">
        <v>1967</v>
      </c>
      <c r="B14" s="20">
        <v>198.71199999999999</v>
      </c>
      <c r="C14" s="8" t="s">
        <v>3</v>
      </c>
      <c r="D14" s="8" t="s">
        <v>3</v>
      </c>
      <c r="E14" s="8" t="s">
        <v>3</v>
      </c>
      <c r="F14" s="8" t="s">
        <v>3</v>
      </c>
      <c r="G14" s="8" t="s">
        <v>3</v>
      </c>
      <c r="H14" s="8" t="s">
        <v>3</v>
      </c>
      <c r="I14" s="8" t="s">
        <v>3</v>
      </c>
    </row>
    <row r="15" spans="1:10" ht="12" customHeight="1" x14ac:dyDescent="0.2">
      <c r="A15" s="2">
        <v>1968</v>
      </c>
      <c r="B15" s="20">
        <v>200.70599999999999</v>
      </c>
      <c r="C15" s="8" t="s">
        <v>3</v>
      </c>
      <c r="D15" s="8" t="s">
        <v>3</v>
      </c>
      <c r="E15" s="8" t="s">
        <v>3</v>
      </c>
      <c r="F15" s="8" t="s">
        <v>3</v>
      </c>
      <c r="G15" s="8" t="s">
        <v>3</v>
      </c>
      <c r="H15" s="8" t="s">
        <v>3</v>
      </c>
      <c r="I15" s="8" t="s">
        <v>3</v>
      </c>
    </row>
    <row r="16" spans="1:10" ht="12" customHeight="1" x14ac:dyDescent="0.2">
      <c r="A16" s="2">
        <v>1969</v>
      </c>
      <c r="B16" s="20">
        <v>202.67699999999999</v>
      </c>
      <c r="C16" s="8" t="s">
        <v>3</v>
      </c>
      <c r="D16" s="8" t="s">
        <v>3</v>
      </c>
      <c r="E16" s="8" t="s">
        <v>3</v>
      </c>
      <c r="F16" s="8" t="s">
        <v>3</v>
      </c>
      <c r="G16" s="8" t="s">
        <v>3</v>
      </c>
      <c r="H16" s="8" t="s">
        <v>3</v>
      </c>
      <c r="I16" s="8" t="s">
        <v>3</v>
      </c>
    </row>
    <row r="17" spans="1:9" ht="12" customHeight="1" x14ac:dyDescent="0.2">
      <c r="A17" s="2">
        <v>1970</v>
      </c>
      <c r="B17" s="20">
        <v>205.05199999999999</v>
      </c>
      <c r="C17" s="8" t="s">
        <v>3</v>
      </c>
      <c r="D17" s="8" t="s">
        <v>3</v>
      </c>
      <c r="E17" s="8" t="s">
        <v>3</v>
      </c>
      <c r="F17" s="8" t="s">
        <v>3</v>
      </c>
      <c r="G17" s="8" t="s">
        <v>3</v>
      </c>
      <c r="H17" s="8" t="s">
        <v>3</v>
      </c>
      <c r="I17" s="8" t="s">
        <v>3</v>
      </c>
    </row>
    <row r="18" spans="1:9" ht="12" customHeight="1" x14ac:dyDescent="0.2">
      <c r="A18" s="3">
        <v>1971</v>
      </c>
      <c r="B18" s="21">
        <v>207.661</v>
      </c>
      <c r="C18" s="9" t="s">
        <v>3</v>
      </c>
      <c r="D18" s="9" t="s">
        <v>3</v>
      </c>
      <c r="E18" s="9" t="s">
        <v>3</v>
      </c>
      <c r="F18" s="9" t="s">
        <v>3</v>
      </c>
      <c r="G18" s="9" t="s">
        <v>3</v>
      </c>
      <c r="H18" s="9" t="s">
        <v>3</v>
      </c>
      <c r="I18" s="9" t="s">
        <v>3</v>
      </c>
    </row>
    <row r="19" spans="1:9" ht="12" customHeight="1" x14ac:dyDescent="0.2">
      <c r="A19" s="3">
        <v>1972</v>
      </c>
      <c r="B19" s="21">
        <v>209.89599999999999</v>
      </c>
      <c r="C19" s="9" t="s">
        <v>3</v>
      </c>
      <c r="D19" s="9" t="s">
        <v>3</v>
      </c>
      <c r="E19" s="9" t="s">
        <v>3</v>
      </c>
      <c r="F19" s="9" t="s">
        <v>3</v>
      </c>
      <c r="G19" s="9" t="s">
        <v>3</v>
      </c>
      <c r="H19" s="9" t="s">
        <v>3</v>
      </c>
      <c r="I19" s="9" t="s">
        <v>3</v>
      </c>
    </row>
    <row r="20" spans="1:9" ht="12" customHeight="1" x14ac:dyDescent="0.2">
      <c r="A20" s="3">
        <v>1973</v>
      </c>
      <c r="B20" s="21">
        <v>211.90899999999999</v>
      </c>
      <c r="C20" s="9" t="s">
        <v>3</v>
      </c>
      <c r="D20" s="9" t="s">
        <v>3</v>
      </c>
      <c r="E20" s="9" t="s">
        <v>3</v>
      </c>
      <c r="F20" s="9" t="s">
        <v>3</v>
      </c>
      <c r="G20" s="9" t="s">
        <v>3</v>
      </c>
      <c r="H20" s="9" t="s">
        <v>3</v>
      </c>
      <c r="I20" s="9" t="s">
        <v>3</v>
      </c>
    </row>
    <row r="21" spans="1:9" ht="12" customHeight="1" x14ac:dyDescent="0.2">
      <c r="A21" s="3">
        <v>1974</v>
      </c>
      <c r="B21" s="21">
        <v>213.85400000000001</v>
      </c>
      <c r="C21" s="9" t="s">
        <v>3</v>
      </c>
      <c r="D21" s="9" t="s">
        <v>3</v>
      </c>
      <c r="E21" s="9" t="s">
        <v>3</v>
      </c>
      <c r="F21" s="9" t="s">
        <v>3</v>
      </c>
      <c r="G21" s="9" t="s">
        <v>3</v>
      </c>
      <c r="H21" s="9" t="s">
        <v>3</v>
      </c>
      <c r="I21" s="9" t="s">
        <v>3</v>
      </c>
    </row>
    <row r="22" spans="1:9" ht="12" customHeight="1" x14ac:dyDescent="0.2">
      <c r="A22" s="3">
        <v>1975</v>
      </c>
      <c r="B22" s="21">
        <v>215.97300000000001</v>
      </c>
      <c r="C22" s="9" t="s">
        <v>3</v>
      </c>
      <c r="D22" s="9" t="s">
        <v>3</v>
      </c>
      <c r="E22" s="9" t="s">
        <v>3</v>
      </c>
      <c r="F22" s="9" t="s">
        <v>3</v>
      </c>
      <c r="G22" s="9" t="s">
        <v>3</v>
      </c>
      <c r="H22" s="9" t="s">
        <v>3</v>
      </c>
      <c r="I22" s="9" t="s">
        <v>3</v>
      </c>
    </row>
    <row r="23" spans="1:9" ht="12" customHeight="1" x14ac:dyDescent="0.2">
      <c r="A23" s="2">
        <v>1976</v>
      </c>
      <c r="B23" s="20">
        <v>218.035</v>
      </c>
      <c r="C23" s="8" t="s">
        <v>3</v>
      </c>
      <c r="D23" s="8" t="s">
        <v>3</v>
      </c>
      <c r="E23" s="8" t="s">
        <v>3</v>
      </c>
      <c r="F23" s="8" t="s">
        <v>3</v>
      </c>
      <c r="G23" s="8" t="s">
        <v>3</v>
      </c>
      <c r="H23" s="8" t="s">
        <v>3</v>
      </c>
      <c r="I23" s="8" t="s">
        <v>3</v>
      </c>
    </row>
    <row r="24" spans="1:9" ht="12" customHeight="1" x14ac:dyDescent="0.2">
      <c r="A24" s="2">
        <v>1977</v>
      </c>
      <c r="B24" s="20">
        <v>220.23899999999998</v>
      </c>
      <c r="C24" s="8" t="s">
        <v>3</v>
      </c>
      <c r="D24" s="8" t="s">
        <v>3</v>
      </c>
      <c r="E24" s="8" t="s">
        <v>3</v>
      </c>
      <c r="F24" s="8" t="s">
        <v>3</v>
      </c>
      <c r="G24" s="8" t="s">
        <v>3</v>
      </c>
      <c r="H24" s="8" t="s">
        <v>3</v>
      </c>
      <c r="I24" s="8" t="s">
        <v>3</v>
      </c>
    </row>
    <row r="25" spans="1:9" ht="12" customHeight="1" x14ac:dyDescent="0.2">
      <c r="A25" s="2">
        <v>1978</v>
      </c>
      <c r="B25" s="20">
        <v>222.58500000000001</v>
      </c>
      <c r="C25" s="8" t="s">
        <v>3</v>
      </c>
      <c r="D25" s="8" t="s">
        <v>3</v>
      </c>
      <c r="E25" s="8" t="s">
        <v>3</v>
      </c>
      <c r="F25" s="8" t="s">
        <v>3</v>
      </c>
      <c r="G25" s="8" t="s">
        <v>3</v>
      </c>
      <c r="H25" s="8" t="s">
        <v>3</v>
      </c>
      <c r="I25" s="8" t="s">
        <v>3</v>
      </c>
    </row>
    <row r="26" spans="1:9" ht="12" customHeight="1" x14ac:dyDescent="0.2">
      <c r="A26" s="2">
        <v>1979</v>
      </c>
      <c r="B26" s="20">
        <v>225.05500000000001</v>
      </c>
      <c r="C26" s="8" t="s">
        <v>3</v>
      </c>
      <c r="D26" s="8" t="s">
        <v>3</v>
      </c>
      <c r="E26" s="8" t="s">
        <v>3</v>
      </c>
      <c r="F26" s="8" t="s">
        <v>3</v>
      </c>
      <c r="G26" s="8" t="s">
        <v>3</v>
      </c>
      <c r="H26" s="8" t="s">
        <v>3</v>
      </c>
      <c r="I26" s="8" t="s">
        <v>3</v>
      </c>
    </row>
    <row r="27" spans="1:9" ht="12" customHeight="1" x14ac:dyDescent="0.2">
      <c r="A27" s="2">
        <v>1980</v>
      </c>
      <c r="B27" s="20">
        <v>227.726</v>
      </c>
      <c r="C27" s="8" t="s">
        <v>3</v>
      </c>
      <c r="D27" s="8" t="s">
        <v>3</v>
      </c>
      <c r="E27" s="8" t="s">
        <v>3</v>
      </c>
      <c r="F27" s="8" t="s">
        <v>3</v>
      </c>
      <c r="G27" s="8" t="s">
        <v>3</v>
      </c>
      <c r="H27" s="8" t="s">
        <v>3</v>
      </c>
      <c r="I27" s="8" t="s">
        <v>3</v>
      </c>
    </row>
    <row r="28" spans="1:9" ht="12" customHeight="1" x14ac:dyDescent="0.2">
      <c r="A28" s="3">
        <v>1981</v>
      </c>
      <c r="B28" s="21">
        <v>229.96600000000001</v>
      </c>
      <c r="C28" s="9" t="s">
        <v>3</v>
      </c>
      <c r="D28" s="9" t="s">
        <v>3</v>
      </c>
      <c r="E28" s="9" t="s">
        <v>3</v>
      </c>
      <c r="F28" s="9" t="s">
        <v>3</v>
      </c>
      <c r="G28" s="9" t="s">
        <v>3</v>
      </c>
      <c r="H28" s="9" t="s">
        <v>3</v>
      </c>
      <c r="I28" s="9" t="s">
        <v>3</v>
      </c>
    </row>
    <row r="29" spans="1:9" ht="12" customHeight="1" x14ac:dyDescent="0.2">
      <c r="A29" s="3">
        <v>1982</v>
      </c>
      <c r="B29" s="21">
        <v>232.18799999999999</v>
      </c>
      <c r="C29" s="9" t="s">
        <v>3</v>
      </c>
      <c r="D29" s="9" t="s">
        <v>3</v>
      </c>
      <c r="E29" s="9" t="s">
        <v>3</v>
      </c>
      <c r="F29" s="9" t="s">
        <v>3</v>
      </c>
      <c r="G29" s="9" t="s">
        <v>3</v>
      </c>
      <c r="H29" s="9" t="s">
        <v>3</v>
      </c>
      <c r="I29" s="9" t="s">
        <v>3</v>
      </c>
    </row>
    <row r="30" spans="1:9" ht="12" customHeight="1" x14ac:dyDescent="0.2">
      <c r="A30" s="3">
        <v>1983</v>
      </c>
      <c r="B30" s="21">
        <v>234.30699999999999</v>
      </c>
      <c r="C30" s="9" t="s">
        <v>3</v>
      </c>
      <c r="D30" s="9" t="s">
        <v>3</v>
      </c>
      <c r="E30" s="9" t="s">
        <v>3</v>
      </c>
      <c r="F30" s="9" t="s">
        <v>3</v>
      </c>
      <c r="G30" s="9" t="s">
        <v>3</v>
      </c>
      <c r="H30" s="9" t="s">
        <v>3</v>
      </c>
      <c r="I30" s="9" t="s">
        <v>3</v>
      </c>
    </row>
    <row r="31" spans="1:9" ht="12" customHeight="1" x14ac:dyDescent="0.2">
      <c r="A31" s="3">
        <v>1984</v>
      </c>
      <c r="B31" s="21">
        <v>236.34800000000001</v>
      </c>
      <c r="C31" s="9" t="s">
        <v>3</v>
      </c>
      <c r="D31" s="9" t="s">
        <v>3</v>
      </c>
      <c r="E31" s="9" t="s">
        <v>3</v>
      </c>
      <c r="F31" s="9" t="s">
        <v>3</v>
      </c>
      <c r="G31" s="9" t="s">
        <v>3</v>
      </c>
      <c r="H31" s="9" t="s">
        <v>3</v>
      </c>
      <c r="I31" s="9" t="s">
        <v>3</v>
      </c>
    </row>
    <row r="32" spans="1:9" ht="12" customHeight="1" x14ac:dyDescent="0.2">
      <c r="A32" s="3">
        <v>1985</v>
      </c>
      <c r="B32" s="21">
        <v>238.46600000000001</v>
      </c>
      <c r="C32" s="9" t="s">
        <v>3</v>
      </c>
      <c r="D32" s="9" t="s">
        <v>3</v>
      </c>
      <c r="E32" s="9" t="s">
        <v>3</v>
      </c>
      <c r="F32" s="9" t="s">
        <v>3</v>
      </c>
      <c r="G32" s="9" t="s">
        <v>3</v>
      </c>
      <c r="H32" s="9" t="s">
        <v>3</v>
      </c>
      <c r="I32" s="9" t="s">
        <v>3</v>
      </c>
    </row>
    <row r="33" spans="1:9" ht="12" customHeight="1" x14ac:dyDescent="0.2">
      <c r="A33" s="2">
        <v>1986</v>
      </c>
      <c r="B33" s="20">
        <v>240.65100000000001</v>
      </c>
      <c r="C33" s="8" t="s">
        <v>3</v>
      </c>
      <c r="D33" s="8" t="s">
        <v>3</v>
      </c>
      <c r="E33" s="8" t="s">
        <v>3</v>
      </c>
      <c r="F33" s="8" t="s">
        <v>3</v>
      </c>
      <c r="G33" s="8" t="s">
        <v>3</v>
      </c>
      <c r="H33" s="8" t="s">
        <v>3</v>
      </c>
      <c r="I33" s="8" t="s">
        <v>3</v>
      </c>
    </row>
    <row r="34" spans="1:9" ht="12" customHeight="1" x14ac:dyDescent="0.2">
      <c r="A34" s="2">
        <v>1987</v>
      </c>
      <c r="B34" s="20">
        <v>242.804</v>
      </c>
      <c r="C34" s="8" t="s">
        <v>3</v>
      </c>
      <c r="D34" s="8" t="s">
        <v>3</v>
      </c>
      <c r="E34" s="8" t="s">
        <v>3</v>
      </c>
      <c r="F34" s="8" t="s">
        <v>3</v>
      </c>
      <c r="G34" s="8" t="s">
        <v>3</v>
      </c>
      <c r="H34" s="8" t="s">
        <v>3</v>
      </c>
      <c r="I34" s="8" t="s">
        <v>3</v>
      </c>
    </row>
    <row r="35" spans="1:9" ht="12" customHeight="1" x14ac:dyDescent="0.2">
      <c r="A35" s="2">
        <v>1988</v>
      </c>
      <c r="B35" s="20">
        <v>245.02099999999999</v>
      </c>
      <c r="C35" s="8" t="s">
        <v>3</v>
      </c>
      <c r="D35" s="8" t="s">
        <v>3</v>
      </c>
      <c r="E35" s="8" t="s">
        <v>3</v>
      </c>
      <c r="F35" s="8" t="s">
        <v>3</v>
      </c>
      <c r="G35" s="8" t="s">
        <v>3</v>
      </c>
      <c r="H35" s="8" t="s">
        <v>3</v>
      </c>
      <c r="I35" s="8" t="s">
        <v>3</v>
      </c>
    </row>
    <row r="36" spans="1:9" ht="12" customHeight="1" x14ac:dyDescent="0.2">
      <c r="A36" s="2">
        <v>1989</v>
      </c>
      <c r="B36" s="20">
        <v>247.34200000000001</v>
      </c>
      <c r="C36" s="8" t="s">
        <v>3</v>
      </c>
      <c r="D36" s="8">
        <v>0.15928400000000001</v>
      </c>
      <c r="E36" s="8">
        <f t="shared" ref="E36:E59" si="0">SUM(C36,D36)</f>
        <v>0.15928400000000001</v>
      </c>
      <c r="F36" s="8" t="s">
        <v>3</v>
      </c>
      <c r="G36" s="8">
        <f t="shared" ref="G36:G58" si="1">E36-SUM(F36)</f>
        <v>0.15928400000000001</v>
      </c>
      <c r="H36" s="136">
        <f t="shared" ref="H36:H38" si="2">IF(G36=0,0,IF(B36=0,0,G36/B36))</f>
        <v>6.439828253996491E-4</v>
      </c>
      <c r="I36" s="136">
        <f>H36*0.92</f>
        <v>5.9246419936767722E-4</v>
      </c>
    </row>
    <row r="37" spans="1:9" ht="12" customHeight="1" x14ac:dyDescent="0.2">
      <c r="A37" s="2">
        <v>1990</v>
      </c>
      <c r="B37" s="20">
        <v>250.13200000000001</v>
      </c>
      <c r="C37" s="8" t="s">
        <v>3</v>
      </c>
      <c r="D37" s="8">
        <v>0.25475700000000001</v>
      </c>
      <c r="E37" s="8">
        <f t="shared" si="0"/>
        <v>0.25475700000000001</v>
      </c>
      <c r="F37" s="8" t="s">
        <v>3</v>
      </c>
      <c r="G37" s="8">
        <f t="shared" si="1"/>
        <v>0.25475700000000001</v>
      </c>
      <c r="H37" s="136">
        <f t="shared" si="2"/>
        <v>1.0184902371547823E-3</v>
      </c>
      <c r="I37" s="136">
        <f>H37*0.92</f>
        <v>9.3701101818239978E-4</v>
      </c>
    </row>
    <row r="38" spans="1:9" ht="12" customHeight="1" x14ac:dyDescent="0.2">
      <c r="A38" s="3">
        <v>1991</v>
      </c>
      <c r="B38" s="21">
        <v>253.49299999999999</v>
      </c>
      <c r="C38" s="9" t="s">
        <v>3</v>
      </c>
      <c r="D38" s="9">
        <v>2.1138000000000001E-2</v>
      </c>
      <c r="E38" s="9">
        <f t="shared" si="0"/>
        <v>2.1138000000000001E-2</v>
      </c>
      <c r="F38" s="9" t="s">
        <v>3</v>
      </c>
      <c r="G38" s="9">
        <f t="shared" si="1"/>
        <v>2.1138000000000001E-2</v>
      </c>
      <c r="H38" s="137">
        <f t="shared" si="2"/>
        <v>8.3386917981956106E-5</v>
      </c>
      <c r="I38" s="137">
        <f>H38*0.92</f>
        <v>7.6715964543399618E-5</v>
      </c>
    </row>
    <row r="39" spans="1:9" ht="12" customHeight="1" x14ac:dyDescent="0.2">
      <c r="A39" s="3">
        <v>1992</v>
      </c>
      <c r="B39" s="21">
        <v>256.89400000000001</v>
      </c>
      <c r="C39" s="9">
        <v>12.3</v>
      </c>
      <c r="D39" s="9" t="s">
        <v>3</v>
      </c>
      <c r="E39" s="9">
        <f t="shared" si="0"/>
        <v>12.3</v>
      </c>
      <c r="F39" s="9" t="s">
        <v>3</v>
      </c>
      <c r="G39" s="9">
        <f t="shared" si="1"/>
        <v>12.3</v>
      </c>
      <c r="H39" s="137">
        <v>4.7879670214173942E-2</v>
      </c>
      <c r="I39" s="137">
        <f t="shared" ref="I39:I47" si="3">H39*0.92</f>
        <v>4.404929659704003E-2</v>
      </c>
    </row>
    <row r="40" spans="1:9" ht="12" customHeight="1" x14ac:dyDescent="0.2">
      <c r="A40" s="3">
        <v>1993</v>
      </c>
      <c r="B40" s="21">
        <v>260.255</v>
      </c>
      <c r="C40" s="9">
        <v>9.6</v>
      </c>
      <c r="D40" s="9">
        <v>0.2</v>
      </c>
      <c r="E40" s="9">
        <f t="shared" si="0"/>
        <v>9.7999999999999989</v>
      </c>
      <c r="F40" s="9" t="s">
        <v>3</v>
      </c>
      <c r="G40" s="9">
        <f t="shared" si="1"/>
        <v>9.7999999999999989</v>
      </c>
      <c r="H40" s="137">
        <v>3.7655376457704941E-2</v>
      </c>
      <c r="I40" s="137">
        <f t="shared" si="3"/>
        <v>3.4642946341088547E-2</v>
      </c>
    </row>
    <row r="41" spans="1:9" ht="12" customHeight="1" x14ac:dyDescent="0.2">
      <c r="A41" s="3">
        <v>1994</v>
      </c>
      <c r="B41" s="21">
        <v>263.43599999999998</v>
      </c>
      <c r="C41" s="9">
        <v>15</v>
      </c>
      <c r="D41" s="9">
        <v>0.1</v>
      </c>
      <c r="E41" s="9">
        <f t="shared" si="0"/>
        <v>15.1</v>
      </c>
      <c r="F41" s="9" t="s">
        <v>3</v>
      </c>
      <c r="G41" s="9">
        <f t="shared" si="1"/>
        <v>15.1</v>
      </c>
      <c r="H41" s="137">
        <v>5.7319424831837718E-2</v>
      </c>
      <c r="I41" s="137">
        <f t="shared" si="3"/>
        <v>5.2733870845290701E-2</v>
      </c>
    </row>
    <row r="42" spans="1:9" ht="12" customHeight="1" x14ac:dyDescent="0.2">
      <c r="A42" s="3">
        <v>1995</v>
      </c>
      <c r="B42" s="21">
        <v>266.55700000000002</v>
      </c>
      <c r="C42" s="9">
        <v>16.5</v>
      </c>
      <c r="D42" s="9">
        <v>0.2</v>
      </c>
      <c r="E42" s="9">
        <f t="shared" si="0"/>
        <v>16.7</v>
      </c>
      <c r="F42" s="9" t="s">
        <v>3</v>
      </c>
      <c r="G42" s="9">
        <f t="shared" si="1"/>
        <v>16.7</v>
      </c>
      <c r="H42" s="137">
        <v>6.2650765127158531E-2</v>
      </c>
      <c r="I42" s="137">
        <f t="shared" si="3"/>
        <v>5.7638703916985848E-2</v>
      </c>
    </row>
    <row r="43" spans="1:9" ht="12" customHeight="1" x14ac:dyDescent="0.2">
      <c r="A43" s="2">
        <v>1996</v>
      </c>
      <c r="B43" s="20">
        <v>269.66699999999997</v>
      </c>
      <c r="C43" s="8">
        <v>9.3000000000000007</v>
      </c>
      <c r="D43" s="8">
        <v>0.7</v>
      </c>
      <c r="E43" s="8">
        <f t="shared" si="0"/>
        <v>10</v>
      </c>
      <c r="F43" s="8" t="s">
        <v>3</v>
      </c>
      <c r="G43" s="8">
        <f t="shared" si="1"/>
        <v>10</v>
      </c>
      <c r="H43" s="136">
        <v>3.7082772456399932E-2</v>
      </c>
      <c r="I43" s="136">
        <f t="shared" si="3"/>
        <v>3.4116150659887941E-2</v>
      </c>
    </row>
    <row r="44" spans="1:9" ht="12" customHeight="1" x14ac:dyDescent="0.2">
      <c r="A44" s="2">
        <v>1997</v>
      </c>
      <c r="B44" s="20">
        <v>272.91199999999998</v>
      </c>
      <c r="C44" s="8">
        <v>7.5</v>
      </c>
      <c r="D44" s="8">
        <v>0.5</v>
      </c>
      <c r="E44" s="8">
        <f t="shared" si="0"/>
        <v>8</v>
      </c>
      <c r="F44" s="8" t="s">
        <v>3</v>
      </c>
      <c r="G44" s="8">
        <f t="shared" si="1"/>
        <v>8</v>
      </c>
      <c r="H44" s="136">
        <v>2.9313478337339511E-2</v>
      </c>
      <c r="I44" s="136">
        <f t="shared" si="3"/>
        <v>2.6968400070352352E-2</v>
      </c>
    </row>
    <row r="45" spans="1:9" ht="12" customHeight="1" x14ac:dyDescent="0.2">
      <c r="A45" s="2">
        <v>1998</v>
      </c>
      <c r="B45" s="20">
        <v>276.11500000000001</v>
      </c>
      <c r="C45" s="8">
        <v>4</v>
      </c>
      <c r="D45" s="8">
        <v>0.4</v>
      </c>
      <c r="E45" s="8">
        <f t="shared" si="0"/>
        <v>4.4000000000000004</v>
      </c>
      <c r="F45" s="8" t="s">
        <v>3</v>
      </c>
      <c r="G45" s="8">
        <f t="shared" si="1"/>
        <v>4.4000000000000004</v>
      </c>
      <c r="H45" s="136">
        <v>1.5935389239990584E-2</v>
      </c>
      <c r="I45" s="136">
        <f t="shared" si="3"/>
        <v>1.4660558100791338E-2</v>
      </c>
    </row>
    <row r="46" spans="1:9" ht="12" customHeight="1" x14ac:dyDescent="0.2">
      <c r="A46" s="2">
        <v>1999</v>
      </c>
      <c r="B46" s="20">
        <v>279.29500000000002</v>
      </c>
      <c r="C46" s="8">
        <v>6.3</v>
      </c>
      <c r="D46" s="8">
        <v>0.53995499999999996</v>
      </c>
      <c r="E46" s="8">
        <f t="shared" si="0"/>
        <v>6.8399549999999998</v>
      </c>
      <c r="F46" s="8" t="s">
        <v>3</v>
      </c>
      <c r="G46" s="8">
        <f t="shared" si="1"/>
        <v>6.8399549999999998</v>
      </c>
      <c r="H46" s="136">
        <v>2.4490073220071965E-2</v>
      </c>
      <c r="I46" s="136">
        <f t="shared" si="3"/>
        <v>2.2530867362466209E-2</v>
      </c>
    </row>
    <row r="47" spans="1:9" ht="12" customHeight="1" x14ac:dyDescent="0.2">
      <c r="A47" s="2">
        <v>2000</v>
      </c>
      <c r="B47" s="20">
        <v>282.38499999999999</v>
      </c>
      <c r="C47" s="8">
        <v>13.6</v>
      </c>
      <c r="D47" s="8">
        <v>0.26221499999999998</v>
      </c>
      <c r="E47" s="8">
        <f t="shared" si="0"/>
        <v>13.862214999999999</v>
      </c>
      <c r="F47" s="8" t="s">
        <v>3</v>
      </c>
      <c r="G47" s="8">
        <f t="shared" si="1"/>
        <v>13.862214999999999</v>
      </c>
      <c r="H47" s="136">
        <v>4.9089844243937981E-2</v>
      </c>
      <c r="I47" s="136">
        <f t="shared" si="3"/>
        <v>4.5162656704422946E-2</v>
      </c>
    </row>
    <row r="48" spans="1:9" ht="12" customHeight="1" x14ac:dyDescent="0.2">
      <c r="A48" s="3">
        <v>2001</v>
      </c>
      <c r="B48" s="21">
        <v>285.30901899999998</v>
      </c>
      <c r="C48" s="9">
        <v>15.1</v>
      </c>
      <c r="D48" s="9">
        <v>0.12770000000000001</v>
      </c>
      <c r="E48" s="9">
        <f t="shared" si="0"/>
        <v>15.2277</v>
      </c>
      <c r="F48" s="9" t="s">
        <v>3</v>
      </c>
      <c r="G48" s="9">
        <f t="shared" si="1"/>
        <v>15.2277</v>
      </c>
      <c r="H48" s="137">
        <v>5.3372655562634007E-2</v>
      </c>
      <c r="I48" s="137">
        <f t="shared" ref="I48:I53" si="4">H48*0.92</f>
        <v>4.9102843117623286E-2</v>
      </c>
    </row>
    <row r="49" spans="1:10" ht="12" customHeight="1" x14ac:dyDescent="0.2">
      <c r="A49" s="3">
        <v>2002</v>
      </c>
      <c r="B49" s="21">
        <v>288.10481800000002</v>
      </c>
      <c r="C49" s="9">
        <v>19.5</v>
      </c>
      <c r="D49" s="9">
        <v>0.40356199999999998</v>
      </c>
      <c r="E49" s="9">
        <f t="shared" si="0"/>
        <v>19.903562000000001</v>
      </c>
      <c r="F49" s="9" t="s">
        <v>3</v>
      </c>
      <c r="G49" s="9">
        <f t="shared" si="1"/>
        <v>19.903562000000001</v>
      </c>
      <c r="H49" s="137">
        <v>6.9084446897378859E-2</v>
      </c>
      <c r="I49" s="137">
        <f t="shared" si="4"/>
        <v>6.3557691145588555E-2</v>
      </c>
    </row>
    <row r="50" spans="1:10" ht="12" customHeight="1" x14ac:dyDescent="0.2">
      <c r="A50" s="3">
        <v>2003</v>
      </c>
      <c r="B50" s="21">
        <v>290.81963400000001</v>
      </c>
      <c r="C50" s="9">
        <v>17.354818717074682</v>
      </c>
      <c r="D50" s="9">
        <v>0.15432599999999999</v>
      </c>
      <c r="E50" s="9">
        <f t="shared" si="0"/>
        <v>17.509144717074683</v>
      </c>
      <c r="F50" s="9" t="s">
        <v>3</v>
      </c>
      <c r="G50" s="9">
        <f t="shared" si="1"/>
        <v>17.509144717074683</v>
      </c>
      <c r="H50" s="137">
        <v>6.0206198860269122E-2</v>
      </c>
      <c r="I50" s="137">
        <f t="shared" si="4"/>
        <v>5.5389702951447593E-2</v>
      </c>
    </row>
    <row r="51" spans="1:10" ht="12" customHeight="1" x14ac:dyDescent="0.2">
      <c r="A51" s="3">
        <v>2004</v>
      </c>
      <c r="B51" s="21">
        <v>293.46318500000001</v>
      </c>
      <c r="C51" s="9">
        <v>19.29</v>
      </c>
      <c r="D51" s="9">
        <v>0.11805300000000001</v>
      </c>
      <c r="E51" s="9">
        <f t="shared" si="0"/>
        <v>19.408052999999999</v>
      </c>
      <c r="F51" s="9" t="s">
        <v>3</v>
      </c>
      <c r="G51" s="9">
        <f t="shared" si="1"/>
        <v>19.408052999999999</v>
      </c>
      <c r="H51" s="137">
        <v>6.6134540862425373E-2</v>
      </c>
      <c r="I51" s="137">
        <f t="shared" si="4"/>
        <v>6.0843777593431347E-2</v>
      </c>
    </row>
    <row r="52" spans="1:10" ht="12" customHeight="1" x14ac:dyDescent="0.2">
      <c r="A52" s="3">
        <v>2005</v>
      </c>
      <c r="B52" s="21">
        <v>296.186216</v>
      </c>
      <c r="C52" s="9">
        <v>9.984</v>
      </c>
      <c r="D52" s="9">
        <v>1.3873999999999999E-2</v>
      </c>
      <c r="E52" s="9">
        <f t="shared" si="0"/>
        <v>9.9978739999999995</v>
      </c>
      <c r="F52" s="9" t="s">
        <v>3</v>
      </c>
      <c r="G52" s="9">
        <f t="shared" si="1"/>
        <v>9.9978739999999995</v>
      </c>
      <c r="H52" s="137">
        <v>3.3755365577174595E-2</v>
      </c>
      <c r="I52" s="137">
        <f t="shared" si="4"/>
        <v>3.1054936331000628E-2</v>
      </c>
    </row>
    <row r="53" spans="1:10" ht="12" customHeight="1" x14ac:dyDescent="0.2">
      <c r="A53" s="2">
        <v>2006</v>
      </c>
      <c r="B53" s="20">
        <v>298.99582500000002</v>
      </c>
      <c r="C53" s="8">
        <v>10.166</v>
      </c>
      <c r="D53" s="8">
        <v>0.42180400000000001</v>
      </c>
      <c r="E53" s="8">
        <f t="shared" si="0"/>
        <v>10.587804</v>
      </c>
      <c r="F53" s="8" t="s">
        <v>3</v>
      </c>
      <c r="G53" s="8">
        <f t="shared" si="1"/>
        <v>10.587804</v>
      </c>
      <c r="H53" s="136">
        <v>3.5411210173252418E-2</v>
      </c>
      <c r="I53" s="136">
        <f t="shared" si="4"/>
        <v>3.2578313359392229E-2</v>
      </c>
    </row>
    <row r="54" spans="1:10" ht="12" customHeight="1" x14ac:dyDescent="0.2">
      <c r="A54" s="2">
        <v>2007</v>
      </c>
      <c r="B54" s="20">
        <v>302.003917</v>
      </c>
      <c r="C54" s="8">
        <v>7.95</v>
      </c>
      <c r="D54" s="8">
        <v>0.475663</v>
      </c>
      <c r="E54" s="8">
        <f t="shared" si="0"/>
        <v>8.4256630000000001</v>
      </c>
      <c r="F54" s="8" t="s">
        <v>3</v>
      </c>
      <c r="G54" s="8">
        <f t="shared" si="1"/>
        <v>8.4256630000000001</v>
      </c>
      <c r="H54" s="136">
        <v>2.7899184499650051E-2</v>
      </c>
      <c r="I54" s="136">
        <f t="shared" ref="I54:I59" si="5">H54*0.92</f>
        <v>2.5667249739678048E-2</v>
      </c>
    </row>
    <row r="55" spans="1:10" ht="12" customHeight="1" x14ac:dyDescent="0.2">
      <c r="A55" s="2">
        <v>2008</v>
      </c>
      <c r="B55" s="20">
        <v>304.79776099999998</v>
      </c>
      <c r="C55" s="8">
        <v>5.5819999999999999</v>
      </c>
      <c r="D55" s="8">
        <v>0.76489799999999997</v>
      </c>
      <c r="E55" s="8">
        <f t="shared" si="0"/>
        <v>6.3468979999999995</v>
      </c>
      <c r="F55" s="8" t="s">
        <v>3</v>
      </c>
      <c r="G55" s="8">
        <f t="shared" si="1"/>
        <v>6.3468979999999995</v>
      </c>
      <c r="H55" s="136">
        <v>2.0823309131854154E-2</v>
      </c>
      <c r="I55" s="136">
        <f t="shared" si="5"/>
        <v>1.9157444401305821E-2</v>
      </c>
    </row>
    <row r="56" spans="1:10" ht="12" customHeight="1" x14ac:dyDescent="0.2">
      <c r="A56" s="2">
        <v>2009</v>
      </c>
      <c r="B56" s="20">
        <v>307.43940600000002</v>
      </c>
      <c r="C56" s="8">
        <v>5.3180000000000005</v>
      </c>
      <c r="D56" s="8">
        <v>0.27634900000000001</v>
      </c>
      <c r="E56" s="8">
        <f t="shared" si="0"/>
        <v>5.5943490000000002</v>
      </c>
      <c r="F56" s="8" t="s">
        <v>3</v>
      </c>
      <c r="G56" s="8">
        <f t="shared" si="1"/>
        <v>5.5943490000000002</v>
      </c>
      <c r="H56" s="136">
        <v>1.8196590582796011E-2</v>
      </c>
      <c r="I56" s="136">
        <f t="shared" si="5"/>
        <v>1.6740863336172331E-2</v>
      </c>
    </row>
    <row r="57" spans="1:10" ht="12" customHeight="1" x14ac:dyDescent="0.2">
      <c r="A57" s="2">
        <v>2010</v>
      </c>
      <c r="B57" s="20">
        <v>309.74127900000002</v>
      </c>
      <c r="C57" s="8">
        <v>3.5712000000000002</v>
      </c>
      <c r="D57" s="8">
        <v>7.9679E-2</v>
      </c>
      <c r="E57" s="8">
        <f t="shared" si="0"/>
        <v>3.6508790000000002</v>
      </c>
      <c r="F57" s="8" t="s">
        <v>3</v>
      </c>
      <c r="G57" s="8">
        <f t="shared" si="1"/>
        <v>3.6508790000000002</v>
      </c>
      <c r="H57" s="136">
        <v>1.1785908608263989E-2</v>
      </c>
      <c r="I57" s="136">
        <f t="shared" si="5"/>
        <v>1.084303591960287E-2</v>
      </c>
    </row>
    <row r="58" spans="1:10" ht="12" customHeight="1" x14ac:dyDescent="0.2">
      <c r="A58" s="33">
        <v>2011</v>
      </c>
      <c r="B58" s="31">
        <v>311.97391399999998</v>
      </c>
      <c r="C58" s="39">
        <v>1.5300800000000001</v>
      </c>
      <c r="D58" s="39">
        <v>6.79E-3</v>
      </c>
      <c r="E58" s="39">
        <f t="shared" si="0"/>
        <v>1.5368700000000002</v>
      </c>
      <c r="F58" s="39" t="s">
        <v>3</v>
      </c>
      <c r="G58" s="39">
        <f t="shared" si="1"/>
        <v>1.5368700000000002</v>
      </c>
      <c r="H58" s="137">
        <v>4.9237215083915839E-3</v>
      </c>
      <c r="I58" s="137">
        <f t="shared" si="5"/>
        <v>4.5298237877202576E-3</v>
      </c>
    </row>
    <row r="59" spans="1:10" s="43" customFormat="1" ht="12" customHeight="1" x14ac:dyDescent="0.2">
      <c r="A59" s="33">
        <v>2012</v>
      </c>
      <c r="B59" s="31">
        <v>314.16755799999999</v>
      </c>
      <c r="C59" s="39">
        <v>2.556986666666667</v>
      </c>
      <c r="D59" s="39">
        <v>2.6609799999999999E-3</v>
      </c>
      <c r="E59" s="39">
        <f t="shared" si="0"/>
        <v>2.5596476466666669</v>
      </c>
      <c r="F59" s="39" t="s">
        <v>3</v>
      </c>
      <c r="G59" s="39">
        <f t="shared" ref="G59" si="6">E59-SUM(F59)</f>
        <v>2.5596476466666669</v>
      </c>
      <c r="H59" s="137">
        <v>2.8388986092315609E-3</v>
      </c>
      <c r="I59" s="137">
        <f t="shared" si="5"/>
        <v>2.6117867204930359E-3</v>
      </c>
      <c r="J59"/>
    </row>
    <row r="60" spans="1:10" s="93" customFormat="1" ht="12" customHeight="1" x14ac:dyDescent="0.2">
      <c r="A60" s="33">
        <v>2013</v>
      </c>
      <c r="B60" s="31">
        <v>316.29476599999998</v>
      </c>
      <c r="C60" s="39" t="s">
        <v>3</v>
      </c>
      <c r="D60" s="39" t="s">
        <v>3</v>
      </c>
      <c r="E60" s="39" t="s">
        <v>3</v>
      </c>
      <c r="F60" s="39" t="s">
        <v>3</v>
      </c>
      <c r="G60" s="39" t="s">
        <v>3</v>
      </c>
      <c r="H60" s="137">
        <v>2.3359358907546661E-3</v>
      </c>
      <c r="I60" s="137">
        <f t="shared" ref="I60:I67" si="7">H60*0.92</f>
        <v>2.1490610194942928E-3</v>
      </c>
      <c r="J60" s="83"/>
    </row>
    <row r="61" spans="1:10" s="93" customFormat="1" ht="12" customHeight="1" x14ac:dyDescent="0.2">
      <c r="A61" s="33">
        <v>2014</v>
      </c>
      <c r="B61" s="31">
        <v>318.576955</v>
      </c>
      <c r="C61" s="39" t="s">
        <v>3</v>
      </c>
      <c r="D61" s="39" t="s">
        <v>3</v>
      </c>
      <c r="E61" s="39" t="s">
        <v>3</v>
      </c>
      <c r="F61" s="39" t="s">
        <v>3</v>
      </c>
      <c r="G61" s="39" t="s">
        <v>3</v>
      </c>
      <c r="H61" s="137">
        <v>2.0301705442851057E-3</v>
      </c>
      <c r="I61" s="137">
        <f t="shared" si="7"/>
        <v>1.8677569007422973E-3</v>
      </c>
      <c r="J61" s="83"/>
    </row>
    <row r="62" spans="1:10" s="93" customFormat="1" ht="12" customHeight="1" x14ac:dyDescent="0.2">
      <c r="A62" s="33">
        <v>2015</v>
      </c>
      <c r="B62" s="31">
        <v>320.87070299999999</v>
      </c>
      <c r="C62" s="39" t="s">
        <v>3</v>
      </c>
      <c r="D62" s="39" t="s">
        <v>3</v>
      </c>
      <c r="E62" s="39" t="s">
        <v>3</v>
      </c>
      <c r="F62" s="39" t="s">
        <v>3</v>
      </c>
      <c r="G62" s="39" t="s">
        <v>3</v>
      </c>
      <c r="H62" s="137">
        <v>1.0766804052079046E-3</v>
      </c>
      <c r="I62" s="137">
        <f t="shared" si="7"/>
        <v>9.9054597279127224E-4</v>
      </c>
      <c r="J62" s="83"/>
    </row>
    <row r="63" spans="1:10" s="93" customFormat="1" ht="12" customHeight="1" x14ac:dyDescent="0.2">
      <c r="A63" s="128">
        <v>2016</v>
      </c>
      <c r="B63" s="129">
        <v>323.16101099999997</v>
      </c>
      <c r="C63" s="135" t="s">
        <v>3</v>
      </c>
      <c r="D63" s="135" t="s">
        <v>3</v>
      </c>
      <c r="E63" s="135" t="s">
        <v>3</v>
      </c>
      <c r="F63" s="135" t="s">
        <v>3</v>
      </c>
      <c r="G63" s="135" t="s">
        <v>3</v>
      </c>
      <c r="H63" s="138">
        <v>3.568863048033243E-3</v>
      </c>
      <c r="I63" s="138">
        <f t="shared" si="7"/>
        <v>3.2833540041905837E-3</v>
      </c>
      <c r="J63" s="83"/>
    </row>
    <row r="64" spans="1:10" s="93" customFormat="1" ht="12" customHeight="1" x14ac:dyDescent="0.2">
      <c r="A64" s="125">
        <v>2017</v>
      </c>
      <c r="B64" s="126">
        <v>325.20603</v>
      </c>
      <c r="C64" s="135" t="s">
        <v>3</v>
      </c>
      <c r="D64" s="135" t="s">
        <v>3</v>
      </c>
      <c r="E64" s="135" t="s">
        <v>3</v>
      </c>
      <c r="F64" s="135" t="s">
        <v>3</v>
      </c>
      <c r="G64" s="135" t="s">
        <v>3</v>
      </c>
      <c r="H64" s="141">
        <v>4.5139720895132499E-3</v>
      </c>
      <c r="I64" s="141">
        <f t="shared" si="7"/>
        <v>4.1528543223521902E-3</v>
      </c>
      <c r="J64" s="83"/>
    </row>
    <row r="65" spans="1:10" s="93" customFormat="1" ht="12" customHeight="1" x14ac:dyDescent="0.2">
      <c r="A65" s="128">
        <v>2018</v>
      </c>
      <c r="B65" s="129">
        <v>326.92397599999998</v>
      </c>
      <c r="C65" s="158" t="s">
        <v>3</v>
      </c>
      <c r="D65" s="158" t="s">
        <v>3</v>
      </c>
      <c r="E65" s="158" t="s">
        <v>3</v>
      </c>
      <c r="F65" s="158" t="s">
        <v>3</v>
      </c>
      <c r="G65" s="158" t="s">
        <v>3</v>
      </c>
      <c r="H65" s="138">
        <v>3.5999999999999999E-3</v>
      </c>
      <c r="I65" s="138">
        <f t="shared" si="7"/>
        <v>3.3119999999999998E-3</v>
      </c>
      <c r="J65" s="83"/>
    </row>
    <row r="66" spans="1:10" s="93" customFormat="1" ht="12" customHeight="1" x14ac:dyDescent="0.2">
      <c r="A66" s="128">
        <v>2019</v>
      </c>
      <c r="B66" s="129">
        <v>328.475998</v>
      </c>
      <c r="C66" s="158" t="s">
        <v>3</v>
      </c>
      <c r="D66" s="158" t="s">
        <v>3</v>
      </c>
      <c r="E66" s="158" t="s">
        <v>3</v>
      </c>
      <c r="F66" s="158" t="s">
        <v>3</v>
      </c>
      <c r="G66" s="158" t="s">
        <v>3</v>
      </c>
      <c r="H66" s="138">
        <v>3.0000000000000001E-3</v>
      </c>
      <c r="I66" s="138">
        <f t="shared" si="7"/>
        <v>2.7600000000000003E-3</v>
      </c>
      <c r="J66" s="83"/>
    </row>
    <row r="67" spans="1:10" s="93" customFormat="1" ht="12" customHeight="1" thickBot="1" x14ac:dyDescent="0.25">
      <c r="A67" s="148">
        <v>2020</v>
      </c>
      <c r="B67" s="149">
        <v>330.11398000000003</v>
      </c>
      <c r="C67" s="156" t="s">
        <v>3</v>
      </c>
      <c r="D67" s="156" t="s">
        <v>3</v>
      </c>
      <c r="E67" s="156" t="s">
        <v>3</v>
      </c>
      <c r="F67" s="156" t="s">
        <v>3</v>
      </c>
      <c r="G67" s="156" t="s">
        <v>3</v>
      </c>
      <c r="H67" s="157">
        <v>2.5000000000000001E-3</v>
      </c>
      <c r="I67" s="157">
        <f t="shared" si="7"/>
        <v>2.3E-3</v>
      </c>
      <c r="J67" s="83"/>
    </row>
    <row r="68" spans="1:10" ht="12" customHeight="1" thickTop="1" x14ac:dyDescent="0.2">
      <c r="A68" s="254" t="s">
        <v>8</v>
      </c>
      <c r="B68" s="255"/>
      <c r="C68" s="255"/>
      <c r="D68" s="255"/>
      <c r="E68" s="255"/>
      <c r="F68" s="255"/>
      <c r="G68" s="255"/>
      <c r="H68" s="255"/>
      <c r="I68" s="256"/>
      <c r="J68" s="44"/>
    </row>
    <row r="69" spans="1:10" ht="12" customHeight="1" x14ac:dyDescent="0.2">
      <c r="A69" s="248"/>
      <c r="B69" s="249"/>
      <c r="C69" s="249"/>
      <c r="D69" s="249"/>
      <c r="E69" s="249"/>
      <c r="F69" s="249"/>
      <c r="G69" s="249"/>
      <c r="H69" s="249"/>
      <c r="I69" s="250"/>
      <c r="J69" s="44"/>
    </row>
    <row r="70" spans="1:10" ht="12" customHeight="1" x14ac:dyDescent="0.2">
      <c r="A70" s="251" t="s">
        <v>220</v>
      </c>
      <c r="B70" s="252"/>
      <c r="C70" s="252"/>
      <c r="D70" s="252"/>
      <c r="E70" s="252"/>
      <c r="F70" s="252"/>
      <c r="G70" s="252"/>
      <c r="H70" s="252"/>
      <c r="I70" s="253"/>
      <c r="J70" s="44"/>
    </row>
    <row r="71" spans="1:10" s="93" customFormat="1" ht="12" customHeight="1" x14ac:dyDescent="0.2">
      <c r="A71" s="251"/>
      <c r="B71" s="252"/>
      <c r="C71" s="252"/>
      <c r="D71" s="252"/>
      <c r="E71" s="252"/>
      <c r="F71" s="252"/>
      <c r="G71" s="252"/>
      <c r="H71" s="252"/>
      <c r="I71" s="253"/>
      <c r="J71" s="94"/>
    </row>
    <row r="72" spans="1:10" ht="12" customHeight="1" x14ac:dyDescent="0.2">
      <c r="A72" s="251"/>
      <c r="B72" s="252"/>
      <c r="C72" s="252"/>
      <c r="D72" s="252"/>
      <c r="E72" s="252"/>
      <c r="F72" s="252"/>
      <c r="G72" s="252"/>
      <c r="H72" s="252"/>
      <c r="I72" s="253"/>
      <c r="J72" s="43"/>
    </row>
    <row r="73" spans="1:10" ht="12" customHeight="1" x14ac:dyDescent="0.2">
      <c r="A73" s="248"/>
      <c r="B73" s="249"/>
      <c r="C73" s="249"/>
      <c r="D73" s="249"/>
      <c r="E73" s="249"/>
      <c r="F73" s="249"/>
      <c r="G73" s="249"/>
      <c r="H73" s="249"/>
      <c r="I73" s="250"/>
      <c r="J73" s="43"/>
    </row>
    <row r="74" spans="1:10" ht="12" customHeight="1" x14ac:dyDescent="0.2">
      <c r="A74" s="223" t="s">
        <v>198</v>
      </c>
      <c r="B74" s="224"/>
      <c r="C74" s="224"/>
      <c r="D74" s="224"/>
      <c r="E74" s="224"/>
      <c r="F74" s="224"/>
      <c r="G74" s="224"/>
      <c r="H74" s="224"/>
      <c r="I74" s="225"/>
      <c r="J74" s="43"/>
    </row>
    <row r="75" spans="1:10" ht="12" customHeight="1" x14ac:dyDescent="0.2">
      <c r="A75" s="223"/>
      <c r="B75" s="224"/>
      <c r="C75" s="224"/>
      <c r="D75" s="224"/>
      <c r="E75" s="224"/>
      <c r="F75" s="224"/>
      <c r="G75" s="224"/>
      <c r="H75" s="224"/>
      <c r="I75" s="225"/>
      <c r="J75" s="43"/>
    </row>
  </sheetData>
  <mergeCells count="20">
    <mergeCell ref="A73:I73"/>
    <mergeCell ref="A74:I75"/>
    <mergeCell ref="A70:I72"/>
    <mergeCell ref="H6:I6"/>
    <mergeCell ref="C6:G6"/>
    <mergeCell ref="A1:G1"/>
    <mergeCell ref="A68:I68"/>
    <mergeCell ref="A69:I69"/>
    <mergeCell ref="H1:I1"/>
    <mergeCell ref="C3:C5"/>
    <mergeCell ref="D3:D5"/>
    <mergeCell ref="F3:F5"/>
    <mergeCell ref="A2:A5"/>
    <mergeCell ref="B2:B5"/>
    <mergeCell ref="E3:E5"/>
    <mergeCell ref="G3:G5"/>
    <mergeCell ref="C2:E2"/>
    <mergeCell ref="H4:H5"/>
    <mergeCell ref="H3:I3"/>
    <mergeCell ref="G2:I2"/>
  </mergeCells>
  <phoneticPr fontId="7" type="noConversion"/>
  <printOptions horizontalCentered="1"/>
  <pageMargins left="0.45" right="0.45" top="0.75" bottom="0.75" header="0" footer="0"/>
  <pageSetup scale="67" fitToWidth="2"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autoPageBreaks="0" fitToPage="1"/>
  </sheetPr>
  <dimension ref="A1:J73"/>
  <sheetViews>
    <sheetView showZeros="0" showOutlineSymbols="0" zoomScaleNormal="100" workbookViewId="0">
      <pane ySplit="6" topLeftCell="A7" activePane="bottomLeft" state="frozen"/>
      <selection sqref="A1:G1"/>
      <selection pane="bottomLeft" sqref="A1:G1"/>
    </sheetView>
  </sheetViews>
  <sheetFormatPr defaultColWidth="12.7109375" defaultRowHeight="12" customHeight="1" x14ac:dyDescent="0.2"/>
  <cols>
    <col min="1" max="1" width="12.7109375" style="13" customWidth="1"/>
    <col min="2" max="16384" width="12.7109375" style="13"/>
  </cols>
  <sheetData>
    <row r="1" spans="1:10" s="1" customFormat="1" ht="12" customHeight="1" thickBot="1" x14ac:dyDescent="0.25">
      <c r="A1" s="201" t="s">
        <v>150</v>
      </c>
      <c r="B1" s="201"/>
      <c r="C1" s="201"/>
      <c r="D1" s="201"/>
      <c r="E1" s="201"/>
      <c r="F1" s="201"/>
      <c r="G1" s="201"/>
      <c r="H1" s="200" t="s">
        <v>19</v>
      </c>
      <c r="I1" s="200"/>
    </row>
    <row r="2" spans="1:10" ht="12" customHeight="1" thickTop="1" x14ac:dyDescent="0.2">
      <c r="A2" s="257" t="s">
        <v>1</v>
      </c>
      <c r="B2" s="258" t="s">
        <v>85</v>
      </c>
      <c r="C2" s="218" t="s">
        <v>2</v>
      </c>
      <c r="D2" s="218"/>
      <c r="E2" s="218"/>
      <c r="F2" s="117" t="s">
        <v>146</v>
      </c>
      <c r="G2" s="244" t="s">
        <v>147</v>
      </c>
      <c r="H2" s="245"/>
      <c r="I2" s="245"/>
    </row>
    <row r="3" spans="1:10" ht="12" customHeight="1" x14ac:dyDescent="0.2">
      <c r="A3" s="217"/>
      <c r="B3" s="259"/>
      <c r="C3" s="217" t="s">
        <v>86</v>
      </c>
      <c r="D3" s="217" t="s">
        <v>87</v>
      </c>
      <c r="E3" s="217" t="s">
        <v>88</v>
      </c>
      <c r="F3" s="217" t="s">
        <v>95</v>
      </c>
      <c r="G3" s="217" t="s">
        <v>137</v>
      </c>
      <c r="H3" s="226" t="s">
        <v>28</v>
      </c>
      <c r="I3" s="227"/>
    </row>
    <row r="4" spans="1:10" ht="12" customHeight="1" x14ac:dyDescent="0.2">
      <c r="A4" s="217"/>
      <c r="B4" s="259"/>
      <c r="C4" s="217"/>
      <c r="D4" s="217"/>
      <c r="E4" s="217"/>
      <c r="F4" s="217"/>
      <c r="G4" s="217"/>
      <c r="H4" s="217" t="s">
        <v>4</v>
      </c>
      <c r="I4" s="14" t="s">
        <v>139</v>
      </c>
      <c r="J4" s="4"/>
    </row>
    <row r="5" spans="1:10" ht="12" customHeight="1" x14ac:dyDescent="0.2">
      <c r="A5" s="217"/>
      <c r="B5" s="259"/>
      <c r="C5" s="217"/>
      <c r="D5" s="217"/>
      <c r="E5" s="217"/>
      <c r="F5" s="217"/>
      <c r="G5" s="217"/>
      <c r="H5" s="217"/>
      <c r="I5" s="14" t="s">
        <v>192</v>
      </c>
    </row>
    <row r="6" spans="1:10" ht="12" customHeight="1" x14ac:dyDescent="0.2">
      <c r="A6" s="49"/>
      <c r="B6" s="167" t="s">
        <v>121</v>
      </c>
      <c r="C6" s="214" t="s">
        <v>122</v>
      </c>
      <c r="D6" s="221"/>
      <c r="E6" s="221"/>
      <c r="F6" s="221"/>
      <c r="G6" s="222"/>
      <c r="H6" s="214" t="s">
        <v>118</v>
      </c>
      <c r="I6" s="222"/>
      <c r="J6" s="49"/>
    </row>
    <row r="7" spans="1:10" ht="12" customHeight="1" x14ac:dyDescent="0.2">
      <c r="A7" s="2">
        <v>1960</v>
      </c>
      <c r="B7" s="20">
        <v>180.67099999999999</v>
      </c>
      <c r="C7" s="8">
        <v>465.9</v>
      </c>
      <c r="D7" s="8">
        <v>6.8</v>
      </c>
      <c r="E7" s="8">
        <f t="shared" ref="E7:E38" si="0">SUM(C7,D7)</f>
        <v>472.7</v>
      </c>
      <c r="F7" s="8">
        <v>11.5</v>
      </c>
      <c r="G7" s="8">
        <f t="shared" ref="G7:G38" si="1">E7-SUM(F7)</f>
        <v>461.2</v>
      </c>
      <c r="H7" s="142">
        <f t="shared" ref="H7:H38" si="2">IF(G7=0,0,IF(B7=0,0,G7/B7))</f>
        <v>2.5527063004023889</v>
      </c>
      <c r="I7" s="142">
        <f t="shared" ref="I7:I47" si="3">H7*0.94</f>
        <v>2.3995439223782453</v>
      </c>
    </row>
    <row r="8" spans="1:10" ht="12" customHeight="1" x14ac:dyDescent="0.2">
      <c r="A8" s="3">
        <v>1961</v>
      </c>
      <c r="B8" s="21">
        <v>183.691</v>
      </c>
      <c r="C8" s="9">
        <v>462.9</v>
      </c>
      <c r="D8" s="9">
        <v>9.4</v>
      </c>
      <c r="E8" s="9">
        <f t="shared" si="0"/>
        <v>472.29999999999995</v>
      </c>
      <c r="F8" s="9">
        <v>14.9</v>
      </c>
      <c r="G8" s="9">
        <f t="shared" si="1"/>
        <v>457.4</v>
      </c>
      <c r="H8" s="143">
        <f t="shared" si="2"/>
        <v>2.4900512273328577</v>
      </c>
      <c r="I8" s="143">
        <f t="shared" si="3"/>
        <v>2.3406481536928863</v>
      </c>
    </row>
    <row r="9" spans="1:10" ht="12" customHeight="1" x14ac:dyDescent="0.2">
      <c r="A9" s="3">
        <v>1962</v>
      </c>
      <c r="B9" s="21">
        <v>186.53800000000001</v>
      </c>
      <c r="C9" s="9">
        <v>426.8</v>
      </c>
      <c r="D9" s="9">
        <v>6.4</v>
      </c>
      <c r="E9" s="9">
        <f t="shared" si="0"/>
        <v>433.2</v>
      </c>
      <c r="F9" s="9">
        <v>15.5</v>
      </c>
      <c r="G9" s="9">
        <f t="shared" si="1"/>
        <v>417.7</v>
      </c>
      <c r="H9" s="143">
        <f t="shared" si="2"/>
        <v>2.2392220351885403</v>
      </c>
      <c r="I9" s="143">
        <f t="shared" si="3"/>
        <v>2.1048687130772277</v>
      </c>
    </row>
    <row r="10" spans="1:10" ht="12" customHeight="1" x14ac:dyDescent="0.2">
      <c r="A10" s="3">
        <v>1963</v>
      </c>
      <c r="B10" s="21">
        <v>189.24199999999999</v>
      </c>
      <c r="C10" s="9">
        <v>425.1</v>
      </c>
      <c r="D10" s="9">
        <v>8.5</v>
      </c>
      <c r="E10" s="9">
        <f t="shared" si="0"/>
        <v>433.6</v>
      </c>
      <c r="F10" s="9">
        <v>18.5</v>
      </c>
      <c r="G10" s="9">
        <f t="shared" si="1"/>
        <v>415.1</v>
      </c>
      <c r="H10" s="143">
        <f t="shared" si="2"/>
        <v>2.1934877035753164</v>
      </c>
      <c r="I10" s="143">
        <f t="shared" si="3"/>
        <v>2.0618784413607973</v>
      </c>
    </row>
    <row r="11" spans="1:10" ht="12" customHeight="1" x14ac:dyDescent="0.2">
      <c r="A11" s="3">
        <v>1964</v>
      </c>
      <c r="B11" s="21">
        <v>191.88900000000001</v>
      </c>
      <c r="C11" s="9">
        <v>400.1</v>
      </c>
      <c r="D11" s="9">
        <v>7.6</v>
      </c>
      <c r="E11" s="9">
        <f t="shared" si="0"/>
        <v>407.70000000000005</v>
      </c>
      <c r="F11" s="9">
        <v>14</v>
      </c>
      <c r="G11" s="9">
        <f t="shared" si="1"/>
        <v>393.70000000000005</v>
      </c>
      <c r="H11" s="143">
        <f t="shared" si="2"/>
        <v>2.0517069764290814</v>
      </c>
      <c r="I11" s="143">
        <f t="shared" si="3"/>
        <v>1.9286045578433364</v>
      </c>
    </row>
    <row r="12" spans="1:10" ht="12" customHeight="1" x14ac:dyDescent="0.2">
      <c r="A12" s="3">
        <v>1965</v>
      </c>
      <c r="B12" s="21">
        <v>194.303</v>
      </c>
      <c r="C12" s="9">
        <v>393.1</v>
      </c>
      <c r="D12" s="9">
        <v>8.4</v>
      </c>
      <c r="E12" s="9">
        <f t="shared" si="0"/>
        <v>401.5</v>
      </c>
      <c r="F12" s="9">
        <v>13.5</v>
      </c>
      <c r="G12" s="9">
        <f t="shared" si="1"/>
        <v>388</v>
      </c>
      <c r="H12" s="143">
        <f t="shared" si="2"/>
        <v>1.996881159837985</v>
      </c>
      <c r="I12" s="143">
        <f t="shared" si="3"/>
        <v>1.8770682902477058</v>
      </c>
    </row>
    <row r="13" spans="1:10" ht="12" customHeight="1" x14ac:dyDescent="0.2">
      <c r="A13" s="2">
        <v>1966</v>
      </c>
      <c r="B13" s="20">
        <v>196.56</v>
      </c>
      <c r="C13" s="8">
        <v>379.3</v>
      </c>
      <c r="D13" s="8">
        <v>6.4</v>
      </c>
      <c r="E13" s="8">
        <f t="shared" si="0"/>
        <v>385.7</v>
      </c>
      <c r="F13" s="8">
        <v>13.1</v>
      </c>
      <c r="G13" s="8">
        <f t="shared" si="1"/>
        <v>372.59999999999997</v>
      </c>
      <c r="H13" s="142">
        <f t="shared" si="2"/>
        <v>1.8956043956043953</v>
      </c>
      <c r="I13" s="142">
        <f t="shared" si="3"/>
        <v>1.7818681318681315</v>
      </c>
    </row>
    <row r="14" spans="1:10" ht="12" customHeight="1" x14ac:dyDescent="0.2">
      <c r="A14" s="2">
        <v>1967</v>
      </c>
      <c r="B14" s="20">
        <v>198.71199999999999</v>
      </c>
      <c r="C14" s="8">
        <v>395.5</v>
      </c>
      <c r="D14" s="8">
        <v>7.3</v>
      </c>
      <c r="E14" s="8">
        <f t="shared" si="0"/>
        <v>402.8</v>
      </c>
      <c r="F14" s="8">
        <v>14</v>
      </c>
      <c r="G14" s="8">
        <f t="shared" si="1"/>
        <v>388.8</v>
      </c>
      <c r="H14" s="142">
        <f t="shared" si="2"/>
        <v>1.9566005072667982</v>
      </c>
      <c r="I14" s="142">
        <f t="shared" si="3"/>
        <v>1.8392044768307902</v>
      </c>
    </row>
    <row r="15" spans="1:10" ht="12" customHeight="1" x14ac:dyDescent="0.2">
      <c r="A15" s="2">
        <v>1968</v>
      </c>
      <c r="B15" s="20">
        <v>200.70599999999999</v>
      </c>
      <c r="C15" s="8">
        <v>375.5</v>
      </c>
      <c r="D15" s="8">
        <v>7.9</v>
      </c>
      <c r="E15" s="8">
        <f t="shared" si="0"/>
        <v>383.4</v>
      </c>
      <c r="F15" s="8">
        <v>11.1</v>
      </c>
      <c r="G15" s="8">
        <f t="shared" si="1"/>
        <v>372.29999999999995</v>
      </c>
      <c r="H15" s="142">
        <f t="shared" si="2"/>
        <v>1.854952019371618</v>
      </c>
      <c r="I15" s="142">
        <f t="shared" si="3"/>
        <v>1.7436548982093207</v>
      </c>
    </row>
    <row r="16" spans="1:10" ht="12" customHeight="1" x14ac:dyDescent="0.2">
      <c r="A16" s="2">
        <v>1969</v>
      </c>
      <c r="B16" s="20">
        <v>202.67699999999999</v>
      </c>
      <c r="C16" s="8">
        <v>354</v>
      </c>
      <c r="D16" s="8">
        <v>11</v>
      </c>
      <c r="E16" s="8">
        <f t="shared" si="0"/>
        <v>365</v>
      </c>
      <c r="F16" s="8">
        <v>8.3000000000000007</v>
      </c>
      <c r="G16" s="8">
        <f t="shared" si="1"/>
        <v>356.7</v>
      </c>
      <c r="H16" s="142">
        <f t="shared" si="2"/>
        <v>1.7599431607927885</v>
      </c>
      <c r="I16" s="142">
        <f t="shared" si="3"/>
        <v>1.654346571145221</v>
      </c>
    </row>
    <row r="17" spans="1:9" ht="12" customHeight="1" x14ac:dyDescent="0.2">
      <c r="A17" s="2">
        <v>1970</v>
      </c>
      <c r="B17" s="20">
        <v>205.05199999999999</v>
      </c>
      <c r="C17" s="8">
        <v>312</v>
      </c>
      <c r="D17" s="8">
        <v>12.5</v>
      </c>
      <c r="E17" s="8">
        <f t="shared" si="0"/>
        <v>324.5</v>
      </c>
      <c r="F17" s="8">
        <v>7</v>
      </c>
      <c r="G17" s="8">
        <f t="shared" si="1"/>
        <v>317.5</v>
      </c>
      <c r="H17" s="142">
        <f t="shared" si="2"/>
        <v>1.5483877260402239</v>
      </c>
      <c r="I17" s="142">
        <f t="shared" si="3"/>
        <v>1.4554844624778105</v>
      </c>
    </row>
    <row r="18" spans="1:9" ht="12" customHeight="1" x14ac:dyDescent="0.2">
      <c r="A18" s="3">
        <v>1971</v>
      </c>
      <c r="B18" s="21">
        <v>207.661</v>
      </c>
      <c r="C18" s="9">
        <v>309.60000000000002</v>
      </c>
      <c r="D18" s="9">
        <v>12.3</v>
      </c>
      <c r="E18" s="9">
        <f t="shared" si="0"/>
        <v>321.90000000000003</v>
      </c>
      <c r="F18" s="9">
        <v>7.8</v>
      </c>
      <c r="G18" s="9">
        <f t="shared" si="1"/>
        <v>314.10000000000002</v>
      </c>
      <c r="H18" s="143">
        <f t="shared" si="2"/>
        <v>1.5125613379498317</v>
      </c>
      <c r="I18" s="143">
        <f t="shared" si="3"/>
        <v>1.4218076576728418</v>
      </c>
    </row>
    <row r="19" spans="1:9" ht="12" customHeight="1" x14ac:dyDescent="0.2">
      <c r="A19" s="3">
        <v>1972</v>
      </c>
      <c r="B19" s="21">
        <v>209.89599999999999</v>
      </c>
      <c r="C19" s="9">
        <v>313.7</v>
      </c>
      <c r="D19" s="9">
        <v>18</v>
      </c>
      <c r="E19" s="9">
        <f t="shared" si="0"/>
        <v>331.7</v>
      </c>
      <c r="F19" s="9">
        <v>11.1</v>
      </c>
      <c r="G19" s="9">
        <f t="shared" si="1"/>
        <v>320.59999999999997</v>
      </c>
      <c r="H19" s="143">
        <f t="shared" si="2"/>
        <v>1.5274231047756983</v>
      </c>
      <c r="I19" s="143">
        <f t="shared" si="3"/>
        <v>1.4357777184891563</v>
      </c>
    </row>
    <row r="20" spans="1:9" ht="12" customHeight="1" x14ac:dyDescent="0.2">
      <c r="A20" s="3">
        <v>1973</v>
      </c>
      <c r="B20" s="21">
        <v>211.90899999999999</v>
      </c>
      <c r="C20" s="9">
        <v>303.3</v>
      </c>
      <c r="D20" s="9">
        <v>14.9</v>
      </c>
      <c r="E20" s="9">
        <f t="shared" si="0"/>
        <v>318.2</v>
      </c>
      <c r="F20" s="9">
        <v>15.6</v>
      </c>
      <c r="G20" s="9">
        <f t="shared" si="1"/>
        <v>302.59999999999997</v>
      </c>
      <c r="H20" s="143">
        <f t="shared" si="2"/>
        <v>1.4279714405711885</v>
      </c>
      <c r="I20" s="143">
        <f t="shared" si="3"/>
        <v>1.3422931541369172</v>
      </c>
    </row>
    <row r="21" spans="1:9" ht="12" customHeight="1" x14ac:dyDescent="0.2">
      <c r="A21" s="3">
        <v>1974</v>
      </c>
      <c r="B21" s="21">
        <v>213.85400000000001</v>
      </c>
      <c r="C21" s="9">
        <v>292</v>
      </c>
      <c r="D21" s="9">
        <v>15.7</v>
      </c>
      <c r="E21" s="9">
        <f t="shared" si="0"/>
        <v>307.7</v>
      </c>
      <c r="F21" s="9">
        <v>16.600000000000001</v>
      </c>
      <c r="G21" s="9">
        <f t="shared" si="1"/>
        <v>291.09999999999997</v>
      </c>
      <c r="H21" s="143">
        <f t="shared" si="2"/>
        <v>1.3612090491643829</v>
      </c>
      <c r="I21" s="143">
        <f t="shared" si="3"/>
        <v>1.2795365062145199</v>
      </c>
    </row>
    <row r="22" spans="1:9" ht="12" customHeight="1" x14ac:dyDescent="0.2">
      <c r="A22" s="3">
        <v>1975</v>
      </c>
      <c r="B22" s="21">
        <v>215.97300000000001</v>
      </c>
      <c r="C22" s="9">
        <v>317.89999999999998</v>
      </c>
      <c r="D22" s="9">
        <v>10.5</v>
      </c>
      <c r="E22" s="9">
        <f t="shared" si="0"/>
        <v>328.4</v>
      </c>
      <c r="F22" s="9">
        <v>16</v>
      </c>
      <c r="G22" s="9">
        <f t="shared" si="1"/>
        <v>312.39999999999998</v>
      </c>
      <c r="H22" s="143">
        <f t="shared" si="2"/>
        <v>1.4464771059345378</v>
      </c>
      <c r="I22" s="143">
        <f t="shared" si="3"/>
        <v>1.3596884795784654</v>
      </c>
    </row>
    <row r="23" spans="1:9" ht="12" customHeight="1" x14ac:dyDescent="0.2">
      <c r="A23" s="2">
        <v>1976</v>
      </c>
      <c r="B23" s="20">
        <v>218.035</v>
      </c>
      <c r="C23" s="8">
        <v>318.3</v>
      </c>
      <c r="D23" s="8">
        <v>12.4</v>
      </c>
      <c r="E23" s="8">
        <f t="shared" si="0"/>
        <v>330.7</v>
      </c>
      <c r="F23" s="8">
        <v>15</v>
      </c>
      <c r="G23" s="8">
        <f t="shared" si="1"/>
        <v>315.7</v>
      </c>
      <c r="H23" s="142">
        <f t="shared" si="2"/>
        <v>1.4479326713601026</v>
      </c>
      <c r="I23" s="142">
        <f t="shared" si="3"/>
        <v>1.3610567110784964</v>
      </c>
    </row>
    <row r="24" spans="1:9" ht="12" customHeight="1" x14ac:dyDescent="0.2">
      <c r="A24" s="2">
        <v>1977</v>
      </c>
      <c r="B24" s="20">
        <v>220.23899999999998</v>
      </c>
      <c r="C24" s="8">
        <v>296.3</v>
      </c>
      <c r="D24" s="8">
        <v>17.5</v>
      </c>
      <c r="E24" s="8">
        <f t="shared" si="0"/>
        <v>313.8</v>
      </c>
      <c r="F24" s="8">
        <v>17.600000000000001</v>
      </c>
      <c r="G24" s="8">
        <f t="shared" si="1"/>
        <v>296.2</v>
      </c>
      <c r="H24" s="142">
        <f t="shared" si="2"/>
        <v>1.344902583102902</v>
      </c>
      <c r="I24" s="142">
        <f t="shared" si="3"/>
        <v>1.2642084281167278</v>
      </c>
    </row>
    <row r="25" spans="1:9" ht="12" customHeight="1" x14ac:dyDescent="0.2">
      <c r="A25" s="2">
        <v>1978</v>
      </c>
      <c r="B25" s="20">
        <v>222.58500000000001</v>
      </c>
      <c r="C25" s="8">
        <v>292.10000000000002</v>
      </c>
      <c r="D25" s="8">
        <v>26.1</v>
      </c>
      <c r="E25" s="8">
        <f t="shared" si="0"/>
        <v>318.20000000000005</v>
      </c>
      <c r="F25" s="8">
        <v>31.2</v>
      </c>
      <c r="G25" s="8">
        <f t="shared" si="1"/>
        <v>287.00000000000006</v>
      </c>
      <c r="H25" s="142">
        <f t="shared" si="2"/>
        <v>1.2893950625603705</v>
      </c>
      <c r="I25" s="142">
        <f t="shared" si="3"/>
        <v>1.2120313588067482</v>
      </c>
    </row>
    <row r="26" spans="1:9" ht="12" customHeight="1" x14ac:dyDescent="0.2">
      <c r="A26" s="2">
        <v>1979</v>
      </c>
      <c r="B26" s="20">
        <v>225.05500000000001</v>
      </c>
      <c r="C26" s="8">
        <v>292.8</v>
      </c>
      <c r="D26" s="8">
        <v>24.4</v>
      </c>
      <c r="E26" s="8">
        <f t="shared" si="0"/>
        <v>317.2</v>
      </c>
      <c r="F26" s="8">
        <v>23.1</v>
      </c>
      <c r="G26" s="8">
        <f t="shared" si="1"/>
        <v>294.09999999999997</v>
      </c>
      <c r="H26" s="142">
        <f t="shared" si="2"/>
        <v>1.3067916731465641</v>
      </c>
      <c r="I26" s="142">
        <f t="shared" si="3"/>
        <v>1.2283841727577702</v>
      </c>
    </row>
    <row r="27" spans="1:9" ht="12" customHeight="1" x14ac:dyDescent="0.2">
      <c r="A27" s="2">
        <v>1980</v>
      </c>
      <c r="B27" s="20">
        <v>227.726</v>
      </c>
      <c r="C27" s="8">
        <v>304.39999999999998</v>
      </c>
      <c r="D27" s="8">
        <v>25.361999999999998</v>
      </c>
      <c r="E27" s="8">
        <f t="shared" si="0"/>
        <v>329.762</v>
      </c>
      <c r="F27" s="8">
        <v>30.4</v>
      </c>
      <c r="G27" s="8">
        <f t="shared" si="1"/>
        <v>299.36200000000002</v>
      </c>
      <c r="H27" s="142">
        <f t="shared" si="2"/>
        <v>1.3145710195585925</v>
      </c>
      <c r="I27" s="142">
        <f t="shared" si="3"/>
        <v>1.2356967583850769</v>
      </c>
    </row>
    <row r="28" spans="1:9" ht="12" customHeight="1" x14ac:dyDescent="0.2">
      <c r="A28" s="3">
        <v>1981</v>
      </c>
      <c r="B28" s="21">
        <v>229.96600000000001</v>
      </c>
      <c r="C28" s="9">
        <v>292.60000000000002</v>
      </c>
      <c r="D28" s="9">
        <v>19.879000000000001</v>
      </c>
      <c r="E28" s="9">
        <f t="shared" si="0"/>
        <v>312.47900000000004</v>
      </c>
      <c r="F28" s="9">
        <v>23.4</v>
      </c>
      <c r="G28" s="9">
        <f t="shared" si="1"/>
        <v>289.07900000000006</v>
      </c>
      <c r="H28" s="143">
        <f t="shared" si="2"/>
        <v>1.2570510423279966</v>
      </c>
      <c r="I28" s="143">
        <f t="shared" si="3"/>
        <v>1.1816279797883167</v>
      </c>
    </row>
    <row r="29" spans="1:9" ht="12" customHeight="1" x14ac:dyDescent="0.2">
      <c r="A29" s="3">
        <v>1982</v>
      </c>
      <c r="B29" s="21">
        <v>232.18799999999999</v>
      </c>
      <c r="C29" s="9">
        <v>297.3</v>
      </c>
      <c r="D29" s="9">
        <v>16.417999999999999</v>
      </c>
      <c r="E29" s="9">
        <f t="shared" si="0"/>
        <v>313.71800000000002</v>
      </c>
      <c r="F29" s="9">
        <v>21.2</v>
      </c>
      <c r="G29" s="9">
        <f t="shared" si="1"/>
        <v>292.51800000000003</v>
      </c>
      <c r="H29" s="143">
        <f t="shared" si="2"/>
        <v>1.2598325494857616</v>
      </c>
      <c r="I29" s="143">
        <f t="shared" si="3"/>
        <v>1.1842425965166159</v>
      </c>
    </row>
    <row r="30" spans="1:9" ht="12" customHeight="1" x14ac:dyDescent="0.2">
      <c r="A30" s="3">
        <v>1983</v>
      </c>
      <c r="B30" s="21">
        <v>234.30699999999999</v>
      </c>
      <c r="C30" s="9">
        <v>288.2</v>
      </c>
      <c r="D30" s="9">
        <v>23.684000000000001</v>
      </c>
      <c r="E30" s="9">
        <f t="shared" si="0"/>
        <v>311.88400000000001</v>
      </c>
      <c r="F30" s="9">
        <v>21.6</v>
      </c>
      <c r="G30" s="9">
        <f t="shared" si="1"/>
        <v>290.28399999999999</v>
      </c>
      <c r="H30" s="143">
        <f t="shared" si="2"/>
        <v>1.2389045141630426</v>
      </c>
      <c r="I30" s="143">
        <f t="shared" si="3"/>
        <v>1.1645702433132599</v>
      </c>
    </row>
    <row r="31" spans="1:9" ht="12" customHeight="1" x14ac:dyDescent="0.2">
      <c r="A31" s="3">
        <v>1984</v>
      </c>
      <c r="B31" s="21">
        <v>236.34800000000001</v>
      </c>
      <c r="C31" s="9">
        <v>310.7</v>
      </c>
      <c r="D31" s="9">
        <v>25.931000000000001</v>
      </c>
      <c r="E31" s="9">
        <f t="shared" si="0"/>
        <v>336.63099999999997</v>
      </c>
      <c r="F31" s="9">
        <v>19.3</v>
      </c>
      <c r="G31" s="9">
        <f t="shared" si="1"/>
        <v>317.33099999999996</v>
      </c>
      <c r="H31" s="143">
        <f t="shared" si="2"/>
        <v>1.342643051771117</v>
      </c>
      <c r="I31" s="143">
        <f t="shared" si="3"/>
        <v>1.2620844686648498</v>
      </c>
    </row>
    <row r="32" spans="1:9" ht="12" customHeight="1" x14ac:dyDescent="0.2">
      <c r="A32" s="3">
        <v>1985</v>
      </c>
      <c r="B32" s="21">
        <v>238.46600000000001</v>
      </c>
      <c r="C32" s="9">
        <v>298.10000000000002</v>
      </c>
      <c r="D32" s="9">
        <v>25.536000000000001</v>
      </c>
      <c r="E32" s="9">
        <f t="shared" si="0"/>
        <v>323.63600000000002</v>
      </c>
      <c r="F32" s="9">
        <v>23.2</v>
      </c>
      <c r="G32" s="9">
        <f t="shared" si="1"/>
        <v>300.43600000000004</v>
      </c>
      <c r="H32" s="143">
        <f t="shared" si="2"/>
        <v>1.2598693314770242</v>
      </c>
      <c r="I32" s="143">
        <f t="shared" si="3"/>
        <v>1.1842771715884026</v>
      </c>
    </row>
    <row r="33" spans="1:9" ht="12" customHeight="1" x14ac:dyDescent="0.2">
      <c r="A33" s="2">
        <v>1986</v>
      </c>
      <c r="B33" s="20">
        <v>240.65100000000001</v>
      </c>
      <c r="C33" s="8">
        <v>299.10000000000002</v>
      </c>
      <c r="D33" s="8">
        <v>33.320999999999998</v>
      </c>
      <c r="E33" s="8">
        <f t="shared" si="0"/>
        <v>332.42100000000005</v>
      </c>
      <c r="F33" s="8">
        <v>30.1</v>
      </c>
      <c r="G33" s="8">
        <f t="shared" si="1"/>
        <v>302.32100000000003</v>
      </c>
      <c r="H33" s="142">
        <f t="shared" si="2"/>
        <v>1.2562632193508443</v>
      </c>
      <c r="I33" s="142">
        <f t="shared" si="3"/>
        <v>1.1808874261897935</v>
      </c>
    </row>
    <row r="34" spans="1:9" ht="12" customHeight="1" x14ac:dyDescent="0.2">
      <c r="A34" s="2">
        <v>1987</v>
      </c>
      <c r="B34" s="20">
        <v>242.804</v>
      </c>
      <c r="C34" s="8">
        <v>295.7</v>
      </c>
      <c r="D34" s="8">
        <v>27.376999999999999</v>
      </c>
      <c r="E34" s="8">
        <f t="shared" si="0"/>
        <v>323.077</v>
      </c>
      <c r="F34" s="8">
        <v>27.7</v>
      </c>
      <c r="G34" s="8">
        <f t="shared" si="1"/>
        <v>295.37700000000001</v>
      </c>
      <c r="H34" s="142">
        <f t="shared" si="2"/>
        <v>1.2165244394655772</v>
      </c>
      <c r="I34" s="142">
        <f t="shared" si="3"/>
        <v>1.1435329730976425</v>
      </c>
    </row>
    <row r="35" spans="1:9" ht="12" customHeight="1" x14ac:dyDescent="0.2">
      <c r="A35" s="2">
        <v>1988</v>
      </c>
      <c r="B35" s="20">
        <v>245.02099999999999</v>
      </c>
      <c r="C35" s="8">
        <v>296.2</v>
      </c>
      <c r="D35" s="8">
        <v>30.853999999999999</v>
      </c>
      <c r="E35" s="8">
        <f t="shared" si="0"/>
        <v>327.05399999999997</v>
      </c>
      <c r="F35" s="8">
        <v>35.6</v>
      </c>
      <c r="G35" s="8">
        <f t="shared" si="1"/>
        <v>291.45399999999995</v>
      </c>
      <c r="H35" s="142">
        <f t="shared" si="2"/>
        <v>1.189506205590541</v>
      </c>
      <c r="I35" s="142">
        <f t="shared" si="3"/>
        <v>1.1181358332551086</v>
      </c>
    </row>
    <row r="36" spans="1:9" ht="12" customHeight="1" x14ac:dyDescent="0.2">
      <c r="A36" s="2">
        <v>1989</v>
      </c>
      <c r="B36" s="20">
        <v>247.34200000000001</v>
      </c>
      <c r="C36" s="8">
        <v>293.8</v>
      </c>
      <c r="D36" s="8">
        <v>30.8139</v>
      </c>
      <c r="E36" s="8">
        <f t="shared" si="0"/>
        <v>324.6139</v>
      </c>
      <c r="F36" s="8">
        <v>29.3</v>
      </c>
      <c r="G36" s="8">
        <f t="shared" si="1"/>
        <v>295.31389999999999</v>
      </c>
      <c r="H36" s="142">
        <f t="shared" si="2"/>
        <v>1.1939496729225121</v>
      </c>
      <c r="I36" s="142">
        <f t="shared" si="3"/>
        <v>1.1223126925471614</v>
      </c>
    </row>
    <row r="37" spans="1:9" ht="12" customHeight="1" x14ac:dyDescent="0.2">
      <c r="A37" s="2">
        <v>1990</v>
      </c>
      <c r="B37" s="20">
        <v>250.13200000000001</v>
      </c>
      <c r="C37" s="8">
        <v>273.8</v>
      </c>
      <c r="D37" s="8">
        <v>30.041142000000001</v>
      </c>
      <c r="E37" s="8">
        <f t="shared" si="0"/>
        <v>303.84114199999999</v>
      </c>
      <c r="F37" s="8">
        <v>36.5</v>
      </c>
      <c r="G37" s="8">
        <f t="shared" si="1"/>
        <v>267.34114199999999</v>
      </c>
      <c r="H37" s="142">
        <f t="shared" si="2"/>
        <v>1.0688002414725024</v>
      </c>
      <c r="I37" s="142">
        <f t="shared" si="3"/>
        <v>1.0046722269841522</v>
      </c>
    </row>
    <row r="38" spans="1:9" ht="12" customHeight="1" x14ac:dyDescent="0.2">
      <c r="A38" s="3">
        <v>1991</v>
      </c>
      <c r="B38" s="21">
        <v>253.49299999999999</v>
      </c>
      <c r="C38" s="9">
        <v>300</v>
      </c>
      <c r="D38" s="9">
        <v>24.891873</v>
      </c>
      <c r="E38" s="9">
        <f t="shared" si="0"/>
        <v>324.89187299999998</v>
      </c>
      <c r="F38" s="9">
        <v>40.1</v>
      </c>
      <c r="G38" s="9">
        <f t="shared" si="1"/>
        <v>284.79187299999995</v>
      </c>
      <c r="H38" s="143">
        <f t="shared" si="2"/>
        <v>1.1234703640731696</v>
      </c>
      <c r="I38" s="143">
        <f t="shared" si="3"/>
        <v>1.0560621422287793</v>
      </c>
    </row>
    <row r="39" spans="1:9" ht="12" customHeight="1" x14ac:dyDescent="0.2">
      <c r="A39" s="3">
        <v>1992</v>
      </c>
      <c r="B39" s="21">
        <v>256.89400000000001</v>
      </c>
      <c r="C39" s="9">
        <v>393.2</v>
      </c>
      <c r="D39" s="9">
        <v>23.401015999999998</v>
      </c>
      <c r="E39" s="9">
        <f t="shared" ref="E39:E67" si="4">SUM(C39,D39)</f>
        <v>416.60101599999996</v>
      </c>
      <c r="F39" s="9">
        <v>44.8</v>
      </c>
      <c r="G39" s="9">
        <f t="shared" ref="G39:G59" si="5">E39-SUM(F39)</f>
        <v>371.80101599999995</v>
      </c>
      <c r="H39" s="143">
        <f t="shared" ref="H39:H59" si="6">IF(G39=0,0,IF(B39=0,0,G39/B39))</f>
        <v>1.4472934984857566</v>
      </c>
      <c r="I39" s="143">
        <f t="shared" si="3"/>
        <v>1.3604558885766111</v>
      </c>
    </row>
    <row r="40" spans="1:9" ht="12" customHeight="1" x14ac:dyDescent="0.2">
      <c r="A40" s="3">
        <v>1993</v>
      </c>
      <c r="B40" s="21">
        <v>260.255</v>
      </c>
      <c r="C40" s="9">
        <v>410.2</v>
      </c>
      <c r="D40" s="9">
        <v>25.334748000000001</v>
      </c>
      <c r="E40" s="9">
        <f t="shared" si="4"/>
        <v>435.53474799999998</v>
      </c>
      <c r="F40" s="9">
        <v>41.2</v>
      </c>
      <c r="G40" s="9">
        <f t="shared" si="5"/>
        <v>394.33474799999999</v>
      </c>
      <c r="H40" s="143">
        <f t="shared" si="6"/>
        <v>1.5151860598259399</v>
      </c>
      <c r="I40" s="143">
        <f t="shared" si="3"/>
        <v>1.4242748962363834</v>
      </c>
    </row>
    <row r="41" spans="1:9" ht="12" customHeight="1" x14ac:dyDescent="0.2">
      <c r="A41" s="3">
        <v>1994</v>
      </c>
      <c r="B41" s="21">
        <v>263.43599999999998</v>
      </c>
      <c r="C41" s="9">
        <v>417.7</v>
      </c>
      <c r="D41" s="9">
        <v>23.340934000000001</v>
      </c>
      <c r="E41" s="9">
        <f t="shared" si="4"/>
        <v>441.04093399999999</v>
      </c>
      <c r="F41" s="9">
        <v>35.700000000000003</v>
      </c>
      <c r="G41" s="9">
        <f t="shared" si="5"/>
        <v>405.340934</v>
      </c>
      <c r="H41" s="143">
        <f t="shared" si="6"/>
        <v>1.5386694832900591</v>
      </c>
      <c r="I41" s="143">
        <f t="shared" si="3"/>
        <v>1.4463493142926556</v>
      </c>
    </row>
    <row r="42" spans="1:9" ht="12" customHeight="1" x14ac:dyDescent="0.2">
      <c r="A42" s="3">
        <v>1995</v>
      </c>
      <c r="B42" s="21">
        <v>266.55700000000002</v>
      </c>
      <c r="C42" s="9">
        <v>444.1</v>
      </c>
      <c r="D42" s="9">
        <v>37.660873000000002</v>
      </c>
      <c r="E42" s="9">
        <f t="shared" si="4"/>
        <v>481.760873</v>
      </c>
      <c r="F42" s="9">
        <v>45.8</v>
      </c>
      <c r="G42" s="9">
        <f t="shared" si="5"/>
        <v>435.96087299999999</v>
      </c>
      <c r="H42" s="143">
        <f t="shared" si="6"/>
        <v>1.6355258837697002</v>
      </c>
      <c r="I42" s="143">
        <f t="shared" si="3"/>
        <v>1.5373943307435181</v>
      </c>
    </row>
    <row r="43" spans="1:9" ht="12" customHeight="1" x14ac:dyDescent="0.2">
      <c r="A43" s="2">
        <v>1996</v>
      </c>
      <c r="B43" s="20">
        <v>269.66699999999997</v>
      </c>
      <c r="C43" s="8">
        <v>396.4</v>
      </c>
      <c r="D43" s="8">
        <v>39.758628999999999</v>
      </c>
      <c r="E43" s="8">
        <f t="shared" si="4"/>
        <v>436.15862899999996</v>
      </c>
      <c r="F43" s="8">
        <v>44.7</v>
      </c>
      <c r="G43" s="8">
        <f t="shared" si="5"/>
        <v>391.45862899999997</v>
      </c>
      <c r="H43" s="142">
        <f t="shared" si="6"/>
        <v>1.451637126530128</v>
      </c>
      <c r="I43" s="142">
        <f t="shared" si="3"/>
        <v>1.3645388989383203</v>
      </c>
    </row>
    <row r="44" spans="1:9" ht="12" customHeight="1" x14ac:dyDescent="0.2">
      <c r="A44" s="2">
        <v>1997</v>
      </c>
      <c r="B44" s="20">
        <v>272.91199999999998</v>
      </c>
      <c r="C44" s="8">
        <v>380.5</v>
      </c>
      <c r="D44" s="8">
        <v>45.961713000000003</v>
      </c>
      <c r="E44" s="8">
        <f t="shared" si="4"/>
        <v>426.46171300000003</v>
      </c>
      <c r="F44" s="8">
        <v>58.1</v>
      </c>
      <c r="G44" s="8">
        <f t="shared" si="5"/>
        <v>368.36171300000001</v>
      </c>
      <c r="H44" s="142">
        <f t="shared" si="6"/>
        <v>1.3497453867913467</v>
      </c>
      <c r="I44" s="142">
        <f t="shared" si="3"/>
        <v>1.2687606635838657</v>
      </c>
    </row>
    <row r="45" spans="1:9" ht="12" customHeight="1" x14ac:dyDescent="0.2">
      <c r="A45" s="2">
        <v>1998</v>
      </c>
      <c r="B45" s="20">
        <v>276.11500000000001</v>
      </c>
      <c r="C45" s="8">
        <v>485.6</v>
      </c>
      <c r="D45" s="8">
        <v>42.787242999999997</v>
      </c>
      <c r="E45" s="8">
        <f t="shared" si="4"/>
        <v>528.38724300000001</v>
      </c>
      <c r="F45" s="8">
        <v>75.400000000000006</v>
      </c>
      <c r="G45" s="8">
        <f t="shared" si="5"/>
        <v>452.98724300000003</v>
      </c>
      <c r="H45" s="142">
        <f t="shared" si="6"/>
        <v>1.6405745540807273</v>
      </c>
      <c r="I45" s="142">
        <f t="shared" si="3"/>
        <v>1.5421400808358836</v>
      </c>
    </row>
    <row r="46" spans="1:9" ht="12" customHeight="1" x14ac:dyDescent="0.2">
      <c r="A46" s="2">
        <v>1999</v>
      </c>
      <c r="B46" s="20">
        <v>279.29500000000002</v>
      </c>
      <c r="C46" s="8">
        <v>558</v>
      </c>
      <c r="D46" s="8">
        <v>43.814813999999998</v>
      </c>
      <c r="E46" s="8">
        <f t="shared" si="4"/>
        <v>601.81481399999996</v>
      </c>
      <c r="F46" s="8">
        <v>72.5</v>
      </c>
      <c r="G46" s="8">
        <f t="shared" si="5"/>
        <v>529.31481399999996</v>
      </c>
      <c r="H46" s="142">
        <f t="shared" si="6"/>
        <v>1.8951818471508617</v>
      </c>
      <c r="I46" s="142">
        <f t="shared" si="3"/>
        <v>1.78147093632181</v>
      </c>
    </row>
    <row r="47" spans="1:9" ht="12" customHeight="1" x14ac:dyDescent="0.2">
      <c r="A47" s="2">
        <v>2000</v>
      </c>
      <c r="B47" s="20">
        <v>282.38499999999999</v>
      </c>
      <c r="C47" s="8">
        <v>588.1</v>
      </c>
      <c r="D47" s="8">
        <v>49.543517000000001</v>
      </c>
      <c r="E47" s="8">
        <f t="shared" si="4"/>
        <v>637.64351699999997</v>
      </c>
      <c r="F47" s="8">
        <v>68.345942709999989</v>
      </c>
      <c r="G47" s="8">
        <f t="shared" si="5"/>
        <v>569.29757428999994</v>
      </c>
      <c r="H47" s="142">
        <f t="shared" si="6"/>
        <v>2.0160333384917752</v>
      </c>
      <c r="I47" s="142">
        <f t="shared" si="3"/>
        <v>1.8950713381822686</v>
      </c>
    </row>
    <row r="48" spans="1:9" ht="12" customHeight="1" x14ac:dyDescent="0.2">
      <c r="A48" s="3">
        <v>2001</v>
      </c>
      <c r="B48" s="21">
        <v>285.30901899999998</v>
      </c>
      <c r="C48" s="9">
        <v>619.29999999999995</v>
      </c>
      <c r="D48" s="9">
        <v>54.363266000000003</v>
      </c>
      <c r="E48" s="9">
        <f t="shared" si="4"/>
        <v>673.66326599999991</v>
      </c>
      <c r="F48" s="9">
        <v>55.844693499999998</v>
      </c>
      <c r="G48" s="9">
        <f t="shared" si="5"/>
        <v>617.81857249999996</v>
      </c>
      <c r="H48" s="143">
        <f t="shared" si="6"/>
        <v>2.1654365314683583</v>
      </c>
      <c r="I48" s="143">
        <f t="shared" ref="I48:I53" si="7">H48*0.94</f>
        <v>2.0355103395802567</v>
      </c>
    </row>
    <row r="49" spans="1:10" ht="12" customHeight="1" x14ac:dyDescent="0.2">
      <c r="A49" s="3">
        <v>2002</v>
      </c>
      <c r="B49" s="21">
        <v>288.10481800000002</v>
      </c>
      <c r="C49" s="9">
        <v>596.5</v>
      </c>
      <c r="D49" s="9">
        <v>59.282468000000001</v>
      </c>
      <c r="E49" s="9">
        <f t="shared" si="4"/>
        <v>655.78246799999999</v>
      </c>
      <c r="F49" s="9">
        <v>52.682582779999997</v>
      </c>
      <c r="G49" s="9">
        <f t="shared" si="5"/>
        <v>603.09988522000003</v>
      </c>
      <c r="H49" s="143">
        <f t="shared" si="6"/>
        <v>2.0933349515175412</v>
      </c>
      <c r="I49" s="143">
        <f t="shared" si="7"/>
        <v>1.9677348544264885</v>
      </c>
    </row>
    <row r="50" spans="1:10" ht="12" customHeight="1" x14ac:dyDescent="0.2">
      <c r="A50" s="3">
        <v>2003</v>
      </c>
      <c r="B50" s="21">
        <v>290.81963400000001</v>
      </c>
      <c r="C50" s="9">
        <v>566.29999999999995</v>
      </c>
      <c r="D50" s="9">
        <v>56.729391999999997</v>
      </c>
      <c r="E50" s="9">
        <f t="shared" si="4"/>
        <v>623.02939199999992</v>
      </c>
      <c r="F50" s="9">
        <v>51.016765289999995</v>
      </c>
      <c r="G50" s="9">
        <f t="shared" si="5"/>
        <v>572.01262670999995</v>
      </c>
      <c r="H50" s="143">
        <f t="shared" si="6"/>
        <v>1.966898241505936</v>
      </c>
      <c r="I50" s="143">
        <f t="shared" si="7"/>
        <v>1.8488843470155798</v>
      </c>
    </row>
    <row r="51" spans="1:10" ht="12" customHeight="1" x14ac:dyDescent="0.2">
      <c r="A51" s="3">
        <v>2004</v>
      </c>
      <c r="B51" s="21">
        <v>293.46318500000001</v>
      </c>
      <c r="C51" s="9">
        <v>575.70000000000005</v>
      </c>
      <c r="D51" s="9">
        <v>58.585104000000001</v>
      </c>
      <c r="E51" s="9">
        <f t="shared" si="4"/>
        <v>634.28510400000005</v>
      </c>
      <c r="F51" s="9">
        <v>81.9325087</v>
      </c>
      <c r="G51" s="9">
        <f t="shared" si="5"/>
        <v>552.35259530000008</v>
      </c>
      <c r="H51" s="143">
        <f t="shared" si="6"/>
        <v>1.882187011975625</v>
      </c>
      <c r="I51" s="143">
        <f t="shared" si="7"/>
        <v>1.7692557912570874</v>
      </c>
    </row>
    <row r="52" spans="1:10" ht="12" customHeight="1" x14ac:dyDescent="0.2">
      <c r="A52" s="3">
        <v>2005</v>
      </c>
      <c r="B52" s="21">
        <v>296.186216</v>
      </c>
      <c r="C52" s="9">
        <v>551.1</v>
      </c>
      <c r="D52" s="9">
        <v>60.535767999999997</v>
      </c>
      <c r="E52" s="9">
        <f t="shared" si="4"/>
        <v>611.63576799999998</v>
      </c>
      <c r="F52" s="9">
        <v>78.236670509999996</v>
      </c>
      <c r="G52" s="9">
        <f t="shared" si="5"/>
        <v>533.39909749000003</v>
      </c>
      <c r="H52" s="143">
        <f t="shared" si="6"/>
        <v>1.8008910228624551</v>
      </c>
      <c r="I52" s="143">
        <f t="shared" si="7"/>
        <v>1.6928375614907076</v>
      </c>
    </row>
    <row r="53" spans="1:10" ht="12" customHeight="1" x14ac:dyDescent="0.2">
      <c r="A53" s="2">
        <v>2006</v>
      </c>
      <c r="B53" s="20">
        <v>298.99582500000002</v>
      </c>
      <c r="C53" s="8">
        <v>621.29999999999995</v>
      </c>
      <c r="D53" s="8">
        <v>62.52146012</v>
      </c>
      <c r="E53" s="8">
        <f t="shared" si="4"/>
        <v>683.82146011999998</v>
      </c>
      <c r="F53" s="8">
        <v>61.767793139999995</v>
      </c>
      <c r="G53" s="8">
        <f t="shared" si="5"/>
        <v>622.05366698</v>
      </c>
      <c r="H53" s="142">
        <f t="shared" si="6"/>
        <v>2.0804760968819545</v>
      </c>
      <c r="I53" s="142">
        <f t="shared" si="7"/>
        <v>1.9556475310690371</v>
      </c>
    </row>
    <row r="54" spans="1:10" ht="12" customHeight="1" x14ac:dyDescent="0.2">
      <c r="A54" s="2">
        <v>2007</v>
      </c>
      <c r="B54" s="20">
        <v>302.003917</v>
      </c>
      <c r="C54" s="8">
        <v>650.20000000000005</v>
      </c>
      <c r="D54" s="8">
        <v>70.163153649999998</v>
      </c>
      <c r="E54" s="8">
        <f t="shared" si="4"/>
        <v>720.36315365000007</v>
      </c>
      <c r="F54" s="8">
        <v>56.58865574</v>
      </c>
      <c r="G54" s="8">
        <f t="shared" si="5"/>
        <v>663.77449791000004</v>
      </c>
      <c r="H54" s="142">
        <f t="shared" si="6"/>
        <v>2.1979002938230106</v>
      </c>
      <c r="I54" s="142">
        <f t="shared" ref="I54:I59" si="8">H54*0.94</f>
        <v>2.0660262761936297</v>
      </c>
    </row>
    <row r="55" spans="1:10" ht="12" customHeight="1" x14ac:dyDescent="0.2">
      <c r="A55" s="2">
        <v>2008</v>
      </c>
      <c r="B55" s="20">
        <v>304.79776099999998</v>
      </c>
      <c r="C55" s="8">
        <v>582.4</v>
      </c>
      <c r="D55" s="8">
        <v>78.997443000000004</v>
      </c>
      <c r="E55" s="8">
        <f t="shared" si="4"/>
        <v>661.39744299999995</v>
      </c>
      <c r="F55" s="8">
        <v>58.270840328800006</v>
      </c>
      <c r="G55" s="8">
        <f t="shared" si="5"/>
        <v>603.12660267119998</v>
      </c>
      <c r="H55" s="142">
        <f t="shared" si="6"/>
        <v>1.9787763554837925</v>
      </c>
      <c r="I55" s="142">
        <f t="shared" si="8"/>
        <v>1.8600497741547648</v>
      </c>
    </row>
    <row r="56" spans="1:10" ht="12" customHeight="1" x14ac:dyDescent="0.2">
      <c r="A56" s="2">
        <v>2009</v>
      </c>
      <c r="B56" s="20">
        <v>307.43940600000002</v>
      </c>
      <c r="C56" s="8">
        <v>522.5</v>
      </c>
      <c r="D56" s="8">
        <v>83.553393999999997</v>
      </c>
      <c r="E56" s="8">
        <f t="shared" si="4"/>
        <v>606.05339400000003</v>
      </c>
      <c r="F56" s="8">
        <v>68.22911107342</v>
      </c>
      <c r="G56" s="8">
        <f t="shared" si="5"/>
        <v>537.82428292658005</v>
      </c>
      <c r="H56" s="142">
        <f t="shared" si="6"/>
        <v>1.7493667774214345</v>
      </c>
      <c r="I56" s="142">
        <f t="shared" si="8"/>
        <v>1.6444047707761484</v>
      </c>
    </row>
    <row r="57" spans="1:10" ht="12" customHeight="1" x14ac:dyDescent="0.2">
      <c r="A57" s="2">
        <v>2010</v>
      </c>
      <c r="B57" s="20">
        <v>309.74127900000002</v>
      </c>
      <c r="C57" s="8">
        <v>506.2</v>
      </c>
      <c r="D57" s="8">
        <v>121.87663000000001</v>
      </c>
      <c r="E57" s="8">
        <f t="shared" si="4"/>
        <v>628.07663000000002</v>
      </c>
      <c r="F57" s="8">
        <v>46.910210802179996</v>
      </c>
      <c r="G57" s="8">
        <f t="shared" si="5"/>
        <v>581.16641919782001</v>
      </c>
      <c r="H57" s="142">
        <f t="shared" si="6"/>
        <v>1.8762963111475366</v>
      </c>
      <c r="I57" s="142">
        <f t="shared" si="8"/>
        <v>1.7637185324786844</v>
      </c>
    </row>
    <row r="58" spans="1:10" ht="12" customHeight="1" x14ac:dyDescent="0.2">
      <c r="A58" s="33">
        <v>2011</v>
      </c>
      <c r="B58" s="31">
        <v>311.97391399999998</v>
      </c>
      <c r="C58" s="39">
        <v>459.1</v>
      </c>
      <c r="D58" s="39">
        <v>120.43597</v>
      </c>
      <c r="E58" s="39">
        <f t="shared" si="4"/>
        <v>579.53597000000002</v>
      </c>
      <c r="F58" s="39">
        <v>40.642434254400008</v>
      </c>
      <c r="G58" s="39">
        <f t="shared" si="5"/>
        <v>538.89353574560005</v>
      </c>
      <c r="H58" s="144">
        <f t="shared" si="6"/>
        <v>1.7273672943873124</v>
      </c>
      <c r="I58" s="144">
        <f t="shared" si="8"/>
        <v>1.6237252567240736</v>
      </c>
    </row>
    <row r="59" spans="1:10" s="43" customFormat="1" ht="12" customHeight="1" x14ac:dyDescent="0.2">
      <c r="A59" s="33">
        <v>2012</v>
      </c>
      <c r="B59" s="31">
        <v>314.16755799999999</v>
      </c>
      <c r="C59" s="39">
        <v>434</v>
      </c>
      <c r="D59" s="39">
        <v>127.9388716023</v>
      </c>
      <c r="E59" s="39">
        <f t="shared" si="4"/>
        <v>561.93887160229997</v>
      </c>
      <c r="F59" s="39">
        <v>49.058848886520003</v>
      </c>
      <c r="G59" s="39">
        <f t="shared" si="5"/>
        <v>512.88002271578</v>
      </c>
      <c r="H59" s="144">
        <f t="shared" si="6"/>
        <v>1.6325047244877526</v>
      </c>
      <c r="I59" s="144">
        <f t="shared" si="8"/>
        <v>1.5345544410184875</v>
      </c>
      <c r="J59"/>
    </row>
    <row r="60" spans="1:10" s="93" customFormat="1" ht="12" customHeight="1" x14ac:dyDescent="0.2">
      <c r="A60" s="33">
        <v>2013</v>
      </c>
      <c r="B60" s="31">
        <v>316.29476599999998</v>
      </c>
      <c r="C60" s="39">
        <v>425.2</v>
      </c>
      <c r="D60" s="39">
        <v>132.72708798491999</v>
      </c>
      <c r="E60" s="39">
        <f t="shared" si="4"/>
        <v>557.92708798492004</v>
      </c>
      <c r="F60" s="39">
        <v>44.720057518619996</v>
      </c>
      <c r="G60" s="39">
        <f t="shared" ref="G60" si="9">E60-SUM(F60)</f>
        <v>513.20703046630001</v>
      </c>
      <c r="H60" s="144">
        <f t="shared" ref="H60" si="10">IF(G60=0,0,IF(B60=0,0,G60/B60))</f>
        <v>1.6225593516975871</v>
      </c>
      <c r="I60" s="144">
        <f t="shared" ref="I60" si="11">H60*0.94</f>
        <v>1.5252057905957319</v>
      </c>
      <c r="J60" s="83"/>
    </row>
    <row r="61" spans="1:10" s="93" customFormat="1" ht="12" customHeight="1" x14ac:dyDescent="0.2">
      <c r="A61" s="33">
        <v>2014</v>
      </c>
      <c r="B61" s="31">
        <v>318.576955</v>
      </c>
      <c r="C61" s="39">
        <v>372</v>
      </c>
      <c r="D61" s="39">
        <v>139.70770195426002</v>
      </c>
      <c r="E61" s="39">
        <f t="shared" si="4"/>
        <v>511.70770195426002</v>
      </c>
      <c r="F61" s="39">
        <v>42.680065312500005</v>
      </c>
      <c r="G61" s="39">
        <f t="shared" ref="G61" si="12">E61-SUM(F61)</f>
        <v>469.02763664176001</v>
      </c>
      <c r="H61" s="144">
        <f t="shared" ref="H61" si="13">IF(G61=0,0,IF(B61=0,0,G61/B61))</f>
        <v>1.4722585211531074</v>
      </c>
      <c r="I61" s="144">
        <f t="shared" ref="I61" si="14">H61*0.94</f>
        <v>1.3839230098839208</v>
      </c>
      <c r="J61" s="83"/>
    </row>
    <row r="62" spans="1:10" s="93" customFormat="1" ht="12" customHeight="1" x14ac:dyDescent="0.2">
      <c r="A62" s="33">
        <v>2015</v>
      </c>
      <c r="B62" s="31">
        <v>320.87070299999999</v>
      </c>
      <c r="C62" s="39">
        <v>395.2</v>
      </c>
      <c r="D62" s="39">
        <v>160.44761389800001</v>
      </c>
      <c r="E62" s="39">
        <f t="shared" si="4"/>
        <v>555.64761389800003</v>
      </c>
      <c r="F62" s="39">
        <v>44.847561716320001</v>
      </c>
      <c r="G62" s="39">
        <f t="shared" ref="G62" si="15">E62-SUM(F62)</f>
        <v>510.80005218168003</v>
      </c>
      <c r="H62" s="144">
        <f t="shared" ref="H62" si="16">IF(G62=0,0,IF(B62=0,0,G62/B62))</f>
        <v>1.591918637027077</v>
      </c>
      <c r="I62" s="144">
        <f t="shared" ref="I62" si="17">H62*0.94</f>
        <v>1.4964035188054523</v>
      </c>
      <c r="J62" s="83"/>
    </row>
    <row r="63" spans="1:10" s="93" customFormat="1" ht="12" customHeight="1" x14ac:dyDescent="0.2">
      <c r="A63" s="128">
        <v>2016</v>
      </c>
      <c r="B63" s="129">
        <v>323.16101099999997</v>
      </c>
      <c r="C63" s="130">
        <v>421.02</v>
      </c>
      <c r="D63" s="130">
        <v>170.46958713752002</v>
      </c>
      <c r="E63" s="127">
        <f t="shared" si="4"/>
        <v>591.48958713751995</v>
      </c>
      <c r="F63" s="130">
        <v>42.365558632540008</v>
      </c>
      <c r="G63" s="127">
        <f t="shared" ref="G63:G64" si="18">E63-SUM(F63)</f>
        <v>549.12402850497995</v>
      </c>
      <c r="H63" s="146">
        <f t="shared" ref="H63:H64" si="19">IF(G63=0,0,IF(B63=0,0,G63/B63))</f>
        <v>1.6992273504955089</v>
      </c>
      <c r="I63" s="146">
        <f t="shared" ref="I63:I64" si="20">H63*0.94</f>
        <v>1.5972737094657783</v>
      </c>
      <c r="J63" s="83"/>
    </row>
    <row r="64" spans="1:10" s="93" customFormat="1" ht="12" customHeight="1" x14ac:dyDescent="0.2">
      <c r="A64" s="125">
        <v>2017</v>
      </c>
      <c r="B64" s="126">
        <v>325.20603</v>
      </c>
      <c r="C64" s="127">
        <v>377.1</v>
      </c>
      <c r="D64" s="127">
        <v>172.5238278027</v>
      </c>
      <c r="E64" s="127">
        <f t="shared" si="4"/>
        <v>549.62382780270002</v>
      </c>
      <c r="F64" s="127">
        <v>44.345499194480006</v>
      </c>
      <c r="G64" s="127">
        <f t="shared" si="18"/>
        <v>505.27832860822002</v>
      </c>
      <c r="H64" s="146">
        <f t="shared" si="19"/>
        <v>1.5537175882262086</v>
      </c>
      <c r="I64" s="146">
        <f t="shared" si="20"/>
        <v>1.460494532932636</v>
      </c>
      <c r="J64" s="83"/>
    </row>
    <row r="65" spans="1:10" s="93" customFormat="1" ht="12" customHeight="1" x14ac:dyDescent="0.2">
      <c r="A65" s="125">
        <v>2018</v>
      </c>
      <c r="B65" s="126">
        <v>326.92397599999998</v>
      </c>
      <c r="C65" s="127">
        <v>386.29</v>
      </c>
      <c r="D65" s="127">
        <v>191.61877135192006</v>
      </c>
      <c r="E65" s="127">
        <f t="shared" si="4"/>
        <v>577.90877135192011</v>
      </c>
      <c r="F65" s="127">
        <v>44.218356554460001</v>
      </c>
      <c r="G65" s="127">
        <f t="shared" ref="G65:G67" si="21">E65-SUM(F65)</f>
        <v>533.69041479746011</v>
      </c>
      <c r="H65" s="146">
        <f t="shared" ref="H65:H67" si="22">IF(G65=0,0,IF(B65=0,0,G65/B65))</f>
        <v>1.6324603087460925</v>
      </c>
      <c r="I65" s="146">
        <f t="shared" ref="I65:I67" si="23">H65*0.94</f>
        <v>1.5345126902213269</v>
      </c>
      <c r="J65" s="83"/>
    </row>
    <row r="66" spans="1:10" s="93" customFormat="1" ht="12" customHeight="1" x14ac:dyDescent="0.2">
      <c r="A66" s="128">
        <v>2019</v>
      </c>
      <c r="B66" s="129">
        <v>328.475998</v>
      </c>
      <c r="C66" s="130">
        <v>304</v>
      </c>
      <c r="D66" s="162">
        <v>200.71655245510001</v>
      </c>
      <c r="E66" s="130">
        <f t="shared" si="4"/>
        <v>504.71655245509999</v>
      </c>
      <c r="F66" s="166">
        <v>49.956453305660006</v>
      </c>
      <c r="G66" s="130">
        <f t="shared" si="21"/>
        <v>454.76009914943995</v>
      </c>
      <c r="H66" s="145">
        <f t="shared" si="22"/>
        <v>1.3844545778636768</v>
      </c>
      <c r="I66" s="145">
        <f t="shared" si="23"/>
        <v>1.3013873031918561</v>
      </c>
      <c r="J66" s="83"/>
    </row>
    <row r="67" spans="1:10" s="93" customFormat="1" ht="12" customHeight="1" thickBot="1" x14ac:dyDescent="0.25">
      <c r="A67" s="148">
        <v>2020</v>
      </c>
      <c r="B67" s="149">
        <v>330.11398000000003</v>
      </c>
      <c r="C67" s="147">
        <v>268.70999999999998</v>
      </c>
      <c r="D67" s="124">
        <v>218.09305203444003</v>
      </c>
      <c r="E67" s="150">
        <f t="shared" si="4"/>
        <v>486.80305203444004</v>
      </c>
      <c r="F67" s="147">
        <v>57.19237770334</v>
      </c>
      <c r="G67" s="161">
        <f t="shared" si="21"/>
        <v>429.61067433110003</v>
      </c>
      <c r="H67" s="175">
        <f t="shared" si="22"/>
        <v>1.3014010322468015</v>
      </c>
      <c r="I67" s="175">
        <f t="shared" si="23"/>
        <v>1.2233169703119933</v>
      </c>
      <c r="J67" s="83"/>
    </row>
    <row r="68" spans="1:10" ht="12" customHeight="1" thickTop="1" x14ac:dyDescent="0.2">
      <c r="A68" s="270" t="s">
        <v>219</v>
      </c>
      <c r="B68" s="271"/>
      <c r="C68" s="271"/>
      <c r="D68" s="271"/>
      <c r="E68" s="271"/>
      <c r="F68" s="271"/>
      <c r="G68" s="271"/>
      <c r="H68" s="271"/>
      <c r="I68" s="272"/>
      <c r="J68" s="48"/>
    </row>
    <row r="69" spans="1:10" ht="11.25" customHeight="1" x14ac:dyDescent="0.2">
      <c r="A69" s="251"/>
      <c r="B69" s="252"/>
      <c r="C69" s="252"/>
      <c r="D69" s="252"/>
      <c r="E69" s="252"/>
      <c r="F69" s="252"/>
      <c r="G69" s="252"/>
      <c r="H69" s="252"/>
      <c r="I69" s="253"/>
      <c r="J69" s="48"/>
    </row>
    <row r="70" spans="1:10" ht="15" customHeight="1" x14ac:dyDescent="0.2">
      <c r="A70" s="251"/>
      <c r="B70" s="252"/>
      <c r="C70" s="252"/>
      <c r="D70" s="252"/>
      <c r="E70" s="252"/>
      <c r="F70" s="252"/>
      <c r="G70" s="252"/>
      <c r="H70" s="252"/>
      <c r="I70" s="253"/>
      <c r="J70" s="47"/>
    </row>
    <row r="71" spans="1:10" ht="12" customHeight="1" x14ac:dyDescent="0.2">
      <c r="A71" s="251"/>
      <c r="B71" s="252"/>
      <c r="C71" s="252"/>
      <c r="D71" s="252"/>
      <c r="E71" s="252"/>
      <c r="F71" s="252"/>
      <c r="G71" s="252"/>
      <c r="H71" s="252"/>
      <c r="I71" s="253"/>
      <c r="J71" s="47"/>
    </row>
    <row r="72" spans="1:10" ht="12" customHeight="1" x14ac:dyDescent="0.2">
      <c r="A72" s="223" t="s">
        <v>198</v>
      </c>
      <c r="B72" s="224"/>
      <c r="C72" s="224"/>
      <c r="D72" s="224"/>
      <c r="E72" s="224"/>
      <c r="F72" s="224"/>
      <c r="G72" s="224"/>
      <c r="H72" s="224"/>
      <c r="I72" s="225"/>
      <c r="J72" s="47"/>
    </row>
    <row r="73" spans="1:10" ht="12" customHeight="1" x14ac:dyDescent="0.2">
      <c r="A73" s="223"/>
      <c r="B73" s="224"/>
      <c r="C73" s="224"/>
      <c r="D73" s="224"/>
      <c r="E73" s="224"/>
      <c r="F73" s="224"/>
      <c r="G73" s="224"/>
      <c r="H73" s="224"/>
      <c r="I73" s="225"/>
      <c r="J73" s="47"/>
    </row>
  </sheetData>
  <mergeCells count="18">
    <mergeCell ref="C2:E2"/>
    <mergeCell ref="H3:I3"/>
    <mergeCell ref="H4:H5"/>
    <mergeCell ref="A1:G1"/>
    <mergeCell ref="H1:I1"/>
    <mergeCell ref="G3:G5"/>
    <mergeCell ref="C3:C5"/>
    <mergeCell ref="D3:D5"/>
    <mergeCell ref="F3:F5"/>
    <mergeCell ref="A2:A5"/>
    <mergeCell ref="B2:B5"/>
    <mergeCell ref="E3:E5"/>
    <mergeCell ref="G2:I2"/>
    <mergeCell ref="A71:I71"/>
    <mergeCell ref="A72:I73"/>
    <mergeCell ref="A68:I70"/>
    <mergeCell ref="C6:G6"/>
    <mergeCell ref="H6:I6"/>
  </mergeCells>
  <phoneticPr fontId="7" type="noConversion"/>
  <printOptions horizontalCentered="1"/>
  <pageMargins left="0.45" right="0.45" top="0.75" bottom="0.75" header="0" footer="0"/>
  <pageSetup scale="68" fitToWidth="2"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pageSetUpPr autoPageBreaks="0" fitToPage="1"/>
  </sheetPr>
  <dimension ref="A1:J75"/>
  <sheetViews>
    <sheetView showOutlineSymbols="0" zoomScaleNormal="100" workbookViewId="0">
      <pane ySplit="6" topLeftCell="A7" activePane="bottomLeft" state="frozen"/>
      <selection sqref="A1:G1"/>
      <selection pane="bottomLeft" sqref="A1:G1"/>
    </sheetView>
  </sheetViews>
  <sheetFormatPr defaultColWidth="12.7109375" defaultRowHeight="12" customHeight="1" x14ac:dyDescent="0.2"/>
  <cols>
    <col min="1" max="1" width="12.7109375" style="13" customWidth="1"/>
    <col min="2" max="16384" width="12.7109375" style="13"/>
  </cols>
  <sheetData>
    <row r="1" spans="1:10" s="1" customFormat="1" ht="12" customHeight="1" thickBot="1" x14ac:dyDescent="0.25">
      <c r="A1" s="201" t="s">
        <v>151</v>
      </c>
      <c r="B1" s="201"/>
      <c r="C1" s="201"/>
      <c r="D1" s="201"/>
      <c r="E1" s="201"/>
      <c r="F1" s="201"/>
      <c r="G1" s="201"/>
      <c r="H1" s="200" t="s">
        <v>19</v>
      </c>
      <c r="I1" s="200"/>
    </row>
    <row r="2" spans="1:10" ht="12" customHeight="1" thickTop="1" x14ac:dyDescent="0.2">
      <c r="A2" s="196" t="s">
        <v>1</v>
      </c>
      <c r="B2" s="199" t="s">
        <v>85</v>
      </c>
      <c r="C2" s="269" t="s">
        <v>2</v>
      </c>
      <c r="D2" s="269"/>
      <c r="E2" s="269"/>
      <c r="F2" s="118" t="s">
        <v>146</v>
      </c>
      <c r="G2" s="244" t="s">
        <v>147</v>
      </c>
      <c r="H2" s="245"/>
      <c r="I2" s="245"/>
    </row>
    <row r="3" spans="1:10" ht="12" customHeight="1" x14ac:dyDescent="0.2">
      <c r="A3" s="217"/>
      <c r="B3" s="259"/>
      <c r="C3" s="217" t="s">
        <v>86</v>
      </c>
      <c r="D3" s="217" t="s">
        <v>87</v>
      </c>
      <c r="E3" s="217" t="s">
        <v>88</v>
      </c>
      <c r="F3" s="217" t="s">
        <v>95</v>
      </c>
      <c r="G3" s="217" t="s">
        <v>137</v>
      </c>
      <c r="H3" s="226" t="s">
        <v>28</v>
      </c>
      <c r="I3" s="227"/>
    </row>
    <row r="4" spans="1:10" ht="12" customHeight="1" x14ac:dyDescent="0.2">
      <c r="A4" s="217"/>
      <c r="B4" s="259"/>
      <c r="C4" s="217"/>
      <c r="D4" s="217"/>
      <c r="E4" s="217"/>
      <c r="F4" s="217"/>
      <c r="G4" s="217"/>
      <c r="H4" s="217" t="s">
        <v>4</v>
      </c>
      <c r="I4" s="14" t="s">
        <v>139</v>
      </c>
      <c r="J4" s="4"/>
    </row>
    <row r="5" spans="1:10" ht="12" customHeight="1" x14ac:dyDescent="0.2">
      <c r="A5" s="217"/>
      <c r="B5" s="259"/>
      <c r="C5" s="217"/>
      <c r="D5" s="217"/>
      <c r="E5" s="217"/>
      <c r="F5" s="217"/>
      <c r="G5" s="217"/>
      <c r="H5" s="217"/>
      <c r="I5" s="14" t="s">
        <v>191</v>
      </c>
    </row>
    <row r="6" spans="1:10" ht="12" customHeight="1" x14ac:dyDescent="0.2">
      <c r="A6" s="50"/>
      <c r="B6" s="167" t="s">
        <v>121</v>
      </c>
      <c r="C6" s="273" t="s">
        <v>122</v>
      </c>
      <c r="D6" s="274"/>
      <c r="E6" s="274"/>
      <c r="F6" s="274"/>
      <c r="G6" s="274"/>
      <c r="H6" s="273" t="s">
        <v>118</v>
      </c>
      <c r="I6" s="274"/>
      <c r="J6" s="50"/>
    </row>
    <row r="7" spans="1:10" ht="12" customHeight="1" x14ac:dyDescent="0.2">
      <c r="A7" s="2">
        <v>1960</v>
      </c>
      <c r="B7" s="20">
        <v>180.67099999999999</v>
      </c>
      <c r="C7" s="168">
        <v>72.7</v>
      </c>
      <c r="D7" s="170" t="s">
        <v>3</v>
      </c>
      <c r="E7" s="170">
        <f t="shared" ref="E7:E38" si="0">SUM(C7,D7)</f>
        <v>72.7</v>
      </c>
      <c r="F7" s="170" t="s">
        <v>3</v>
      </c>
      <c r="G7" s="170">
        <f t="shared" ref="G7:G38" si="1">E7-SUM(F7)</f>
        <v>72.7</v>
      </c>
      <c r="H7" s="176">
        <f t="shared" ref="H7:H38" si="2">IF(G7=0,0,IF(B7=0,0,G7/B7))</f>
        <v>0.40238887259161682</v>
      </c>
      <c r="I7" s="177">
        <f t="shared" ref="I7:I47" si="3">H7*0.92</f>
        <v>0.37019776278428751</v>
      </c>
    </row>
    <row r="8" spans="1:10" ht="12" customHeight="1" x14ac:dyDescent="0.2">
      <c r="A8" s="3">
        <v>1961</v>
      </c>
      <c r="B8" s="21">
        <v>183.691</v>
      </c>
      <c r="C8" s="9">
        <v>80.3</v>
      </c>
      <c r="D8" s="9" t="s">
        <v>3</v>
      </c>
      <c r="E8" s="9">
        <f t="shared" si="0"/>
        <v>80.3</v>
      </c>
      <c r="F8" s="9" t="s">
        <v>3</v>
      </c>
      <c r="G8" s="9">
        <f t="shared" si="1"/>
        <v>80.3</v>
      </c>
      <c r="H8" s="178">
        <f t="shared" si="2"/>
        <v>0.43714716562052575</v>
      </c>
      <c r="I8" s="178">
        <f t="shared" si="3"/>
        <v>0.40217539237088368</v>
      </c>
    </row>
    <row r="9" spans="1:10" ht="12" customHeight="1" x14ac:dyDescent="0.2">
      <c r="A9" s="3">
        <v>1962</v>
      </c>
      <c r="B9" s="21">
        <v>186.53800000000001</v>
      </c>
      <c r="C9" s="9">
        <v>62.4</v>
      </c>
      <c r="D9" s="9" t="s">
        <v>3</v>
      </c>
      <c r="E9" s="9">
        <f t="shared" si="0"/>
        <v>62.4</v>
      </c>
      <c r="F9" s="9" t="s">
        <v>3</v>
      </c>
      <c r="G9" s="9">
        <f t="shared" si="1"/>
        <v>62.4</v>
      </c>
      <c r="H9" s="178">
        <f t="shared" si="2"/>
        <v>0.33451629158670082</v>
      </c>
      <c r="I9" s="178">
        <f t="shared" si="3"/>
        <v>0.30775498825976477</v>
      </c>
    </row>
    <row r="10" spans="1:10" ht="12" customHeight="1" x14ac:dyDescent="0.2">
      <c r="A10" s="3">
        <v>1963</v>
      </c>
      <c r="B10" s="21">
        <v>189.24199999999999</v>
      </c>
      <c r="C10" s="9">
        <v>69.5</v>
      </c>
      <c r="D10" s="9" t="s">
        <v>3</v>
      </c>
      <c r="E10" s="9">
        <f t="shared" si="0"/>
        <v>69.5</v>
      </c>
      <c r="F10" s="9" t="s">
        <v>3</v>
      </c>
      <c r="G10" s="9">
        <f t="shared" si="1"/>
        <v>69.5</v>
      </c>
      <c r="H10" s="178">
        <f t="shared" si="2"/>
        <v>0.36725462635144418</v>
      </c>
      <c r="I10" s="178">
        <f t="shared" si="3"/>
        <v>0.33787425624332867</v>
      </c>
    </row>
    <row r="11" spans="1:10" ht="12" customHeight="1" x14ac:dyDescent="0.2">
      <c r="A11" s="3">
        <v>1964</v>
      </c>
      <c r="B11" s="21">
        <v>191.88900000000001</v>
      </c>
      <c r="C11" s="9">
        <v>62.5</v>
      </c>
      <c r="D11" s="9" t="s">
        <v>3</v>
      </c>
      <c r="E11" s="9">
        <f t="shared" si="0"/>
        <v>62.5</v>
      </c>
      <c r="F11" s="9" t="s">
        <v>3</v>
      </c>
      <c r="G11" s="9">
        <f t="shared" si="1"/>
        <v>62.5</v>
      </c>
      <c r="H11" s="178">
        <f t="shared" si="2"/>
        <v>0.32570913392638451</v>
      </c>
      <c r="I11" s="178">
        <f t="shared" si="3"/>
        <v>0.29965240321227377</v>
      </c>
    </row>
    <row r="12" spans="1:10" ht="12" customHeight="1" x14ac:dyDescent="0.2">
      <c r="A12" s="3">
        <v>1965</v>
      </c>
      <c r="B12" s="21">
        <v>194.303</v>
      </c>
      <c r="C12" s="9">
        <v>61.4</v>
      </c>
      <c r="D12" s="9" t="s">
        <v>3</v>
      </c>
      <c r="E12" s="9">
        <f t="shared" si="0"/>
        <v>61.4</v>
      </c>
      <c r="F12" s="9" t="s">
        <v>3</v>
      </c>
      <c r="G12" s="9">
        <f t="shared" si="1"/>
        <v>61.4</v>
      </c>
      <c r="H12" s="178">
        <f t="shared" si="2"/>
        <v>0.31600129694343371</v>
      </c>
      <c r="I12" s="178">
        <f t="shared" si="3"/>
        <v>0.29072119318795903</v>
      </c>
    </row>
    <row r="13" spans="1:10" ht="12" customHeight="1" x14ac:dyDescent="0.2">
      <c r="A13" s="2">
        <v>1966</v>
      </c>
      <c r="B13" s="20">
        <v>196.56</v>
      </c>
      <c r="C13" s="168">
        <v>60.4</v>
      </c>
      <c r="D13" s="170" t="s">
        <v>3</v>
      </c>
      <c r="E13" s="170">
        <f t="shared" si="0"/>
        <v>60.4</v>
      </c>
      <c r="F13" s="170" t="s">
        <v>3</v>
      </c>
      <c r="G13" s="170">
        <f t="shared" si="1"/>
        <v>60.4</v>
      </c>
      <c r="H13" s="176">
        <f t="shared" si="2"/>
        <v>0.30728530728530729</v>
      </c>
      <c r="I13" s="177">
        <f t="shared" si="3"/>
        <v>0.28270248270248272</v>
      </c>
    </row>
    <row r="14" spans="1:10" ht="12" customHeight="1" x14ac:dyDescent="0.2">
      <c r="A14" s="2">
        <v>1967</v>
      </c>
      <c r="B14" s="20">
        <v>198.71199999999999</v>
      </c>
      <c r="C14" s="168">
        <v>58.1</v>
      </c>
      <c r="D14" s="170" t="s">
        <v>3</v>
      </c>
      <c r="E14" s="170">
        <f t="shared" si="0"/>
        <v>58.1</v>
      </c>
      <c r="F14" s="170" t="s">
        <v>3</v>
      </c>
      <c r="G14" s="170">
        <f t="shared" si="1"/>
        <v>58.1</v>
      </c>
      <c r="H14" s="176">
        <f t="shared" si="2"/>
        <v>0.29238294617335642</v>
      </c>
      <c r="I14" s="177">
        <f t="shared" si="3"/>
        <v>0.26899231047948791</v>
      </c>
    </row>
    <row r="15" spans="1:10" ht="12" customHeight="1" x14ac:dyDescent="0.2">
      <c r="A15" s="2">
        <v>1968</v>
      </c>
      <c r="B15" s="20">
        <v>200.70599999999999</v>
      </c>
      <c r="C15" s="168">
        <v>87.8</v>
      </c>
      <c r="D15" s="170" t="s">
        <v>3</v>
      </c>
      <c r="E15" s="170">
        <f t="shared" si="0"/>
        <v>87.8</v>
      </c>
      <c r="F15" s="170" t="s">
        <v>3</v>
      </c>
      <c r="G15" s="170">
        <f t="shared" si="1"/>
        <v>87.8</v>
      </c>
      <c r="H15" s="176">
        <f t="shared" si="2"/>
        <v>0.43745578109274263</v>
      </c>
      <c r="I15" s="177">
        <f t="shared" si="3"/>
        <v>0.40245931860532325</v>
      </c>
    </row>
    <row r="16" spans="1:10" ht="12" customHeight="1" x14ac:dyDescent="0.2">
      <c r="A16" s="2">
        <v>1969</v>
      </c>
      <c r="B16" s="20">
        <v>202.67699999999999</v>
      </c>
      <c r="C16" s="168">
        <v>92.7</v>
      </c>
      <c r="D16" s="170" t="s">
        <v>3</v>
      </c>
      <c r="E16" s="170">
        <f t="shared" si="0"/>
        <v>92.7</v>
      </c>
      <c r="F16" s="170" t="s">
        <v>3</v>
      </c>
      <c r="G16" s="170">
        <f t="shared" si="1"/>
        <v>92.7</v>
      </c>
      <c r="H16" s="176">
        <f t="shared" si="2"/>
        <v>0.45737799552983321</v>
      </c>
      <c r="I16" s="177">
        <f t="shared" si="3"/>
        <v>0.4207877558874466</v>
      </c>
    </row>
    <row r="17" spans="1:9" ht="12" customHeight="1" x14ac:dyDescent="0.2">
      <c r="A17" s="2">
        <v>1970</v>
      </c>
      <c r="B17" s="20">
        <v>205.05199999999999</v>
      </c>
      <c r="C17" s="168">
        <v>109.2</v>
      </c>
      <c r="D17" s="170" t="s">
        <v>3</v>
      </c>
      <c r="E17" s="170">
        <f t="shared" si="0"/>
        <v>109.2</v>
      </c>
      <c r="F17" s="170" t="s">
        <v>3</v>
      </c>
      <c r="G17" s="170">
        <f t="shared" si="1"/>
        <v>109.2</v>
      </c>
      <c r="H17" s="176">
        <f t="shared" si="2"/>
        <v>0.53254784152312584</v>
      </c>
      <c r="I17" s="177">
        <f t="shared" si="3"/>
        <v>0.48994401420127581</v>
      </c>
    </row>
    <row r="18" spans="1:9" ht="12" customHeight="1" x14ac:dyDescent="0.2">
      <c r="A18" s="3">
        <v>1971</v>
      </c>
      <c r="B18" s="21">
        <v>207.661</v>
      </c>
      <c r="C18" s="9">
        <v>149.6</v>
      </c>
      <c r="D18" s="9" t="s">
        <v>3</v>
      </c>
      <c r="E18" s="9">
        <f t="shared" si="0"/>
        <v>149.6</v>
      </c>
      <c r="F18" s="9" t="s">
        <v>3</v>
      </c>
      <c r="G18" s="9">
        <f t="shared" si="1"/>
        <v>149.6</v>
      </c>
      <c r="H18" s="178">
        <f t="shared" si="2"/>
        <v>0.72040489066314806</v>
      </c>
      <c r="I18" s="178">
        <f t="shared" si="3"/>
        <v>0.66277249941009619</v>
      </c>
    </row>
    <row r="19" spans="1:9" ht="12" customHeight="1" x14ac:dyDescent="0.2">
      <c r="A19" s="3">
        <v>1972</v>
      </c>
      <c r="B19" s="21">
        <v>209.89599999999999</v>
      </c>
      <c r="C19" s="9">
        <v>147.4</v>
      </c>
      <c r="D19" s="9" t="s">
        <v>3</v>
      </c>
      <c r="E19" s="9">
        <f t="shared" si="0"/>
        <v>147.4</v>
      </c>
      <c r="F19" s="9" t="s">
        <v>3</v>
      </c>
      <c r="G19" s="9">
        <f t="shared" si="1"/>
        <v>147.4</v>
      </c>
      <c r="H19" s="178">
        <f t="shared" si="2"/>
        <v>0.7022525441170866</v>
      </c>
      <c r="I19" s="178">
        <f t="shared" si="3"/>
        <v>0.64607234058771967</v>
      </c>
    </row>
    <row r="20" spans="1:9" ht="12" customHeight="1" x14ac:dyDescent="0.2">
      <c r="A20" s="3">
        <v>1973</v>
      </c>
      <c r="B20" s="21">
        <v>211.90899999999999</v>
      </c>
      <c r="C20" s="9">
        <v>160.69999999999999</v>
      </c>
      <c r="D20" s="9" t="s">
        <v>3</v>
      </c>
      <c r="E20" s="9">
        <f t="shared" si="0"/>
        <v>160.69999999999999</v>
      </c>
      <c r="F20" s="9" t="s">
        <v>3</v>
      </c>
      <c r="G20" s="9">
        <f t="shared" si="1"/>
        <v>160.69999999999999</v>
      </c>
      <c r="H20" s="178">
        <f t="shared" si="2"/>
        <v>0.75834438367412427</v>
      </c>
      <c r="I20" s="178">
        <f t="shared" si="3"/>
        <v>0.69767683298019434</v>
      </c>
    </row>
    <row r="21" spans="1:9" ht="12" customHeight="1" x14ac:dyDescent="0.2">
      <c r="A21" s="3">
        <v>1974</v>
      </c>
      <c r="B21" s="21">
        <v>213.85400000000001</v>
      </c>
      <c r="C21" s="9">
        <v>168.2</v>
      </c>
      <c r="D21" s="9" t="s">
        <v>3</v>
      </c>
      <c r="E21" s="9">
        <f t="shared" si="0"/>
        <v>168.2</v>
      </c>
      <c r="F21" s="9" t="s">
        <v>3</v>
      </c>
      <c r="G21" s="9">
        <f t="shared" si="1"/>
        <v>168.2</v>
      </c>
      <c r="H21" s="178">
        <f t="shared" si="2"/>
        <v>0.78651790473874694</v>
      </c>
      <c r="I21" s="178">
        <f t="shared" si="3"/>
        <v>0.72359647235964719</v>
      </c>
    </row>
    <row r="22" spans="1:9" ht="12" customHeight="1" x14ac:dyDescent="0.2">
      <c r="A22" s="3">
        <v>1975</v>
      </c>
      <c r="B22" s="21">
        <v>215.97300000000001</v>
      </c>
      <c r="C22" s="9">
        <v>213.9</v>
      </c>
      <c r="D22" s="9" t="s">
        <v>3</v>
      </c>
      <c r="E22" s="9">
        <f t="shared" si="0"/>
        <v>213.9</v>
      </c>
      <c r="F22" s="9" t="s">
        <v>3</v>
      </c>
      <c r="G22" s="9">
        <f t="shared" si="1"/>
        <v>213.9</v>
      </c>
      <c r="H22" s="178">
        <f t="shared" si="2"/>
        <v>0.99040157797502459</v>
      </c>
      <c r="I22" s="178">
        <f t="shared" si="3"/>
        <v>0.91116945173702268</v>
      </c>
    </row>
    <row r="23" spans="1:9" ht="12" customHeight="1" x14ac:dyDescent="0.2">
      <c r="A23" s="2">
        <v>1976</v>
      </c>
      <c r="B23" s="20">
        <v>218.035</v>
      </c>
      <c r="C23" s="168">
        <v>234.8</v>
      </c>
      <c r="D23" s="170" t="s">
        <v>3</v>
      </c>
      <c r="E23" s="170">
        <f t="shared" si="0"/>
        <v>234.8</v>
      </c>
      <c r="F23" s="170" t="s">
        <v>3</v>
      </c>
      <c r="G23" s="170">
        <f t="shared" si="1"/>
        <v>234.8</v>
      </c>
      <c r="H23" s="176">
        <f t="shared" si="2"/>
        <v>1.0768913247873049</v>
      </c>
      <c r="I23" s="177">
        <f t="shared" si="3"/>
        <v>0.9907400188043205</v>
      </c>
    </row>
    <row r="24" spans="1:9" ht="12" customHeight="1" x14ac:dyDescent="0.2">
      <c r="A24" s="2">
        <v>1977</v>
      </c>
      <c r="B24" s="20">
        <v>220.23899999999998</v>
      </c>
      <c r="C24" s="168">
        <v>270.3</v>
      </c>
      <c r="D24" s="170" t="s">
        <v>3</v>
      </c>
      <c r="E24" s="170">
        <f t="shared" si="0"/>
        <v>270.3</v>
      </c>
      <c r="F24" s="170" t="s">
        <v>3</v>
      </c>
      <c r="G24" s="170">
        <f t="shared" si="1"/>
        <v>270.3</v>
      </c>
      <c r="H24" s="176">
        <f t="shared" si="2"/>
        <v>1.2273030662144309</v>
      </c>
      <c r="I24" s="177">
        <f t="shared" si="3"/>
        <v>1.1291188209172764</v>
      </c>
    </row>
    <row r="25" spans="1:9" ht="12" customHeight="1" x14ac:dyDescent="0.2">
      <c r="A25" s="2">
        <v>1978</v>
      </c>
      <c r="B25" s="20">
        <v>222.58500000000001</v>
      </c>
      <c r="C25" s="168">
        <v>271.5</v>
      </c>
      <c r="D25" s="169">
        <v>6.3E-2</v>
      </c>
      <c r="E25" s="170">
        <f t="shared" si="0"/>
        <v>271.56299999999999</v>
      </c>
      <c r="F25" s="169">
        <v>51.8</v>
      </c>
      <c r="G25" s="170">
        <f t="shared" si="1"/>
        <v>219.76299999999998</v>
      </c>
      <c r="H25" s="176">
        <f t="shared" si="2"/>
        <v>0.98732169732911013</v>
      </c>
      <c r="I25" s="177">
        <f t="shared" si="3"/>
        <v>0.9083359615427814</v>
      </c>
    </row>
    <row r="26" spans="1:9" ht="12" customHeight="1" x14ac:dyDescent="0.2">
      <c r="A26" s="2">
        <v>1979</v>
      </c>
      <c r="B26" s="20">
        <v>225.05500000000001</v>
      </c>
      <c r="C26" s="168">
        <v>329.7</v>
      </c>
      <c r="D26" s="169">
        <v>0.56599999999999995</v>
      </c>
      <c r="E26" s="170">
        <f t="shared" si="0"/>
        <v>330.26599999999996</v>
      </c>
      <c r="F26" s="169">
        <v>60.27</v>
      </c>
      <c r="G26" s="170">
        <f t="shared" si="1"/>
        <v>269.99599999999998</v>
      </c>
      <c r="H26" s="176">
        <f t="shared" si="2"/>
        <v>1.1996889649196862</v>
      </c>
      <c r="I26" s="177">
        <f t="shared" si="3"/>
        <v>1.1037138477261115</v>
      </c>
    </row>
    <row r="27" spans="1:9" ht="12" customHeight="1" x14ac:dyDescent="0.2">
      <c r="A27" s="2">
        <v>1980</v>
      </c>
      <c r="B27" s="20">
        <v>227.726</v>
      </c>
      <c r="C27" s="168">
        <v>381.9</v>
      </c>
      <c r="D27" s="169">
        <v>0.66649999999999998</v>
      </c>
      <c r="E27" s="170">
        <f t="shared" si="0"/>
        <v>382.56649999999996</v>
      </c>
      <c r="F27" s="169">
        <v>63.531999999999996</v>
      </c>
      <c r="G27" s="170">
        <f t="shared" si="1"/>
        <v>319.03449999999998</v>
      </c>
      <c r="H27" s="176">
        <f t="shared" si="2"/>
        <v>1.4009577299034803</v>
      </c>
      <c r="I27" s="177">
        <f t="shared" si="3"/>
        <v>1.288881111511202</v>
      </c>
    </row>
    <row r="28" spans="1:9" ht="12" customHeight="1" x14ac:dyDescent="0.2">
      <c r="A28" s="3">
        <v>1981</v>
      </c>
      <c r="B28" s="21">
        <v>229.96600000000001</v>
      </c>
      <c r="C28" s="9">
        <v>453.1</v>
      </c>
      <c r="D28" s="9">
        <v>0.89180000000000004</v>
      </c>
      <c r="E28" s="9">
        <f t="shared" si="0"/>
        <v>453.99180000000001</v>
      </c>
      <c r="F28" s="9">
        <v>73.049000000000007</v>
      </c>
      <c r="G28" s="9">
        <f t="shared" si="1"/>
        <v>380.94280000000003</v>
      </c>
      <c r="H28" s="178">
        <f t="shared" si="2"/>
        <v>1.6565179200403539</v>
      </c>
      <c r="I28" s="178">
        <f t="shared" si="3"/>
        <v>1.5239964864371256</v>
      </c>
    </row>
    <row r="29" spans="1:9" ht="12" customHeight="1" x14ac:dyDescent="0.2">
      <c r="A29" s="3">
        <v>1982</v>
      </c>
      <c r="B29" s="21">
        <v>232.18799999999999</v>
      </c>
      <c r="C29" s="9">
        <v>541.4</v>
      </c>
      <c r="D29" s="9">
        <v>0.12180000000000001</v>
      </c>
      <c r="E29" s="9">
        <f t="shared" si="0"/>
        <v>541.52179999999998</v>
      </c>
      <c r="F29" s="9">
        <v>80.149000000000001</v>
      </c>
      <c r="G29" s="9">
        <f t="shared" si="1"/>
        <v>461.37279999999998</v>
      </c>
      <c r="H29" s="178">
        <f t="shared" si="2"/>
        <v>1.98706565369442</v>
      </c>
      <c r="I29" s="178">
        <f t="shared" si="3"/>
        <v>1.8281004013988664</v>
      </c>
    </row>
    <row r="30" spans="1:9" ht="12" customHeight="1" x14ac:dyDescent="0.2">
      <c r="A30" s="3">
        <v>1983</v>
      </c>
      <c r="B30" s="21">
        <v>234.30699999999999</v>
      </c>
      <c r="C30" s="9">
        <v>558.20000000000005</v>
      </c>
      <c r="D30" s="9">
        <v>0.3</v>
      </c>
      <c r="E30" s="9">
        <f t="shared" si="0"/>
        <v>558.5</v>
      </c>
      <c r="F30" s="9">
        <v>82.695999999999998</v>
      </c>
      <c r="G30" s="9">
        <f t="shared" si="1"/>
        <v>475.80399999999997</v>
      </c>
      <c r="H30" s="178">
        <f t="shared" si="2"/>
        <v>2.0306862364333971</v>
      </c>
      <c r="I30" s="178">
        <f t="shared" si="3"/>
        <v>1.8682313375187254</v>
      </c>
    </row>
    <row r="31" spans="1:9" ht="12" customHeight="1" x14ac:dyDescent="0.2">
      <c r="A31" s="3">
        <v>1984</v>
      </c>
      <c r="B31" s="21">
        <v>236.34800000000001</v>
      </c>
      <c r="C31" s="9">
        <v>674</v>
      </c>
      <c r="D31" s="9">
        <v>3.6116999999999999</v>
      </c>
      <c r="E31" s="9">
        <f t="shared" si="0"/>
        <v>677.61170000000004</v>
      </c>
      <c r="F31" s="9">
        <v>96.73</v>
      </c>
      <c r="G31" s="9">
        <f t="shared" si="1"/>
        <v>580.88170000000002</v>
      </c>
      <c r="H31" s="178">
        <f t="shared" si="2"/>
        <v>2.457739011965407</v>
      </c>
      <c r="I31" s="178">
        <f t="shared" si="3"/>
        <v>2.2611198910081747</v>
      </c>
    </row>
    <row r="32" spans="1:9" ht="12" customHeight="1" x14ac:dyDescent="0.2">
      <c r="A32" s="3">
        <v>1985</v>
      </c>
      <c r="B32" s="21">
        <v>238.46600000000001</v>
      </c>
      <c r="C32" s="9">
        <v>715.4</v>
      </c>
      <c r="D32" s="9">
        <v>4.4618000000000002</v>
      </c>
      <c r="E32" s="9">
        <f t="shared" si="0"/>
        <v>719.86180000000002</v>
      </c>
      <c r="F32" s="9">
        <v>104.913</v>
      </c>
      <c r="G32" s="9">
        <f t="shared" si="1"/>
        <v>614.94880000000001</v>
      </c>
      <c r="H32" s="178">
        <f t="shared" si="2"/>
        <v>2.5787693004453462</v>
      </c>
      <c r="I32" s="178">
        <f t="shared" si="3"/>
        <v>2.3724677564097187</v>
      </c>
    </row>
    <row r="33" spans="1:9" ht="12" customHeight="1" x14ac:dyDescent="0.2">
      <c r="A33" s="2">
        <v>1986</v>
      </c>
      <c r="B33" s="20">
        <v>240.65100000000001</v>
      </c>
      <c r="C33" s="168">
        <v>844.2</v>
      </c>
      <c r="D33" s="169">
        <v>8.5</v>
      </c>
      <c r="E33" s="169">
        <f t="shared" si="0"/>
        <v>852.7</v>
      </c>
      <c r="F33" s="169">
        <v>119.524</v>
      </c>
      <c r="G33" s="169">
        <f t="shared" si="1"/>
        <v>733.17600000000004</v>
      </c>
      <c r="H33" s="177">
        <f t="shared" si="2"/>
        <v>3.0466359998504058</v>
      </c>
      <c r="I33" s="177">
        <f t="shared" si="3"/>
        <v>2.8029051198623733</v>
      </c>
    </row>
    <row r="34" spans="1:9" ht="12" customHeight="1" x14ac:dyDescent="0.2">
      <c r="A34" s="2">
        <v>1987</v>
      </c>
      <c r="B34" s="20">
        <v>242.804</v>
      </c>
      <c r="C34" s="168">
        <v>855.9</v>
      </c>
      <c r="D34" s="169">
        <v>22.7</v>
      </c>
      <c r="E34" s="169">
        <f t="shared" si="0"/>
        <v>878.6</v>
      </c>
      <c r="F34" s="169">
        <v>128.93899999999999</v>
      </c>
      <c r="G34" s="169">
        <f t="shared" si="1"/>
        <v>749.66100000000006</v>
      </c>
      <c r="H34" s="177">
        <f t="shared" si="2"/>
        <v>3.0875150327012735</v>
      </c>
      <c r="I34" s="177">
        <f t="shared" si="3"/>
        <v>2.8405138300851718</v>
      </c>
    </row>
    <row r="35" spans="1:9" ht="12" customHeight="1" x14ac:dyDescent="0.2">
      <c r="A35" s="2">
        <v>1988</v>
      </c>
      <c r="B35" s="20">
        <v>245.02099999999999</v>
      </c>
      <c r="C35" s="168">
        <v>1002.3</v>
      </c>
      <c r="D35" s="169">
        <v>36</v>
      </c>
      <c r="E35" s="169">
        <f t="shared" si="0"/>
        <v>1038.3</v>
      </c>
      <c r="F35" s="169">
        <v>113.508</v>
      </c>
      <c r="G35" s="169">
        <f t="shared" si="1"/>
        <v>924.79199999999992</v>
      </c>
      <c r="H35" s="177">
        <f t="shared" si="2"/>
        <v>3.7743377098289534</v>
      </c>
      <c r="I35" s="177">
        <f t="shared" si="3"/>
        <v>3.4723906930426374</v>
      </c>
    </row>
    <row r="36" spans="1:9" ht="12" customHeight="1" x14ac:dyDescent="0.2">
      <c r="A36" s="2">
        <v>1989</v>
      </c>
      <c r="B36" s="20">
        <v>247.34200000000001</v>
      </c>
      <c r="C36" s="168">
        <v>1074.4000000000001</v>
      </c>
      <c r="D36" s="169">
        <v>27.780469</v>
      </c>
      <c r="E36" s="169">
        <f t="shared" si="0"/>
        <v>1102.1804690000001</v>
      </c>
      <c r="F36" s="169">
        <v>161.21700000000001</v>
      </c>
      <c r="G36" s="169">
        <f t="shared" si="1"/>
        <v>940.96346900000015</v>
      </c>
      <c r="H36" s="177">
        <f t="shared" si="2"/>
        <v>3.8043012064267292</v>
      </c>
      <c r="I36" s="177">
        <f t="shared" si="3"/>
        <v>3.4999571099125912</v>
      </c>
    </row>
    <row r="37" spans="1:9" ht="12" customHeight="1" x14ac:dyDescent="0.2">
      <c r="A37" s="2">
        <v>1990</v>
      </c>
      <c r="B37" s="20">
        <v>250.13200000000001</v>
      </c>
      <c r="C37" s="168">
        <v>989.3</v>
      </c>
      <c r="D37" s="169">
        <v>21.270050000000001</v>
      </c>
      <c r="E37" s="169">
        <f t="shared" si="0"/>
        <v>1010.5700499999999</v>
      </c>
      <c r="F37" s="169">
        <v>168.125</v>
      </c>
      <c r="G37" s="169">
        <f t="shared" si="1"/>
        <v>842.44504999999992</v>
      </c>
      <c r="H37" s="177">
        <f t="shared" si="2"/>
        <v>3.3680018949994399</v>
      </c>
      <c r="I37" s="177">
        <f t="shared" si="3"/>
        <v>3.0985617433994848</v>
      </c>
    </row>
    <row r="38" spans="1:9" ht="12" customHeight="1" x14ac:dyDescent="0.2">
      <c r="A38" s="3">
        <v>1991</v>
      </c>
      <c r="B38" s="21">
        <v>253.49299999999999</v>
      </c>
      <c r="C38" s="9">
        <v>936.8</v>
      </c>
      <c r="D38" s="9">
        <v>20.127983</v>
      </c>
      <c r="E38" s="9">
        <f t="shared" si="0"/>
        <v>956.92798299999993</v>
      </c>
      <c r="F38" s="9">
        <v>185.59700000000001</v>
      </c>
      <c r="G38" s="9">
        <f t="shared" si="1"/>
        <v>771.33098299999995</v>
      </c>
      <c r="H38" s="178">
        <f t="shared" si="2"/>
        <v>3.0428097935643192</v>
      </c>
      <c r="I38" s="178">
        <f t="shared" si="3"/>
        <v>2.799385010079174</v>
      </c>
    </row>
    <row r="39" spans="1:9" ht="12" customHeight="1" x14ac:dyDescent="0.2">
      <c r="A39" s="3">
        <v>1992</v>
      </c>
      <c r="B39" s="21">
        <v>256.89400000000001</v>
      </c>
      <c r="C39" s="171">
        <v>1060.2</v>
      </c>
      <c r="D39" s="172">
        <v>20.72644</v>
      </c>
      <c r="E39" s="172">
        <f t="shared" ref="E39:E67" si="4">SUM(C39,D39)</f>
        <v>1080.92644</v>
      </c>
      <c r="F39" s="171">
        <v>203.44639000000001</v>
      </c>
      <c r="G39" s="172">
        <f t="shared" ref="G39:G59" si="5">E39-SUM(F39)</f>
        <v>877.48004999999989</v>
      </c>
      <c r="H39" s="179">
        <f t="shared" ref="H39:H59" si="6">IF(G39=0,0,IF(B39=0,0,G39/B39))</f>
        <v>3.415728082399744</v>
      </c>
      <c r="I39" s="180">
        <f t="shared" si="3"/>
        <v>3.1424698358077645</v>
      </c>
    </row>
    <row r="40" spans="1:9" ht="12" customHeight="1" x14ac:dyDescent="0.2">
      <c r="A40" s="3">
        <v>1993</v>
      </c>
      <c r="B40" s="21">
        <v>260.255</v>
      </c>
      <c r="C40" s="171">
        <v>1068.5</v>
      </c>
      <c r="D40" s="172">
        <v>31.803681999999998</v>
      </c>
      <c r="E40" s="172">
        <f t="shared" si="4"/>
        <v>1100.303682</v>
      </c>
      <c r="F40" s="171">
        <v>232.875981</v>
      </c>
      <c r="G40" s="172">
        <f t="shared" si="5"/>
        <v>867.42770099999996</v>
      </c>
      <c r="H40" s="179">
        <f t="shared" si="6"/>
        <v>3.3329914929588287</v>
      </c>
      <c r="I40" s="180">
        <f t="shared" si="3"/>
        <v>3.0663521735221226</v>
      </c>
    </row>
    <row r="41" spans="1:9" ht="12" customHeight="1" x14ac:dyDescent="0.2">
      <c r="A41" s="3">
        <v>1994</v>
      </c>
      <c r="B41" s="21">
        <v>263.43599999999998</v>
      </c>
      <c r="C41" s="171">
        <v>1415.2</v>
      </c>
      <c r="D41" s="172">
        <v>22.768795000000001</v>
      </c>
      <c r="E41" s="172">
        <f t="shared" si="4"/>
        <v>1437.968795</v>
      </c>
      <c r="F41" s="171">
        <v>270.86974300000003</v>
      </c>
      <c r="G41" s="172">
        <f t="shared" si="5"/>
        <v>1167.099052</v>
      </c>
      <c r="H41" s="179">
        <f t="shared" si="6"/>
        <v>4.4302944624121237</v>
      </c>
      <c r="I41" s="180">
        <f t="shared" si="3"/>
        <v>4.075870905419154</v>
      </c>
    </row>
    <row r="42" spans="1:9" ht="12" customHeight="1" x14ac:dyDescent="0.2">
      <c r="A42" s="3">
        <v>1995</v>
      </c>
      <c r="B42" s="21">
        <v>266.55700000000002</v>
      </c>
      <c r="C42" s="171">
        <v>1384.3</v>
      </c>
      <c r="D42" s="172">
        <v>42.731079000000001</v>
      </c>
      <c r="E42" s="172">
        <f t="shared" si="4"/>
        <v>1427.0310789999999</v>
      </c>
      <c r="F42" s="171">
        <v>278.96393499999999</v>
      </c>
      <c r="G42" s="172">
        <f t="shared" si="5"/>
        <v>1148.0671439999999</v>
      </c>
      <c r="H42" s="179">
        <f t="shared" si="6"/>
        <v>4.3070230532306404</v>
      </c>
      <c r="I42" s="180">
        <f t="shared" si="3"/>
        <v>3.9624612089721891</v>
      </c>
    </row>
    <row r="43" spans="1:9" ht="12" customHeight="1" x14ac:dyDescent="0.2">
      <c r="A43" s="2">
        <v>1996</v>
      </c>
      <c r="B43" s="20">
        <v>269.66699999999997</v>
      </c>
      <c r="C43" s="168">
        <v>1442.8</v>
      </c>
      <c r="D43" s="169">
        <v>53.632904000000003</v>
      </c>
      <c r="E43" s="170">
        <f t="shared" si="4"/>
        <v>1496.432904</v>
      </c>
      <c r="F43" s="169">
        <v>278.600033</v>
      </c>
      <c r="G43" s="170">
        <f t="shared" si="5"/>
        <v>1217.8328710000001</v>
      </c>
      <c r="H43" s="176">
        <f t="shared" si="6"/>
        <v>4.5160619245217255</v>
      </c>
      <c r="I43" s="177">
        <f t="shared" si="3"/>
        <v>4.154776970559988</v>
      </c>
    </row>
    <row r="44" spans="1:9" ht="12" customHeight="1" x14ac:dyDescent="0.2">
      <c r="A44" s="2">
        <v>1997</v>
      </c>
      <c r="B44" s="20">
        <v>272.91199999999998</v>
      </c>
      <c r="C44" s="168">
        <v>1574.4</v>
      </c>
      <c r="D44" s="169">
        <v>70.725154000000003</v>
      </c>
      <c r="E44" s="170">
        <f t="shared" si="4"/>
        <v>1645.1251540000001</v>
      </c>
      <c r="F44" s="169">
        <v>290.04201399999999</v>
      </c>
      <c r="G44" s="170">
        <f t="shared" si="5"/>
        <v>1355.0831400000002</v>
      </c>
      <c r="H44" s="176">
        <f t="shared" si="6"/>
        <v>4.9652750337105012</v>
      </c>
      <c r="I44" s="177">
        <f t="shared" si="3"/>
        <v>4.5680530310136609</v>
      </c>
    </row>
    <row r="45" spans="1:9" ht="12" customHeight="1" x14ac:dyDescent="0.2">
      <c r="A45" s="2">
        <v>1998</v>
      </c>
      <c r="B45" s="20">
        <v>276.11500000000001</v>
      </c>
      <c r="C45" s="168">
        <v>1612.8</v>
      </c>
      <c r="D45" s="169">
        <v>80.463046000000006</v>
      </c>
      <c r="E45" s="170">
        <f t="shared" si="4"/>
        <v>1693.263046</v>
      </c>
      <c r="F45" s="169">
        <v>300.26861100000002</v>
      </c>
      <c r="G45" s="170">
        <f t="shared" si="5"/>
        <v>1392.9944350000001</v>
      </c>
      <c r="H45" s="176">
        <f t="shared" si="6"/>
        <v>5.0449792115604009</v>
      </c>
      <c r="I45" s="177">
        <f t="shared" si="3"/>
        <v>4.6413808746355691</v>
      </c>
    </row>
    <row r="46" spans="1:9" ht="12" customHeight="1" x14ac:dyDescent="0.2">
      <c r="A46" s="2">
        <v>1999</v>
      </c>
      <c r="B46" s="20">
        <v>279.29500000000002</v>
      </c>
      <c r="C46" s="168">
        <v>1949.1</v>
      </c>
      <c r="D46" s="169">
        <v>100.376859</v>
      </c>
      <c r="E46" s="170">
        <f t="shared" si="4"/>
        <v>2049.4768589999999</v>
      </c>
      <c r="F46" s="169">
        <v>329.22751099999999</v>
      </c>
      <c r="G46" s="170">
        <f t="shared" si="5"/>
        <v>1720.2493479999998</v>
      </c>
      <c r="H46" s="176">
        <f t="shared" si="6"/>
        <v>6.1592557976333255</v>
      </c>
      <c r="I46" s="177">
        <f t="shared" si="3"/>
        <v>5.6665153338226597</v>
      </c>
    </row>
    <row r="47" spans="1:9" ht="12" customHeight="1" x14ac:dyDescent="0.2">
      <c r="A47" s="2">
        <v>2000</v>
      </c>
      <c r="B47" s="20">
        <v>282.38499999999999</v>
      </c>
      <c r="C47" s="168">
        <v>1950.2</v>
      </c>
      <c r="D47" s="169">
        <v>110.514224</v>
      </c>
      <c r="E47" s="170">
        <f t="shared" si="4"/>
        <v>2060.7142239999998</v>
      </c>
      <c r="F47" s="169">
        <v>397.90487074999999</v>
      </c>
      <c r="G47" s="170">
        <f t="shared" si="5"/>
        <v>1662.8093532499997</v>
      </c>
      <c r="H47" s="176">
        <f t="shared" si="6"/>
        <v>5.8884478752412477</v>
      </c>
      <c r="I47" s="177">
        <f t="shared" si="3"/>
        <v>5.4173720452219483</v>
      </c>
    </row>
    <row r="48" spans="1:9" ht="12" customHeight="1" x14ac:dyDescent="0.2">
      <c r="A48" s="3">
        <v>2001</v>
      </c>
      <c r="B48" s="21">
        <v>285.30901899999998</v>
      </c>
      <c r="C48" s="171">
        <v>1775.5</v>
      </c>
      <c r="D48" s="172">
        <v>114.078754</v>
      </c>
      <c r="E48" s="172">
        <f t="shared" si="4"/>
        <v>1889.5787540000001</v>
      </c>
      <c r="F48" s="171">
        <v>349.28270637000003</v>
      </c>
      <c r="G48" s="172">
        <f t="shared" si="5"/>
        <v>1540.29604763</v>
      </c>
      <c r="H48" s="179">
        <f t="shared" si="6"/>
        <v>5.39869385492507</v>
      </c>
      <c r="I48" s="180">
        <f t="shared" ref="I48:I53" si="7">H48*0.92</f>
        <v>4.966798346531065</v>
      </c>
    </row>
    <row r="49" spans="1:9" ht="12" customHeight="1" x14ac:dyDescent="0.2">
      <c r="A49" s="3">
        <v>2002</v>
      </c>
      <c r="B49" s="21">
        <v>288.10481800000002</v>
      </c>
      <c r="C49" s="171">
        <v>1759.5</v>
      </c>
      <c r="D49" s="172">
        <v>125.2864</v>
      </c>
      <c r="E49" s="172">
        <f t="shared" si="4"/>
        <v>1884.7864</v>
      </c>
      <c r="F49" s="171">
        <v>343.04007100000001</v>
      </c>
      <c r="G49" s="172">
        <f t="shared" si="5"/>
        <v>1541.7463290000001</v>
      </c>
      <c r="H49" s="179">
        <f t="shared" si="6"/>
        <v>5.3513382375993448</v>
      </c>
      <c r="I49" s="180">
        <f t="shared" si="7"/>
        <v>4.9232311785913971</v>
      </c>
    </row>
    <row r="50" spans="1:9" ht="12" customHeight="1" x14ac:dyDescent="0.2">
      <c r="A50" s="3">
        <v>2003</v>
      </c>
      <c r="B50" s="21">
        <v>290.81963400000001</v>
      </c>
      <c r="C50" s="171">
        <v>1748.6</v>
      </c>
      <c r="D50" s="172">
        <v>117.75269</v>
      </c>
      <c r="E50" s="172">
        <f t="shared" si="4"/>
        <v>1866.3526899999999</v>
      </c>
      <c r="F50" s="171">
        <v>311.262044</v>
      </c>
      <c r="G50" s="172">
        <f t="shared" si="5"/>
        <v>1555.0906459999999</v>
      </c>
      <c r="H50" s="179">
        <f t="shared" si="6"/>
        <v>5.3472684241119701</v>
      </c>
      <c r="I50" s="180">
        <f t="shared" si="7"/>
        <v>4.9194869501830123</v>
      </c>
    </row>
    <row r="51" spans="1:9" ht="12" customHeight="1" x14ac:dyDescent="0.2">
      <c r="A51" s="3">
        <v>2004</v>
      </c>
      <c r="B51" s="21">
        <v>293.46318500000001</v>
      </c>
      <c r="C51" s="171">
        <v>1733.1</v>
      </c>
      <c r="D51" s="172">
        <v>141.59689700000001</v>
      </c>
      <c r="E51" s="172">
        <f t="shared" si="4"/>
        <v>1874.6968969999998</v>
      </c>
      <c r="F51" s="171">
        <v>315.31698143</v>
      </c>
      <c r="G51" s="172">
        <f t="shared" si="5"/>
        <v>1559.3799155699999</v>
      </c>
      <c r="H51" s="179">
        <f t="shared" si="6"/>
        <v>5.3137156388798816</v>
      </c>
      <c r="I51" s="180">
        <f t="shared" si="7"/>
        <v>4.8886183877694913</v>
      </c>
    </row>
    <row r="52" spans="1:9" ht="12" customHeight="1" x14ac:dyDescent="0.2">
      <c r="A52" s="3">
        <v>2005</v>
      </c>
      <c r="B52" s="21">
        <v>296.186216</v>
      </c>
      <c r="C52" s="171">
        <v>1713.2</v>
      </c>
      <c r="D52" s="172">
        <v>183.62643299999999</v>
      </c>
      <c r="E52" s="172">
        <f t="shared" si="4"/>
        <v>1896.826433</v>
      </c>
      <c r="F52" s="171">
        <v>314.71132821999998</v>
      </c>
      <c r="G52" s="172">
        <f t="shared" si="5"/>
        <v>1582.1151047799999</v>
      </c>
      <c r="H52" s="179">
        <f t="shared" si="6"/>
        <v>5.3416230037524768</v>
      </c>
      <c r="I52" s="180">
        <f t="shared" si="7"/>
        <v>4.9142931634522791</v>
      </c>
    </row>
    <row r="53" spans="1:9" ht="12" customHeight="1" x14ac:dyDescent="0.2">
      <c r="A53" s="2">
        <v>2006</v>
      </c>
      <c r="B53" s="20">
        <v>298.99582500000002</v>
      </c>
      <c r="C53" s="168">
        <v>1853.8</v>
      </c>
      <c r="D53" s="169">
        <v>174.03673499999999</v>
      </c>
      <c r="E53" s="170">
        <f t="shared" si="4"/>
        <v>2027.8367349999999</v>
      </c>
      <c r="F53" s="169">
        <v>305.28173637999998</v>
      </c>
      <c r="G53" s="170">
        <f t="shared" si="5"/>
        <v>1722.5549986199999</v>
      </c>
      <c r="H53" s="176">
        <f t="shared" si="6"/>
        <v>5.761133951017543</v>
      </c>
      <c r="I53" s="177">
        <f t="shared" si="7"/>
        <v>5.3002432349361399</v>
      </c>
    </row>
    <row r="54" spans="1:9" ht="12" customHeight="1" x14ac:dyDescent="0.2">
      <c r="A54" s="2">
        <v>2007</v>
      </c>
      <c r="B54" s="20">
        <v>302.003917</v>
      </c>
      <c r="C54" s="168">
        <v>1828.7</v>
      </c>
      <c r="D54" s="169">
        <v>184.37803868</v>
      </c>
      <c r="E54" s="170">
        <f t="shared" si="4"/>
        <v>2013.07803868</v>
      </c>
      <c r="F54" s="169">
        <v>310.97953708</v>
      </c>
      <c r="G54" s="170">
        <f t="shared" si="5"/>
        <v>1702.0985016</v>
      </c>
      <c r="H54" s="176">
        <f t="shared" si="6"/>
        <v>5.636014653412591</v>
      </c>
      <c r="I54" s="177">
        <f t="shared" ref="I54:I59" si="8">H54*0.92</f>
        <v>5.1851334811395837</v>
      </c>
    </row>
    <row r="55" spans="1:9" ht="12" customHeight="1" x14ac:dyDescent="0.2">
      <c r="A55" s="2">
        <v>2008</v>
      </c>
      <c r="B55" s="20">
        <v>304.79776099999998</v>
      </c>
      <c r="C55" s="168">
        <v>1941.2</v>
      </c>
      <c r="D55" s="169">
        <v>201.01918064</v>
      </c>
      <c r="E55" s="170">
        <f t="shared" si="4"/>
        <v>2142.2191806400001</v>
      </c>
      <c r="F55" s="169">
        <v>302.80407600000001</v>
      </c>
      <c r="G55" s="170">
        <f t="shared" si="5"/>
        <v>1839.4151046400002</v>
      </c>
      <c r="H55" s="176">
        <f t="shared" si="6"/>
        <v>6.0348707897496672</v>
      </c>
      <c r="I55" s="177">
        <f t="shared" si="8"/>
        <v>5.5520811265696937</v>
      </c>
    </row>
    <row r="56" spans="1:9" ht="12" customHeight="1" x14ac:dyDescent="0.2">
      <c r="A56" s="2">
        <v>2009</v>
      </c>
      <c r="B56" s="20">
        <v>307.43940600000002</v>
      </c>
      <c r="C56" s="168">
        <v>1941</v>
      </c>
      <c r="D56" s="169">
        <v>228.59944899999999</v>
      </c>
      <c r="E56" s="170">
        <f t="shared" si="4"/>
        <v>2169.5994489999998</v>
      </c>
      <c r="F56" s="169">
        <v>261.24027599999999</v>
      </c>
      <c r="G56" s="170">
        <f t="shared" si="5"/>
        <v>1908.3591729999998</v>
      </c>
      <c r="H56" s="176">
        <f t="shared" si="6"/>
        <v>6.20726925617336</v>
      </c>
      <c r="I56" s="177">
        <f t="shared" si="8"/>
        <v>5.7106877156794917</v>
      </c>
    </row>
    <row r="57" spans="1:9" ht="12" customHeight="1" x14ac:dyDescent="0.2">
      <c r="A57" s="2">
        <v>2010</v>
      </c>
      <c r="B57" s="20">
        <v>309.74127900000002</v>
      </c>
      <c r="C57" s="168">
        <v>1887.9</v>
      </c>
      <c r="D57" s="169">
        <v>255.54038784296</v>
      </c>
      <c r="E57" s="170">
        <f t="shared" si="4"/>
        <v>2143.4403878429603</v>
      </c>
      <c r="F57" s="169">
        <v>299.28098560646004</v>
      </c>
      <c r="G57" s="170">
        <f t="shared" si="5"/>
        <v>1844.1594022365002</v>
      </c>
      <c r="H57" s="176">
        <f t="shared" si="6"/>
        <v>5.9538703016606966</v>
      </c>
      <c r="I57" s="177">
        <f t="shared" si="8"/>
        <v>5.4775606775278414</v>
      </c>
    </row>
    <row r="58" spans="1:9" ht="12" customHeight="1" x14ac:dyDescent="0.2">
      <c r="A58" s="33">
        <v>2011</v>
      </c>
      <c r="B58" s="31">
        <v>311.97391399999998</v>
      </c>
      <c r="C58" s="171">
        <v>1775.6</v>
      </c>
      <c r="D58" s="172">
        <v>316.07761280568002</v>
      </c>
      <c r="E58" s="172">
        <f t="shared" si="4"/>
        <v>2091.6776128056799</v>
      </c>
      <c r="F58" s="171">
        <v>237.53731100880003</v>
      </c>
      <c r="G58" s="172">
        <f t="shared" si="5"/>
        <v>1854.1403017968798</v>
      </c>
      <c r="H58" s="179">
        <f t="shared" si="6"/>
        <v>5.9432542869493892</v>
      </c>
      <c r="I58" s="180">
        <f t="shared" si="8"/>
        <v>5.4677939439934384</v>
      </c>
    </row>
    <row r="59" spans="1:9" s="43" customFormat="1" ht="12" customHeight="1" x14ac:dyDescent="0.2">
      <c r="A59" s="33">
        <v>2012</v>
      </c>
      <c r="B59" s="31">
        <v>314.16755799999999</v>
      </c>
      <c r="C59" s="171">
        <v>2007.6</v>
      </c>
      <c r="D59" s="172">
        <v>268.24190032287999</v>
      </c>
      <c r="E59" s="172">
        <f t="shared" si="4"/>
        <v>2275.8419003228801</v>
      </c>
      <c r="F59" s="171">
        <v>294.90473113089996</v>
      </c>
      <c r="G59" s="172">
        <f t="shared" si="5"/>
        <v>1980.93716919198</v>
      </c>
      <c r="H59" s="179">
        <f t="shared" si="6"/>
        <v>6.3053524106775534</v>
      </c>
      <c r="I59" s="180">
        <f t="shared" si="8"/>
        <v>5.8009242178233498</v>
      </c>
    </row>
    <row r="60" spans="1:9" s="93" customFormat="1" ht="12" customHeight="1" x14ac:dyDescent="0.2">
      <c r="A60" s="33">
        <v>2013</v>
      </c>
      <c r="B60" s="31">
        <v>316.29476599999998</v>
      </c>
      <c r="C60" s="171">
        <v>2066.4</v>
      </c>
      <c r="D60" s="172">
        <v>380.9808561933001</v>
      </c>
      <c r="E60" s="172">
        <f t="shared" si="4"/>
        <v>2447.3808561933001</v>
      </c>
      <c r="F60" s="171">
        <v>255.33362976088006</v>
      </c>
      <c r="G60" s="172">
        <f t="shared" ref="G60" si="9">E60-SUM(F60)</f>
        <v>2192.0472264324198</v>
      </c>
      <c r="H60" s="179">
        <f t="shared" ref="H60" si="10">IF(G60=0,0,IF(B60=0,0,G60/B60))</f>
        <v>6.9303936140138971</v>
      </c>
      <c r="I60" s="180">
        <f t="shared" ref="I60" si="11">H60*0.92</f>
        <v>6.3759621248927854</v>
      </c>
    </row>
    <row r="61" spans="1:9" s="93" customFormat="1" ht="12" customHeight="1" x14ac:dyDescent="0.2">
      <c r="A61" s="33">
        <v>2014</v>
      </c>
      <c r="B61" s="31">
        <v>318.576955</v>
      </c>
      <c r="C61" s="171">
        <v>1991</v>
      </c>
      <c r="D61" s="172">
        <v>383.70969294152007</v>
      </c>
      <c r="E61" s="172">
        <f t="shared" si="4"/>
        <v>2374.7096929415202</v>
      </c>
      <c r="F61" s="171">
        <v>256.25942686058005</v>
      </c>
      <c r="G61" s="172">
        <f t="shared" ref="G61" si="12">E61-SUM(F61)</f>
        <v>2118.4502660809403</v>
      </c>
      <c r="H61" s="179">
        <f t="shared" ref="H61" si="13">IF(G61=0,0,IF(B61=0,0,G61/B61))</f>
        <v>6.6497285281697174</v>
      </c>
      <c r="I61" s="180">
        <f t="shared" ref="I61" si="14">H61*0.92</f>
        <v>6.1177502459161399</v>
      </c>
    </row>
    <row r="62" spans="1:9" s="93" customFormat="1" ht="12" customHeight="1" x14ac:dyDescent="0.2">
      <c r="A62" s="33">
        <v>2015</v>
      </c>
      <c r="B62" s="31">
        <v>320.87070299999999</v>
      </c>
      <c r="C62" s="171">
        <v>2110.4</v>
      </c>
      <c r="D62" s="172">
        <v>463.42360655844004</v>
      </c>
      <c r="E62" s="172">
        <f t="shared" si="4"/>
        <v>2573.8236065584401</v>
      </c>
      <c r="F62" s="171">
        <v>196.09998558105997</v>
      </c>
      <c r="G62" s="172">
        <f t="shared" ref="G62" si="15">E62-SUM(F62)</f>
        <v>2377.7236209773801</v>
      </c>
      <c r="H62" s="179">
        <f t="shared" ref="H62" si="16">IF(G62=0,0,IF(B62=0,0,G62/B62))</f>
        <v>7.4102234911031442</v>
      </c>
      <c r="I62" s="180">
        <f t="shared" ref="I62" si="17">H62*0.92</f>
        <v>6.8174056118148929</v>
      </c>
    </row>
    <row r="63" spans="1:9" s="93" customFormat="1" ht="12" customHeight="1" x14ac:dyDescent="0.2">
      <c r="A63" s="128">
        <v>2016</v>
      </c>
      <c r="B63" s="129">
        <v>323.16101099999997</v>
      </c>
      <c r="C63" s="168">
        <v>2154.8000000000002</v>
      </c>
      <c r="D63" s="169">
        <v>472.91144666898003</v>
      </c>
      <c r="E63" s="170">
        <f t="shared" si="4"/>
        <v>2627.71144666898</v>
      </c>
      <c r="F63" s="169">
        <v>218.97303933516</v>
      </c>
      <c r="G63" s="170">
        <f t="shared" ref="G63:G64" si="18">E63-SUM(F63)</f>
        <v>2408.7384073338199</v>
      </c>
      <c r="H63" s="176">
        <f t="shared" ref="H63:H64" si="19">IF(G63=0,0,IF(B63=0,0,G63/B63))</f>
        <v>7.4536788948646411</v>
      </c>
      <c r="I63" s="177">
        <f t="shared" ref="I63:I64" si="20">H63*0.92</f>
        <v>6.8573845832754703</v>
      </c>
    </row>
    <row r="64" spans="1:9" s="93" customFormat="1" ht="12" customHeight="1" x14ac:dyDescent="0.2">
      <c r="A64" s="125">
        <v>2017</v>
      </c>
      <c r="B64" s="126">
        <v>325.20603</v>
      </c>
      <c r="C64" s="168">
        <v>1990.8</v>
      </c>
      <c r="D64" s="169">
        <v>485.70837730712009</v>
      </c>
      <c r="E64" s="170">
        <f t="shared" si="4"/>
        <v>2476.5083773071201</v>
      </c>
      <c r="F64" s="169">
        <v>161.95938797060003</v>
      </c>
      <c r="G64" s="170">
        <f t="shared" si="18"/>
        <v>2314.5489893365202</v>
      </c>
      <c r="H64" s="176">
        <f t="shared" si="19"/>
        <v>7.1171773455016201</v>
      </c>
      <c r="I64" s="177">
        <f t="shared" si="20"/>
        <v>6.547803157861491</v>
      </c>
    </row>
    <row r="65" spans="1:10" s="93" customFormat="1" ht="12" customHeight="1" x14ac:dyDescent="0.2">
      <c r="A65" s="128">
        <v>2018</v>
      </c>
      <c r="B65" s="129">
        <v>326.92397599999998</v>
      </c>
      <c r="C65" s="168">
        <v>1677.81</v>
      </c>
      <c r="D65" s="169">
        <v>423.40092625995999</v>
      </c>
      <c r="E65" s="170">
        <f t="shared" si="4"/>
        <v>2101.2109262599597</v>
      </c>
      <c r="F65" s="169">
        <v>158.6359563899</v>
      </c>
      <c r="G65" s="170">
        <f t="shared" ref="G65:G67" si="21">E65-SUM(F65)</f>
        <v>1942.5749698700597</v>
      </c>
      <c r="H65" s="176">
        <f t="shared" ref="H65:H67" si="22">IF(G65=0,0,IF(B65=0,0,G65/B65))</f>
        <v>5.9419776843472007</v>
      </c>
      <c r="I65" s="177">
        <f t="shared" ref="I65:I67" si="23">H65*0.92</f>
        <v>5.4666194695994248</v>
      </c>
    </row>
    <row r="66" spans="1:10" s="93" customFormat="1" ht="12" customHeight="1" x14ac:dyDescent="0.2">
      <c r="A66" s="128">
        <v>2019</v>
      </c>
      <c r="B66" s="129">
        <v>328.475998</v>
      </c>
      <c r="C66" s="168">
        <v>1583.64</v>
      </c>
      <c r="D66" s="169">
        <v>493.34908536914003</v>
      </c>
      <c r="E66" s="170">
        <f t="shared" si="4"/>
        <v>2076.98908536914</v>
      </c>
      <c r="F66" s="169">
        <v>134.18909937488002</v>
      </c>
      <c r="G66" s="170">
        <f t="shared" si="21"/>
        <v>1942.7999859942599</v>
      </c>
      <c r="H66" s="176">
        <f t="shared" si="22"/>
        <v>5.9145873604873254</v>
      </c>
      <c r="I66" s="177">
        <f t="shared" si="23"/>
        <v>5.4414203716483396</v>
      </c>
    </row>
    <row r="67" spans="1:10" s="93" customFormat="1" ht="12" customHeight="1" thickBot="1" x14ac:dyDescent="0.25">
      <c r="A67" s="148">
        <v>2020</v>
      </c>
      <c r="B67" s="149">
        <v>330.11398000000003</v>
      </c>
      <c r="C67" s="168">
        <v>1525.92</v>
      </c>
      <c r="D67" s="169">
        <v>541.98354490565998</v>
      </c>
      <c r="E67" s="170">
        <f t="shared" si="4"/>
        <v>2067.9035449056601</v>
      </c>
      <c r="F67" s="169">
        <v>133.28752443512002</v>
      </c>
      <c r="G67" s="170">
        <f t="shared" si="21"/>
        <v>1934.61602047054</v>
      </c>
      <c r="H67" s="176">
        <f t="shared" si="22"/>
        <v>5.8604486258671624</v>
      </c>
      <c r="I67" s="177">
        <f t="shared" si="23"/>
        <v>5.3916127357977901</v>
      </c>
    </row>
    <row r="68" spans="1:10" ht="12" customHeight="1" thickTop="1" x14ac:dyDescent="0.2">
      <c r="A68" s="254" t="s">
        <v>8</v>
      </c>
      <c r="B68" s="255"/>
      <c r="C68" s="255"/>
      <c r="D68" s="255"/>
      <c r="E68" s="255"/>
      <c r="F68" s="255"/>
      <c r="G68" s="255"/>
      <c r="H68" s="255"/>
      <c r="I68" s="256"/>
      <c r="J68" s="44"/>
    </row>
    <row r="69" spans="1:10" ht="12" customHeight="1" x14ac:dyDescent="0.2">
      <c r="A69" s="248"/>
      <c r="B69" s="249"/>
      <c r="C69" s="249"/>
      <c r="D69" s="249"/>
      <c r="E69" s="249"/>
      <c r="F69" s="249"/>
      <c r="G69" s="249"/>
      <c r="H69" s="249"/>
      <c r="I69" s="250"/>
      <c r="J69" s="44"/>
    </row>
    <row r="70" spans="1:10" ht="12" customHeight="1" x14ac:dyDescent="0.2">
      <c r="A70" s="223" t="s">
        <v>224</v>
      </c>
      <c r="B70" s="224"/>
      <c r="C70" s="224"/>
      <c r="D70" s="224"/>
      <c r="E70" s="224"/>
      <c r="F70" s="224"/>
      <c r="G70" s="224"/>
      <c r="H70" s="224"/>
      <c r="I70" s="225"/>
      <c r="J70" s="44"/>
    </row>
    <row r="71" spans="1:10" ht="12" customHeight="1" x14ac:dyDescent="0.2">
      <c r="A71" s="223"/>
      <c r="B71" s="224"/>
      <c r="C71" s="224"/>
      <c r="D71" s="224"/>
      <c r="E71" s="224"/>
      <c r="F71" s="224"/>
      <c r="G71" s="224"/>
      <c r="H71" s="224"/>
      <c r="I71" s="225"/>
      <c r="J71" s="44"/>
    </row>
    <row r="72" spans="1:10" ht="12" customHeight="1" x14ac:dyDescent="0.2">
      <c r="A72" s="223"/>
      <c r="B72" s="224"/>
      <c r="C72" s="224"/>
      <c r="D72" s="224"/>
      <c r="E72" s="224"/>
      <c r="F72" s="224"/>
      <c r="G72" s="224"/>
      <c r="H72" s="224"/>
      <c r="I72" s="225"/>
      <c r="J72" s="43"/>
    </row>
    <row r="73" spans="1:10" ht="12" customHeight="1" x14ac:dyDescent="0.2">
      <c r="A73" s="248"/>
      <c r="B73" s="249"/>
      <c r="C73" s="249"/>
      <c r="D73" s="249"/>
      <c r="E73" s="249"/>
      <c r="F73" s="249"/>
      <c r="G73" s="249"/>
      <c r="H73" s="249"/>
      <c r="I73" s="250"/>
      <c r="J73" s="43"/>
    </row>
    <row r="74" spans="1:10" ht="12" customHeight="1" x14ac:dyDescent="0.2">
      <c r="A74" s="223" t="s">
        <v>198</v>
      </c>
      <c r="B74" s="224"/>
      <c r="C74" s="224"/>
      <c r="D74" s="224"/>
      <c r="E74" s="224"/>
      <c r="F74" s="224"/>
      <c r="G74" s="224"/>
      <c r="H74" s="224"/>
      <c r="I74" s="225"/>
      <c r="J74" s="43"/>
    </row>
    <row r="75" spans="1:10" ht="12" customHeight="1" x14ac:dyDescent="0.2">
      <c r="A75" s="223"/>
      <c r="B75" s="224"/>
      <c r="C75" s="224"/>
      <c r="D75" s="224"/>
      <c r="E75" s="224"/>
      <c r="F75" s="224"/>
      <c r="G75" s="224"/>
      <c r="H75" s="224"/>
      <c r="I75" s="225"/>
      <c r="J75" s="43"/>
    </row>
  </sheetData>
  <mergeCells count="20">
    <mergeCell ref="A69:I69"/>
    <mergeCell ref="A73:I73"/>
    <mergeCell ref="A74:I75"/>
    <mergeCell ref="A70:I72"/>
    <mergeCell ref="H6:I6"/>
    <mergeCell ref="C6:G6"/>
    <mergeCell ref="A68:I68"/>
    <mergeCell ref="H1:I1"/>
    <mergeCell ref="G3:G5"/>
    <mergeCell ref="C3:C5"/>
    <mergeCell ref="D3:D5"/>
    <mergeCell ref="F3:F5"/>
    <mergeCell ref="A1:G1"/>
    <mergeCell ref="A2:A5"/>
    <mergeCell ref="B2:B5"/>
    <mergeCell ref="E3:E5"/>
    <mergeCell ref="C2:E2"/>
    <mergeCell ref="H4:H5"/>
    <mergeCell ref="H3:I3"/>
    <mergeCell ref="G2:I2"/>
  </mergeCells>
  <phoneticPr fontId="7" type="noConversion"/>
  <printOptions horizontalCentered="1"/>
  <pageMargins left="0.45" right="0.45" top="0.75" bottom="0.75" header="0" footer="0"/>
  <pageSetup scale="66" fitToWidth="2"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34</vt:i4>
      </vt:variant>
    </vt:vector>
  </HeadingPairs>
  <TitlesOfParts>
    <vt:vector size="70" baseType="lpstr">
      <vt:lpstr>TableOfContents</vt:lpstr>
      <vt:lpstr>FarmPcc</vt:lpstr>
      <vt:lpstr>RetailPcc</vt:lpstr>
      <vt:lpstr>Total</vt:lpstr>
      <vt:lpstr>Artichokes</vt:lpstr>
      <vt:lpstr>Asparagus</vt:lpstr>
      <vt:lpstr>LimaBeans</vt:lpstr>
      <vt:lpstr>SnapBeans</vt:lpstr>
      <vt:lpstr>Broccoli</vt:lpstr>
      <vt:lpstr>BrusselsSprouts</vt:lpstr>
      <vt:lpstr>Cabbage</vt:lpstr>
      <vt:lpstr>Carrots</vt:lpstr>
      <vt:lpstr>Cauliflower</vt:lpstr>
      <vt:lpstr>Celery</vt:lpstr>
      <vt:lpstr>Collards</vt:lpstr>
      <vt:lpstr>SweetCorn</vt:lpstr>
      <vt:lpstr>Cucumbers</vt:lpstr>
      <vt:lpstr>Eggplant</vt:lpstr>
      <vt:lpstr>Escarole</vt:lpstr>
      <vt:lpstr>Garlic</vt:lpstr>
      <vt:lpstr>HeadLettuce</vt:lpstr>
      <vt:lpstr>Kale</vt:lpstr>
      <vt:lpstr>Mushrooms</vt:lpstr>
      <vt:lpstr>MustardGreens</vt:lpstr>
      <vt:lpstr>Onions</vt:lpstr>
      <vt:lpstr>Okra</vt:lpstr>
      <vt:lpstr>Peppers</vt:lpstr>
      <vt:lpstr>Squash</vt:lpstr>
      <vt:lpstr>Potatoes</vt:lpstr>
      <vt:lpstr>Pumpkin</vt:lpstr>
      <vt:lpstr>Radishes</vt:lpstr>
      <vt:lpstr>Romaine</vt:lpstr>
      <vt:lpstr>Spinach</vt:lpstr>
      <vt:lpstr>SweetPotatoes</vt:lpstr>
      <vt:lpstr>Tomatoes</vt:lpstr>
      <vt:lpstr>TurnipGreens</vt:lpstr>
      <vt:lpstr>Asparagus!Print_Area</vt:lpstr>
      <vt:lpstr>Broccoli!Print_Area</vt:lpstr>
      <vt:lpstr>BrusselsSprouts!Print_Area</vt:lpstr>
      <vt:lpstr>Cabbage!Print_Area</vt:lpstr>
      <vt:lpstr>Carrots!Print_Area</vt:lpstr>
      <vt:lpstr>Cauliflower!Print_Area</vt:lpstr>
      <vt:lpstr>Celery!Print_Area</vt:lpstr>
      <vt:lpstr>Collards!Print_Area</vt:lpstr>
      <vt:lpstr>Cucumbers!Print_Area</vt:lpstr>
      <vt:lpstr>Eggplant!Print_Area</vt:lpstr>
      <vt:lpstr>Escarole!Print_Area</vt:lpstr>
      <vt:lpstr>FarmPcc!Print_Area</vt:lpstr>
      <vt:lpstr>HeadLettuce!Print_Area</vt:lpstr>
      <vt:lpstr>Kale!Print_Area</vt:lpstr>
      <vt:lpstr>LimaBeans!Print_Area</vt:lpstr>
      <vt:lpstr>Mushrooms!Print_Area</vt:lpstr>
      <vt:lpstr>MustardGreens!Print_Area</vt:lpstr>
      <vt:lpstr>Okra!Print_Area</vt:lpstr>
      <vt:lpstr>Onions!Print_Area</vt:lpstr>
      <vt:lpstr>Peppers!Print_Area</vt:lpstr>
      <vt:lpstr>Pumpkin!Print_Area</vt:lpstr>
      <vt:lpstr>Radishes!Print_Area</vt:lpstr>
      <vt:lpstr>RetailPcc!Print_Area</vt:lpstr>
      <vt:lpstr>Romaine!Print_Area</vt:lpstr>
      <vt:lpstr>SnapBeans!Print_Area</vt:lpstr>
      <vt:lpstr>Spinach!Print_Area</vt:lpstr>
      <vt:lpstr>Squash!Print_Area</vt:lpstr>
      <vt:lpstr>SweetCorn!Print_Area</vt:lpstr>
      <vt:lpstr>Tomatoes!Print_Area</vt:lpstr>
      <vt:lpstr>TurnipGreens!Print_Area</vt:lpstr>
      <vt:lpstr>FarmPcc!Print_Titles</vt:lpstr>
      <vt:lpstr>RetailPcc!Print_Titles</vt:lpstr>
      <vt:lpstr>SweetPotatoes!Print_Titles</vt:lpstr>
      <vt:lpstr>Total!Print_Titles</vt:lpstr>
    </vt:vector>
  </TitlesOfParts>
  <Manager/>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Vegetables (fresh)</dc:title>
  <dc:subject>Agricultural Economics</dc:subject>
  <dc:creator>Andrzej Blazejczyk; Linda Kantor</dc:creator>
  <cp:keywords>Fresh vegetables, food consumption, food availability, per capita, fresh, artichokes, asparagus, bell peppers, broccoli, Brussels sprouts, cabbage, carrots, cauliflower, celery, collard greens, sweet corn, cucumbers, eggplant, escarole, endive, garlic, lettuce, leaf lettuce, romaine lettuce, kale, mushrooms, mustard greens, onions, okra, potatoes, pumpkin, radishes, lima beans, snap beans, spinach, squash, sweet potatoes, tomatoes, turnip greens, U.S. Department of Agriculture, USDA, Economic Research Service, ERS</cp:keywords>
  <dc:description>Fresh vegetables, farm weight: Per capita availability</dc:description>
  <cp:lastModifiedBy>Martin, Anikka - REE-ERS, Kansas City, MO</cp:lastModifiedBy>
  <cp:lastPrinted>2014-10-03T15:24:51Z</cp:lastPrinted>
  <dcterms:created xsi:type="dcterms:W3CDTF">1999-07-08T18:17:22Z</dcterms:created>
  <dcterms:modified xsi:type="dcterms:W3CDTF">2022-09-21T19:51:46Z</dcterms:modified>
  <cp:category>Food Availability</cp:category>
</cp:coreProperties>
</file>