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24226"/>
  <mc:AlternateContent xmlns:mc="http://schemas.openxmlformats.org/markup-compatibility/2006">
    <mc:Choice Requires="x15">
      <x15ac:absPath xmlns:x15ac="http://schemas.microsoft.com/office/spreadsheetml/2010/11/ac" url="J:\FADS\2010\2020\FINAL FILES\Vegetables\REVIEWED\"/>
    </mc:Choice>
  </mc:AlternateContent>
  <xr:revisionPtr revIDLastSave="0" documentId="13_ncr:1_{B5504FD2-CC53-463B-83C2-7C3F7437F731}" xr6:coauthVersionLast="45" xr6:coauthVersionMax="45" xr10:uidLastSave="{00000000-0000-0000-0000-000000000000}"/>
  <bookViews>
    <workbookView xWindow="28680" yWindow="-120" windowWidth="29040" windowHeight="15840" tabRatio="799" xr2:uid="{00000000-000D-0000-FFFF-FFFF00000000}"/>
  </bookViews>
  <sheets>
    <sheet name="TableOfContents" sheetId="51" r:id="rId1"/>
    <sheet name="FarmPcc" sheetId="24" r:id="rId2"/>
    <sheet name="ProcPcc" sheetId="53" r:id="rId3"/>
    <sheet name="Total" sheetId="37" r:id="rId4"/>
    <sheet name="Asparagus" sheetId="25" r:id="rId5"/>
    <sheet name="LimaBeans" sheetId="38" r:id="rId6"/>
    <sheet name="SnapBeans" sheetId="39" r:id="rId7"/>
    <sheet name="Broccoli" sheetId="40" r:id="rId8"/>
    <sheet name="Carrots" sheetId="43" r:id="rId9"/>
    <sheet name="Cauliflower" sheetId="44" r:id="rId10"/>
    <sheet name="SweetCorn" sheetId="45" r:id="rId11"/>
    <sheet name="GreenPeas" sheetId="46" r:id="rId12"/>
    <sheet name="Potatoes" sheetId="52" r:id="rId13"/>
    <sheet name="Spinach" sheetId="47" r:id="rId14"/>
    <sheet name="MiscFrozen" sheetId="48" r:id="rId15"/>
  </sheets>
  <definedNames>
    <definedName name="_xlnm.Print_Area" localSheetId="1">FarmPcc!$A$6:$M$62</definedName>
    <definedName name="_xlnm.Print_Titles" localSheetId="1">FarmPcc!$A:$A,FarmPcc!$1:$5</definedName>
    <definedName name="Z_54C66FF3_B451_11D2_8C41_400002400070_.wvu.PrintArea" localSheetId="1" hidden="1">FarmPcc!$A$6:$M$47</definedName>
    <definedName name="Z_54C66FF3_B451_11D2_8C41_400002400070_.wvu.PrintTitles" localSheetId="1" hidden="1">FarmPcc!$1:$5</definedName>
    <definedName name="Z_54CA0371_B6B1_11D2_8C42_400002400070_.wvu.PrintArea" localSheetId="1" hidden="1">FarmPcc!$A$6:$M$47</definedName>
    <definedName name="Z_54CA0371_B6B1_11D2_8C42_400002400070_.wvu.PrintTitles" localSheetId="1" hidden="1">FarmPcc!$1:$5</definedName>
    <definedName name="Z_9CE49E61_B9D9_11D2_8C46_400002400070_.wvu.PrintArea" localSheetId="1" hidden="1">FarmPcc!$A$6:$M$47</definedName>
    <definedName name="Z_9CE49E61_B9D9_11D2_8C46_400002400070_.wvu.PrintTitles" localSheetId="1" hidden="1">FarmPcc!$1:$5</definedName>
    <definedName name="Z_9CE49E62_B9D9_11D2_8C46_400002400070_.wvu.PrintArea" localSheetId="1" hidden="1">FarmPcc!$A$6:$M$47</definedName>
    <definedName name="Z_9CE49E62_B9D9_11D2_8C46_400002400070_.wvu.PrintTitles" localSheetId="1" hidden="1">FarmPcc!$1:$5</definedName>
    <definedName name="Z_BD4FAC51_B78D_11D2_8C45_400002400070_.wvu.PrintArea" localSheetId="1" hidden="1">FarmPcc!$A$6:$M$47</definedName>
    <definedName name="Z_BD4FAC51_B78D_11D2_8C45_400002400070_.wvu.PrintTitles" localSheetId="1" hidden="1">FarmPcc!$1:$5</definedName>
    <definedName name="Z_E91DC9F9_B471_11D2_8C41_400002400070_.wvu.PrintArea" localSheetId="1" hidden="1">FarmPcc!$A$6:$M$47</definedName>
    <definedName name="Z_E91DC9F9_B471_11D2_8C41_400002400070_.wvu.PrintTitles" localSheetId="1" hidden="1">FarmPcc!$1:$5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56" i="24" l="1"/>
  <c r="J56" i="24"/>
  <c r="G56" i="24"/>
  <c r="E56" i="24"/>
  <c r="L56" i="53"/>
  <c r="J56" i="53"/>
  <c r="G56" i="53"/>
  <c r="E56" i="53"/>
  <c r="K58" i="48" l="1"/>
  <c r="I58" i="44" l="1"/>
  <c r="F58" i="44"/>
  <c r="F58" i="40"/>
  <c r="I58" i="40" s="1"/>
  <c r="I58" i="52"/>
  <c r="F58" i="52"/>
  <c r="K57" i="48"/>
  <c r="L55" i="53" s="1"/>
  <c r="L55" i="24"/>
  <c r="H57" i="37"/>
  <c r="G57" i="37"/>
  <c r="E57" i="37"/>
  <c r="D57" i="37"/>
  <c r="C57" i="37"/>
  <c r="F57" i="47"/>
  <c r="I57" i="47" s="1"/>
  <c r="F57" i="52"/>
  <c r="I57" i="52" s="1"/>
  <c r="F57" i="46"/>
  <c r="I57" i="46" s="1"/>
  <c r="F57" i="45"/>
  <c r="I57" i="45" s="1"/>
  <c r="F57" i="44"/>
  <c r="I57" i="44" s="1"/>
  <c r="F57" i="43"/>
  <c r="I57" i="43" s="1"/>
  <c r="F57" i="40"/>
  <c r="I57" i="40" s="1"/>
  <c r="F57" i="39"/>
  <c r="I57" i="39" s="1"/>
  <c r="F57" i="38"/>
  <c r="I57" i="38" s="1"/>
  <c r="F57" i="25"/>
  <c r="I57" i="25" s="1"/>
  <c r="L54" i="24"/>
  <c r="C56" i="37"/>
  <c r="D56" i="37"/>
  <c r="E56" i="37"/>
  <c r="G56" i="37"/>
  <c r="H56" i="37"/>
  <c r="K56" i="48"/>
  <c r="L54" i="53" s="1"/>
  <c r="F56" i="47"/>
  <c r="I56" i="47" s="1"/>
  <c r="F56" i="52"/>
  <c r="I56" i="52" s="1"/>
  <c r="F56" i="46"/>
  <c r="I56" i="46" s="1"/>
  <c r="F56" i="45"/>
  <c r="I56" i="45" s="1"/>
  <c r="F56" i="44"/>
  <c r="I56" i="44" s="1"/>
  <c r="F56" i="43"/>
  <c r="I56" i="43" s="1"/>
  <c r="F56" i="40"/>
  <c r="I56" i="40" s="1"/>
  <c r="F56" i="39"/>
  <c r="I56" i="39" s="1"/>
  <c r="J56" i="39" s="1"/>
  <c r="F56" i="38"/>
  <c r="I56" i="38" s="1"/>
  <c r="F56" i="25"/>
  <c r="I56" i="25" s="1"/>
  <c r="L52" i="24"/>
  <c r="L53" i="24"/>
  <c r="C54" i="37"/>
  <c r="D54" i="37"/>
  <c r="E54" i="37"/>
  <c r="G54" i="37"/>
  <c r="H54" i="37"/>
  <c r="C55" i="37"/>
  <c r="D55" i="37"/>
  <c r="E55" i="37"/>
  <c r="G55" i="37"/>
  <c r="H55" i="37"/>
  <c r="K54" i="48"/>
  <c r="L52" i="53" s="1"/>
  <c r="K55" i="48"/>
  <c r="L53" i="53" s="1"/>
  <c r="F54" i="47"/>
  <c r="I54" i="47" s="1"/>
  <c r="F55" i="47"/>
  <c r="I55" i="47" s="1"/>
  <c r="F54" i="52"/>
  <c r="I54" i="52" s="1"/>
  <c r="F55" i="52"/>
  <c r="I55" i="52" s="1"/>
  <c r="F54" i="46"/>
  <c r="I54" i="46" s="1"/>
  <c r="F55" i="46"/>
  <c r="I55" i="46" s="1"/>
  <c r="F54" i="45"/>
  <c r="I54" i="45" s="1"/>
  <c r="F55" i="45"/>
  <c r="I55" i="45" s="1"/>
  <c r="F54" i="44"/>
  <c r="I54" i="44" s="1"/>
  <c r="F55" i="44"/>
  <c r="I55" i="44" s="1"/>
  <c r="F54" i="43"/>
  <c r="I54" i="43" s="1"/>
  <c r="F55" i="43"/>
  <c r="I55" i="43" s="1"/>
  <c r="F54" i="40"/>
  <c r="I54" i="40" s="1"/>
  <c r="F55" i="40"/>
  <c r="I55" i="40" s="1"/>
  <c r="F54" i="39"/>
  <c r="I54" i="39" s="1"/>
  <c r="F55" i="39"/>
  <c r="I55" i="39" s="1"/>
  <c r="F54" i="38"/>
  <c r="I54" i="38" s="1"/>
  <c r="F55" i="38"/>
  <c r="I55" i="38" s="1"/>
  <c r="J55" i="38" s="1"/>
  <c r="F54" i="25"/>
  <c r="I54" i="25" s="1"/>
  <c r="F55" i="25"/>
  <c r="I55" i="25" s="1"/>
  <c r="K53" i="48"/>
  <c r="L51" i="53" s="1"/>
  <c r="L51" i="24"/>
  <c r="C53" i="37"/>
  <c r="D53" i="37"/>
  <c r="E53" i="37"/>
  <c r="G53" i="37"/>
  <c r="H53" i="37"/>
  <c r="F53" i="47"/>
  <c r="I53" i="47"/>
  <c r="F53" i="52"/>
  <c r="I53" i="52"/>
  <c r="F53" i="46"/>
  <c r="I53" i="46" s="1"/>
  <c r="F53" i="45"/>
  <c r="I53" i="45" s="1"/>
  <c r="F53" i="44"/>
  <c r="I53" i="44"/>
  <c r="F53" i="43"/>
  <c r="I53" i="43"/>
  <c r="F53" i="40"/>
  <c r="I53" i="40"/>
  <c r="F53" i="39"/>
  <c r="I53" i="39" s="1"/>
  <c r="F53" i="38"/>
  <c r="I53" i="38" s="1"/>
  <c r="F53" i="25"/>
  <c r="I53" i="25"/>
  <c r="J53" i="44"/>
  <c r="J53" i="40"/>
  <c r="K52" i="48"/>
  <c r="L50" i="53" s="1"/>
  <c r="L50" i="24"/>
  <c r="C52" i="37"/>
  <c r="D52" i="37"/>
  <c r="E52" i="37"/>
  <c r="G52" i="37"/>
  <c r="H52" i="37"/>
  <c r="F52" i="47"/>
  <c r="I52" i="47" s="1"/>
  <c r="F52" i="52"/>
  <c r="I52" i="52"/>
  <c r="F52" i="46"/>
  <c r="I52" i="46" s="1"/>
  <c r="J52" i="46" s="1"/>
  <c r="K52" i="46" s="1"/>
  <c r="I50" i="53" s="1"/>
  <c r="F52" i="45"/>
  <c r="I52" i="45" s="1"/>
  <c r="F52" i="44"/>
  <c r="I52" i="44"/>
  <c r="F52" i="43"/>
  <c r="I52" i="43" s="1"/>
  <c r="F52" i="40"/>
  <c r="I52" i="40"/>
  <c r="F52" i="39"/>
  <c r="I52" i="39" s="1"/>
  <c r="F52" i="38"/>
  <c r="I52" i="38" s="1"/>
  <c r="F52" i="25"/>
  <c r="I52" i="25" s="1"/>
  <c r="C51" i="37"/>
  <c r="D51" i="37"/>
  <c r="E51" i="37"/>
  <c r="G51" i="37"/>
  <c r="H51" i="37"/>
  <c r="F51" i="46"/>
  <c r="I51" i="46"/>
  <c r="J51" i="46" s="1"/>
  <c r="I49" i="24" s="1"/>
  <c r="F51" i="52"/>
  <c r="I51" i="52"/>
  <c r="J51" i="52"/>
  <c r="F51" i="47"/>
  <c r="I51" i="47" s="1"/>
  <c r="F51" i="45"/>
  <c r="I51" i="45" s="1"/>
  <c r="J51" i="45" s="1"/>
  <c r="F51" i="44"/>
  <c r="I51" i="44"/>
  <c r="J51" i="44"/>
  <c r="F51" i="43"/>
  <c r="I51" i="43" s="1"/>
  <c r="F51" i="39"/>
  <c r="I51" i="39" s="1"/>
  <c r="F51" i="38"/>
  <c r="I51" i="38" s="1"/>
  <c r="F51" i="40"/>
  <c r="I51" i="40"/>
  <c r="J51" i="40"/>
  <c r="F51" i="25"/>
  <c r="I51" i="25" s="1"/>
  <c r="C50" i="37"/>
  <c r="D50" i="37"/>
  <c r="E50" i="37"/>
  <c r="G50" i="37"/>
  <c r="H50" i="37"/>
  <c r="F50" i="48"/>
  <c r="I50" i="48" s="1"/>
  <c r="F50" i="38"/>
  <c r="I50" i="38" s="1"/>
  <c r="F50" i="39"/>
  <c r="I50" i="39" s="1"/>
  <c r="F50" i="44"/>
  <c r="I50" i="44"/>
  <c r="F50" i="40"/>
  <c r="I50" i="40"/>
  <c r="F50" i="45"/>
  <c r="I50" i="45" s="1"/>
  <c r="F50" i="47"/>
  <c r="I50" i="47"/>
  <c r="J50" i="47" s="1"/>
  <c r="K48" i="24" s="1"/>
  <c r="F50" i="52"/>
  <c r="I50" i="52"/>
  <c r="F50" i="46"/>
  <c r="I50" i="46" s="1"/>
  <c r="J50" i="46" s="1"/>
  <c r="F50" i="43"/>
  <c r="I50" i="43" s="1"/>
  <c r="F50" i="25"/>
  <c r="I50" i="25" s="1"/>
  <c r="J50" i="44"/>
  <c r="J50" i="43"/>
  <c r="F48" i="24" s="1"/>
  <c r="E9" i="37"/>
  <c r="E10" i="37"/>
  <c r="E11" i="37"/>
  <c r="E12" i="37"/>
  <c r="E13" i="37"/>
  <c r="E14" i="37"/>
  <c r="E15" i="37"/>
  <c r="E16" i="37"/>
  <c r="E17" i="37"/>
  <c r="E18" i="37"/>
  <c r="E19" i="37"/>
  <c r="E20" i="37"/>
  <c r="E21" i="37"/>
  <c r="E22" i="37"/>
  <c r="E23" i="37"/>
  <c r="E24" i="37"/>
  <c r="E25" i="37"/>
  <c r="E26" i="37"/>
  <c r="E27" i="37"/>
  <c r="E28" i="37"/>
  <c r="E29" i="37"/>
  <c r="E30" i="37"/>
  <c r="E31" i="37"/>
  <c r="E32" i="37"/>
  <c r="E33" i="37"/>
  <c r="E34" i="37"/>
  <c r="E35" i="37"/>
  <c r="E36" i="37"/>
  <c r="E37" i="37"/>
  <c r="E38" i="37"/>
  <c r="E39" i="37"/>
  <c r="E40" i="37"/>
  <c r="E41" i="37"/>
  <c r="E42" i="37"/>
  <c r="E43" i="37"/>
  <c r="E44" i="37"/>
  <c r="E45" i="37"/>
  <c r="E46" i="37"/>
  <c r="E47" i="37"/>
  <c r="E48" i="37"/>
  <c r="E49" i="37"/>
  <c r="E8" i="37"/>
  <c r="D9" i="37"/>
  <c r="D10" i="37"/>
  <c r="D11" i="37"/>
  <c r="D12" i="37"/>
  <c r="D13" i="37"/>
  <c r="D14" i="37"/>
  <c r="D15" i="37"/>
  <c r="D16" i="37"/>
  <c r="D17" i="37"/>
  <c r="D18" i="37"/>
  <c r="D19" i="37"/>
  <c r="D20" i="37"/>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8" i="37"/>
  <c r="C9" i="37"/>
  <c r="C10" i="37"/>
  <c r="C11" i="37"/>
  <c r="C12" i="37"/>
  <c r="C13" i="37"/>
  <c r="C14" i="37"/>
  <c r="C15" i="37"/>
  <c r="C16" i="37"/>
  <c r="C17" i="37"/>
  <c r="C18" i="37"/>
  <c r="C19" i="37"/>
  <c r="C20" i="37"/>
  <c r="C21" i="37"/>
  <c r="C22" i="37"/>
  <c r="C23" i="37"/>
  <c r="C24" i="37"/>
  <c r="C25" i="37"/>
  <c r="C26" i="37"/>
  <c r="C27" i="37"/>
  <c r="C28" i="37"/>
  <c r="C29" i="37"/>
  <c r="C30" i="37"/>
  <c r="C31" i="37"/>
  <c r="C32" i="37"/>
  <c r="C33" i="37"/>
  <c r="C34" i="37"/>
  <c r="C35" i="37"/>
  <c r="C36" i="37"/>
  <c r="C37" i="37"/>
  <c r="C38" i="37"/>
  <c r="C39" i="37"/>
  <c r="C40" i="37"/>
  <c r="C41" i="37"/>
  <c r="C42" i="37"/>
  <c r="C43" i="37"/>
  <c r="C44" i="37"/>
  <c r="C45" i="37"/>
  <c r="C46" i="37"/>
  <c r="C47" i="37"/>
  <c r="C48" i="37"/>
  <c r="C49" i="37"/>
  <c r="C8" i="37"/>
  <c r="G9" i="37"/>
  <c r="G10" i="37"/>
  <c r="G11" i="37"/>
  <c r="G12" i="37"/>
  <c r="G13" i="37"/>
  <c r="G14" i="37"/>
  <c r="G15" i="37"/>
  <c r="G16" i="37"/>
  <c r="G17" i="37"/>
  <c r="G18" i="37"/>
  <c r="G19" i="37"/>
  <c r="G20" i="37"/>
  <c r="G21" i="37"/>
  <c r="G22" i="37"/>
  <c r="G23" i="37"/>
  <c r="G24" i="37"/>
  <c r="G25" i="37"/>
  <c r="G26" i="37"/>
  <c r="G27" i="37"/>
  <c r="G28" i="37"/>
  <c r="G29" i="37"/>
  <c r="G30" i="37"/>
  <c r="G31" i="37"/>
  <c r="G32" i="37"/>
  <c r="G33" i="37"/>
  <c r="G34" i="37"/>
  <c r="G35" i="37"/>
  <c r="G36" i="37"/>
  <c r="G37" i="37"/>
  <c r="G38" i="37"/>
  <c r="G39" i="37"/>
  <c r="G40" i="37"/>
  <c r="G41" i="37"/>
  <c r="G42" i="37"/>
  <c r="G43" i="37"/>
  <c r="G44" i="37"/>
  <c r="G45" i="37"/>
  <c r="G46" i="37"/>
  <c r="G47" i="37"/>
  <c r="G48" i="37"/>
  <c r="G49" i="37"/>
  <c r="G8" i="37"/>
  <c r="H9" i="37"/>
  <c r="H10" i="37"/>
  <c r="H11" i="37"/>
  <c r="H12" i="37"/>
  <c r="H13" i="37"/>
  <c r="H14" i="37"/>
  <c r="H15" i="37"/>
  <c r="H16" i="37"/>
  <c r="H17" i="37"/>
  <c r="H18" i="37"/>
  <c r="H19" i="37"/>
  <c r="H20" i="37"/>
  <c r="H21" i="37"/>
  <c r="H22" i="37"/>
  <c r="H23" i="37"/>
  <c r="H24" i="37"/>
  <c r="H25" i="37"/>
  <c r="H26" i="37"/>
  <c r="H27" i="37"/>
  <c r="H28" i="37"/>
  <c r="H29" i="37"/>
  <c r="H30" i="37"/>
  <c r="H31" i="37"/>
  <c r="H32" i="37"/>
  <c r="H33" i="37"/>
  <c r="H34" i="37"/>
  <c r="H35" i="37"/>
  <c r="H36" i="37"/>
  <c r="H37" i="37"/>
  <c r="H38" i="37"/>
  <c r="H39" i="37"/>
  <c r="H40" i="37"/>
  <c r="H41" i="37"/>
  <c r="H42" i="37"/>
  <c r="H43" i="37"/>
  <c r="H44" i="37"/>
  <c r="H45" i="37"/>
  <c r="H46" i="37"/>
  <c r="H47" i="37"/>
  <c r="H48" i="37"/>
  <c r="H49" i="37"/>
  <c r="H8" i="37"/>
  <c r="F49" i="48"/>
  <c r="I49" i="48"/>
  <c r="F49" i="38"/>
  <c r="I49" i="38" s="1"/>
  <c r="J49" i="40"/>
  <c r="F49" i="40"/>
  <c r="I49" i="40"/>
  <c r="F49" i="44"/>
  <c r="I49" i="44"/>
  <c r="F49" i="45"/>
  <c r="I49" i="45" s="1"/>
  <c r="J49" i="45" s="1"/>
  <c r="F49" i="47"/>
  <c r="I49" i="47" s="1"/>
  <c r="F49" i="39"/>
  <c r="I49" i="39" s="1"/>
  <c r="F49" i="52"/>
  <c r="I49" i="52" s="1"/>
  <c r="F49" i="46"/>
  <c r="I49" i="46"/>
  <c r="J49" i="46" s="1"/>
  <c r="F49" i="43"/>
  <c r="I49" i="43" s="1"/>
  <c r="F49" i="25"/>
  <c r="I49" i="25" s="1"/>
  <c r="F8" i="40"/>
  <c r="I8" i="40" s="1"/>
  <c r="J8" i="40" s="1"/>
  <c r="F9" i="40"/>
  <c r="I9" i="40" s="1"/>
  <c r="F10" i="40"/>
  <c r="I10" i="40" s="1"/>
  <c r="F11" i="40"/>
  <c r="I11" i="40" s="1"/>
  <c r="F12" i="40"/>
  <c r="I12" i="40" s="1"/>
  <c r="F13" i="40"/>
  <c r="I13" i="40" s="1"/>
  <c r="F14" i="40"/>
  <c r="I14" i="40" s="1"/>
  <c r="J15" i="40"/>
  <c r="F15" i="40"/>
  <c r="I15" i="40" s="1"/>
  <c r="F16" i="40"/>
  <c r="I16" i="40" s="1"/>
  <c r="F17" i="40"/>
  <c r="I17" i="40" s="1"/>
  <c r="F18" i="40"/>
  <c r="I18" i="40" s="1"/>
  <c r="F19" i="40"/>
  <c r="I19" i="40" s="1"/>
  <c r="F20" i="40"/>
  <c r="I20" i="40" s="1"/>
  <c r="F21" i="40"/>
  <c r="I21" i="40" s="1"/>
  <c r="F22" i="40"/>
  <c r="I22" i="40" s="1"/>
  <c r="F23" i="40"/>
  <c r="I23" i="40" s="1"/>
  <c r="F24" i="40"/>
  <c r="I24" i="40" s="1"/>
  <c r="F25" i="40"/>
  <c r="I25" i="40" s="1"/>
  <c r="F26" i="40"/>
  <c r="I26" i="40"/>
  <c r="J26" i="40" s="1"/>
  <c r="E24" i="24" s="1"/>
  <c r="J27" i="40"/>
  <c r="K27" i="40" s="1"/>
  <c r="F27" i="40"/>
  <c r="I27" i="40"/>
  <c r="F28" i="40"/>
  <c r="I28" i="40"/>
  <c r="J29" i="40"/>
  <c r="F29" i="40"/>
  <c r="I29" i="40"/>
  <c r="F30" i="40"/>
  <c r="I30" i="40"/>
  <c r="J31" i="40"/>
  <c r="F31" i="40"/>
  <c r="I31" i="40"/>
  <c r="F32" i="40"/>
  <c r="I32" i="40"/>
  <c r="J32" i="40"/>
  <c r="E30" i="24" s="1"/>
  <c r="F33" i="40"/>
  <c r="I33" i="40"/>
  <c r="F34" i="40"/>
  <c r="I34" i="40" s="1"/>
  <c r="F35" i="40"/>
  <c r="I35" i="40" s="1"/>
  <c r="F36" i="40"/>
  <c r="I36" i="40"/>
  <c r="F37" i="40"/>
  <c r="I37" i="40"/>
  <c r="F38" i="40"/>
  <c r="I38" i="40"/>
  <c r="F39" i="40"/>
  <c r="I39" i="40" s="1"/>
  <c r="F40" i="40"/>
  <c r="I40" i="40"/>
  <c r="F41" i="40"/>
  <c r="I41" i="40"/>
  <c r="F42" i="40"/>
  <c r="I42" i="40" s="1"/>
  <c r="F43" i="40"/>
  <c r="I43" i="40" s="1"/>
  <c r="F44" i="40"/>
  <c r="I44" i="40"/>
  <c r="F45" i="40"/>
  <c r="I45" i="40"/>
  <c r="F46" i="40"/>
  <c r="I46" i="40"/>
  <c r="F47" i="40"/>
  <c r="I47" i="40" s="1"/>
  <c r="F48" i="40"/>
  <c r="I48" i="40" s="1"/>
  <c r="F48" i="25"/>
  <c r="I48" i="25" s="1"/>
  <c r="F48" i="38"/>
  <c r="I48" i="38" s="1"/>
  <c r="F48" i="39"/>
  <c r="I48" i="39" s="1"/>
  <c r="F48" i="43"/>
  <c r="I48" i="43" s="1"/>
  <c r="F48" i="44"/>
  <c r="I48" i="44" s="1"/>
  <c r="F48" i="45"/>
  <c r="I48" i="45" s="1"/>
  <c r="F48" i="46"/>
  <c r="I48" i="46" s="1"/>
  <c r="F48" i="52"/>
  <c r="I48" i="52"/>
  <c r="F48" i="47"/>
  <c r="I48" i="47" s="1"/>
  <c r="J48" i="47" s="1"/>
  <c r="F48" i="48"/>
  <c r="I48" i="48"/>
  <c r="F47" i="25"/>
  <c r="I47" i="25" s="1"/>
  <c r="F47" i="38"/>
  <c r="I47" i="38" s="1"/>
  <c r="F47" i="39"/>
  <c r="I47" i="39" s="1"/>
  <c r="F47" i="43"/>
  <c r="I47" i="43" s="1"/>
  <c r="F47" i="44"/>
  <c r="I47" i="44" s="1"/>
  <c r="F47" i="45"/>
  <c r="I47" i="45" s="1"/>
  <c r="F47" i="46"/>
  <c r="I47" i="46" s="1"/>
  <c r="J47" i="52"/>
  <c r="J45" i="24" s="1"/>
  <c r="F47" i="52"/>
  <c r="I47" i="52"/>
  <c r="F47" i="47"/>
  <c r="I47" i="47"/>
  <c r="J47" i="47" s="1"/>
  <c r="K47" i="47" s="1"/>
  <c r="K45" i="53" s="1"/>
  <c r="F47" i="48"/>
  <c r="I47" i="48"/>
  <c r="J46" i="25"/>
  <c r="B44" i="24" s="1"/>
  <c r="F46" i="25"/>
  <c r="I46" i="25" s="1"/>
  <c r="F46" i="38"/>
  <c r="I46" i="38" s="1"/>
  <c r="J46" i="38" s="1"/>
  <c r="C44" i="24" s="1"/>
  <c r="F46" i="39"/>
  <c r="I46" i="39" s="1"/>
  <c r="F46" i="43"/>
  <c r="I46" i="43" s="1"/>
  <c r="F46" i="44"/>
  <c r="I46" i="44" s="1"/>
  <c r="F46" i="45"/>
  <c r="I46" i="45" s="1"/>
  <c r="F46" i="46"/>
  <c r="I46" i="46" s="1"/>
  <c r="F46" i="52"/>
  <c r="I46" i="52"/>
  <c r="F46" i="47"/>
  <c r="I46" i="47" s="1"/>
  <c r="J46" i="47" s="1"/>
  <c r="K46" i="47" s="1"/>
  <c r="K44" i="53" s="1"/>
  <c r="F46" i="48"/>
  <c r="I46" i="48"/>
  <c r="J30" i="48"/>
  <c r="L28" i="24" s="1"/>
  <c r="J44" i="52"/>
  <c r="J14" i="38"/>
  <c r="J42" i="44"/>
  <c r="G40" i="24" s="1"/>
  <c r="J41" i="44"/>
  <c r="K41" i="44" s="1"/>
  <c r="G39" i="53" s="1"/>
  <c r="J23" i="44"/>
  <c r="J12" i="44"/>
  <c r="K12" i="44" s="1"/>
  <c r="G10" i="53" s="1"/>
  <c r="F45" i="25"/>
  <c r="I45" i="25" s="1"/>
  <c r="F45" i="38"/>
  <c r="I45" i="38" s="1"/>
  <c r="J45" i="38" s="1"/>
  <c r="K45" i="38" s="1"/>
  <c r="C43" i="53" s="1"/>
  <c r="F45" i="39"/>
  <c r="I45" i="39" s="1"/>
  <c r="J45" i="39" s="1"/>
  <c r="K45" i="39" s="1"/>
  <c r="D43" i="53" s="1"/>
  <c r="F45" i="43"/>
  <c r="I45" i="43" s="1"/>
  <c r="J45" i="43" s="1"/>
  <c r="F45" i="44"/>
  <c r="I45" i="44"/>
  <c r="J45" i="44" s="1"/>
  <c r="K45" i="44" s="1"/>
  <c r="G43" i="53" s="1"/>
  <c r="F45" i="45"/>
  <c r="I45" i="45" s="1"/>
  <c r="F45" i="46"/>
  <c r="I45" i="46" s="1"/>
  <c r="F45" i="52"/>
  <c r="I45" i="52"/>
  <c r="F45" i="47"/>
  <c r="I45" i="47" s="1"/>
  <c r="F45" i="48"/>
  <c r="I45" i="48" s="1"/>
  <c r="F38" i="25"/>
  <c r="I38" i="25" s="1"/>
  <c r="F38" i="38"/>
  <c r="I38" i="38" s="1"/>
  <c r="F38" i="39"/>
  <c r="I38" i="39" s="1"/>
  <c r="F38" i="43"/>
  <c r="I38" i="43" s="1"/>
  <c r="F38" i="44"/>
  <c r="I38" i="44" s="1"/>
  <c r="F38" i="45"/>
  <c r="I38" i="45" s="1"/>
  <c r="F38" i="46"/>
  <c r="I38" i="46" s="1"/>
  <c r="F38" i="52"/>
  <c r="I38" i="52" s="1"/>
  <c r="F38" i="47"/>
  <c r="I38" i="47" s="1"/>
  <c r="F38" i="48"/>
  <c r="I38" i="48" s="1"/>
  <c r="F39" i="25"/>
  <c r="I39" i="25" s="1"/>
  <c r="J39" i="25" s="1"/>
  <c r="B37" i="24" s="1"/>
  <c r="F39" i="38"/>
  <c r="I39" i="38" s="1"/>
  <c r="F39" i="39"/>
  <c r="I39" i="39" s="1"/>
  <c r="J39" i="39" s="1"/>
  <c r="F39" i="43"/>
  <c r="I39" i="43" s="1"/>
  <c r="F39" i="44"/>
  <c r="I39" i="44"/>
  <c r="F39" i="45"/>
  <c r="I39" i="45" s="1"/>
  <c r="F39" i="46"/>
  <c r="I39" i="46" s="1"/>
  <c r="F39" i="52"/>
  <c r="I39" i="52" s="1"/>
  <c r="F39" i="47"/>
  <c r="I39" i="47" s="1"/>
  <c r="J39" i="47" s="1"/>
  <c r="K37" i="24" s="1"/>
  <c r="F39" i="48"/>
  <c r="I39" i="48" s="1"/>
  <c r="F40" i="25"/>
  <c r="I40" i="25" s="1"/>
  <c r="F40" i="38"/>
  <c r="I40" i="38" s="1"/>
  <c r="F40" i="39"/>
  <c r="I40" i="39" s="1"/>
  <c r="J40" i="39" s="1"/>
  <c r="K40" i="39" s="1"/>
  <c r="D38" i="53" s="1"/>
  <c r="F40" i="43"/>
  <c r="I40" i="43"/>
  <c r="F40" i="44"/>
  <c r="I40" i="44"/>
  <c r="F40" i="45"/>
  <c r="I40" i="45" s="1"/>
  <c r="F40" i="46"/>
  <c r="I40" i="46" s="1"/>
  <c r="F40" i="52"/>
  <c r="I40" i="52"/>
  <c r="J40" i="52" s="1"/>
  <c r="K40" i="52" s="1"/>
  <c r="J38" i="53" s="1"/>
  <c r="F40" i="47"/>
  <c r="I40" i="47" s="1"/>
  <c r="J40" i="47" s="1"/>
  <c r="K38" i="24" s="1"/>
  <c r="F40" i="48"/>
  <c r="I40" i="48" s="1"/>
  <c r="F41" i="25"/>
  <c r="I41" i="25" s="1"/>
  <c r="F41" i="38"/>
  <c r="I41" i="38" s="1"/>
  <c r="F41" i="39"/>
  <c r="I41" i="39" s="1"/>
  <c r="F41" i="43"/>
  <c r="I41" i="43" s="1"/>
  <c r="F41" i="44"/>
  <c r="I41" i="44"/>
  <c r="F41" i="45"/>
  <c r="I41" i="45" s="1"/>
  <c r="F41" i="46"/>
  <c r="I41" i="46" s="1"/>
  <c r="F41" i="52"/>
  <c r="I41" i="52"/>
  <c r="J41" i="52" s="1"/>
  <c r="J39" i="24" s="1"/>
  <c r="F41" i="47"/>
  <c r="I41" i="47" s="1"/>
  <c r="F41" i="48"/>
  <c r="I41" i="48"/>
  <c r="L39" i="24"/>
  <c r="F42" i="25"/>
  <c r="I42" i="25" s="1"/>
  <c r="F42" i="38"/>
  <c r="I42" i="38" s="1"/>
  <c r="J42" i="38" s="1"/>
  <c r="K42" i="38" s="1"/>
  <c r="C40" i="53" s="1"/>
  <c r="F42" i="39"/>
  <c r="I42" i="39"/>
  <c r="F42" i="43"/>
  <c r="I42" i="43" s="1"/>
  <c r="F42" i="44"/>
  <c r="I42" i="44" s="1"/>
  <c r="F42" i="45"/>
  <c r="I42" i="45"/>
  <c r="F42" i="46"/>
  <c r="I42" i="46" s="1"/>
  <c r="F42" i="52"/>
  <c r="I42" i="52" s="1"/>
  <c r="F42" i="47"/>
  <c r="I42" i="47" s="1"/>
  <c r="F42" i="48"/>
  <c r="I42" i="48" s="1"/>
  <c r="F43" i="25"/>
  <c r="I43" i="25" s="1"/>
  <c r="F43" i="38"/>
  <c r="I43" i="38" s="1"/>
  <c r="J43" i="38" s="1"/>
  <c r="C41" i="24" s="1"/>
  <c r="F43" i="39"/>
  <c r="I43" i="39" s="1"/>
  <c r="F43" i="43"/>
  <c r="I43" i="43" s="1"/>
  <c r="F43" i="44"/>
  <c r="I43" i="44" s="1"/>
  <c r="F43" i="45"/>
  <c r="I43" i="45" s="1"/>
  <c r="J43" i="45"/>
  <c r="K43" i="45" s="1"/>
  <c r="H41" i="53" s="1"/>
  <c r="F43" i="46"/>
  <c r="I43" i="46"/>
  <c r="J43" i="46" s="1"/>
  <c r="I41" i="24" s="1"/>
  <c r="F43" i="52"/>
  <c r="I43" i="52"/>
  <c r="F43" i="47"/>
  <c r="I43" i="47" s="1"/>
  <c r="J43" i="47" s="1"/>
  <c r="K43" i="47" s="1"/>
  <c r="K41" i="53" s="1"/>
  <c r="F43" i="48"/>
  <c r="I43" i="48"/>
  <c r="F44" i="25"/>
  <c r="I44" i="25" s="1"/>
  <c r="F44" i="38"/>
  <c r="I44" i="38" s="1"/>
  <c r="J44" i="38" s="1"/>
  <c r="C42" i="24" s="1"/>
  <c r="F44" i="39"/>
  <c r="I44" i="39" s="1"/>
  <c r="F44" i="43"/>
  <c r="I44" i="43" s="1"/>
  <c r="J44" i="43" s="1"/>
  <c r="K44" i="43" s="1"/>
  <c r="F42" i="53" s="1"/>
  <c r="F44" i="44"/>
  <c r="I44" i="44"/>
  <c r="F44" i="45"/>
  <c r="I44" i="45" s="1"/>
  <c r="J44" i="45" s="1"/>
  <c r="H42" i="24" s="1"/>
  <c r="F44" i="46"/>
  <c r="I44" i="46" s="1"/>
  <c r="F44" i="52"/>
  <c r="I44" i="52"/>
  <c r="F44" i="47"/>
  <c r="I44" i="47" s="1"/>
  <c r="J44" i="47" s="1"/>
  <c r="K44" i="47" s="1"/>
  <c r="K42" i="53" s="1"/>
  <c r="F44" i="48"/>
  <c r="I44" i="48"/>
  <c r="F8" i="52"/>
  <c r="I8" i="52"/>
  <c r="F37" i="52"/>
  <c r="I37" i="52"/>
  <c r="F36" i="52"/>
  <c r="I36" i="52"/>
  <c r="F35" i="52"/>
  <c r="I35" i="52"/>
  <c r="F34" i="52"/>
  <c r="I34" i="52" s="1"/>
  <c r="F33" i="52"/>
  <c r="I33" i="52" s="1"/>
  <c r="J33" i="52" s="1"/>
  <c r="K33" i="52" s="1"/>
  <c r="J31" i="53" s="1"/>
  <c r="F32" i="52"/>
  <c r="I32" i="52" s="1"/>
  <c r="F31" i="52"/>
  <c r="I31" i="52" s="1"/>
  <c r="F30" i="52"/>
  <c r="I30" i="52"/>
  <c r="F29" i="52"/>
  <c r="I29" i="52"/>
  <c r="J29" i="52" s="1"/>
  <c r="F28" i="52"/>
  <c r="I28" i="52"/>
  <c r="J28" i="52" s="1"/>
  <c r="J26" i="24" s="1"/>
  <c r="F27" i="52"/>
  <c r="I27" i="52" s="1"/>
  <c r="F26" i="52"/>
  <c r="I26" i="52"/>
  <c r="F25" i="52"/>
  <c r="I25" i="52"/>
  <c r="F24" i="52"/>
  <c r="I24" i="52"/>
  <c r="F23" i="52"/>
  <c r="I23" i="52" s="1"/>
  <c r="J23" i="52" s="1"/>
  <c r="K23" i="52" s="1"/>
  <c r="J21" i="53" s="1"/>
  <c r="F22" i="52"/>
  <c r="I22" i="52"/>
  <c r="J22" i="52" s="1"/>
  <c r="K22" i="52" s="1"/>
  <c r="J20" i="53" s="1"/>
  <c r="F21" i="52"/>
  <c r="I21" i="52"/>
  <c r="F20" i="52"/>
  <c r="I20" i="52"/>
  <c r="F19" i="52"/>
  <c r="I19" i="52" s="1"/>
  <c r="F18" i="52"/>
  <c r="I18" i="52" s="1"/>
  <c r="F17" i="52"/>
  <c r="I17" i="52"/>
  <c r="J17" i="52" s="1"/>
  <c r="F16" i="52"/>
  <c r="I16" i="52" s="1"/>
  <c r="F15" i="52"/>
  <c r="I15" i="52" s="1"/>
  <c r="F14" i="52"/>
  <c r="I14" i="52" s="1"/>
  <c r="F13" i="52"/>
  <c r="I13" i="52" s="1"/>
  <c r="F12" i="52"/>
  <c r="I12" i="52" s="1"/>
  <c r="F11" i="52"/>
  <c r="I11" i="52"/>
  <c r="F10" i="52"/>
  <c r="I10" i="52" s="1"/>
  <c r="J10" i="52"/>
  <c r="K10" i="52" s="1"/>
  <c r="F9" i="52"/>
  <c r="I9" i="52" s="1"/>
  <c r="J9" i="52" s="1"/>
  <c r="J7" i="24" s="1"/>
  <c r="F37" i="43"/>
  <c r="I37" i="43" s="1"/>
  <c r="F34" i="43"/>
  <c r="I34" i="43" s="1"/>
  <c r="F9" i="47"/>
  <c r="I9" i="47" s="1"/>
  <c r="F10" i="47"/>
  <c r="I10" i="47" s="1"/>
  <c r="F11" i="47"/>
  <c r="I11" i="47" s="1"/>
  <c r="F12" i="47"/>
  <c r="I12" i="47" s="1"/>
  <c r="F13" i="47"/>
  <c r="I13" i="47" s="1"/>
  <c r="F14" i="47"/>
  <c r="I14" i="47" s="1"/>
  <c r="F15" i="47"/>
  <c r="I15" i="47" s="1"/>
  <c r="J15" i="47" s="1"/>
  <c r="K13" i="24" s="1"/>
  <c r="F16" i="47"/>
  <c r="I16" i="47" s="1"/>
  <c r="J16" i="47" s="1"/>
  <c r="F17" i="47"/>
  <c r="I17" i="47" s="1"/>
  <c r="F18" i="47"/>
  <c r="I18" i="47" s="1"/>
  <c r="F19" i="47"/>
  <c r="I19" i="47" s="1"/>
  <c r="F20" i="47"/>
  <c r="I20" i="47" s="1"/>
  <c r="F21" i="47"/>
  <c r="I21" i="47" s="1"/>
  <c r="F22" i="47"/>
  <c r="I22" i="47" s="1"/>
  <c r="F23" i="47"/>
  <c r="I23" i="47" s="1"/>
  <c r="F24" i="47"/>
  <c r="I24" i="47" s="1"/>
  <c r="F25" i="47"/>
  <c r="I25" i="47" s="1"/>
  <c r="F26" i="47"/>
  <c r="I26" i="47" s="1"/>
  <c r="F27" i="47"/>
  <c r="I27" i="47" s="1"/>
  <c r="J27" i="47" s="1"/>
  <c r="F28" i="47"/>
  <c r="I28" i="47" s="1"/>
  <c r="J28" i="47" s="1"/>
  <c r="K26" i="24" s="1"/>
  <c r="F29" i="47"/>
  <c r="I29" i="47" s="1"/>
  <c r="F30" i="47"/>
  <c r="I30" i="47" s="1"/>
  <c r="F31" i="47"/>
  <c r="I31" i="47" s="1"/>
  <c r="F32" i="47"/>
  <c r="I32" i="47" s="1"/>
  <c r="J32" i="47" s="1"/>
  <c r="K32" i="47" s="1"/>
  <c r="K30" i="53" s="1"/>
  <c r="F33" i="47"/>
  <c r="I33" i="47"/>
  <c r="F34" i="47"/>
  <c r="I34" i="47" s="1"/>
  <c r="F35" i="47"/>
  <c r="I35" i="47" s="1"/>
  <c r="F36" i="47"/>
  <c r="I36" i="47" s="1"/>
  <c r="F37" i="47"/>
  <c r="I37" i="47" s="1"/>
  <c r="F8" i="47"/>
  <c r="I8" i="47" s="1"/>
  <c r="J8" i="47"/>
  <c r="K8" i="47" s="1"/>
  <c r="K6" i="53" s="1"/>
  <c r="F9" i="39"/>
  <c r="I9" i="39" s="1"/>
  <c r="F10" i="39"/>
  <c r="I10" i="39" s="1"/>
  <c r="F11" i="39"/>
  <c r="I11" i="39" s="1"/>
  <c r="J11" i="39" s="1"/>
  <c r="K11" i="39" s="1"/>
  <c r="D9" i="53" s="1"/>
  <c r="F12" i="39"/>
  <c r="I12" i="39" s="1"/>
  <c r="F13" i="39"/>
  <c r="I13" i="39"/>
  <c r="F14" i="39"/>
  <c r="I14" i="39" s="1"/>
  <c r="F15" i="39"/>
  <c r="I15" i="39" s="1"/>
  <c r="J15" i="39" s="1"/>
  <c r="D13" i="24" s="1"/>
  <c r="F16" i="39"/>
  <c r="I16" i="39" s="1"/>
  <c r="F17" i="39"/>
  <c r="I17" i="39" s="1"/>
  <c r="J17" i="39" s="1"/>
  <c r="F18" i="39"/>
  <c r="I18" i="39" s="1"/>
  <c r="F19" i="39"/>
  <c r="I19" i="39" s="1"/>
  <c r="F20" i="39"/>
  <c r="I20" i="39" s="1"/>
  <c r="F21" i="39"/>
  <c r="I21" i="39"/>
  <c r="F22" i="39"/>
  <c r="I22" i="39" s="1"/>
  <c r="F23" i="39"/>
  <c r="I23" i="39"/>
  <c r="J23" i="39" s="1"/>
  <c r="K23" i="39" s="1"/>
  <c r="D21" i="53" s="1"/>
  <c r="F24" i="39"/>
  <c r="I24" i="39" s="1"/>
  <c r="F25" i="39"/>
  <c r="I25" i="39" s="1"/>
  <c r="J25" i="39" s="1"/>
  <c r="D23" i="24" s="1"/>
  <c r="F26" i="39"/>
  <c r="I26" i="39"/>
  <c r="J26" i="39" s="1"/>
  <c r="K26" i="39" s="1"/>
  <c r="D24" i="53" s="1"/>
  <c r="F27" i="39"/>
  <c r="I27" i="39" s="1"/>
  <c r="J27" i="39" s="1"/>
  <c r="K27" i="39" s="1"/>
  <c r="D25" i="53" s="1"/>
  <c r="F28" i="39"/>
  <c r="I28" i="39" s="1"/>
  <c r="F29" i="39"/>
  <c r="I29" i="39" s="1"/>
  <c r="F30" i="39"/>
  <c r="I30" i="39"/>
  <c r="F31" i="39"/>
  <c r="I31" i="39" s="1"/>
  <c r="J31" i="39" s="1"/>
  <c r="F32" i="39"/>
  <c r="I32" i="39" s="1"/>
  <c r="F33" i="39"/>
  <c r="I33" i="39" s="1"/>
  <c r="F34" i="39"/>
  <c r="I34" i="39" s="1"/>
  <c r="F35" i="39"/>
  <c r="I35" i="39" s="1"/>
  <c r="F36" i="39"/>
  <c r="I36" i="39" s="1"/>
  <c r="F37" i="39"/>
  <c r="I37" i="39" s="1"/>
  <c r="F8" i="39"/>
  <c r="I8" i="39" s="1"/>
  <c r="J8" i="39" s="1"/>
  <c r="K8" i="39" s="1"/>
  <c r="D6" i="53" s="1"/>
  <c r="F9" i="38"/>
  <c r="I9" i="38"/>
  <c r="J9" i="38" s="1"/>
  <c r="C7" i="24" s="1"/>
  <c r="F10" i="38"/>
  <c r="I10" i="38" s="1"/>
  <c r="J10" i="38" s="1"/>
  <c r="C8" i="24" s="1"/>
  <c r="F11" i="38"/>
  <c r="I11" i="38" s="1"/>
  <c r="F12" i="38"/>
  <c r="I12" i="38" s="1"/>
  <c r="J12" i="38" s="1"/>
  <c r="F13" i="38"/>
  <c r="I13" i="38" s="1"/>
  <c r="F14" i="38"/>
  <c r="I14" i="38" s="1"/>
  <c r="F15" i="38"/>
  <c r="I15" i="38" s="1"/>
  <c r="F16" i="38"/>
  <c r="I16" i="38" s="1"/>
  <c r="F17" i="38"/>
  <c r="I17" i="38" s="1"/>
  <c r="J17" i="38" s="1"/>
  <c r="C15" i="24" s="1"/>
  <c r="F18" i="38"/>
  <c r="I18" i="38" s="1"/>
  <c r="J18" i="38" s="1"/>
  <c r="C16" i="24" s="1"/>
  <c r="F19" i="38"/>
  <c r="I19" i="38" s="1"/>
  <c r="F20" i="38"/>
  <c r="I20" i="38" s="1"/>
  <c r="J20" i="38" s="1"/>
  <c r="C18" i="24" s="1"/>
  <c r="F21" i="38"/>
  <c r="I21" i="38" s="1"/>
  <c r="J21" i="38" s="1"/>
  <c r="F22" i="38"/>
  <c r="I22" i="38" s="1"/>
  <c r="J22" i="38" s="1"/>
  <c r="F23" i="38"/>
  <c r="I23" i="38" s="1"/>
  <c r="F24" i="38"/>
  <c r="I24" i="38" s="1"/>
  <c r="J24" i="38" s="1"/>
  <c r="K24" i="38" s="1"/>
  <c r="C22" i="53" s="1"/>
  <c r="F25" i="38"/>
  <c r="I25" i="38"/>
  <c r="F26" i="38"/>
  <c r="I26" i="38" s="1"/>
  <c r="J26" i="38" s="1"/>
  <c r="F27" i="38"/>
  <c r="I27" i="38"/>
  <c r="J27" i="38" s="1"/>
  <c r="F28" i="38"/>
  <c r="I28" i="38"/>
  <c r="F29" i="38"/>
  <c r="I29" i="38" s="1"/>
  <c r="F30" i="38"/>
  <c r="I30" i="38" s="1"/>
  <c r="J30" i="38" s="1"/>
  <c r="C28" i="24" s="1"/>
  <c r="F31" i="38"/>
  <c r="I31" i="38" s="1"/>
  <c r="J31" i="38" s="1"/>
  <c r="F32" i="38"/>
  <c r="I32" i="38" s="1"/>
  <c r="F33" i="38"/>
  <c r="I33" i="38" s="1"/>
  <c r="J33" i="38" s="1"/>
  <c r="C31" i="24" s="1"/>
  <c r="F34" i="38"/>
  <c r="I34" i="38" s="1"/>
  <c r="J34" i="38" s="1"/>
  <c r="K34" i="38" s="1"/>
  <c r="C32" i="53" s="1"/>
  <c r="F35" i="38"/>
  <c r="I35" i="38"/>
  <c r="F36" i="38"/>
  <c r="I36" i="38" s="1"/>
  <c r="J36" i="38" s="1"/>
  <c r="C34" i="24" s="1"/>
  <c r="F37" i="38"/>
  <c r="I37" i="38" s="1"/>
  <c r="F8" i="38"/>
  <c r="I8" i="38" s="1"/>
  <c r="F9" i="43"/>
  <c r="I9" i="43" s="1"/>
  <c r="J9" i="43" s="1"/>
  <c r="F7" i="24" s="1"/>
  <c r="F10" i="43"/>
  <c r="I10" i="43" s="1"/>
  <c r="F11" i="43"/>
  <c r="I11" i="43" s="1"/>
  <c r="F12" i="43"/>
  <c r="I12" i="43" s="1"/>
  <c r="F13" i="43"/>
  <c r="I13" i="43" s="1"/>
  <c r="F14" i="43"/>
  <c r="I14" i="43" s="1"/>
  <c r="F15" i="43"/>
  <c r="I15" i="43" s="1"/>
  <c r="J15" i="43" s="1"/>
  <c r="F16" i="43"/>
  <c r="I16" i="43" s="1"/>
  <c r="F17" i="43"/>
  <c r="I17" i="43" s="1"/>
  <c r="F18" i="43"/>
  <c r="I18" i="43" s="1"/>
  <c r="F19" i="43"/>
  <c r="I19" i="43" s="1"/>
  <c r="F20" i="43"/>
  <c r="I20" i="43" s="1"/>
  <c r="F21" i="43"/>
  <c r="I21" i="43" s="1"/>
  <c r="F22" i="43"/>
  <c r="I22" i="43" s="1"/>
  <c r="J22" i="43" s="1"/>
  <c r="K22" i="43" s="1"/>
  <c r="F20" i="53" s="1"/>
  <c r="F23" i="43"/>
  <c r="I23" i="43" s="1"/>
  <c r="F24" i="43"/>
  <c r="I24" i="43" s="1"/>
  <c r="F25" i="43"/>
  <c r="I25" i="43" s="1"/>
  <c r="F26" i="43"/>
  <c r="I26" i="43" s="1"/>
  <c r="F27" i="43"/>
  <c r="I27" i="43" s="1"/>
  <c r="J27" i="43" s="1"/>
  <c r="K27" i="43" s="1"/>
  <c r="F25" i="53" s="1"/>
  <c r="F28" i="43"/>
  <c r="I28" i="43" s="1"/>
  <c r="F29" i="43"/>
  <c r="I29" i="43" s="1"/>
  <c r="F30" i="43"/>
  <c r="I30" i="43"/>
  <c r="F31" i="43"/>
  <c r="I31" i="43"/>
  <c r="J31" i="43" s="1"/>
  <c r="K31" i="43" s="1"/>
  <c r="F29" i="53" s="1"/>
  <c r="F32" i="43"/>
  <c r="I32" i="43" s="1"/>
  <c r="F33" i="43"/>
  <c r="I33" i="43" s="1"/>
  <c r="J33" i="43" s="1"/>
  <c r="F35" i="43"/>
  <c r="I35" i="43" s="1"/>
  <c r="F36" i="43"/>
  <c r="I36" i="43" s="1"/>
  <c r="F9" i="44"/>
  <c r="I9" i="44" s="1"/>
  <c r="F10" i="44"/>
  <c r="I10" i="44"/>
  <c r="J10" i="44" s="1"/>
  <c r="K10" i="44" s="1"/>
  <c r="G8" i="53" s="1"/>
  <c r="F11" i="44"/>
  <c r="I11" i="44" s="1"/>
  <c r="F12" i="44"/>
  <c r="I12" i="44" s="1"/>
  <c r="F13" i="44"/>
  <c r="I13" i="44" s="1"/>
  <c r="J13" i="44" s="1"/>
  <c r="F14" i="44"/>
  <c r="I14" i="44" s="1"/>
  <c r="F15" i="44"/>
  <c r="I15" i="44" s="1"/>
  <c r="F16" i="44"/>
  <c r="I16" i="44"/>
  <c r="F17" i="44"/>
  <c r="I17" i="44"/>
  <c r="J17" i="44" s="1"/>
  <c r="G15" i="24" s="1"/>
  <c r="F18" i="44"/>
  <c r="I18" i="44"/>
  <c r="F19" i="44"/>
  <c r="I19" i="44"/>
  <c r="F20" i="44"/>
  <c r="I20" i="44"/>
  <c r="F21" i="44"/>
  <c r="I21" i="44"/>
  <c r="J21" i="44" s="1"/>
  <c r="F22" i="44"/>
  <c r="I22" i="44" s="1"/>
  <c r="F23" i="44"/>
  <c r="I23" i="44" s="1"/>
  <c r="F24" i="44"/>
  <c r="I24" i="44" s="1"/>
  <c r="F25" i="44"/>
  <c r="I25" i="44"/>
  <c r="J25" i="44" s="1"/>
  <c r="K25" i="44" s="1"/>
  <c r="G23" i="53" s="1"/>
  <c r="F26" i="44"/>
  <c r="I26" i="44" s="1"/>
  <c r="F27" i="44"/>
  <c r="I27" i="44"/>
  <c r="F28" i="44"/>
  <c r="I28" i="44" s="1"/>
  <c r="F29" i="44"/>
  <c r="I29" i="44" s="1"/>
  <c r="F30" i="44"/>
  <c r="I30" i="44" s="1"/>
  <c r="F31" i="44"/>
  <c r="I31" i="44"/>
  <c r="F32" i="44"/>
  <c r="I32" i="44"/>
  <c r="F33" i="44"/>
  <c r="I33" i="44" s="1"/>
  <c r="J33" i="44" s="1"/>
  <c r="K33" i="44" s="1"/>
  <c r="G31" i="53" s="1"/>
  <c r="F34" i="44"/>
  <c r="I34" i="44"/>
  <c r="F35" i="44"/>
  <c r="I35" i="44"/>
  <c r="F36" i="44"/>
  <c r="I36" i="44" s="1"/>
  <c r="F37" i="44"/>
  <c r="I37" i="44" s="1"/>
  <c r="J37" i="44"/>
  <c r="G35" i="24" s="1"/>
  <c r="F9" i="45"/>
  <c r="I9" i="45" s="1"/>
  <c r="F10" i="45"/>
  <c r="I10" i="45" s="1"/>
  <c r="F11" i="45"/>
  <c r="I11" i="45" s="1"/>
  <c r="F12" i="45"/>
  <c r="I12" i="45" s="1"/>
  <c r="J12" i="45" s="1"/>
  <c r="F13" i="45"/>
  <c r="I13" i="45" s="1"/>
  <c r="J13" i="45" s="1"/>
  <c r="F14" i="45"/>
  <c r="I14" i="45" s="1"/>
  <c r="F15" i="45"/>
  <c r="I15" i="45" s="1"/>
  <c r="F16" i="45"/>
  <c r="I16" i="45" s="1"/>
  <c r="F17" i="45"/>
  <c r="I17" i="45" s="1"/>
  <c r="F18" i="45"/>
  <c r="I18" i="45" s="1"/>
  <c r="F19" i="45"/>
  <c r="I19" i="45" s="1"/>
  <c r="F20" i="45"/>
  <c r="I20" i="45" s="1"/>
  <c r="J20" i="45" s="1"/>
  <c r="F21" i="45"/>
  <c r="I21" i="45" s="1"/>
  <c r="J21" i="45" s="1"/>
  <c r="F22" i="45"/>
  <c r="I22" i="45" s="1"/>
  <c r="F23" i="45"/>
  <c r="I23" i="45"/>
  <c r="J23" i="45" s="1"/>
  <c r="H21" i="24" s="1"/>
  <c r="F24" i="45"/>
  <c r="I24" i="45" s="1"/>
  <c r="J24" i="45" s="1"/>
  <c r="F25" i="45"/>
  <c r="I25" i="45" s="1"/>
  <c r="J25" i="45"/>
  <c r="K25" i="45" s="1"/>
  <c r="H23" i="53" s="1"/>
  <c r="F26" i="45"/>
  <c r="I26" i="45" s="1"/>
  <c r="F27" i="45"/>
  <c r="I27" i="45" s="1"/>
  <c r="F28" i="45"/>
  <c r="I28" i="45" s="1"/>
  <c r="F29" i="45"/>
  <c r="I29" i="45" s="1"/>
  <c r="F30" i="45"/>
  <c r="I30" i="45" s="1"/>
  <c r="F31" i="45"/>
  <c r="I31" i="45"/>
  <c r="J31" i="45" s="1"/>
  <c r="H29" i="24" s="1"/>
  <c r="F32" i="45"/>
  <c r="I32" i="45" s="1"/>
  <c r="J32" i="45" s="1"/>
  <c r="K32" i="45" s="1"/>
  <c r="H30" i="53" s="1"/>
  <c r="F33" i="45"/>
  <c r="I33" i="45" s="1"/>
  <c r="F34" i="45"/>
  <c r="I34" i="45" s="1"/>
  <c r="F35" i="45"/>
  <c r="I35" i="45" s="1"/>
  <c r="F36" i="45"/>
  <c r="I36" i="45" s="1"/>
  <c r="J36" i="45" s="1"/>
  <c r="K36" i="45" s="1"/>
  <c r="H34" i="53" s="1"/>
  <c r="F37" i="45"/>
  <c r="I37" i="45" s="1"/>
  <c r="J37" i="45" s="1"/>
  <c r="K37" i="45" s="1"/>
  <c r="H35" i="53" s="1"/>
  <c r="F9" i="46"/>
  <c r="I9" i="46" s="1"/>
  <c r="J9" i="46" s="1"/>
  <c r="K9" i="46" s="1"/>
  <c r="I7" i="53" s="1"/>
  <c r="F10" i="46"/>
  <c r="I10" i="46" s="1"/>
  <c r="F11" i="46"/>
  <c r="I11" i="46" s="1"/>
  <c r="J11" i="46" s="1"/>
  <c r="K11" i="46" s="1"/>
  <c r="I9" i="53" s="1"/>
  <c r="F12" i="46"/>
  <c r="I12" i="46" s="1"/>
  <c r="F13" i="46"/>
  <c r="I13" i="46" s="1"/>
  <c r="F14" i="46"/>
  <c r="I14" i="46" s="1"/>
  <c r="F15" i="46"/>
  <c r="I15" i="46" s="1"/>
  <c r="J15" i="46" s="1"/>
  <c r="I13" i="24" s="1"/>
  <c r="F16" i="46"/>
  <c r="I16" i="46" s="1"/>
  <c r="F17" i="46"/>
  <c r="I17" i="46" s="1"/>
  <c r="F18" i="46"/>
  <c r="I18" i="46" s="1"/>
  <c r="J18" i="46" s="1"/>
  <c r="F19" i="46"/>
  <c r="I19" i="46" s="1"/>
  <c r="J19" i="46" s="1"/>
  <c r="F20" i="46"/>
  <c r="I20" i="46"/>
  <c r="F21" i="46"/>
  <c r="I21" i="46" s="1"/>
  <c r="F22" i="46"/>
  <c r="I22" i="46" s="1"/>
  <c r="J22" i="46" s="1"/>
  <c r="F23" i="46"/>
  <c r="I23" i="46" s="1"/>
  <c r="J23" i="46" s="1"/>
  <c r="I21" i="24" s="1"/>
  <c r="F24" i="46"/>
  <c r="I24" i="46" s="1"/>
  <c r="F25" i="46"/>
  <c r="I25" i="46" s="1"/>
  <c r="F26" i="46"/>
  <c r="I26" i="46" s="1"/>
  <c r="F27" i="46"/>
  <c r="I27" i="46" s="1"/>
  <c r="F28" i="46"/>
  <c r="I28" i="46" s="1"/>
  <c r="F29" i="46"/>
  <c r="I29" i="46" s="1"/>
  <c r="F30" i="46"/>
  <c r="I30" i="46" s="1"/>
  <c r="F31" i="46"/>
  <c r="I31" i="46"/>
  <c r="J31" i="46" s="1"/>
  <c r="I29" i="24" s="1"/>
  <c r="F32" i="46"/>
  <c r="I32" i="46" s="1"/>
  <c r="J32" i="46" s="1"/>
  <c r="F33" i="46"/>
  <c r="I33" i="46" s="1"/>
  <c r="F34" i="46"/>
  <c r="I34" i="46" s="1"/>
  <c r="F35" i="46"/>
  <c r="I35" i="46" s="1"/>
  <c r="F36" i="46"/>
  <c r="I36" i="46" s="1"/>
  <c r="F37" i="46"/>
  <c r="I37" i="46" s="1"/>
  <c r="F9" i="48"/>
  <c r="I9" i="48"/>
  <c r="F10" i="48"/>
  <c r="I10" i="48"/>
  <c r="F11" i="48"/>
  <c r="I11" i="48"/>
  <c r="F12" i="48"/>
  <c r="I12" i="48" s="1"/>
  <c r="F13" i="48"/>
  <c r="I13" i="48"/>
  <c r="F14" i="48"/>
  <c r="I14" i="48"/>
  <c r="J14" i="48" s="1"/>
  <c r="L12" i="24" s="1"/>
  <c r="F15" i="48"/>
  <c r="I15" i="48"/>
  <c r="J15" i="48" s="1"/>
  <c r="L13" i="24" s="1"/>
  <c r="F16" i="48"/>
  <c r="I16" i="48" s="1"/>
  <c r="F17" i="48"/>
  <c r="I17" i="48" s="1"/>
  <c r="F18" i="48"/>
  <c r="I18" i="48" s="1"/>
  <c r="F19" i="48"/>
  <c r="I19" i="48"/>
  <c r="J19" i="48" s="1"/>
  <c r="K19" i="48" s="1"/>
  <c r="L17" i="53" s="1"/>
  <c r="F20" i="48"/>
  <c r="I20" i="48"/>
  <c r="J20" i="48" s="1"/>
  <c r="F21" i="48"/>
  <c r="I21" i="48" s="1"/>
  <c r="F22" i="48"/>
  <c r="I22" i="48" s="1"/>
  <c r="F23" i="48"/>
  <c r="I23" i="48" s="1"/>
  <c r="F24" i="48"/>
  <c r="I24" i="48"/>
  <c r="F25" i="48"/>
  <c r="I25" i="48"/>
  <c r="F26" i="48"/>
  <c r="I26" i="48"/>
  <c r="J26" i="48" s="1"/>
  <c r="L24" i="24" s="1"/>
  <c r="F27" i="48"/>
  <c r="I27" i="48"/>
  <c r="J27" i="48" s="1"/>
  <c r="K27" i="48" s="1"/>
  <c r="L25" i="53" s="1"/>
  <c r="F28" i="48"/>
  <c r="I28" i="48" s="1"/>
  <c r="F29" i="48"/>
  <c r="I29" i="48" s="1"/>
  <c r="F30" i="48"/>
  <c r="I30" i="48" s="1"/>
  <c r="F31" i="48"/>
  <c r="I31" i="48" s="1"/>
  <c r="J31" i="48" s="1"/>
  <c r="L29" i="24" s="1"/>
  <c r="F32" i="48"/>
  <c r="I32" i="48"/>
  <c r="J32" i="48" s="1"/>
  <c r="F33" i="48"/>
  <c r="I33" i="48"/>
  <c r="F34" i="48"/>
  <c r="I34" i="48" s="1"/>
  <c r="F35" i="48"/>
  <c r="I35" i="48" s="1"/>
  <c r="F36" i="48"/>
  <c r="I36" i="48" s="1"/>
  <c r="F37" i="48"/>
  <c r="I37" i="48" s="1"/>
  <c r="K37" i="48"/>
  <c r="L35" i="53"/>
  <c r="F9" i="25"/>
  <c r="I9" i="25"/>
  <c r="F10" i="25"/>
  <c r="I10" i="25" s="1"/>
  <c r="F11" i="25"/>
  <c r="I11" i="25" s="1"/>
  <c r="F12" i="25"/>
  <c r="I12" i="25" s="1"/>
  <c r="F13" i="25"/>
  <c r="I13" i="25" s="1"/>
  <c r="F14" i="25"/>
  <c r="I14" i="25" s="1"/>
  <c r="F15" i="25"/>
  <c r="I15" i="25" s="1"/>
  <c r="F16" i="25"/>
  <c r="I16" i="25"/>
  <c r="F17" i="25"/>
  <c r="I17" i="25" s="1"/>
  <c r="J17" i="25" s="1"/>
  <c r="F18" i="25"/>
  <c r="I18" i="25" s="1"/>
  <c r="J18" i="25" s="1"/>
  <c r="F19" i="25"/>
  <c r="I19" i="25"/>
  <c r="F20" i="25"/>
  <c r="I20" i="25" s="1"/>
  <c r="F21" i="25"/>
  <c r="I21" i="25" s="1"/>
  <c r="F22" i="25"/>
  <c r="I22" i="25" s="1"/>
  <c r="F23" i="25"/>
  <c r="I23" i="25"/>
  <c r="F24" i="25"/>
  <c r="I24" i="25"/>
  <c r="J24" i="25" s="1"/>
  <c r="K24" i="25" s="1"/>
  <c r="B22" i="53" s="1"/>
  <c r="F25" i="25"/>
  <c r="I25" i="25" s="1"/>
  <c r="J25" i="25" s="1"/>
  <c r="F26" i="25"/>
  <c r="I26" i="25"/>
  <c r="F27" i="25"/>
  <c r="I27" i="25" s="1"/>
  <c r="F28" i="25"/>
  <c r="I28" i="25" s="1"/>
  <c r="J28" i="25" s="1"/>
  <c r="F29" i="25"/>
  <c r="I29" i="25" s="1"/>
  <c r="J29" i="25"/>
  <c r="K29" i="25" s="1"/>
  <c r="B27" i="53" s="1"/>
  <c r="F30" i="25"/>
  <c r="I30" i="25" s="1"/>
  <c r="F31" i="25"/>
  <c r="I31" i="25" s="1"/>
  <c r="F32" i="25"/>
  <c r="I32" i="25" s="1"/>
  <c r="F33" i="25"/>
  <c r="I33" i="25"/>
  <c r="F34" i="25"/>
  <c r="I34" i="25" s="1"/>
  <c r="F35" i="25"/>
  <c r="I35" i="25" s="1"/>
  <c r="J35" i="25" s="1"/>
  <c r="F36" i="25"/>
  <c r="I36" i="25"/>
  <c r="J36" i="25" s="1"/>
  <c r="F37" i="25"/>
  <c r="I37" i="25"/>
  <c r="F8" i="43"/>
  <c r="I8" i="43" s="1"/>
  <c r="F8" i="44"/>
  <c r="I8" i="44"/>
  <c r="J8" i="44" s="1"/>
  <c r="K8" i="44" s="1"/>
  <c r="G6" i="53" s="1"/>
  <c r="F8" i="45"/>
  <c r="I8" i="45" s="1"/>
  <c r="J8" i="45" s="1"/>
  <c r="F8" i="46"/>
  <c r="I8" i="46" s="1"/>
  <c r="J8" i="46" s="1"/>
  <c r="F8" i="48"/>
  <c r="I8" i="48" s="1"/>
  <c r="J8" i="48" s="1"/>
  <c r="F8" i="25"/>
  <c r="I8" i="25"/>
  <c r="L34" i="24"/>
  <c r="K36" i="48"/>
  <c r="L34" i="53" s="1"/>
  <c r="K44" i="48"/>
  <c r="L42" i="53" s="1"/>
  <c r="K45" i="48"/>
  <c r="L43" i="53" s="1"/>
  <c r="L40" i="24"/>
  <c r="L38" i="24"/>
  <c r="K40" i="48"/>
  <c r="L38" i="53"/>
  <c r="L46" i="24"/>
  <c r="L47" i="24"/>
  <c r="L37" i="24"/>
  <c r="K39" i="48"/>
  <c r="L37" i="53"/>
  <c r="L43" i="24"/>
  <c r="K41" i="48"/>
  <c r="L39" i="53" s="1"/>
  <c r="K49" i="48"/>
  <c r="L47" i="53"/>
  <c r="L42" i="24"/>
  <c r="K43" i="48"/>
  <c r="L41" i="53" s="1"/>
  <c r="L41" i="24"/>
  <c r="K42" i="48"/>
  <c r="L40" i="53" s="1"/>
  <c r="K38" i="48"/>
  <c r="L36" i="53" s="1"/>
  <c r="L36" i="24"/>
  <c r="L44" i="24"/>
  <c r="L45" i="24"/>
  <c r="K47" i="48"/>
  <c r="L45" i="53" s="1"/>
  <c r="L35" i="24"/>
  <c r="K48" i="48"/>
  <c r="L46" i="53"/>
  <c r="K50" i="48"/>
  <c r="L48" i="53" s="1"/>
  <c r="L48" i="24"/>
  <c r="K51" i="48"/>
  <c r="L49" i="53" s="1"/>
  <c r="L49" i="24"/>
  <c r="K46" i="48"/>
  <c r="L44" i="53"/>
  <c r="J21" i="52"/>
  <c r="J19" i="24" s="1"/>
  <c r="J12" i="25"/>
  <c r="J41" i="25"/>
  <c r="J16" i="25"/>
  <c r="K16" i="25" s="1"/>
  <c r="B14" i="53" s="1"/>
  <c r="J40" i="25"/>
  <c r="K40" i="25" s="1"/>
  <c r="B38" i="53" s="1"/>
  <c r="L18" i="24"/>
  <c r="K20" i="48"/>
  <c r="L18" i="53" s="1"/>
  <c r="K6" i="24"/>
  <c r="J20" i="24"/>
  <c r="K29" i="52"/>
  <c r="J27" i="53" s="1"/>
  <c r="J27" i="24"/>
  <c r="K21" i="44"/>
  <c r="G19" i="53" s="1"/>
  <c r="G19" i="24"/>
  <c r="F25" i="24"/>
  <c r="F43" i="24"/>
  <c r="K45" i="43"/>
  <c r="F43" i="53" s="1"/>
  <c r="E6" i="24"/>
  <c r="K8" i="40"/>
  <c r="E6" i="53" s="1"/>
  <c r="J22" i="39"/>
  <c r="K22" i="39" s="1"/>
  <c r="D20" i="53" s="1"/>
  <c r="J16" i="39"/>
  <c r="K16" i="39" s="1"/>
  <c r="D14" i="53" s="1"/>
  <c r="J28" i="39"/>
  <c r="K28" i="39" s="1"/>
  <c r="D26" i="53" s="1"/>
  <c r="J35" i="38"/>
  <c r="C33" i="24" s="1"/>
  <c r="J41" i="38"/>
  <c r="K41" i="38" s="1"/>
  <c r="C39" i="53" s="1"/>
  <c r="K18" i="38"/>
  <c r="C16" i="53" s="1"/>
  <c r="J23" i="38"/>
  <c r="C21" i="24" s="1"/>
  <c r="K19" i="46" l="1"/>
  <c r="I17" i="53" s="1"/>
  <c r="I17" i="24"/>
  <c r="I42" i="37"/>
  <c r="I43" i="37"/>
  <c r="I9" i="24"/>
  <c r="H18" i="24"/>
  <c r="K20" i="45"/>
  <c r="H18" i="53" s="1"/>
  <c r="I46" i="37"/>
  <c r="J46" i="45"/>
  <c r="K51" i="45"/>
  <c r="H49" i="53" s="1"/>
  <c r="H49" i="24"/>
  <c r="H6" i="24"/>
  <c r="K8" i="45"/>
  <c r="H6" i="53" s="1"/>
  <c r="I23" i="37"/>
  <c r="I41" i="37"/>
  <c r="K15" i="43"/>
  <c r="F13" i="53" s="1"/>
  <c r="F13" i="24"/>
  <c r="I13" i="37"/>
  <c r="I44" i="37"/>
  <c r="J37" i="39"/>
  <c r="I37" i="37"/>
  <c r="I45" i="37"/>
  <c r="I31" i="37"/>
  <c r="I30" i="37"/>
  <c r="C20" i="24"/>
  <c r="K22" i="38"/>
  <c r="C20" i="53" s="1"/>
  <c r="J39" i="38"/>
  <c r="I39" i="37"/>
  <c r="I26" i="37"/>
  <c r="F37" i="37"/>
  <c r="F25" i="37"/>
  <c r="F13" i="37"/>
  <c r="K35" i="38"/>
  <c r="C33" i="53" s="1"/>
  <c r="I16" i="37"/>
  <c r="I22" i="37"/>
  <c r="J38" i="25"/>
  <c r="K38" i="25" s="1"/>
  <c r="B36" i="53" s="1"/>
  <c r="I38" i="37"/>
  <c r="I27" i="37"/>
  <c r="I20" i="37"/>
  <c r="J45" i="25"/>
  <c r="K45" i="25" s="1"/>
  <c r="B43" i="53" s="1"/>
  <c r="I19" i="37"/>
  <c r="I32" i="37"/>
  <c r="I24" i="37"/>
  <c r="I25" i="37"/>
  <c r="I34" i="37"/>
  <c r="I47" i="37"/>
  <c r="I29" i="37"/>
  <c r="F39" i="37"/>
  <c r="F45" i="37"/>
  <c r="F27" i="37"/>
  <c r="K41" i="52"/>
  <c r="J39" i="53" s="1"/>
  <c r="J21" i="48"/>
  <c r="J21" i="24"/>
  <c r="D38" i="24"/>
  <c r="D26" i="24"/>
  <c r="J16" i="46"/>
  <c r="K16" i="46" s="1"/>
  <c r="I14" i="53" s="1"/>
  <c r="J24" i="47"/>
  <c r="K24" i="47" s="1"/>
  <c r="K22" i="53" s="1"/>
  <c r="J21" i="25"/>
  <c r="J35" i="48"/>
  <c r="K35" i="48" s="1"/>
  <c r="L33" i="53" s="1"/>
  <c r="I50" i="24"/>
  <c r="K44" i="24"/>
  <c r="J20" i="25"/>
  <c r="B18" i="24" s="1"/>
  <c r="L25" i="24"/>
  <c r="J33" i="48"/>
  <c r="K33" i="48" s="1"/>
  <c r="L31" i="53" s="1"/>
  <c r="J15" i="44"/>
  <c r="G13" i="24" s="1"/>
  <c r="J35" i="52"/>
  <c r="J33" i="24" s="1"/>
  <c r="J9" i="48"/>
  <c r="L7" i="24" s="1"/>
  <c r="J12" i="47"/>
  <c r="K12" i="47" s="1"/>
  <c r="K10" i="53" s="1"/>
  <c r="J11" i="52"/>
  <c r="J29" i="44"/>
  <c r="G27" i="24" s="1"/>
  <c r="J11" i="48"/>
  <c r="K11" i="48" s="1"/>
  <c r="L9" i="53" s="1"/>
  <c r="K30" i="38"/>
  <c r="C28" i="53" s="1"/>
  <c r="G39" i="24"/>
  <c r="J36" i="47"/>
  <c r="K36" i="47" s="1"/>
  <c r="K34" i="53" s="1"/>
  <c r="J55" i="25"/>
  <c r="J23" i="48"/>
  <c r="L21" i="24" s="1"/>
  <c r="J27" i="44"/>
  <c r="G25" i="24" s="1"/>
  <c r="J37" i="52"/>
  <c r="K30" i="24"/>
  <c r="H41" i="24"/>
  <c r="J25" i="46"/>
  <c r="D20" i="24"/>
  <c r="H30" i="24"/>
  <c r="K39" i="47"/>
  <c r="K37" i="53" s="1"/>
  <c r="J32" i="38"/>
  <c r="K32" i="38" s="1"/>
  <c r="C30" i="53" s="1"/>
  <c r="J9" i="44"/>
  <c r="K9" i="44" s="1"/>
  <c r="G7" i="53" s="1"/>
  <c r="F20" i="24"/>
  <c r="J22" i="45"/>
  <c r="J10" i="43"/>
  <c r="F8" i="24" s="1"/>
  <c r="K14" i="48"/>
  <c r="L12" i="53" s="1"/>
  <c r="J24" i="44"/>
  <c r="G22" i="24" s="1"/>
  <c r="J34" i="43"/>
  <c r="K34" i="43" s="1"/>
  <c r="F32" i="53" s="1"/>
  <c r="J34" i="45"/>
  <c r="J39" i="40"/>
  <c r="J55" i="43"/>
  <c r="K55" i="43" s="1"/>
  <c r="F53" i="53" s="1"/>
  <c r="J12" i="43"/>
  <c r="K12" i="43" s="1"/>
  <c r="F10" i="53" s="1"/>
  <c r="K44" i="45"/>
  <c r="H42" i="53" s="1"/>
  <c r="J21" i="46"/>
  <c r="I19" i="24" s="1"/>
  <c r="J35" i="39"/>
  <c r="D33" i="24" s="1"/>
  <c r="J17" i="48"/>
  <c r="K17" i="48" s="1"/>
  <c r="L15" i="53" s="1"/>
  <c r="K17" i="38"/>
  <c r="C15" i="53" s="1"/>
  <c r="L31" i="24"/>
  <c r="J50" i="39"/>
  <c r="K50" i="39" s="1"/>
  <c r="D48" i="53" s="1"/>
  <c r="D21" i="24"/>
  <c r="K23" i="44"/>
  <c r="G21" i="53" s="1"/>
  <c r="G21" i="24"/>
  <c r="C19" i="24"/>
  <c r="K21" i="38"/>
  <c r="C19" i="53" s="1"/>
  <c r="K25" i="25"/>
  <c r="B23" i="53" s="1"/>
  <c r="B23" i="24"/>
  <c r="H19" i="24"/>
  <c r="K21" i="45"/>
  <c r="H19" i="53" s="1"/>
  <c r="K37" i="39"/>
  <c r="D35" i="53" s="1"/>
  <c r="D35" i="24"/>
  <c r="C29" i="24"/>
  <c r="K31" i="38"/>
  <c r="C29" i="53" s="1"/>
  <c r="D14" i="24"/>
  <c r="G43" i="24"/>
  <c r="J11" i="45"/>
  <c r="H9" i="24" s="1"/>
  <c r="J36" i="43"/>
  <c r="K36" i="43" s="1"/>
  <c r="F34" i="53" s="1"/>
  <c r="J18" i="47"/>
  <c r="J43" i="52"/>
  <c r="J42" i="47"/>
  <c r="J57" i="43"/>
  <c r="J58" i="40"/>
  <c r="K58" i="40" s="1"/>
  <c r="G8" i="24"/>
  <c r="J10" i="46"/>
  <c r="J10" i="45"/>
  <c r="J35" i="43"/>
  <c r="J13" i="39"/>
  <c r="C40" i="24"/>
  <c r="K43" i="38"/>
  <c r="C41" i="53" s="1"/>
  <c r="G31" i="24"/>
  <c r="K41" i="24"/>
  <c r="J37" i="25"/>
  <c r="K37" i="25" s="1"/>
  <c r="B35" i="53" s="1"/>
  <c r="J22" i="44"/>
  <c r="J8" i="38"/>
  <c r="J52" i="44"/>
  <c r="J11" i="43"/>
  <c r="J29" i="48"/>
  <c r="J34" i="46"/>
  <c r="J12" i="39"/>
  <c r="G23" i="24"/>
  <c r="J15" i="25"/>
  <c r="B13" i="24" s="1"/>
  <c r="J31" i="52"/>
  <c r="J29" i="24" s="1"/>
  <c r="J56" i="47"/>
  <c r="K54" i="24" s="1"/>
  <c r="G6" i="24"/>
  <c r="L15" i="24"/>
  <c r="J33" i="46"/>
  <c r="J36" i="44"/>
  <c r="J24" i="43"/>
  <c r="J31" i="47"/>
  <c r="J32" i="52"/>
  <c r="J55" i="46"/>
  <c r="C43" i="24"/>
  <c r="J35" i="44"/>
  <c r="G33" i="24" s="1"/>
  <c r="J52" i="52"/>
  <c r="K28" i="52"/>
  <c r="J26" i="53" s="1"/>
  <c r="K28" i="47"/>
  <c r="K26" i="53" s="1"/>
  <c r="J27" i="25"/>
  <c r="B25" i="24" s="1"/>
  <c r="J23" i="43"/>
  <c r="F21" i="24" s="1"/>
  <c r="J30" i="47"/>
  <c r="K28" i="24" s="1"/>
  <c r="J46" i="52"/>
  <c r="J20" i="46"/>
  <c r="J18" i="48"/>
  <c r="J35" i="45"/>
  <c r="J11" i="44"/>
  <c r="J13" i="43"/>
  <c r="J47" i="40"/>
  <c r="C37" i="24"/>
  <c r="K39" i="38"/>
  <c r="C37" i="53" s="1"/>
  <c r="G51" i="24"/>
  <c r="K53" i="44"/>
  <c r="G51" i="53" s="1"/>
  <c r="J8" i="24"/>
  <c r="J38" i="24"/>
  <c r="B38" i="24"/>
  <c r="K15" i="46"/>
  <c r="I13" i="53" s="1"/>
  <c r="J31" i="24"/>
  <c r="K39" i="25"/>
  <c r="B37" i="53" s="1"/>
  <c r="J29" i="45"/>
  <c r="K29" i="45" s="1"/>
  <c r="H27" i="53" s="1"/>
  <c r="J9" i="25"/>
  <c r="B7" i="24" s="1"/>
  <c r="J19" i="43"/>
  <c r="F17" i="24" s="1"/>
  <c r="D24" i="24"/>
  <c r="J14" i="52"/>
  <c r="J51" i="47"/>
  <c r="K25" i="39"/>
  <c r="D23" i="53" s="1"/>
  <c r="L9" i="24"/>
  <c r="J18" i="45"/>
  <c r="H16" i="24" s="1"/>
  <c r="F42" i="24"/>
  <c r="K9" i="52"/>
  <c r="J7" i="53" s="1"/>
  <c r="K26" i="48"/>
  <c r="L24" i="53" s="1"/>
  <c r="K23" i="46"/>
  <c r="I21" i="53" s="1"/>
  <c r="J17" i="45"/>
  <c r="H15" i="24" s="1"/>
  <c r="J46" i="44"/>
  <c r="J47" i="45"/>
  <c r="J49" i="52"/>
  <c r="J50" i="45"/>
  <c r="K50" i="45" s="1"/>
  <c r="H48" i="53" s="1"/>
  <c r="J58" i="44"/>
  <c r="F33" i="37"/>
  <c r="F9" i="37"/>
  <c r="J52" i="47"/>
  <c r="K50" i="24" s="1"/>
  <c r="J22" i="47"/>
  <c r="F15" i="37"/>
  <c r="J21" i="47"/>
  <c r="K21" i="47" s="1"/>
  <c r="K19" i="53" s="1"/>
  <c r="K50" i="47"/>
  <c r="K48" i="53" s="1"/>
  <c r="K42" i="24"/>
  <c r="J9" i="47"/>
  <c r="J24" i="46"/>
  <c r="I22" i="24" s="1"/>
  <c r="J13" i="46"/>
  <c r="I7" i="24"/>
  <c r="J37" i="46"/>
  <c r="I48" i="24"/>
  <c r="K50" i="46"/>
  <c r="I48" i="53" s="1"/>
  <c r="J48" i="46"/>
  <c r="K43" i="46"/>
  <c r="I41" i="53" s="1"/>
  <c r="J45" i="46"/>
  <c r="K51" i="46"/>
  <c r="I49" i="53" s="1"/>
  <c r="J40" i="46"/>
  <c r="J12" i="46"/>
  <c r="K12" i="46" s="1"/>
  <c r="I10" i="53" s="1"/>
  <c r="J28" i="46"/>
  <c r="F41" i="37"/>
  <c r="J36" i="46"/>
  <c r="I34" i="24" s="1"/>
  <c r="H44" i="24"/>
  <c r="K46" i="45"/>
  <c r="H44" i="53" s="1"/>
  <c r="J41" i="45"/>
  <c r="J52" i="45"/>
  <c r="J57" i="45"/>
  <c r="H55" i="24" s="1"/>
  <c r="K23" i="45"/>
  <c r="H21" i="53" s="1"/>
  <c r="J28" i="45"/>
  <c r="J14" i="45"/>
  <c r="J26" i="45"/>
  <c r="J16" i="45"/>
  <c r="H34" i="24"/>
  <c r="J53" i="45"/>
  <c r="J16" i="43"/>
  <c r="J14" i="43"/>
  <c r="J38" i="43"/>
  <c r="J56" i="43"/>
  <c r="F54" i="24" s="1"/>
  <c r="J28" i="43"/>
  <c r="J48" i="43"/>
  <c r="F46" i="24" s="1"/>
  <c r="J26" i="43"/>
  <c r="J40" i="43"/>
  <c r="K17" i="39"/>
  <c r="D15" i="53" s="1"/>
  <c r="D15" i="24"/>
  <c r="D37" i="24"/>
  <c r="K39" i="39"/>
  <c r="D37" i="53" s="1"/>
  <c r="D29" i="24"/>
  <c r="K31" i="39"/>
  <c r="D29" i="53" s="1"/>
  <c r="K35" i="39"/>
  <c r="D33" i="53" s="1"/>
  <c r="D6" i="24"/>
  <c r="J43" i="39"/>
  <c r="D9" i="24"/>
  <c r="J41" i="39"/>
  <c r="J47" i="39"/>
  <c r="K14" i="38"/>
  <c r="C12" i="53" s="1"/>
  <c r="C12" i="24"/>
  <c r="K26" i="38"/>
  <c r="C24" i="53" s="1"/>
  <c r="C24" i="24"/>
  <c r="C10" i="24"/>
  <c r="K12" i="38"/>
  <c r="C10" i="53" s="1"/>
  <c r="J48" i="38"/>
  <c r="K48" i="38" s="1"/>
  <c r="C46" i="53" s="1"/>
  <c r="K46" i="38"/>
  <c r="C44" i="53" s="1"/>
  <c r="K23" i="38"/>
  <c r="C21" i="53" s="1"/>
  <c r="J32" i="25"/>
  <c r="K32" i="25" s="1"/>
  <c r="B30" i="53" s="1"/>
  <c r="J42" i="25"/>
  <c r="F8" i="37"/>
  <c r="F26" i="37"/>
  <c r="F14" i="37"/>
  <c r="J52" i="25"/>
  <c r="K52" i="25" s="1"/>
  <c r="B50" i="53" s="1"/>
  <c r="J8" i="25"/>
  <c r="B6" i="24" s="1"/>
  <c r="F31" i="37"/>
  <c r="F19" i="37"/>
  <c r="J19" i="25"/>
  <c r="K19" i="25" s="1"/>
  <c r="B17" i="53" s="1"/>
  <c r="B43" i="24"/>
  <c r="H32" i="24"/>
  <c r="K34" i="45"/>
  <c r="H32" i="53" s="1"/>
  <c r="H11" i="24"/>
  <c r="K13" i="45"/>
  <c r="H11" i="53" s="1"/>
  <c r="K29" i="48"/>
  <c r="L27" i="53" s="1"/>
  <c r="L27" i="24"/>
  <c r="K18" i="46"/>
  <c r="I16" i="53" s="1"/>
  <c r="I16" i="24"/>
  <c r="F31" i="24"/>
  <c r="K33" i="43"/>
  <c r="F31" i="53" s="1"/>
  <c r="K27" i="47"/>
  <c r="K25" i="53" s="1"/>
  <c r="K25" i="24"/>
  <c r="J35" i="46"/>
  <c r="I35" i="37"/>
  <c r="B34" i="24"/>
  <c r="K36" i="25"/>
  <c r="B34" i="53" s="1"/>
  <c r="K12" i="45"/>
  <c r="H10" i="53" s="1"/>
  <c r="H10" i="24"/>
  <c r="J14" i="25"/>
  <c r="I14" i="37"/>
  <c r="I20" i="24"/>
  <c r="K22" i="46"/>
  <c r="I20" i="53" s="1"/>
  <c r="K33" i="38"/>
  <c r="C31" i="53" s="1"/>
  <c r="K24" i="45"/>
  <c r="H22" i="53" s="1"/>
  <c r="H22" i="24"/>
  <c r="J47" i="24"/>
  <c r="K49" i="52"/>
  <c r="J47" i="53" s="1"/>
  <c r="K44" i="38"/>
  <c r="C42" i="53" s="1"/>
  <c r="K17" i="44"/>
  <c r="G15" i="53" s="1"/>
  <c r="K46" i="25"/>
  <c r="B44" i="53" s="1"/>
  <c r="B27" i="24"/>
  <c r="J20" i="47"/>
  <c r="K10" i="38"/>
  <c r="C8" i="53" s="1"/>
  <c r="I15" i="37"/>
  <c r="F10" i="24"/>
  <c r="K11" i="45"/>
  <c r="H9" i="53" s="1"/>
  <c r="B15" i="24"/>
  <c r="K17" i="25"/>
  <c r="B15" i="53" s="1"/>
  <c r="K21" i="48"/>
  <c r="L19" i="53" s="1"/>
  <c r="L19" i="24"/>
  <c r="K36" i="38"/>
  <c r="C34" i="53" s="1"/>
  <c r="G11" i="24"/>
  <c r="K13" i="44"/>
  <c r="G11" i="53" s="1"/>
  <c r="F20" i="37"/>
  <c r="I9" i="37"/>
  <c r="I21" i="37"/>
  <c r="K42" i="44"/>
  <c r="G40" i="53" s="1"/>
  <c r="K12" i="25"/>
  <c r="B10" i="53" s="1"/>
  <c r="B10" i="24"/>
  <c r="K15" i="39"/>
  <c r="D13" i="53" s="1"/>
  <c r="I28" i="37"/>
  <c r="I17" i="37"/>
  <c r="I33" i="37"/>
  <c r="K37" i="44"/>
  <c r="G35" i="53" s="1"/>
  <c r="H35" i="24"/>
  <c r="B22" i="24"/>
  <c r="B16" i="24"/>
  <c r="K18" i="25"/>
  <c r="B16" i="53" s="1"/>
  <c r="K31" i="45"/>
  <c r="H29" i="53" s="1"/>
  <c r="F22" i="24"/>
  <c r="K24" i="43"/>
  <c r="F22" i="53" s="1"/>
  <c r="I12" i="37"/>
  <c r="B26" i="24"/>
  <c r="K28" i="25"/>
  <c r="B26" i="53" s="1"/>
  <c r="K9" i="38"/>
  <c r="C7" i="53" s="1"/>
  <c r="I10" i="37"/>
  <c r="I8" i="37"/>
  <c r="I40" i="37"/>
  <c r="J30" i="25"/>
  <c r="I6" i="24"/>
  <c r="K8" i="46"/>
  <c r="I6" i="53" s="1"/>
  <c r="K26" i="40"/>
  <c r="E24" i="53" s="1"/>
  <c r="K15" i="47"/>
  <c r="K13" i="53" s="1"/>
  <c r="J26" i="25"/>
  <c r="K26" i="25" s="1"/>
  <c r="B24" i="53" s="1"/>
  <c r="I11" i="37"/>
  <c r="K15" i="48"/>
  <c r="L13" i="53" s="1"/>
  <c r="J42" i="24"/>
  <c r="K44" i="52"/>
  <c r="J42" i="53" s="1"/>
  <c r="K32" i="48"/>
  <c r="L30" i="53" s="1"/>
  <c r="L30" i="24"/>
  <c r="K18" i="48"/>
  <c r="L16" i="53" s="1"/>
  <c r="L16" i="24"/>
  <c r="I30" i="24"/>
  <c r="K32" i="46"/>
  <c r="I30" i="53" s="1"/>
  <c r="K16" i="47"/>
  <c r="K14" i="53" s="1"/>
  <c r="K14" i="24"/>
  <c r="B33" i="24"/>
  <c r="K35" i="25"/>
  <c r="B33" i="53" s="1"/>
  <c r="I18" i="37"/>
  <c r="I36" i="37"/>
  <c r="K45" i="24"/>
  <c r="K40" i="47"/>
  <c r="K38" i="53" s="1"/>
  <c r="K23" i="48"/>
  <c r="L21" i="53" s="1"/>
  <c r="J37" i="43"/>
  <c r="J47" i="43"/>
  <c r="K58" i="44"/>
  <c r="J8" i="52"/>
  <c r="J45" i="52"/>
  <c r="J19" i="40"/>
  <c r="K19" i="40" s="1"/>
  <c r="J19" i="47"/>
  <c r="J14" i="39"/>
  <c r="J19" i="52"/>
  <c r="J20" i="52"/>
  <c r="K20" i="52" s="1"/>
  <c r="J18" i="53" s="1"/>
  <c r="J44" i="25"/>
  <c r="J19" i="39"/>
  <c r="J18" i="43"/>
  <c r="J30" i="43"/>
  <c r="J42" i="43"/>
  <c r="J40" i="45"/>
  <c r="K40" i="45" s="1"/>
  <c r="H38" i="53" s="1"/>
  <c r="J27" i="46"/>
  <c r="J39" i="46"/>
  <c r="I37" i="24" s="1"/>
  <c r="J38" i="38"/>
  <c r="J13" i="52"/>
  <c r="J25" i="52"/>
  <c r="J25" i="43"/>
  <c r="J23" i="40"/>
  <c r="J11" i="40"/>
  <c r="J53" i="46"/>
  <c r="J38" i="39"/>
  <c r="J10" i="25"/>
  <c r="K10" i="25" s="1"/>
  <c r="J22" i="25"/>
  <c r="K22" i="25" s="1"/>
  <c r="B20" i="53" s="1"/>
  <c r="J34" i="25"/>
  <c r="B32" i="24" s="1"/>
  <c r="J9" i="39"/>
  <c r="J21" i="39"/>
  <c r="J33" i="39"/>
  <c r="J8" i="43"/>
  <c r="K8" i="43" s="1"/>
  <c r="F6" i="53" s="1"/>
  <c r="J20" i="43"/>
  <c r="J32" i="43"/>
  <c r="J19" i="44"/>
  <c r="G17" i="24" s="1"/>
  <c r="J31" i="44"/>
  <c r="J43" i="44"/>
  <c r="J30" i="45"/>
  <c r="J42" i="45"/>
  <c r="H40" i="24" s="1"/>
  <c r="J17" i="46"/>
  <c r="J29" i="46"/>
  <c r="J41" i="46"/>
  <c r="K41" i="46" s="1"/>
  <c r="I39" i="53" s="1"/>
  <c r="J16" i="38"/>
  <c r="J28" i="38"/>
  <c r="J40" i="38"/>
  <c r="J15" i="52"/>
  <c r="K15" i="52" s="1"/>
  <c r="J13" i="53" s="1"/>
  <c r="J27" i="52"/>
  <c r="J39" i="52"/>
  <c r="J14" i="47"/>
  <c r="K12" i="24" s="1"/>
  <c r="J26" i="47"/>
  <c r="J38" i="47"/>
  <c r="J46" i="40"/>
  <c r="K46" i="40" s="1"/>
  <c r="E44" i="53" s="1"/>
  <c r="J42" i="40"/>
  <c r="K42" i="40" s="1"/>
  <c r="E40" i="53" s="1"/>
  <c r="J38" i="40"/>
  <c r="J34" i="40"/>
  <c r="K34" i="40" s="1"/>
  <c r="J57" i="39"/>
  <c r="K57" i="39" s="1"/>
  <c r="D55" i="53" s="1"/>
  <c r="J39" i="43"/>
  <c r="J14" i="44"/>
  <c r="K14" i="44" s="1"/>
  <c r="J26" i="44"/>
  <c r="K26" i="44" s="1"/>
  <c r="J38" i="44"/>
  <c r="G36" i="24" s="1"/>
  <c r="J11" i="38"/>
  <c r="J34" i="52"/>
  <c r="J33" i="47"/>
  <c r="K31" i="24" s="1"/>
  <c r="J47" i="46"/>
  <c r="J30" i="40"/>
  <c r="J49" i="47"/>
  <c r="J55" i="40"/>
  <c r="K55" i="40" s="1"/>
  <c r="E53" i="53" s="1"/>
  <c r="J55" i="45"/>
  <c r="H53" i="24" s="1"/>
  <c r="J55" i="47"/>
  <c r="K55" i="47" s="1"/>
  <c r="K53" i="53" s="1"/>
  <c r="J58" i="52"/>
  <c r="K58" i="52" s="1"/>
  <c r="J29" i="39"/>
  <c r="K29" i="39" s="1"/>
  <c r="D27" i="53" s="1"/>
  <c r="J39" i="44"/>
  <c r="G37" i="24" s="1"/>
  <c r="J38" i="45"/>
  <c r="K38" i="45" s="1"/>
  <c r="H36" i="53" s="1"/>
  <c r="J10" i="47"/>
  <c r="K10" i="47" s="1"/>
  <c r="K8" i="53" s="1"/>
  <c r="J34" i="47"/>
  <c r="K32" i="24" s="1"/>
  <c r="J46" i="43"/>
  <c r="F44" i="24" s="1"/>
  <c r="J48" i="45"/>
  <c r="K48" i="45" s="1"/>
  <c r="H46" i="53" s="1"/>
  <c r="J22" i="40"/>
  <c r="E20" i="24" s="1"/>
  <c r="J18" i="40"/>
  <c r="K18" i="40" s="1"/>
  <c r="E16" i="53" s="1"/>
  <c r="J14" i="40"/>
  <c r="E12" i="24" s="1"/>
  <c r="J10" i="40"/>
  <c r="K10" i="40" s="1"/>
  <c r="E8" i="53" s="1"/>
  <c r="J50" i="40"/>
  <c r="E48" i="24" s="1"/>
  <c r="J53" i="43"/>
  <c r="F51" i="24" s="1"/>
  <c r="J54" i="45"/>
  <c r="K54" i="45" s="1"/>
  <c r="H52" i="53" s="1"/>
  <c r="J54" i="47"/>
  <c r="K52" i="24" s="1"/>
  <c r="J56" i="38"/>
  <c r="K56" i="38" s="1"/>
  <c r="C54" i="53" s="1"/>
  <c r="J57" i="40"/>
  <c r="K57" i="40" s="1"/>
  <c r="E55" i="53" s="1"/>
  <c r="J57" i="47"/>
  <c r="K57" i="47" s="1"/>
  <c r="K55" i="53" s="1"/>
  <c r="J31" i="25"/>
  <c r="J43" i="25"/>
  <c r="B41" i="24" s="1"/>
  <c r="J18" i="39"/>
  <c r="J30" i="39"/>
  <c r="K30" i="39" s="1"/>
  <c r="D28" i="53" s="1"/>
  <c r="J42" i="39"/>
  <c r="J17" i="43"/>
  <c r="F15" i="24" s="1"/>
  <c r="J29" i="43"/>
  <c r="J41" i="43"/>
  <c r="K41" i="43" s="1"/>
  <c r="F39" i="53" s="1"/>
  <c r="J16" i="44"/>
  <c r="K16" i="44" s="1"/>
  <c r="G14" i="53" s="1"/>
  <c r="J28" i="44"/>
  <c r="K28" i="44" s="1"/>
  <c r="G26" i="53" s="1"/>
  <c r="J40" i="44"/>
  <c r="K40" i="44" s="1"/>
  <c r="G38" i="53" s="1"/>
  <c r="J15" i="45"/>
  <c r="K15" i="45" s="1"/>
  <c r="H13" i="53" s="1"/>
  <c r="J27" i="45"/>
  <c r="K27" i="45" s="1"/>
  <c r="H25" i="53" s="1"/>
  <c r="J39" i="45"/>
  <c r="K39" i="45" s="1"/>
  <c r="H37" i="53" s="1"/>
  <c r="J14" i="46"/>
  <c r="K14" i="46" s="1"/>
  <c r="I12" i="53" s="1"/>
  <c r="J26" i="46"/>
  <c r="I24" i="24" s="1"/>
  <c r="J38" i="46"/>
  <c r="K38" i="46" s="1"/>
  <c r="I36" i="53" s="1"/>
  <c r="J13" i="38"/>
  <c r="K13" i="38" s="1"/>
  <c r="C11" i="53" s="1"/>
  <c r="J25" i="38"/>
  <c r="C23" i="24" s="1"/>
  <c r="J37" i="38"/>
  <c r="J12" i="52"/>
  <c r="J24" i="52"/>
  <c r="K24" i="52" s="1"/>
  <c r="J22" i="53" s="1"/>
  <c r="J36" i="52"/>
  <c r="J34" i="24" s="1"/>
  <c r="J11" i="47"/>
  <c r="K9" i="24" s="1"/>
  <c r="J23" i="47"/>
  <c r="K23" i="47" s="1"/>
  <c r="K21" i="53" s="1"/>
  <c r="J35" i="47"/>
  <c r="K33" i="24" s="1"/>
  <c r="J10" i="48"/>
  <c r="K10" i="48" s="1"/>
  <c r="L8" i="53" s="1"/>
  <c r="J22" i="48"/>
  <c r="L20" i="24" s="1"/>
  <c r="J34" i="48"/>
  <c r="J45" i="47"/>
  <c r="K45" i="47" s="1"/>
  <c r="K43" i="53" s="1"/>
  <c r="J46" i="46"/>
  <c r="J45" i="40"/>
  <c r="E43" i="24" s="1"/>
  <c r="J41" i="40"/>
  <c r="E39" i="24" s="1"/>
  <c r="J37" i="40"/>
  <c r="K37" i="40" s="1"/>
  <c r="J33" i="40"/>
  <c r="K33" i="40" s="1"/>
  <c r="E31" i="53" s="1"/>
  <c r="J33" i="25"/>
  <c r="K33" i="25" s="1"/>
  <c r="J20" i="39"/>
  <c r="J32" i="39"/>
  <c r="J44" i="39"/>
  <c r="J43" i="43"/>
  <c r="J18" i="44"/>
  <c r="J30" i="44"/>
  <c r="J15" i="38"/>
  <c r="C13" i="24" s="1"/>
  <c r="J26" i="52"/>
  <c r="K26" i="52" s="1"/>
  <c r="J24" i="53" s="1"/>
  <c r="J38" i="52"/>
  <c r="J13" i="47"/>
  <c r="J25" i="47"/>
  <c r="J37" i="47"/>
  <c r="J12" i="48"/>
  <c r="L10" i="24" s="1"/>
  <c r="J24" i="48"/>
  <c r="K24" i="48" s="1"/>
  <c r="L22" i="53" s="1"/>
  <c r="J46" i="39"/>
  <c r="J48" i="44"/>
  <c r="G46" i="24" s="1"/>
  <c r="J48" i="40"/>
  <c r="E46" i="24" s="1"/>
  <c r="J25" i="40"/>
  <c r="E23" i="24" s="1"/>
  <c r="J21" i="40"/>
  <c r="E19" i="24" s="1"/>
  <c r="J17" i="40"/>
  <c r="J13" i="40"/>
  <c r="E11" i="24" s="1"/>
  <c r="J9" i="40"/>
  <c r="E7" i="24" s="1"/>
  <c r="J53" i="52"/>
  <c r="J51" i="24" s="1"/>
  <c r="J56" i="52"/>
  <c r="J54" i="24" s="1"/>
  <c r="J13" i="48"/>
  <c r="J25" i="48"/>
  <c r="L23" i="24" s="1"/>
  <c r="J45" i="45"/>
  <c r="J47" i="38"/>
  <c r="J44" i="40"/>
  <c r="J40" i="40"/>
  <c r="J36" i="40"/>
  <c r="E34" i="24" s="1"/>
  <c r="J53" i="47"/>
  <c r="J54" i="38"/>
  <c r="K54" i="38" s="1"/>
  <c r="C52" i="53" s="1"/>
  <c r="J54" i="43"/>
  <c r="F52" i="24" s="1"/>
  <c r="J54" i="46"/>
  <c r="K54" i="46" s="1"/>
  <c r="I52" i="53" s="1"/>
  <c r="J57" i="44"/>
  <c r="G55" i="24" s="1"/>
  <c r="J11" i="25"/>
  <c r="B9" i="24" s="1"/>
  <c r="J23" i="25"/>
  <c r="J10" i="39"/>
  <c r="J34" i="39"/>
  <c r="J21" i="43"/>
  <c r="J20" i="44"/>
  <c r="J32" i="44"/>
  <c r="J44" i="44"/>
  <c r="J19" i="45"/>
  <c r="J30" i="46"/>
  <c r="I28" i="24" s="1"/>
  <c r="J42" i="46"/>
  <c r="J29" i="38"/>
  <c r="J16" i="52"/>
  <c r="J14" i="24" s="1"/>
  <c r="J48" i="52"/>
  <c r="J28" i="40"/>
  <c r="J49" i="44"/>
  <c r="K49" i="44" s="1"/>
  <c r="G47" i="53" s="1"/>
  <c r="J50" i="52"/>
  <c r="J48" i="24" s="1"/>
  <c r="J47" i="44"/>
  <c r="K47" i="44" s="1"/>
  <c r="J24" i="40"/>
  <c r="E22" i="24" s="1"/>
  <c r="J20" i="40"/>
  <c r="J16" i="40"/>
  <c r="J12" i="40"/>
  <c r="E10" i="24" s="1"/>
  <c r="F11" i="37"/>
  <c r="J13" i="25"/>
  <c r="J24" i="39"/>
  <c r="J36" i="39"/>
  <c r="J34" i="44"/>
  <c r="J9" i="45"/>
  <c r="J33" i="45"/>
  <c r="J44" i="46"/>
  <c r="K44" i="46" s="1"/>
  <c r="I42" i="53" s="1"/>
  <c r="J19" i="38"/>
  <c r="J18" i="52"/>
  <c r="J16" i="24" s="1"/>
  <c r="J30" i="52"/>
  <c r="K30" i="52" s="1"/>
  <c r="J42" i="52"/>
  <c r="K42" i="52" s="1"/>
  <c r="J17" i="47"/>
  <c r="K15" i="24" s="1"/>
  <c r="J29" i="47"/>
  <c r="J41" i="47"/>
  <c r="K39" i="24" s="1"/>
  <c r="J16" i="48"/>
  <c r="J28" i="48"/>
  <c r="L26" i="24" s="1"/>
  <c r="J47" i="25"/>
  <c r="B45" i="24" s="1"/>
  <c r="J48" i="39"/>
  <c r="K48" i="39" s="1"/>
  <c r="D46" i="53" s="1"/>
  <c r="J43" i="40"/>
  <c r="K43" i="40" s="1"/>
  <c r="E41" i="53" s="1"/>
  <c r="J35" i="40"/>
  <c r="K35" i="40" s="1"/>
  <c r="F10" i="37"/>
  <c r="J52" i="40"/>
  <c r="D40" i="24"/>
  <c r="K42" i="39"/>
  <c r="D40" i="53" s="1"/>
  <c r="G10" i="24"/>
  <c r="K25" i="52"/>
  <c r="J23" i="53" s="1"/>
  <c r="J23" i="24"/>
  <c r="K46" i="24"/>
  <c r="K48" i="47"/>
  <c r="K46" i="53" s="1"/>
  <c r="I47" i="24"/>
  <c r="K49" i="46"/>
  <c r="I47" i="53" s="1"/>
  <c r="K49" i="45"/>
  <c r="H47" i="53" s="1"/>
  <c r="H47" i="24"/>
  <c r="D43" i="24"/>
  <c r="K21" i="25"/>
  <c r="B19" i="53" s="1"/>
  <c r="B19" i="24"/>
  <c r="K41" i="25"/>
  <c r="B39" i="24"/>
  <c r="K39" i="40"/>
  <c r="E37" i="24"/>
  <c r="K25" i="46"/>
  <c r="I23" i="53" s="1"/>
  <c r="I23" i="24"/>
  <c r="K32" i="52"/>
  <c r="J30" i="53" s="1"/>
  <c r="J30" i="24"/>
  <c r="K48" i="44"/>
  <c r="G46" i="53" s="1"/>
  <c r="K22" i="48"/>
  <c r="L20" i="53" s="1"/>
  <c r="K31" i="46"/>
  <c r="I29" i="53" s="1"/>
  <c r="L6" i="24"/>
  <c r="K8" i="48"/>
  <c r="L6" i="53" s="1"/>
  <c r="K18" i="45"/>
  <c r="H16" i="53" s="1"/>
  <c r="D25" i="24"/>
  <c r="K20" i="38"/>
  <c r="C18" i="53" s="1"/>
  <c r="C39" i="24"/>
  <c r="K27" i="38"/>
  <c r="C25" i="53" s="1"/>
  <c r="C25" i="24"/>
  <c r="C22" i="24"/>
  <c r="K9" i="43"/>
  <c r="F7" i="53" s="1"/>
  <c r="H23" i="24"/>
  <c r="C32" i="24"/>
  <c r="B40" i="24"/>
  <c r="K42" i="25"/>
  <c r="B40" i="53" s="1"/>
  <c r="B14" i="24"/>
  <c r="B36" i="24"/>
  <c r="K21" i="52"/>
  <c r="J19" i="53" s="1"/>
  <c r="J49" i="43"/>
  <c r="K49" i="43" s="1"/>
  <c r="F47" i="53" s="1"/>
  <c r="J56" i="45"/>
  <c r="K56" i="45" s="1"/>
  <c r="H54" i="53" s="1"/>
  <c r="J50" i="38"/>
  <c r="C48" i="24" s="1"/>
  <c r="J56" i="46"/>
  <c r="I54" i="24" s="1"/>
  <c r="F29" i="24"/>
  <c r="K47" i="52"/>
  <c r="J45" i="53" s="1"/>
  <c r="J51" i="38"/>
  <c r="C49" i="24" s="1"/>
  <c r="J52" i="39"/>
  <c r="D50" i="24" s="1"/>
  <c r="J49" i="38"/>
  <c r="C47" i="24" s="1"/>
  <c r="J51" i="39"/>
  <c r="D49" i="24" s="1"/>
  <c r="J53" i="25"/>
  <c r="B51" i="24" s="1"/>
  <c r="L17" i="24"/>
  <c r="K30" i="48"/>
  <c r="L28" i="53" s="1"/>
  <c r="J51" i="43"/>
  <c r="K51" i="43" s="1"/>
  <c r="F49" i="53" s="1"/>
  <c r="J55" i="39"/>
  <c r="K55" i="39" s="1"/>
  <c r="D53" i="53" s="1"/>
  <c r="J55" i="44"/>
  <c r="K55" i="44" s="1"/>
  <c r="G53" i="53" s="1"/>
  <c r="J55" i="52"/>
  <c r="K55" i="52" s="1"/>
  <c r="J53" i="53" s="1"/>
  <c r="J57" i="38"/>
  <c r="K57" i="38" s="1"/>
  <c r="C55" i="53" s="1"/>
  <c r="J53" i="39"/>
  <c r="K53" i="39" s="1"/>
  <c r="D51" i="53" s="1"/>
  <c r="J54" i="39"/>
  <c r="K54" i="39" s="1"/>
  <c r="D52" i="53" s="1"/>
  <c r="J54" i="52"/>
  <c r="J52" i="24" s="1"/>
  <c r="J57" i="46"/>
  <c r="I55" i="24" s="1"/>
  <c r="J49" i="39"/>
  <c r="D47" i="24" s="1"/>
  <c r="J52" i="43"/>
  <c r="K52" i="43" s="1"/>
  <c r="F50" i="53" s="1"/>
  <c r="F55" i="24"/>
  <c r="K57" i="43"/>
  <c r="F55" i="53" s="1"/>
  <c r="F53" i="24"/>
  <c r="K50" i="43"/>
  <c r="F48" i="53" s="1"/>
  <c r="D46" i="24"/>
  <c r="F49" i="37"/>
  <c r="J52" i="38"/>
  <c r="I52" i="37"/>
  <c r="I53" i="37"/>
  <c r="J53" i="38"/>
  <c r="F51" i="37"/>
  <c r="J50" i="25"/>
  <c r="K50" i="25" s="1"/>
  <c r="B48" i="53" s="1"/>
  <c r="I50" i="37"/>
  <c r="J51" i="25"/>
  <c r="I51" i="37"/>
  <c r="J49" i="25"/>
  <c r="I49" i="37"/>
  <c r="J48" i="25"/>
  <c r="I48" i="37"/>
  <c r="F53" i="37"/>
  <c r="F56" i="37"/>
  <c r="L14" i="24"/>
  <c r="K16" i="48"/>
  <c r="L14" i="53" s="1"/>
  <c r="K31" i="48"/>
  <c r="L29" i="53" s="1"/>
  <c r="F21" i="37"/>
  <c r="F40" i="37"/>
  <c r="F28" i="37"/>
  <c r="F16" i="37"/>
  <c r="F44" i="37"/>
  <c r="F32" i="37"/>
  <c r="F52" i="37"/>
  <c r="F48" i="37"/>
  <c r="F36" i="37"/>
  <c r="F24" i="37"/>
  <c r="F12" i="37"/>
  <c r="F42" i="37"/>
  <c r="F18" i="37"/>
  <c r="L33" i="24"/>
  <c r="F38" i="37"/>
  <c r="J56" i="44"/>
  <c r="G54" i="24" s="1"/>
  <c r="J54" i="44"/>
  <c r="G52" i="24" s="1"/>
  <c r="K51" i="44"/>
  <c r="G49" i="53" s="1"/>
  <c r="G49" i="24"/>
  <c r="G12" i="24"/>
  <c r="K50" i="44"/>
  <c r="G48" i="53" s="1"/>
  <c r="G48" i="24"/>
  <c r="G47" i="24"/>
  <c r="F34" i="37"/>
  <c r="F30" i="37"/>
  <c r="J54" i="40"/>
  <c r="K54" i="40" s="1"/>
  <c r="E52" i="53" s="1"/>
  <c r="J56" i="40"/>
  <c r="E54" i="24" s="1"/>
  <c r="K13" i="40"/>
  <c r="E11" i="53" s="1"/>
  <c r="K48" i="40"/>
  <c r="K29" i="40"/>
  <c r="E27" i="24"/>
  <c r="K12" i="40"/>
  <c r="E38" i="24"/>
  <c r="K22" i="40"/>
  <c r="K15" i="40"/>
  <c r="E13" i="24"/>
  <c r="E47" i="24"/>
  <c r="K49" i="40"/>
  <c r="E25" i="53"/>
  <c r="K53" i="40"/>
  <c r="E51" i="53" s="1"/>
  <c r="E51" i="24"/>
  <c r="E29" i="24"/>
  <c r="K31" i="40"/>
  <c r="K38" i="40"/>
  <c r="E36" i="24"/>
  <c r="K51" i="40"/>
  <c r="E49" i="53" s="1"/>
  <c r="E49" i="24"/>
  <c r="K32" i="40"/>
  <c r="F50" i="37"/>
  <c r="F22" i="37"/>
  <c r="F29" i="37"/>
  <c r="F17" i="37"/>
  <c r="F47" i="37"/>
  <c r="F35" i="37"/>
  <c r="F23" i="37"/>
  <c r="F43" i="37"/>
  <c r="E25" i="24"/>
  <c r="F46" i="37"/>
  <c r="K53" i="45"/>
  <c r="H51" i="53" s="1"/>
  <c r="H51" i="24"/>
  <c r="H52" i="24"/>
  <c r="K55" i="45"/>
  <c r="H53" i="53" s="1"/>
  <c r="K53" i="24"/>
  <c r="D54" i="24"/>
  <c r="K56" i="39"/>
  <c r="D54" i="53" s="1"/>
  <c r="F57" i="37"/>
  <c r="J57" i="52"/>
  <c r="J55" i="24" s="1"/>
  <c r="F55" i="37"/>
  <c r="K50" i="52"/>
  <c r="J49" i="24"/>
  <c r="K51" i="52"/>
  <c r="J8" i="53"/>
  <c r="J15" i="24"/>
  <c r="K46" i="52"/>
  <c r="J44" i="24"/>
  <c r="K17" i="52"/>
  <c r="I53" i="24"/>
  <c r="K55" i="46"/>
  <c r="I53" i="53" s="1"/>
  <c r="C53" i="24"/>
  <c r="K55" i="38"/>
  <c r="C53" i="53" s="1"/>
  <c r="F54" i="37"/>
  <c r="J56" i="25"/>
  <c r="I56" i="37"/>
  <c r="I54" i="37"/>
  <c r="J54" i="25"/>
  <c r="J57" i="25"/>
  <c r="I57" i="37"/>
  <c r="K55" i="25"/>
  <c r="B53" i="24"/>
  <c r="I55" i="37"/>
  <c r="K54" i="47" l="1"/>
  <c r="K52" i="53" s="1"/>
  <c r="K52" i="47"/>
  <c r="K50" i="53" s="1"/>
  <c r="K22" i="24"/>
  <c r="K26" i="46"/>
  <c r="I24" i="53" s="1"/>
  <c r="H48" i="24"/>
  <c r="K34" i="24"/>
  <c r="K25" i="48"/>
  <c r="L23" i="53" s="1"/>
  <c r="G7" i="24"/>
  <c r="L22" i="24"/>
  <c r="K35" i="47"/>
  <c r="K33" i="53" s="1"/>
  <c r="F34" i="24"/>
  <c r="H37" i="24"/>
  <c r="K31" i="52"/>
  <c r="J29" i="53" s="1"/>
  <c r="K49" i="39"/>
  <c r="D47" i="53" s="1"/>
  <c r="K20" i="25"/>
  <c r="B18" i="53" s="1"/>
  <c r="K29" i="44"/>
  <c r="G27" i="53" s="1"/>
  <c r="K43" i="25"/>
  <c r="B41" i="53" s="1"/>
  <c r="K21" i="46"/>
  <c r="I19" i="53" s="1"/>
  <c r="C30" i="24"/>
  <c r="K30" i="47"/>
  <c r="K28" i="53" s="1"/>
  <c r="I14" i="24"/>
  <c r="K10" i="24"/>
  <c r="E8" i="24"/>
  <c r="K15" i="44"/>
  <c r="G13" i="53" s="1"/>
  <c r="B35" i="24"/>
  <c r="K53" i="52"/>
  <c r="K35" i="52"/>
  <c r="J33" i="53" s="1"/>
  <c r="E44" i="24"/>
  <c r="K9" i="48"/>
  <c r="L7" i="53" s="1"/>
  <c r="B30" i="24"/>
  <c r="K10" i="43"/>
  <c r="F8" i="53" s="1"/>
  <c r="K37" i="52"/>
  <c r="J35" i="53" s="1"/>
  <c r="J35" i="24"/>
  <c r="J18" i="24"/>
  <c r="C54" i="24"/>
  <c r="J40" i="24"/>
  <c r="K56" i="47"/>
  <c r="K54" i="53" s="1"/>
  <c r="K9" i="40"/>
  <c r="K48" i="43"/>
  <c r="F46" i="53" s="1"/>
  <c r="K33" i="47"/>
  <c r="K31" i="53" s="1"/>
  <c r="K27" i="44"/>
  <c r="G25" i="53" s="1"/>
  <c r="K57" i="46"/>
  <c r="I55" i="53" s="1"/>
  <c r="B20" i="24"/>
  <c r="K11" i="52"/>
  <c r="J9" i="53" s="1"/>
  <c r="J9" i="24"/>
  <c r="K25" i="40"/>
  <c r="J13" i="24"/>
  <c r="K24" i="44"/>
  <c r="G22" i="53" s="1"/>
  <c r="E41" i="24"/>
  <c r="G53" i="24"/>
  <c r="K27" i="25"/>
  <c r="B25" i="53" s="1"/>
  <c r="H20" i="24"/>
  <c r="K22" i="45"/>
  <c r="H20" i="53" s="1"/>
  <c r="H27" i="24"/>
  <c r="J15" i="37"/>
  <c r="K43" i="24"/>
  <c r="K35" i="44"/>
  <c r="G33" i="53" s="1"/>
  <c r="G45" i="24"/>
  <c r="D48" i="24"/>
  <c r="K57" i="45"/>
  <c r="H55" i="53" s="1"/>
  <c r="K50" i="40"/>
  <c r="E48" i="53" s="1"/>
  <c r="H54" i="24"/>
  <c r="G24" i="24"/>
  <c r="D28" i="24"/>
  <c r="K36" i="40"/>
  <c r="E34" i="53" s="1"/>
  <c r="F32" i="24"/>
  <c r="J25" i="37"/>
  <c r="D55" i="24"/>
  <c r="K53" i="43"/>
  <c r="F51" i="53" s="1"/>
  <c r="K15" i="25"/>
  <c r="B13" i="53" s="1"/>
  <c r="K15" i="38"/>
  <c r="C13" i="53" s="1"/>
  <c r="K23" i="43"/>
  <c r="F21" i="53" s="1"/>
  <c r="K47" i="40"/>
  <c r="E45" i="53" s="1"/>
  <c r="E45" i="24"/>
  <c r="K22" i="44"/>
  <c r="G20" i="53" s="1"/>
  <c r="G20" i="24"/>
  <c r="I31" i="24"/>
  <c r="K33" i="46"/>
  <c r="I31" i="53" s="1"/>
  <c r="K52" i="44"/>
  <c r="G50" i="53" s="1"/>
  <c r="G50" i="24"/>
  <c r="K11" i="47"/>
  <c r="K9" i="53" s="1"/>
  <c r="K19" i="44"/>
  <c r="G17" i="53" s="1"/>
  <c r="B31" i="24"/>
  <c r="F6" i="24"/>
  <c r="J16" i="37"/>
  <c r="J43" i="37"/>
  <c r="J22" i="37"/>
  <c r="K13" i="43"/>
  <c r="F11" i="53" s="1"/>
  <c r="F11" i="24"/>
  <c r="J50" i="24"/>
  <c r="K52" i="52"/>
  <c r="J50" i="53" s="1"/>
  <c r="I8" i="24"/>
  <c r="K10" i="46"/>
  <c r="I8" i="53" s="1"/>
  <c r="K8" i="38"/>
  <c r="C6" i="53" s="1"/>
  <c r="C6" i="24"/>
  <c r="J18" i="37"/>
  <c r="E40" i="24"/>
  <c r="K17" i="45"/>
  <c r="H15" i="53" s="1"/>
  <c r="K14" i="40"/>
  <c r="E12" i="53" s="1"/>
  <c r="K19" i="24"/>
  <c r="G9" i="24"/>
  <c r="K11" i="44"/>
  <c r="G9" i="53" s="1"/>
  <c r="K40" i="24"/>
  <c r="K42" i="47"/>
  <c r="K40" i="53" s="1"/>
  <c r="K46" i="43"/>
  <c r="F44" i="53" s="1"/>
  <c r="J41" i="24"/>
  <c r="K43" i="52"/>
  <c r="J41" i="53" s="1"/>
  <c r="C46" i="24"/>
  <c r="K56" i="43"/>
  <c r="F54" i="53" s="1"/>
  <c r="K34" i="25"/>
  <c r="B32" i="53" s="1"/>
  <c r="K19" i="43"/>
  <c r="F17" i="53" s="1"/>
  <c r="K16" i="24"/>
  <c r="K18" i="47"/>
  <c r="K16" i="53" s="1"/>
  <c r="K10" i="45"/>
  <c r="H8" i="53" s="1"/>
  <c r="H8" i="24"/>
  <c r="H33" i="24"/>
  <c r="K35" i="45"/>
  <c r="H33" i="53" s="1"/>
  <c r="K56" i="52"/>
  <c r="J54" i="53" s="1"/>
  <c r="K55" i="24"/>
  <c r="K21" i="40"/>
  <c r="E19" i="53" s="1"/>
  <c r="H25" i="24"/>
  <c r="D27" i="24"/>
  <c r="B17" i="24"/>
  <c r="E31" i="24"/>
  <c r="K20" i="46"/>
  <c r="I18" i="53" s="1"/>
  <c r="I18" i="24"/>
  <c r="K12" i="39"/>
  <c r="D10" i="53" s="1"/>
  <c r="D10" i="24"/>
  <c r="K57" i="44"/>
  <c r="G55" i="53" s="1"/>
  <c r="K31" i="47"/>
  <c r="K29" i="53" s="1"/>
  <c r="K29" i="24"/>
  <c r="K34" i="46"/>
  <c r="I32" i="53" s="1"/>
  <c r="I32" i="24"/>
  <c r="E33" i="24"/>
  <c r="K54" i="52"/>
  <c r="J52" i="53" s="1"/>
  <c r="K47" i="25"/>
  <c r="B45" i="53" s="1"/>
  <c r="K36" i="52"/>
  <c r="J34" i="53" s="1"/>
  <c r="J10" i="37"/>
  <c r="K36" i="46"/>
  <c r="I34" i="53" s="1"/>
  <c r="D11" i="24"/>
  <c r="K13" i="39"/>
  <c r="D11" i="53" s="1"/>
  <c r="K9" i="25"/>
  <c r="B7" i="53" s="1"/>
  <c r="K24" i="40"/>
  <c r="E22" i="53" s="1"/>
  <c r="J21" i="37"/>
  <c r="K49" i="38"/>
  <c r="C47" i="53" s="1"/>
  <c r="K25" i="38"/>
  <c r="C23" i="53" s="1"/>
  <c r="G34" i="24"/>
  <c r="K36" i="44"/>
  <c r="G34" i="53" s="1"/>
  <c r="K11" i="43"/>
  <c r="F9" i="53" s="1"/>
  <c r="F9" i="24"/>
  <c r="K35" i="43"/>
  <c r="F33" i="53" s="1"/>
  <c r="F33" i="24"/>
  <c r="C52" i="24"/>
  <c r="K45" i="40"/>
  <c r="J52" i="37"/>
  <c r="K38" i="44"/>
  <c r="G36" i="53" s="1"/>
  <c r="B50" i="24"/>
  <c r="J55" i="37"/>
  <c r="F47" i="24"/>
  <c r="K14" i="47"/>
  <c r="K12" i="53" s="1"/>
  <c r="K49" i="24"/>
  <c r="K51" i="47"/>
  <c r="K49" i="53" s="1"/>
  <c r="E14" i="24"/>
  <c r="F39" i="24"/>
  <c r="J12" i="24"/>
  <c r="K14" i="52"/>
  <c r="J12" i="53" s="1"/>
  <c r="K16" i="40"/>
  <c r="B48" i="24"/>
  <c r="M48" i="24" s="1"/>
  <c r="J24" i="24"/>
  <c r="J11" i="37"/>
  <c r="J31" i="37"/>
  <c r="K47" i="45"/>
  <c r="H45" i="53" s="1"/>
  <c r="H45" i="24"/>
  <c r="D51" i="24"/>
  <c r="J28" i="24"/>
  <c r="F50" i="24"/>
  <c r="B24" i="24"/>
  <c r="K8" i="25"/>
  <c r="B6" i="53" s="1"/>
  <c r="G44" i="24"/>
  <c r="K46" i="44"/>
  <c r="G44" i="53" s="1"/>
  <c r="H36" i="24"/>
  <c r="J8" i="37"/>
  <c r="K18" i="52"/>
  <c r="K39" i="44"/>
  <c r="G37" i="53" s="1"/>
  <c r="J20" i="37"/>
  <c r="K7" i="24"/>
  <c r="K9" i="47"/>
  <c r="K7" i="53" s="1"/>
  <c r="J35" i="37"/>
  <c r="K41" i="47"/>
  <c r="K39" i="53" s="1"/>
  <c r="K17" i="47"/>
  <c r="K15" i="53" s="1"/>
  <c r="J49" i="37"/>
  <c r="K22" i="47"/>
  <c r="K20" i="53" s="1"/>
  <c r="K20" i="24"/>
  <c r="K34" i="47"/>
  <c r="K32" i="53" s="1"/>
  <c r="J38" i="37"/>
  <c r="K24" i="46"/>
  <c r="I22" i="53" s="1"/>
  <c r="K56" i="46"/>
  <c r="I54" i="53" s="1"/>
  <c r="I36" i="24"/>
  <c r="I10" i="24"/>
  <c r="I35" i="24"/>
  <c r="K37" i="46"/>
  <c r="I35" i="53" s="1"/>
  <c r="I11" i="24"/>
  <c r="K13" i="46"/>
  <c r="I11" i="53" s="1"/>
  <c r="I39" i="24"/>
  <c r="I26" i="24"/>
  <c r="K28" i="46"/>
  <c r="I26" i="53" s="1"/>
  <c r="J12" i="37"/>
  <c r="K35" i="46"/>
  <c r="I33" i="53" s="1"/>
  <c r="I43" i="24"/>
  <c r="K45" i="46"/>
  <c r="I43" i="53" s="1"/>
  <c r="I33" i="24"/>
  <c r="I52" i="24"/>
  <c r="I38" i="24"/>
  <c r="K40" i="46"/>
  <c r="I38" i="53" s="1"/>
  <c r="K48" i="46"/>
  <c r="I46" i="53" s="1"/>
  <c r="I46" i="24"/>
  <c r="K30" i="46"/>
  <c r="I28" i="53" s="1"/>
  <c r="K39" i="46"/>
  <c r="I37" i="53" s="1"/>
  <c r="K16" i="45"/>
  <c r="H14" i="53" s="1"/>
  <c r="H14" i="24"/>
  <c r="H12" i="24"/>
  <c r="K14" i="45"/>
  <c r="H12" i="53" s="1"/>
  <c r="H26" i="24"/>
  <c r="K28" i="45"/>
  <c r="H26" i="53" s="1"/>
  <c r="K26" i="45"/>
  <c r="H24" i="53" s="1"/>
  <c r="H24" i="24"/>
  <c r="J26" i="37"/>
  <c r="J40" i="37"/>
  <c r="H50" i="24"/>
  <c r="K52" i="45"/>
  <c r="H50" i="53" s="1"/>
  <c r="K41" i="45"/>
  <c r="H39" i="53" s="1"/>
  <c r="H39" i="24"/>
  <c r="H13" i="24"/>
  <c r="M13" i="24" s="1"/>
  <c r="F38" i="24"/>
  <c r="K40" i="43"/>
  <c r="F38" i="53" s="1"/>
  <c r="F24" i="24"/>
  <c r="K26" i="43"/>
  <c r="F24" i="53" s="1"/>
  <c r="K28" i="43"/>
  <c r="F26" i="53" s="1"/>
  <c r="F26" i="24"/>
  <c r="F36" i="24"/>
  <c r="K38" i="43"/>
  <c r="F36" i="53" s="1"/>
  <c r="F12" i="24"/>
  <c r="K14" i="43"/>
  <c r="F12" i="53" s="1"/>
  <c r="K16" i="43"/>
  <c r="F14" i="53" s="1"/>
  <c r="F14" i="24"/>
  <c r="D41" i="24"/>
  <c r="K43" i="39"/>
  <c r="D41" i="53" s="1"/>
  <c r="D45" i="24"/>
  <c r="K47" i="39"/>
  <c r="D45" i="53" s="1"/>
  <c r="K41" i="39"/>
  <c r="D39" i="53" s="1"/>
  <c r="D39" i="24"/>
  <c r="J47" i="37"/>
  <c r="C11" i="24"/>
  <c r="K53" i="25"/>
  <c r="B51" i="53" s="1"/>
  <c r="J30" i="37"/>
  <c r="B8" i="53"/>
  <c r="K18" i="39"/>
  <c r="D16" i="53" s="1"/>
  <c r="D16" i="24"/>
  <c r="C14" i="24"/>
  <c r="K16" i="38"/>
  <c r="C14" i="53" s="1"/>
  <c r="D31" i="24"/>
  <c r="K33" i="39"/>
  <c r="D31" i="53" s="1"/>
  <c r="K13" i="52"/>
  <c r="J11" i="53" s="1"/>
  <c r="J11" i="24"/>
  <c r="K14" i="39"/>
  <c r="D12" i="53" s="1"/>
  <c r="D12" i="24"/>
  <c r="J17" i="37"/>
  <c r="J48" i="37"/>
  <c r="K36" i="39"/>
  <c r="D34" i="53" s="1"/>
  <c r="D34" i="24"/>
  <c r="K48" i="52"/>
  <c r="J46" i="53" s="1"/>
  <c r="J46" i="24"/>
  <c r="B21" i="24"/>
  <c r="K23" i="25"/>
  <c r="K32" i="39"/>
  <c r="D30" i="53" s="1"/>
  <c r="D30" i="24"/>
  <c r="J32" i="37"/>
  <c r="K49" i="47"/>
  <c r="K47" i="53" s="1"/>
  <c r="K47" i="24"/>
  <c r="K21" i="39"/>
  <c r="D19" i="53" s="1"/>
  <c r="D19" i="24"/>
  <c r="K38" i="38"/>
  <c r="C36" i="53" s="1"/>
  <c r="C36" i="24"/>
  <c r="K19" i="47"/>
  <c r="K17" i="53" s="1"/>
  <c r="K17" i="24"/>
  <c r="K14" i="25"/>
  <c r="B12" i="53" s="1"/>
  <c r="B12" i="24"/>
  <c r="D44" i="24"/>
  <c r="K46" i="39"/>
  <c r="D44" i="53" s="1"/>
  <c r="I12" i="24"/>
  <c r="D22" i="24"/>
  <c r="K24" i="39"/>
  <c r="D22" i="53" s="1"/>
  <c r="L11" i="24"/>
  <c r="K13" i="48"/>
  <c r="L11" i="53" s="1"/>
  <c r="D18" i="24"/>
  <c r="K20" i="39"/>
  <c r="D18" i="53" s="1"/>
  <c r="I27" i="24"/>
  <c r="K29" i="46"/>
  <c r="I27" i="53" s="1"/>
  <c r="K9" i="39"/>
  <c r="D7" i="53" s="1"/>
  <c r="D7" i="24"/>
  <c r="D53" i="24"/>
  <c r="J36" i="37"/>
  <c r="E53" i="24"/>
  <c r="J14" i="37"/>
  <c r="J53" i="37"/>
  <c r="K51" i="39"/>
  <c r="D49" i="53" s="1"/>
  <c r="L8" i="24"/>
  <c r="K11" i="25"/>
  <c r="B9" i="53" s="1"/>
  <c r="H46" i="24"/>
  <c r="K27" i="24"/>
  <c r="K29" i="47"/>
  <c r="K27" i="53" s="1"/>
  <c r="B11" i="24"/>
  <c r="K13" i="25"/>
  <c r="B11" i="53" s="1"/>
  <c r="C27" i="24"/>
  <c r="K29" i="38"/>
  <c r="C27" i="53" s="1"/>
  <c r="K37" i="47"/>
  <c r="K35" i="53" s="1"/>
  <c r="K35" i="24"/>
  <c r="K47" i="46"/>
  <c r="I45" i="53" s="1"/>
  <c r="I45" i="24"/>
  <c r="K17" i="46"/>
  <c r="I15" i="53" s="1"/>
  <c r="I15" i="24"/>
  <c r="I25" i="24"/>
  <c r="K27" i="46"/>
  <c r="I25" i="53" s="1"/>
  <c r="K45" i="52"/>
  <c r="J43" i="53" s="1"/>
  <c r="J43" i="24"/>
  <c r="J23" i="37"/>
  <c r="E26" i="24"/>
  <c r="K28" i="40"/>
  <c r="E26" i="53" s="1"/>
  <c r="K42" i="46"/>
  <c r="I40" i="53" s="1"/>
  <c r="I40" i="24"/>
  <c r="J6" i="24"/>
  <c r="K8" i="52"/>
  <c r="J6" i="53" s="1"/>
  <c r="M6" i="53" s="1"/>
  <c r="J27" i="37"/>
  <c r="J39" i="37"/>
  <c r="K13" i="47"/>
  <c r="K11" i="53" s="1"/>
  <c r="K11" i="24"/>
  <c r="J32" i="24"/>
  <c r="K34" i="52"/>
  <c r="J32" i="53" s="1"/>
  <c r="K24" i="24"/>
  <c r="K26" i="47"/>
  <c r="K24" i="53" s="1"/>
  <c r="H28" i="24"/>
  <c r="K30" i="45"/>
  <c r="H28" i="53" s="1"/>
  <c r="F40" i="24"/>
  <c r="K42" i="43"/>
  <c r="F40" i="53" s="1"/>
  <c r="K23" i="24"/>
  <c r="K25" i="47"/>
  <c r="K23" i="53" s="1"/>
  <c r="J42" i="37"/>
  <c r="J19" i="37"/>
  <c r="K30" i="40"/>
  <c r="E28" i="53" s="1"/>
  <c r="J28" i="37"/>
  <c r="K28" i="48"/>
  <c r="L26" i="53" s="1"/>
  <c r="K54" i="43"/>
  <c r="F52" i="53" s="1"/>
  <c r="I42" i="24"/>
  <c r="K21" i="24"/>
  <c r="E35" i="24"/>
  <c r="H38" i="24"/>
  <c r="E50" i="24"/>
  <c r="K52" i="40"/>
  <c r="E50" i="53" s="1"/>
  <c r="K19" i="45"/>
  <c r="H17" i="53" s="1"/>
  <c r="H17" i="24"/>
  <c r="K38" i="52"/>
  <c r="J36" i="53" s="1"/>
  <c r="J36" i="24"/>
  <c r="K12" i="52"/>
  <c r="J10" i="53" s="1"/>
  <c r="J10" i="24"/>
  <c r="C9" i="24"/>
  <c r="K11" i="38"/>
  <c r="C9" i="53" s="1"/>
  <c r="G41" i="24"/>
  <c r="K43" i="44"/>
  <c r="G41" i="53" s="1"/>
  <c r="K38" i="39"/>
  <c r="D36" i="53" s="1"/>
  <c r="D36" i="24"/>
  <c r="K30" i="43"/>
  <c r="F28" i="53" s="1"/>
  <c r="F28" i="24"/>
  <c r="K30" i="25"/>
  <c r="B28" i="53" s="1"/>
  <c r="B28" i="24"/>
  <c r="K20" i="47"/>
  <c r="K18" i="53" s="1"/>
  <c r="K18" i="24"/>
  <c r="K10" i="39"/>
  <c r="D8" i="53" s="1"/>
  <c r="D8" i="24"/>
  <c r="E17" i="24"/>
  <c r="J34" i="37"/>
  <c r="K8" i="24"/>
  <c r="J37" i="37"/>
  <c r="K31" i="25"/>
  <c r="B29" i="53" s="1"/>
  <c r="B8" i="24"/>
  <c r="E18" i="24"/>
  <c r="K20" i="40"/>
  <c r="E18" i="53" s="1"/>
  <c r="G42" i="24"/>
  <c r="K44" i="44"/>
  <c r="G42" i="53" s="1"/>
  <c r="K53" i="47"/>
  <c r="K51" i="53" s="1"/>
  <c r="K51" i="24"/>
  <c r="K17" i="40"/>
  <c r="E15" i="53" s="1"/>
  <c r="E15" i="24"/>
  <c r="K37" i="38"/>
  <c r="C35" i="53" s="1"/>
  <c r="C35" i="24"/>
  <c r="K39" i="52"/>
  <c r="J37" i="53" s="1"/>
  <c r="J37" i="24"/>
  <c r="K31" i="44"/>
  <c r="G29" i="53" s="1"/>
  <c r="G29" i="24"/>
  <c r="I51" i="24"/>
  <c r="K53" i="46"/>
  <c r="I51" i="53" s="1"/>
  <c r="K18" i="43"/>
  <c r="F16" i="53" s="1"/>
  <c r="F16" i="24"/>
  <c r="F45" i="24"/>
  <c r="K47" i="43"/>
  <c r="F45" i="53" s="1"/>
  <c r="J41" i="37"/>
  <c r="J13" i="37"/>
  <c r="E28" i="24"/>
  <c r="J29" i="37"/>
  <c r="E55" i="24"/>
  <c r="K40" i="40"/>
  <c r="E38" i="53" s="1"/>
  <c r="E32" i="24"/>
  <c r="G26" i="24"/>
  <c r="K42" i="45"/>
  <c r="H40" i="53" s="1"/>
  <c r="K41" i="40"/>
  <c r="E39" i="53" s="1"/>
  <c r="B29" i="24"/>
  <c r="K12" i="48"/>
  <c r="L10" i="53" s="1"/>
  <c r="G14" i="24"/>
  <c r="K19" i="38"/>
  <c r="C17" i="53" s="1"/>
  <c r="C17" i="24"/>
  <c r="G30" i="24"/>
  <c r="K32" i="44"/>
  <c r="G30" i="53" s="1"/>
  <c r="I44" i="24"/>
  <c r="K46" i="46"/>
  <c r="I44" i="53" s="1"/>
  <c r="F27" i="24"/>
  <c r="K29" i="43"/>
  <c r="F27" i="53" s="1"/>
  <c r="K27" i="52"/>
  <c r="J25" i="53" s="1"/>
  <c r="J25" i="24"/>
  <c r="E9" i="24"/>
  <c r="K11" i="40"/>
  <c r="E9" i="53" s="1"/>
  <c r="K19" i="39"/>
  <c r="D17" i="53" s="1"/>
  <c r="D17" i="24"/>
  <c r="F35" i="24"/>
  <c r="K37" i="43"/>
  <c r="F35" i="53" s="1"/>
  <c r="K34" i="44"/>
  <c r="G32" i="53" s="1"/>
  <c r="G32" i="24"/>
  <c r="G18" i="24"/>
  <c r="K20" i="44"/>
  <c r="G18" i="53" s="1"/>
  <c r="K30" i="44"/>
  <c r="G28" i="53" s="1"/>
  <c r="G28" i="24"/>
  <c r="F30" i="24"/>
  <c r="K32" i="43"/>
  <c r="F30" i="53" s="1"/>
  <c r="K23" i="40"/>
  <c r="E21" i="53" s="1"/>
  <c r="E21" i="24"/>
  <c r="K44" i="25"/>
  <c r="B42" i="53" s="1"/>
  <c r="B42" i="24"/>
  <c r="J44" i="37"/>
  <c r="H43" i="24"/>
  <c r="K45" i="45"/>
  <c r="H43" i="53" s="1"/>
  <c r="J24" i="37"/>
  <c r="E16" i="24"/>
  <c r="K50" i="38"/>
  <c r="C48" i="53" s="1"/>
  <c r="K17" i="43"/>
  <c r="F15" i="53" s="1"/>
  <c r="K16" i="52"/>
  <c r="J14" i="53" s="1"/>
  <c r="J22" i="24"/>
  <c r="G38" i="24"/>
  <c r="H31" i="24"/>
  <c r="K33" i="45"/>
  <c r="H31" i="53" s="1"/>
  <c r="F19" i="24"/>
  <c r="K21" i="43"/>
  <c r="F19" i="53" s="1"/>
  <c r="K44" i="40"/>
  <c r="E42" i="53" s="1"/>
  <c r="E42" i="24"/>
  <c r="K18" i="44"/>
  <c r="G16" i="53" s="1"/>
  <c r="G16" i="24"/>
  <c r="K34" i="48"/>
  <c r="L32" i="53" s="1"/>
  <c r="L32" i="24"/>
  <c r="K39" i="43"/>
  <c r="F37" i="53" s="1"/>
  <c r="F37" i="24"/>
  <c r="C38" i="24"/>
  <c r="K40" i="38"/>
  <c r="C38" i="53" s="1"/>
  <c r="K20" i="43"/>
  <c r="F18" i="53" s="1"/>
  <c r="F18" i="24"/>
  <c r="F23" i="24"/>
  <c r="K25" i="43"/>
  <c r="F23" i="53" s="1"/>
  <c r="K44" i="39"/>
  <c r="D42" i="53" s="1"/>
  <c r="D42" i="24"/>
  <c r="K38" i="47"/>
  <c r="K36" i="53" s="1"/>
  <c r="K36" i="24"/>
  <c r="J53" i="24"/>
  <c r="J46" i="37"/>
  <c r="J9" i="37"/>
  <c r="J45" i="37"/>
  <c r="F49" i="24"/>
  <c r="J33" i="37"/>
  <c r="K9" i="45"/>
  <c r="H7" i="53" s="1"/>
  <c r="H7" i="24"/>
  <c r="K34" i="39"/>
  <c r="D32" i="53" s="1"/>
  <c r="D32" i="24"/>
  <c r="K47" i="38"/>
  <c r="C45" i="53" s="1"/>
  <c r="C45" i="24"/>
  <c r="K43" i="43"/>
  <c r="F41" i="53" s="1"/>
  <c r="F41" i="24"/>
  <c r="K28" i="38"/>
  <c r="C26" i="53" s="1"/>
  <c r="C26" i="24"/>
  <c r="K19" i="52"/>
  <c r="J17" i="53" s="1"/>
  <c r="J17" i="24"/>
  <c r="J51" i="37"/>
  <c r="D52" i="24"/>
  <c r="E37" i="53"/>
  <c r="J50" i="37"/>
  <c r="B39" i="53"/>
  <c r="E35" i="53"/>
  <c r="K56" i="44"/>
  <c r="G54" i="53" s="1"/>
  <c r="K56" i="40"/>
  <c r="E54" i="53" s="1"/>
  <c r="K51" i="38"/>
  <c r="C49" i="53" s="1"/>
  <c r="B31" i="53"/>
  <c r="C55" i="24"/>
  <c r="K52" i="39"/>
  <c r="D50" i="53" s="1"/>
  <c r="C51" i="24"/>
  <c r="K53" i="38"/>
  <c r="C51" i="53" s="1"/>
  <c r="C50" i="24"/>
  <c r="K52" i="38"/>
  <c r="K48" i="25"/>
  <c r="B46" i="53" s="1"/>
  <c r="B46" i="24"/>
  <c r="K49" i="25"/>
  <c r="B47" i="53" s="1"/>
  <c r="B47" i="24"/>
  <c r="K51" i="25"/>
  <c r="B49" i="53" s="1"/>
  <c r="B49" i="24"/>
  <c r="K54" i="44"/>
  <c r="G52" i="53" s="1"/>
  <c r="K24" i="37"/>
  <c r="G24" i="53"/>
  <c r="G12" i="53"/>
  <c r="G45" i="53"/>
  <c r="E52" i="24"/>
  <c r="E29" i="53"/>
  <c r="E33" i="53"/>
  <c r="E17" i="53"/>
  <c r="E13" i="53"/>
  <c r="M13" i="53" s="1"/>
  <c r="K15" i="37"/>
  <c r="E46" i="53"/>
  <c r="E27" i="53"/>
  <c r="E47" i="53"/>
  <c r="E32" i="53"/>
  <c r="E20" i="53"/>
  <c r="E7" i="53"/>
  <c r="E14" i="53"/>
  <c r="E43" i="53"/>
  <c r="E23" i="53"/>
  <c r="E10" i="53"/>
  <c r="E30" i="53"/>
  <c r="E36" i="53"/>
  <c r="K57" i="52"/>
  <c r="J55" i="53" s="1"/>
  <c r="J28" i="53"/>
  <c r="J49" i="53"/>
  <c r="J15" i="53"/>
  <c r="J16" i="53"/>
  <c r="J40" i="53"/>
  <c r="J44" i="53"/>
  <c r="J48" i="53"/>
  <c r="J51" i="53"/>
  <c r="B53" i="53"/>
  <c r="M53" i="53" s="1"/>
  <c r="K55" i="37"/>
  <c r="J57" i="37"/>
  <c r="K57" i="25"/>
  <c r="B55" i="24"/>
  <c r="J54" i="37"/>
  <c r="B52" i="24"/>
  <c r="K54" i="25"/>
  <c r="B54" i="24"/>
  <c r="K56" i="25"/>
  <c r="J56" i="37"/>
  <c r="M34" i="24" l="1"/>
  <c r="M54" i="24"/>
  <c r="M29" i="24"/>
  <c r="M20" i="24"/>
  <c r="K22" i="37"/>
  <c r="M37" i="24"/>
  <c r="K45" i="37"/>
  <c r="M15" i="24"/>
  <c r="M19" i="53"/>
  <c r="M34" i="53"/>
  <c r="K35" i="37"/>
  <c r="M31" i="53"/>
  <c r="K36" i="37"/>
  <c r="M43" i="24"/>
  <c r="M32" i="24"/>
  <c r="M7" i="24"/>
  <c r="M40" i="24"/>
  <c r="M6" i="24"/>
  <c r="M33" i="24"/>
  <c r="M10" i="24"/>
  <c r="M41" i="24"/>
  <c r="K25" i="37"/>
  <c r="M22" i="24"/>
  <c r="M41" i="53"/>
  <c r="K18" i="37"/>
  <c r="K40" i="37"/>
  <c r="K43" i="37"/>
  <c r="M25" i="24"/>
  <c r="K44" i="37"/>
  <c r="M9" i="24"/>
  <c r="K33" i="37"/>
  <c r="M8" i="24"/>
  <c r="M53" i="24"/>
  <c r="M35" i="24"/>
  <c r="M44" i="24"/>
  <c r="M39" i="24"/>
  <c r="M50" i="24"/>
  <c r="M23" i="24"/>
  <c r="M19" i="24"/>
  <c r="M31" i="24"/>
  <c r="M14" i="24"/>
  <c r="M25" i="53"/>
  <c r="M8" i="53"/>
  <c r="M38" i="53"/>
  <c r="M22" i="53"/>
  <c r="M20" i="53"/>
  <c r="M35" i="53"/>
  <c r="M23" i="53"/>
  <c r="M42" i="53"/>
  <c r="M29" i="53"/>
  <c r="M9" i="53"/>
  <c r="M43" i="53"/>
  <c r="M24" i="24"/>
  <c r="M47" i="24"/>
  <c r="M11" i="53"/>
  <c r="M26" i="24"/>
  <c r="M26" i="53"/>
  <c r="M38" i="24"/>
  <c r="M45" i="24"/>
  <c r="M15" i="53"/>
  <c r="M12" i="24"/>
  <c r="M33" i="53"/>
  <c r="M7" i="53"/>
  <c r="K41" i="37"/>
  <c r="M39" i="53"/>
  <c r="M18" i="53"/>
  <c r="M18" i="24"/>
  <c r="K20" i="37"/>
  <c r="M16" i="24"/>
  <c r="M36" i="24"/>
  <c r="K46" i="37"/>
  <c r="K32" i="37"/>
  <c r="M44" i="53"/>
  <c r="K10" i="37"/>
  <c r="M27" i="53"/>
  <c r="M45" i="53"/>
  <c r="K29" i="37"/>
  <c r="K37" i="37"/>
  <c r="M51" i="53"/>
  <c r="M27" i="24"/>
  <c r="K53" i="37"/>
  <c r="M28" i="24"/>
  <c r="M30" i="24"/>
  <c r="K28" i="37"/>
  <c r="K12" i="37"/>
  <c r="K17" i="37"/>
  <c r="K21" i="37"/>
  <c r="K47" i="37"/>
  <c r="M46" i="24"/>
  <c r="B21" i="53"/>
  <c r="M21" i="53" s="1"/>
  <c r="K23" i="37"/>
  <c r="M10" i="53"/>
  <c r="M48" i="53"/>
  <c r="K30" i="37"/>
  <c r="K13" i="37"/>
  <c r="M12" i="53"/>
  <c r="M16" i="53"/>
  <c r="M28" i="53"/>
  <c r="M32" i="53"/>
  <c r="M17" i="53"/>
  <c r="M24" i="53"/>
  <c r="K39" i="37"/>
  <c r="K14" i="37"/>
  <c r="K34" i="37"/>
  <c r="K19" i="37"/>
  <c r="K26" i="37"/>
  <c r="M51" i="24"/>
  <c r="M37" i="53"/>
  <c r="M17" i="24"/>
  <c r="K38" i="37"/>
  <c r="K27" i="37"/>
  <c r="M21" i="24"/>
  <c r="K50" i="37"/>
  <c r="M36" i="53"/>
  <c r="M40" i="53"/>
  <c r="K16" i="37"/>
  <c r="K49" i="37"/>
  <c r="M42" i="24"/>
  <c r="M11" i="24"/>
  <c r="K11" i="37"/>
  <c r="M52" i="24"/>
  <c r="M14" i="53"/>
  <c r="K42" i="37"/>
  <c r="M30" i="53"/>
  <c r="K9" i="37"/>
  <c r="K31" i="37"/>
  <c r="M49" i="24"/>
  <c r="K8" i="37"/>
  <c r="K51" i="37"/>
  <c r="M46" i="53"/>
  <c r="K48" i="37"/>
  <c r="M55" i="24"/>
  <c r="M49" i="53"/>
  <c r="C50" i="53"/>
  <c r="M50" i="53" s="1"/>
  <c r="K52" i="37"/>
  <c r="M47" i="53"/>
  <c r="K56" i="37"/>
  <c r="B54" i="53"/>
  <c r="M54" i="53" s="1"/>
  <c r="K54" i="37"/>
  <c r="B52" i="53"/>
  <c r="M52" i="53" s="1"/>
  <c r="B55" i="53"/>
  <c r="M55" i="53" s="1"/>
  <c r="K57" i="37"/>
</calcChain>
</file>

<file path=xl/sharedStrings.xml><?xml version="1.0" encoding="utf-8"?>
<sst xmlns="http://schemas.openxmlformats.org/spreadsheetml/2006/main" count="806" uniqueCount="96">
  <si>
    <t>Year</t>
  </si>
  <si>
    <t>Supply</t>
  </si>
  <si>
    <t>NA</t>
  </si>
  <si>
    <t>Farm</t>
  </si>
  <si>
    <t>NA = Not available.</t>
  </si>
  <si>
    <t>Asparagus</t>
  </si>
  <si>
    <t>Lima beans</t>
  </si>
  <si>
    <t>Snap beans</t>
  </si>
  <si>
    <t>Broccoli</t>
  </si>
  <si>
    <t>Carrots</t>
  </si>
  <si>
    <t>Cauliflower</t>
  </si>
  <si>
    <t>Sweet corn</t>
  </si>
  <si>
    <t>Green peas</t>
  </si>
  <si>
    <t>Spinach</t>
  </si>
  <si>
    <t>Miscellaneous</t>
  </si>
  <si>
    <t>Potatoes</t>
  </si>
  <si>
    <t>Product</t>
  </si>
  <si>
    <t>Per capita availability</t>
  </si>
  <si>
    <r>
      <t>U.S. population, July 1</t>
    </r>
    <r>
      <rPr>
        <vertAlign val="superscript"/>
        <sz val="8"/>
        <rFont val="Arial"/>
        <family val="2"/>
      </rPr>
      <t>1</t>
    </r>
  </si>
  <si>
    <r>
      <t>Production</t>
    </r>
    <r>
      <rPr>
        <vertAlign val="superscript"/>
        <sz val="8"/>
        <rFont val="Arial"/>
        <family val="2"/>
      </rPr>
      <t>2</t>
    </r>
  </si>
  <si>
    <r>
      <t>Imports</t>
    </r>
    <r>
      <rPr>
        <vertAlign val="superscript"/>
        <sz val="8"/>
        <rFont val="Arial"/>
        <family val="2"/>
      </rPr>
      <t>3</t>
    </r>
  </si>
  <si>
    <r>
      <t>Beginning stocks</t>
    </r>
    <r>
      <rPr>
        <vertAlign val="superscript"/>
        <sz val="8"/>
        <rFont val="Arial"/>
        <family val="2"/>
      </rPr>
      <t>4</t>
    </r>
  </si>
  <si>
    <r>
      <t>Total supply</t>
    </r>
    <r>
      <rPr>
        <vertAlign val="superscript"/>
        <sz val="8"/>
        <rFont val="Arial"/>
        <family val="2"/>
      </rPr>
      <t>5</t>
    </r>
  </si>
  <si>
    <r>
      <t>Exports</t>
    </r>
    <r>
      <rPr>
        <vertAlign val="superscript"/>
        <sz val="8"/>
        <rFont val="Arial"/>
        <family val="2"/>
      </rPr>
      <t>3</t>
    </r>
  </si>
  <si>
    <r>
      <t>Ending stocks</t>
    </r>
    <r>
      <rPr>
        <vertAlign val="superscript"/>
        <sz val="8"/>
        <rFont val="Arial"/>
        <family val="2"/>
      </rPr>
      <t>4</t>
    </r>
  </si>
  <si>
    <r>
      <t>Year</t>
    </r>
    <r>
      <rPr>
        <vertAlign val="superscript"/>
        <sz val="8"/>
        <rFont val="Arial"/>
        <family val="2"/>
      </rPr>
      <t>2</t>
    </r>
  </si>
  <si>
    <r>
      <t>U.S. population, July 1</t>
    </r>
    <r>
      <rPr>
        <vertAlign val="superscript"/>
        <sz val="8"/>
        <rFont val="Arial"/>
        <family val="2"/>
      </rPr>
      <t>3</t>
    </r>
  </si>
  <si>
    <r>
      <t>Total supply</t>
    </r>
    <r>
      <rPr>
        <vertAlign val="superscript"/>
        <sz val="8"/>
        <rFont val="Arial"/>
        <family val="2"/>
      </rPr>
      <t>8</t>
    </r>
  </si>
  <si>
    <r>
      <t>Product</t>
    </r>
    <r>
      <rPr>
        <vertAlign val="superscript"/>
        <sz val="8"/>
        <rFont val="Arial"/>
        <family val="2"/>
      </rPr>
      <t>10</t>
    </r>
  </si>
  <si>
    <r>
      <t>Beginning stocks</t>
    </r>
    <r>
      <rPr>
        <vertAlign val="superscript"/>
        <sz val="8"/>
        <rFont val="Arial"/>
        <family val="2"/>
      </rPr>
      <t>2</t>
    </r>
  </si>
  <si>
    <r>
      <t>Total supply</t>
    </r>
    <r>
      <rPr>
        <vertAlign val="superscript"/>
        <sz val="8"/>
        <rFont val="Arial"/>
        <family val="2"/>
      </rPr>
      <t>4</t>
    </r>
  </si>
  <si>
    <r>
      <t>Ending stocks</t>
    </r>
    <r>
      <rPr>
        <vertAlign val="superscript"/>
        <sz val="8"/>
        <rFont val="Arial"/>
        <family val="2"/>
      </rPr>
      <t>2</t>
    </r>
  </si>
  <si>
    <t>Filename: VEGFRZ</t>
  </si>
  <si>
    <t>--- Millions ---</t>
  </si>
  <si>
    <t xml:space="preserve"> </t>
  </si>
  <si>
    <t>----------------------------------------------------------------- Million pounds ----------------------------------------------------------------</t>
  </si>
  <si>
    <t>--------------- Pounds --------------</t>
  </si>
  <si>
    <r>
      <t>Total</t>
    </r>
    <r>
      <rPr>
        <vertAlign val="superscript"/>
        <sz val="8"/>
        <rFont val="Arial"/>
        <family val="2"/>
      </rPr>
      <t>5</t>
    </r>
  </si>
  <si>
    <t>Production</t>
  </si>
  <si>
    <r>
      <t>Ending stocks</t>
    </r>
    <r>
      <rPr>
        <vertAlign val="superscript"/>
        <sz val="8"/>
        <rFont val="Arial"/>
        <family val="2"/>
      </rPr>
      <t>7</t>
    </r>
  </si>
  <si>
    <r>
      <t>Beginning stocks</t>
    </r>
    <r>
      <rPr>
        <vertAlign val="superscript"/>
        <sz val="8"/>
        <rFont val="Arial"/>
        <family val="2"/>
      </rPr>
      <t>7</t>
    </r>
  </si>
  <si>
    <r>
      <t>Total</t>
    </r>
    <r>
      <rPr>
        <vertAlign val="superscript"/>
        <sz val="8"/>
        <rFont val="Arial"/>
        <family val="2"/>
      </rPr>
      <t>4</t>
    </r>
  </si>
  <si>
    <r>
      <rPr>
        <vertAlign val="superscript"/>
        <sz val="8"/>
        <rFont val="Arial"/>
        <family val="2"/>
      </rPr>
      <t>1</t>
    </r>
    <r>
      <rPr>
        <sz val="8"/>
        <rFont val="Arial"/>
        <family val="2"/>
      </rPr>
      <t xml:space="preserve">All product-weight data in this table have been converted to a fresh-weight (farm) basis. Uses U.S. resident population plus the Armed Forces overseas, July 1. </t>
    </r>
    <r>
      <rPr>
        <vertAlign val="superscript"/>
        <sz val="8"/>
        <rFont val="Arial"/>
        <family val="2"/>
      </rPr>
      <t>2</t>
    </r>
    <r>
      <rPr>
        <sz val="8"/>
        <rFont val="Arial"/>
        <family val="2"/>
      </rPr>
      <t>Computed from unrounded data.</t>
    </r>
  </si>
  <si>
    <t>Food availability</t>
  </si>
  <si>
    <t>Nonfood use</t>
  </si>
  <si>
    <t>Asparagus for freezing: Supply and use</t>
  </si>
  <si>
    <t>Green lima beans for freezing: Supply and use</t>
  </si>
  <si>
    <t>Snap beans for freezing: Supply and use</t>
  </si>
  <si>
    <t>Broccoli for freezing: Supply and use</t>
  </si>
  <si>
    <t>Carrots for freezing: Supply and use</t>
  </si>
  <si>
    <t>Cauliflower for freezing: Supply and use</t>
  </si>
  <si>
    <t>Sweet corn for freezing: Supply and use</t>
  </si>
  <si>
    <t>Green peas for freezing: Supply and use</t>
  </si>
  <si>
    <r>
      <t>Potatoes for freezing: Supply and use</t>
    </r>
    <r>
      <rPr>
        <b/>
        <vertAlign val="superscript"/>
        <sz val="8"/>
        <rFont val="Arial"/>
        <family val="2"/>
      </rPr>
      <t>1</t>
    </r>
  </si>
  <si>
    <t>Spinach for freezing: Supply and use</t>
  </si>
  <si>
    <t>Miscellaneous vegetables for freezing: Supply and use</t>
  </si>
  <si>
    <t>Vegetables for freezing: Supply and use</t>
  </si>
  <si>
    <r>
      <t>Total frozen vegetables per capita availability (farm weight)</t>
    </r>
    <r>
      <rPr>
        <vertAlign val="superscript"/>
        <sz val="8"/>
        <rFont val="Arial"/>
        <family val="2"/>
      </rPr>
      <t>2</t>
    </r>
  </si>
  <si>
    <r>
      <t>Total frozen vegetables per capita availability (product weight)</t>
    </r>
    <r>
      <rPr>
        <vertAlign val="superscript"/>
        <sz val="8"/>
        <rFont val="Arial"/>
        <family val="2"/>
      </rPr>
      <t>2</t>
    </r>
  </si>
  <si>
    <r>
      <t>Ending stocks</t>
    </r>
    <r>
      <rPr>
        <vertAlign val="superscript"/>
        <sz val="8"/>
        <rFont val="Arial"/>
        <family val="2"/>
      </rPr>
      <t>2,4</t>
    </r>
    <r>
      <rPr>
        <sz val="8"/>
        <rFont val="Arial"/>
        <family val="2"/>
      </rPr>
      <t xml:space="preserve"> </t>
    </r>
  </si>
  <si>
    <r>
      <t>Imports</t>
    </r>
    <r>
      <rPr>
        <vertAlign val="superscript"/>
        <sz val="8"/>
        <rFont val="Arial"/>
        <family val="2"/>
      </rPr>
      <t>4,5</t>
    </r>
  </si>
  <si>
    <r>
      <t>Exports</t>
    </r>
    <r>
      <rPr>
        <vertAlign val="superscript"/>
        <sz val="8"/>
        <rFont val="Arial"/>
        <family val="2"/>
      </rPr>
      <t>4,5</t>
    </r>
  </si>
  <si>
    <r>
      <t>Total</t>
    </r>
    <r>
      <rPr>
        <vertAlign val="superscript"/>
        <sz val="8"/>
        <rFont val="Arial"/>
        <family val="2"/>
      </rPr>
      <t>6,8,9</t>
    </r>
  </si>
  <si>
    <t>Source: USDA, Economic Research Service - based on data from various sources as documented on the Food Availability Data System home page. Data last updated December 1, 2021.</t>
  </si>
  <si>
    <t>------------------------------------------------------------------------------------------------------------------------------------------------------------ Pounds ------------------------------------------------------------------------------------------------------------------------------------------------------------</t>
  </si>
  <si>
    <r>
      <rPr>
        <vertAlign val="superscript"/>
        <sz val="8"/>
        <rFont val="Arial"/>
        <family val="2"/>
      </rPr>
      <t>1</t>
    </r>
    <r>
      <rPr>
        <sz val="8"/>
        <rFont val="Arial"/>
        <family val="2"/>
      </rPr>
      <t xml:space="preserve">Data are converted to product-weight. Uses U.S. resident population plus the Armed Forces overseas, July 1. </t>
    </r>
    <r>
      <rPr>
        <vertAlign val="superscript"/>
        <sz val="8"/>
        <rFont val="Arial"/>
        <family val="2"/>
      </rPr>
      <t>2</t>
    </r>
    <r>
      <rPr>
        <sz val="8"/>
        <rFont val="Arial"/>
        <family val="2"/>
      </rPr>
      <t>Computed from unrounded data.</t>
    </r>
  </si>
  <si>
    <r>
      <t>Beginning stocks</t>
    </r>
    <r>
      <rPr>
        <vertAlign val="superscript"/>
        <sz val="8"/>
        <rFont val="Arial"/>
        <family val="2"/>
      </rPr>
      <t>2,4</t>
    </r>
  </si>
  <si>
    <r>
      <t>Ending stocks</t>
    </r>
    <r>
      <rPr>
        <vertAlign val="superscript"/>
        <sz val="8"/>
        <rFont val="Arial"/>
        <family val="2"/>
      </rPr>
      <t>2,4</t>
    </r>
  </si>
  <si>
    <t>Filename</t>
  </si>
  <si>
    <t>Worksheets</t>
  </si>
  <si>
    <t>Vegetables for freezing (farm weight): Per capita availability</t>
  </si>
  <si>
    <r>
      <t>Vegetables for freezing (farm weight): Per capita availability</t>
    </r>
    <r>
      <rPr>
        <b/>
        <vertAlign val="superscript"/>
        <sz val="8"/>
        <rFont val="Arial"/>
        <family val="2"/>
      </rPr>
      <t>1</t>
    </r>
  </si>
  <si>
    <r>
      <t>Vegetables for freezing (product weight): Per capita availability</t>
    </r>
    <r>
      <rPr>
        <b/>
        <vertAlign val="superscript"/>
        <sz val="8"/>
        <rFont val="Arial"/>
        <family val="2"/>
      </rPr>
      <t>1</t>
    </r>
  </si>
  <si>
    <t>Vegetables for freezing (product weight): Per capita availability</t>
  </si>
  <si>
    <t>Potatoes for freezing: Supply and use</t>
  </si>
  <si>
    <t>vegfrz.xlsx</t>
  </si>
  <si>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t>
    </r>
    <r>
      <rPr>
        <vertAlign val="superscript"/>
        <sz val="8"/>
        <rFont val="Arial"/>
        <family val="2"/>
      </rPr>
      <t>3</t>
    </r>
    <r>
      <rPr>
        <sz val="8"/>
        <rFont val="Arial"/>
        <family val="2"/>
      </rPr>
      <t xml:space="preserve">Source: U.S. Department of Commerce, U.S. Census Bureau. All product-weight data in this table have been converted to a fresh-weight basis. </t>
    </r>
    <r>
      <rPr>
        <vertAlign val="superscript"/>
        <sz val="8"/>
        <rFont val="Arial"/>
        <family val="2"/>
      </rPr>
      <t>4</t>
    </r>
    <r>
      <rPr>
        <sz val="8"/>
        <rFont val="Arial"/>
        <family val="2"/>
      </rPr>
      <t>Computed from unrounded data.</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</si>
  <si>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Data for 1982-83 and 2016-19 estimated by ERS. </t>
    </r>
    <r>
      <rPr>
        <vertAlign val="superscript"/>
        <sz val="8"/>
        <rFont val="Arial"/>
        <family val="2"/>
      </rPr>
      <t>3</t>
    </r>
    <r>
      <rPr>
        <sz val="8"/>
        <rFont val="Arial"/>
        <family val="2"/>
      </rPr>
      <t xml:space="preserve">Source: U.S. Department of Commerce, U.S. Census Bureau. All product-weight data in this table have been converted to a fresh-weight basis using a factor of 1.92. </t>
    </r>
    <r>
      <rPr>
        <vertAlign val="superscript"/>
        <sz val="8"/>
        <rFont val="Arial"/>
        <family val="2"/>
      </rPr>
      <t>4</t>
    </r>
    <r>
      <rPr>
        <sz val="8"/>
        <rFont val="Arial"/>
        <family val="2"/>
      </rPr>
      <t>Computed from unrounded data.</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</si>
  <si>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Data estimated by ERS for 2016-19. </t>
    </r>
    <r>
      <rPr>
        <vertAlign val="superscript"/>
        <sz val="8"/>
        <rFont val="Arial"/>
        <family val="2"/>
      </rPr>
      <t>3</t>
    </r>
    <r>
      <rPr>
        <sz val="8"/>
        <rFont val="Arial"/>
        <family val="2"/>
      </rPr>
      <t xml:space="preserve">Source: U.S. Department of Commerce, U.S. Census Bureau. All product-weight data in this table have been converted to a fresh-weight basis using a factor of 1.05. </t>
    </r>
    <r>
      <rPr>
        <vertAlign val="superscript"/>
        <sz val="8"/>
        <rFont val="Arial"/>
        <family val="2"/>
      </rPr>
      <t>4</t>
    </r>
    <r>
      <rPr>
        <sz val="8"/>
        <rFont val="Arial"/>
        <family val="2"/>
      </rPr>
      <t>Computed from unrounded data.</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</si>
  <si>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Data estimated by ERS for 2016-19. </t>
    </r>
    <r>
      <rPr>
        <vertAlign val="superscript"/>
        <sz val="8"/>
        <rFont val="Arial"/>
        <family val="2"/>
      </rPr>
      <t>3</t>
    </r>
    <r>
      <rPr>
        <sz val="8"/>
        <rFont val="Arial"/>
        <family val="2"/>
      </rPr>
      <t xml:space="preserve">Source: U.S. Department of Commerce, U.S. Census Bureau. All product-weight data have been converted to a fresh-weight basis using a factor of 1.18 through 2005. Beginning with 2006, the factor was updated to 1.11. </t>
    </r>
    <r>
      <rPr>
        <vertAlign val="superscript"/>
        <sz val="8"/>
        <rFont val="Arial"/>
        <family val="2"/>
      </rPr>
      <t>4</t>
    </r>
    <r>
      <rPr>
        <sz val="8"/>
        <rFont val="Arial"/>
        <family val="2"/>
      </rPr>
      <t xml:space="preserve">December 31 stocks. </t>
    </r>
    <r>
      <rPr>
        <vertAlign val="superscript"/>
        <sz val="8"/>
        <rFont val="Arial"/>
        <family val="2"/>
      </rPr>
      <t>5</t>
    </r>
    <r>
      <rPr>
        <sz val="8"/>
        <rFont val="Arial"/>
        <family val="2"/>
      </rPr>
      <t>Computed from unrounded data.</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</si>
  <si>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Mainly for freezing. </t>
    </r>
    <r>
      <rPr>
        <vertAlign val="superscript"/>
        <sz val="8"/>
        <rFont val="Arial"/>
        <family val="2"/>
      </rPr>
      <t>3</t>
    </r>
    <r>
      <rPr>
        <sz val="8"/>
        <rFont val="Arial"/>
        <family val="2"/>
      </rPr>
      <t xml:space="preserve">Source: U.S. Department of Commerce, U.S. Census Bureau. All product-weight data in this table have been converted to a fresh-weight basis using a factor of 1.33. </t>
    </r>
    <r>
      <rPr>
        <vertAlign val="superscript"/>
        <sz val="8"/>
        <rFont val="Arial"/>
        <family val="2"/>
      </rPr>
      <t>4</t>
    </r>
    <r>
      <rPr>
        <sz val="8"/>
        <rFont val="Arial"/>
        <family val="2"/>
      </rPr>
      <t>Computed from unrounded data.</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</si>
  <si>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Derived from pack data published by the American Frozen Food Institute through 2000. After 2000, AFFI ceased reporting frozen pack, so the share of processing carrots use for freezing was set at 66 percent (the average share packed basis for freezing from 1994-2000). Data for 2016-19 estimated by ERS. </t>
    </r>
    <r>
      <rPr>
        <vertAlign val="superscript"/>
        <sz val="8"/>
        <rFont val="Arial"/>
        <family val="2"/>
      </rPr>
      <t>3</t>
    </r>
    <r>
      <rPr>
        <sz val="8"/>
        <rFont val="Arial"/>
        <family val="2"/>
      </rPr>
      <t xml:space="preserve">Source: U.S. Department of Commerce, U.S. Census Bureau. All product-weight data in this table have been converted to a fresh-weight basis using a factor of 1.82. </t>
    </r>
    <r>
      <rPr>
        <vertAlign val="superscript"/>
        <sz val="8"/>
        <rFont val="Arial"/>
        <family val="2"/>
      </rPr>
      <t>4</t>
    </r>
    <r>
      <rPr>
        <sz val="8"/>
        <rFont val="Arial"/>
        <family val="2"/>
      </rPr>
      <t xml:space="preserve">Source: USDA, National Agricultural Statistics Service (NASS). End of December stocks (converted to fresh-weight basis). </t>
    </r>
    <r>
      <rPr>
        <vertAlign val="superscript"/>
        <sz val="8"/>
        <rFont val="Arial"/>
        <family val="2"/>
      </rPr>
      <t>5</t>
    </r>
    <r>
      <rPr>
        <sz val="8"/>
        <rFont val="Arial"/>
        <family val="2"/>
      </rPr>
      <t>Computed from unrounded data.</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</si>
  <si>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Mainly for freezing. USDA, NASS changed the reporting states for 2016. </t>
    </r>
    <r>
      <rPr>
        <vertAlign val="superscript"/>
        <sz val="8"/>
        <rFont val="Arial"/>
        <family val="2"/>
      </rPr>
      <t>3</t>
    </r>
    <r>
      <rPr>
        <sz val="8"/>
        <rFont val="Arial"/>
        <family val="2"/>
      </rPr>
      <t xml:space="preserve">Source: U.S. Department of Commerce, U.S. Census Bureau. All product-weight data in this table have been converted to a fresh-weight basis using a factor of 1.43. </t>
    </r>
    <r>
      <rPr>
        <vertAlign val="superscript"/>
        <sz val="8"/>
        <rFont val="Arial"/>
        <family val="2"/>
      </rPr>
      <t>4</t>
    </r>
    <r>
      <rPr>
        <sz val="8"/>
        <rFont val="Arial"/>
        <family val="2"/>
      </rPr>
      <t>Computed from unrounded data.</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</si>
  <si>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Data estimated by ERS for 2016-19. </t>
    </r>
    <r>
      <rPr>
        <vertAlign val="superscript"/>
        <sz val="8"/>
        <rFont val="Arial"/>
        <family val="2"/>
      </rPr>
      <t>3</t>
    </r>
    <r>
      <rPr>
        <sz val="8"/>
        <rFont val="Arial"/>
        <family val="2"/>
      </rPr>
      <t xml:space="preserve">Source: U.S. Department of Commerce, U.S. Census Bureau. All product-weight data have been converted to a fresh-weight basis using a factor of 3.7 through 2007. Since 2008, the factor was updated to 3.33. </t>
    </r>
    <r>
      <rPr>
        <vertAlign val="superscript"/>
        <sz val="8"/>
        <rFont val="Arial"/>
        <family val="2"/>
      </rPr>
      <t>4</t>
    </r>
    <r>
      <rPr>
        <sz val="8"/>
        <rFont val="Arial"/>
        <family val="2"/>
      </rPr>
      <t xml:space="preserve">USDA, NASS - December 31 stocks. </t>
    </r>
    <r>
      <rPr>
        <vertAlign val="superscript"/>
        <sz val="8"/>
        <rFont val="Arial"/>
        <family val="2"/>
      </rPr>
      <t>5</t>
    </r>
    <r>
      <rPr>
        <sz val="8"/>
        <rFont val="Arial"/>
        <family val="2"/>
      </rPr>
      <t>Computed from unrounded data.</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</si>
  <si>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Data estimated by ERS for 2016-19. </t>
    </r>
    <r>
      <rPr>
        <vertAlign val="superscript"/>
        <sz val="8"/>
        <rFont val="Arial"/>
        <family val="2"/>
      </rPr>
      <t>3</t>
    </r>
    <r>
      <rPr>
        <sz val="8"/>
        <rFont val="Arial"/>
        <family val="2"/>
      </rPr>
      <t xml:space="preserve">Source: U.S. Department of Commerce, U.S. Census Bureau. All product-weight data in this table have been converted to a fresh-weight (shelled) basis using a factor of 1.09 through 2004. Beginning in 2005, the factor was updated to 1.11. </t>
    </r>
    <r>
      <rPr>
        <vertAlign val="superscript"/>
        <sz val="8"/>
        <rFont val="Arial"/>
        <family val="2"/>
      </rPr>
      <t>4</t>
    </r>
    <r>
      <rPr>
        <sz val="8"/>
        <rFont val="Arial"/>
        <family val="2"/>
      </rPr>
      <t xml:space="preserve">Excludes green pea stocks used in mixed pea/carrot products. </t>
    </r>
    <r>
      <rPr>
        <vertAlign val="superscript"/>
        <sz val="8"/>
        <rFont val="Arial"/>
        <family val="2"/>
      </rPr>
      <t>5</t>
    </r>
    <r>
      <rPr>
        <sz val="8"/>
        <rFont val="Arial"/>
        <family val="2"/>
      </rPr>
      <t>Computed from unrounded data.</t>
    </r>
  </si>
  <si>
    <r>
      <rPr>
        <vertAlign val="superscript"/>
        <sz val="8"/>
        <rFont val="Arial"/>
        <family val="2"/>
      </rPr>
      <t>1</t>
    </r>
    <r>
      <rPr>
        <sz val="8"/>
        <rFont val="Arial"/>
        <family val="2"/>
      </rPr>
      <t xml:space="preserve">Farm weight. </t>
    </r>
    <r>
      <rPr>
        <vertAlign val="superscript"/>
        <sz val="8"/>
        <rFont val="Arial"/>
        <family val="2"/>
      </rPr>
      <t>2</t>
    </r>
    <r>
      <rPr>
        <sz val="8"/>
        <rFont val="Arial"/>
        <family val="2"/>
      </rPr>
      <t xml:space="preserve">Crop year (October-September) data converted to calendar year. </t>
    </r>
    <r>
      <rPr>
        <vertAlign val="superscript"/>
        <sz val="8"/>
        <rFont val="Arial"/>
        <family val="2"/>
      </rPr>
      <t>3</t>
    </r>
    <r>
      <rPr>
        <sz val="8"/>
        <rFont val="Arial"/>
        <family val="2"/>
      </rPr>
      <t xml:space="preserve">Resident population plus the Armed Forces overseas. </t>
    </r>
    <r>
      <rPr>
        <vertAlign val="superscript"/>
        <sz val="8"/>
        <rFont val="Arial"/>
        <family val="2"/>
      </rPr>
      <t>4</t>
    </r>
    <r>
      <rPr>
        <sz val="8"/>
        <rFont val="Arial"/>
        <family val="2"/>
      </rPr>
      <t xml:space="preserve">Based on frozen use report by USDA, National Agricultural Statistics Service (NASS). Use was converted to a calendar year basis using USDA, NASS potato marketing data. </t>
    </r>
    <r>
      <rPr>
        <vertAlign val="superscript"/>
        <sz val="8"/>
        <rFont val="Arial"/>
        <family val="2"/>
      </rPr>
      <t>5</t>
    </r>
    <r>
      <rPr>
        <sz val="8"/>
        <rFont val="Arial"/>
        <family val="2"/>
      </rPr>
      <t xml:space="preserve">Source: U.S. Department of Commerce, U.S. Census Bureau. </t>
    </r>
    <r>
      <rPr>
        <vertAlign val="superscript"/>
        <sz val="8"/>
        <rFont val="Arial"/>
        <family val="2"/>
      </rPr>
      <t>6</t>
    </r>
    <r>
      <rPr>
        <sz val="8"/>
        <rFont val="Arial"/>
        <family val="2"/>
      </rPr>
      <t xml:space="preserve">All product-weight data have been converted to a fresh-weight basis using a factor of 2.0. </t>
    </r>
    <r>
      <rPr>
        <vertAlign val="superscript"/>
        <sz val="8"/>
        <rFont val="Arial"/>
        <family val="2"/>
      </rPr>
      <t>7</t>
    </r>
    <r>
      <rPr>
        <sz val="8"/>
        <rFont val="Arial"/>
        <family val="2"/>
      </rPr>
      <t xml:space="preserve">Source: USDA, NASS. </t>
    </r>
    <r>
      <rPr>
        <vertAlign val="superscript"/>
        <sz val="8"/>
        <rFont val="Arial"/>
        <family val="2"/>
      </rPr>
      <t>8</t>
    </r>
    <r>
      <rPr>
        <sz val="8"/>
        <rFont val="Arial"/>
        <family val="2"/>
      </rPr>
      <t xml:space="preserve">Computed from unrounded data. </t>
    </r>
    <r>
      <rPr>
        <vertAlign val="superscript"/>
        <sz val="8"/>
        <rFont val="Arial"/>
        <family val="2"/>
      </rPr>
      <t>9</t>
    </r>
    <r>
      <rPr>
        <sz val="8"/>
        <rFont val="Arial"/>
        <family val="2"/>
      </rPr>
      <t xml:space="preserve">From 1978 to 1988 shipments to U.S. territories were also subtracted from the total available for domestic use. </t>
    </r>
    <r>
      <rPr>
        <vertAlign val="superscript"/>
        <sz val="8"/>
        <rFont val="Arial"/>
        <family val="2"/>
      </rPr>
      <t>10</t>
    </r>
    <r>
      <rPr>
        <sz val="8"/>
        <rFont val="Arial"/>
        <family val="2"/>
      </rPr>
      <t>Factors used to convert farm weight to retail weight are: 0.45 in 1970; every year thereafter 0.01 was added until reaching 0.50 in 1975.</t>
    </r>
  </si>
  <si>
    <r>
      <rPr>
        <vertAlign val="superscript"/>
        <sz val="8"/>
        <rFont val="Arial"/>
        <family val="2"/>
      </rPr>
      <t>1</t>
    </r>
    <r>
      <rPr>
        <sz val="8"/>
        <rFont val="Arial"/>
        <family val="2"/>
      </rPr>
      <t xml:space="preserve">Resident plus the Armed Forces overseas. </t>
    </r>
    <r>
      <rPr>
        <vertAlign val="superscript"/>
        <sz val="8"/>
        <rFont val="Arial"/>
        <family val="2"/>
      </rPr>
      <t>2</t>
    </r>
    <r>
      <rPr>
        <sz val="8"/>
        <rFont val="Arial"/>
        <family val="2"/>
      </rPr>
      <t xml:space="preserve">Source: USDA, National Agricultural Statistics Service (NASS) for 1977-81 and 1992 to the present; other years are ERS estimates. </t>
    </r>
    <r>
      <rPr>
        <vertAlign val="superscript"/>
        <sz val="8"/>
        <rFont val="Arial"/>
        <family val="2"/>
      </rPr>
      <t>3</t>
    </r>
    <r>
      <rPr>
        <sz val="8"/>
        <rFont val="Arial"/>
        <family val="2"/>
      </rPr>
      <t xml:space="preserve">Source: U.S. Department of Commerce, U.S. Census Bureau. All product-weight data have been converted to a fresh-weight basis using a factor of 1.43. </t>
    </r>
    <r>
      <rPr>
        <vertAlign val="superscript"/>
        <sz val="8"/>
        <rFont val="Arial"/>
        <family val="2"/>
      </rPr>
      <t>4</t>
    </r>
    <r>
      <rPr>
        <sz val="8"/>
        <rFont val="Arial"/>
        <family val="2"/>
      </rPr>
      <t xml:space="preserve">Source: USDA, NASS - December 31 stocks on a fresh-weight basis. </t>
    </r>
    <r>
      <rPr>
        <vertAlign val="superscript"/>
        <sz val="8"/>
        <rFont val="Arial"/>
        <family val="2"/>
      </rPr>
      <t>5</t>
    </r>
    <r>
      <rPr>
        <sz val="8"/>
        <rFont val="Arial"/>
        <family val="2"/>
      </rPr>
      <t>Computed from unrounded data.</t>
    </r>
  </si>
  <si>
    <r>
      <rPr>
        <vertAlign val="superscript"/>
        <sz val="8"/>
        <rFont val="Arial"/>
        <family val="2"/>
      </rPr>
      <t>1</t>
    </r>
    <r>
      <rPr>
        <sz val="8"/>
        <rFont val="Arial"/>
        <family val="2"/>
      </rPr>
      <t xml:space="preserve">Resident plus the Armed Forces overseas. </t>
    </r>
    <r>
      <rPr>
        <vertAlign val="superscript"/>
        <sz val="8"/>
        <rFont val="Arial"/>
        <family val="2"/>
      </rPr>
      <t>2</t>
    </r>
    <r>
      <rPr>
        <sz val="8"/>
        <rFont val="Arial"/>
        <family val="2"/>
      </rPr>
      <t xml:space="preserve">Source: Converted from American Frozen Food Institute pack data. Includes collards, kale, mustard greens, okra, blackeye peas, pumpkin, rhubarb, summer squash, turnip greens, turnips, and miscellaneous vegetables. After 2004, estimated by ERS based on the relationship of historical production to imports and ending stocks. </t>
    </r>
    <r>
      <rPr>
        <vertAlign val="superscript"/>
        <sz val="8"/>
        <rFont val="Arial"/>
        <family val="2"/>
      </rPr>
      <t>3</t>
    </r>
    <r>
      <rPr>
        <sz val="8"/>
        <rFont val="Arial"/>
        <family val="2"/>
      </rPr>
      <t xml:space="preserve">Source: U.S. Department of Commerce, U.S. Census Bureau. All product-weight data have been converted to a fresh-weight basis using a factor of 1.50. </t>
    </r>
    <r>
      <rPr>
        <vertAlign val="superscript"/>
        <sz val="8"/>
        <rFont val="Arial"/>
        <family val="2"/>
      </rPr>
      <t>4</t>
    </r>
    <r>
      <rPr>
        <sz val="8"/>
        <rFont val="Arial"/>
        <family val="2"/>
      </rPr>
      <t xml:space="preserve">Source: USDA, National Agricultural Statistics Service (NASS). Includes cold storage data for okra, blackeye peas, squash, southern greens, and miscelleneous frozen vegetables. </t>
    </r>
    <r>
      <rPr>
        <vertAlign val="superscript"/>
        <sz val="8"/>
        <rFont val="Arial"/>
        <family val="2"/>
      </rPr>
      <t>5</t>
    </r>
    <r>
      <rPr>
        <sz val="8"/>
        <rFont val="Arial"/>
        <family val="2"/>
      </rPr>
      <t>Computed from unrounded data.</t>
    </r>
  </si>
  <si>
    <r>
      <t xml:space="preserve">An estimate for total frozen vegetables is not available after 2019 because data for most of frozen vegetables has been discontinued. For a 2020 estimate for total vegetables for processing (frozen and canned), please see </t>
    </r>
    <r>
      <rPr>
        <i/>
        <sz val="8"/>
        <rFont val="Arial"/>
        <family val="2"/>
      </rPr>
      <t>Vegetables (processed)</t>
    </r>
    <r>
      <rPr>
        <sz val="8"/>
        <rFont val="Arial"/>
        <family val="2"/>
      </rPr>
      <t xml:space="preserve"> file.</t>
    </r>
  </si>
  <si>
    <r>
      <t xml:space="preserve">Freezing estimates discontinued after 2019. For a 2020 estimate for total asparagus for processing (frozen and canned), please see </t>
    </r>
    <r>
      <rPr>
        <i/>
        <sz val="8"/>
        <rFont val="Arial"/>
        <family val="2"/>
      </rPr>
      <t>Vegetables (processed)</t>
    </r>
    <r>
      <rPr>
        <sz val="8"/>
        <rFont val="Arial"/>
        <family val="2"/>
      </rPr>
      <t xml:space="preserve"> file.</t>
    </r>
  </si>
  <si>
    <r>
      <t xml:space="preserve">Freezing estimates discontinued after 2019. For a 2020 estimate for total lima beans for processing (frozen and canned), please see </t>
    </r>
    <r>
      <rPr>
        <i/>
        <sz val="8"/>
        <rFont val="Arial"/>
        <family val="2"/>
      </rPr>
      <t>Vegetables (processed)</t>
    </r>
    <r>
      <rPr>
        <sz val="8"/>
        <rFont val="Arial"/>
        <family val="2"/>
      </rPr>
      <t xml:space="preserve"> file.</t>
    </r>
  </si>
  <si>
    <r>
      <t xml:space="preserve">Freezing estimates discontinued after 2019. For a 2020 estimate for total snap beans for processing (frozen and canned), please see </t>
    </r>
    <r>
      <rPr>
        <i/>
        <sz val="8"/>
        <rFont val="Arial"/>
        <family val="2"/>
      </rPr>
      <t>Vegetables (processed)</t>
    </r>
    <r>
      <rPr>
        <sz val="8"/>
        <rFont val="Arial"/>
        <family val="2"/>
      </rPr>
      <t xml:space="preserve"> file.</t>
    </r>
  </si>
  <si>
    <r>
      <t xml:space="preserve">Freezing estimates discontinued after 2019. For a 2020 estimate for total carrots for processing (frozen and canned), please see </t>
    </r>
    <r>
      <rPr>
        <i/>
        <sz val="8"/>
        <rFont val="Arial"/>
        <family val="2"/>
      </rPr>
      <t>Vegetables (processed)</t>
    </r>
    <r>
      <rPr>
        <sz val="8"/>
        <rFont val="Arial"/>
        <family val="2"/>
      </rPr>
      <t xml:space="preserve"> file.</t>
    </r>
  </si>
  <si>
    <r>
      <t xml:space="preserve">Freezing estimates discontinued after 2019. For a 2020 estimate for total sweet corn for processing (frozen and canned), please see </t>
    </r>
    <r>
      <rPr>
        <i/>
        <sz val="8"/>
        <rFont val="Arial"/>
        <family val="2"/>
      </rPr>
      <t>Vegetables (processed)</t>
    </r>
    <r>
      <rPr>
        <sz val="8"/>
        <rFont val="Arial"/>
        <family val="2"/>
      </rPr>
      <t xml:space="preserve"> file.</t>
    </r>
  </si>
  <si>
    <r>
      <t xml:space="preserve">Freezing estimates discontinued after 2019. For a 2020 estimate for total green peas for processing (frozen and canned), please see </t>
    </r>
    <r>
      <rPr>
        <i/>
        <sz val="8"/>
        <rFont val="Arial"/>
        <family val="2"/>
      </rPr>
      <t>Vegetables (processed)</t>
    </r>
    <r>
      <rPr>
        <sz val="8"/>
        <rFont val="Arial"/>
        <family val="2"/>
      </rPr>
      <t xml:space="preserve"> file.</t>
    </r>
  </si>
  <si>
    <r>
      <t xml:space="preserve">Freezing estimates discontinued after 2019. For a 2020 estimate for total spinach for processing (frozen and canned), please see </t>
    </r>
    <r>
      <rPr>
        <i/>
        <sz val="8"/>
        <rFont val="Arial"/>
        <family val="2"/>
      </rPr>
      <t>Vegetables (processed)</t>
    </r>
    <r>
      <rPr>
        <sz val="8"/>
        <rFont val="Arial"/>
        <family val="2"/>
      </rPr>
      <t xml:space="preserve"> file.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</si>
</sst>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5" formatCode="&quot;$&quot;#,##0_);\(&quot;$&quot;#,##0\)"/>
    <numFmt numFmtId="164" formatCode="#,##0.0"/>
    <numFmt numFmtId="165" formatCode="0.000"/>
    <numFmt numFmtId="166" formatCode="mmmm\ d\,\ yyyy"/>
    <numFmt numFmtId="167" formatCode="0.0"/>
  </numFmts>
  <fonts count="16" x14ac:knownFonts="1">
    <font>
      <sz val="10"/>
      <name val="Arial"/>
    </font>
    <font>
      <sz val="10"/>
      <name val="Arial"/>
      <family val="2"/>
    </font>
    <font>
      <sz val="10"/>
      <name val="Arial"/>
      <family val="2"/>
    </font>
    <font>
      <b/>
      <sz val="18"/>
      <name val="Arial"/>
      <family val="2"/>
    </font>
    <font>
      <b/>
      <sz val="12"/>
      <name val="Arial"/>
      <family val="2"/>
    </font>
    <font>
      <sz val="8"/>
      <name val="Arial"/>
      <family val="2"/>
    </font>
    <font>
      <sz val="8"/>
      <name val="Times New Roman"/>
      <family val="1"/>
    </font>
    <font>
      <b/>
      <sz val="10"/>
      <name val="Arial"/>
      <family val="2"/>
    </font>
    <font>
      <u/>
      <sz val="10"/>
      <color indexed="12"/>
      <name val="Arial"/>
      <family val="2"/>
    </font>
    <font>
      <sz val="12"/>
      <name val="Arial"/>
      <family val="2"/>
    </font>
    <font>
      <sz val="10"/>
      <name val="Courier"/>
      <family val="3"/>
    </font>
    <font>
      <b/>
      <sz val="8"/>
      <name val="Arial"/>
      <family val="2"/>
    </font>
    <font>
      <b/>
      <vertAlign val="superscript"/>
      <sz val="8"/>
      <name val="Arial"/>
      <family val="2"/>
    </font>
    <font>
      <vertAlign val="superscript"/>
      <sz val="8"/>
      <name val="Arial"/>
      <family val="2"/>
    </font>
    <font>
      <i/>
      <sz val="8"/>
      <name val="Arial"/>
      <family val="2"/>
    </font>
    <font>
      <sz val="11"/>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44">
    <border>
      <left/>
      <right/>
      <top/>
      <bottom/>
      <diagonal/>
    </border>
    <border>
      <left/>
      <right/>
      <top style="double">
        <color indexed="64"/>
      </top>
      <bottom/>
      <diagonal/>
    </border>
    <border>
      <left style="thin">
        <color indexed="55"/>
      </left>
      <right style="thin">
        <color indexed="55"/>
      </right>
      <top style="thin">
        <color indexed="55"/>
      </top>
      <bottom style="thin">
        <color indexed="55"/>
      </bottom>
      <diagonal/>
    </border>
    <border>
      <left style="thin">
        <color indexed="64"/>
      </left>
      <right/>
      <top/>
      <bottom style="thin">
        <color indexed="64"/>
      </bottom>
      <diagonal/>
    </border>
    <border>
      <left/>
      <right/>
      <top/>
      <bottom style="thin">
        <color indexed="64"/>
      </bottom>
      <diagonal/>
    </border>
    <border>
      <left style="thin">
        <color indexed="55"/>
      </left>
      <right style="thin">
        <color indexed="55"/>
      </right>
      <top style="thin">
        <color indexed="64"/>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style="thin">
        <color indexed="55"/>
      </top>
      <bottom style="double">
        <color indexed="64"/>
      </bottom>
      <diagonal/>
    </border>
    <border>
      <left/>
      <right/>
      <top style="thin">
        <color indexed="55"/>
      </top>
      <bottom style="double">
        <color indexed="64"/>
      </bottom>
      <diagonal/>
    </border>
    <border>
      <left style="thin">
        <color indexed="55"/>
      </left>
      <right style="thin">
        <color indexed="55"/>
      </right>
      <top/>
      <bottom style="double">
        <color indexed="64"/>
      </bottom>
      <diagonal/>
    </border>
    <border>
      <left/>
      <right style="thin">
        <color indexed="55"/>
      </right>
      <top/>
      <bottom/>
      <diagonal/>
    </border>
    <border>
      <left style="thin">
        <color indexed="55"/>
      </left>
      <right/>
      <top style="thin">
        <color indexed="55"/>
      </top>
      <bottom style="thin">
        <color indexed="55"/>
      </bottom>
      <diagonal/>
    </border>
    <border>
      <left/>
      <right/>
      <top style="thin">
        <color indexed="55"/>
      </top>
      <bottom style="thin">
        <color indexed="55"/>
      </bottom>
      <diagonal/>
    </border>
    <border>
      <left/>
      <right style="thin">
        <color indexed="55"/>
      </right>
      <top style="thin">
        <color indexed="55"/>
      </top>
      <bottom style="thin">
        <color indexed="55"/>
      </bottom>
      <diagonal/>
    </border>
    <border>
      <left style="thin">
        <color indexed="55"/>
      </left>
      <right/>
      <top style="double">
        <color indexed="64"/>
      </top>
      <bottom style="thin">
        <color indexed="55"/>
      </bottom>
      <diagonal/>
    </border>
    <border>
      <left/>
      <right/>
      <top style="double">
        <color indexed="64"/>
      </top>
      <bottom style="thin">
        <color indexed="55"/>
      </bottom>
      <diagonal/>
    </border>
    <border>
      <left/>
      <right style="thin">
        <color indexed="55"/>
      </right>
      <top style="double">
        <color indexed="64"/>
      </top>
      <bottom style="thin">
        <color indexed="55"/>
      </bottom>
      <diagonal/>
    </border>
    <border>
      <left style="thin">
        <color indexed="64"/>
      </left>
      <right/>
      <top/>
      <bottom/>
      <diagonal/>
    </border>
    <border>
      <left/>
      <right/>
      <top/>
      <bottom style="double">
        <color indexed="64"/>
      </bottom>
      <diagonal/>
    </border>
    <border>
      <left style="thin">
        <color indexed="55"/>
      </left>
      <right/>
      <top style="thin">
        <color indexed="64"/>
      </top>
      <bottom style="thin">
        <color indexed="55"/>
      </bottom>
      <diagonal/>
    </border>
    <border>
      <left/>
      <right/>
      <top style="thin">
        <color indexed="64"/>
      </top>
      <bottom style="thin">
        <color indexed="55"/>
      </bottom>
      <diagonal/>
    </border>
    <border>
      <left/>
      <right style="thin">
        <color indexed="55"/>
      </right>
      <top style="thin">
        <color indexed="64"/>
      </top>
      <bottom style="thin">
        <color indexed="55"/>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55"/>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thin">
        <color indexed="55"/>
      </left>
      <right style="thin">
        <color indexed="55"/>
      </right>
      <top/>
      <bottom/>
      <diagonal/>
    </border>
    <border>
      <left style="thin">
        <color theme="0" tint="-0.499984740745262"/>
      </left>
      <right style="thin">
        <color theme="0" tint="-0.499984740745262"/>
      </right>
      <top style="thin">
        <color theme="0" tint="-0.499984740745262"/>
      </top>
      <bottom style="double">
        <color indexed="64"/>
      </bottom>
      <diagonal/>
    </border>
    <border>
      <left style="thin">
        <color indexed="55"/>
      </left>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indexed="55"/>
      </right>
      <top/>
      <bottom style="thin">
        <color theme="0" tint="-0.499984740745262"/>
      </bottom>
      <diagonal/>
    </border>
  </borders>
  <cellStyleXfs count="42">
    <xf numFmtId="0" fontId="0" fillId="0" borderId="0"/>
    <xf numFmtId="3" fontId="2" fillId="0" borderId="0" applyFill="0" applyBorder="0" applyAlignment="0" applyProtection="0"/>
    <xf numFmtId="3" fontId="1" fillId="0" borderId="0" applyFill="0" applyBorder="0" applyAlignment="0" applyProtection="0"/>
    <xf numFmtId="5" fontId="2" fillId="0" borderId="0" applyFill="0" applyBorder="0" applyAlignment="0" applyProtection="0"/>
    <xf numFmtId="5" fontId="1" fillId="0" borderId="0" applyFill="0" applyBorder="0" applyAlignment="0" applyProtection="0"/>
    <xf numFmtId="166" fontId="2" fillId="0" borderId="0" applyFill="0" applyBorder="0" applyAlignment="0" applyProtection="0"/>
    <xf numFmtId="166" fontId="1" fillId="0" borderId="0" applyFill="0" applyBorder="0" applyAlignment="0" applyProtection="0"/>
    <xf numFmtId="2" fontId="2" fillId="0" borderId="0" applyFill="0" applyBorder="0" applyAlignment="0" applyProtection="0"/>
    <xf numFmtId="2" fontId="1" fillId="0" borderId="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5" fillId="0" borderId="0"/>
    <xf numFmtId="0" fontId="1" fillId="0" borderId="0"/>
    <xf numFmtId="0" fontId="5" fillId="0" borderId="0" applyNumberFormat="0" applyFill="0" applyBorder="0" applyAlignment="0" applyProtection="0"/>
    <xf numFmtId="0" fontId="1" fillId="0" borderId="0"/>
    <xf numFmtId="0" fontId="1" fillId="0" borderId="0"/>
    <xf numFmtId="0" fontId="9" fillId="0" borderId="0"/>
    <xf numFmtId="0" fontId="15" fillId="0" borderId="0"/>
    <xf numFmtId="0" fontId="1" fillId="0" borderId="0"/>
    <xf numFmtId="0" fontId="15"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xf numFmtId="0" fontId="1" fillId="0" borderId="0">
      <alignment vertical="center"/>
    </xf>
    <xf numFmtId="0" fontId="1" fillId="0" borderId="0">
      <alignment vertical="center"/>
    </xf>
    <xf numFmtId="0" fontId="10" fillId="0" borderId="0"/>
    <xf numFmtId="0" fontId="15" fillId="0" borderId="0"/>
    <xf numFmtId="0" fontId="15" fillId="0" borderId="0"/>
    <xf numFmtId="0" fontId="6" fillId="0" borderId="0" applyNumberFormat="0" applyFill="0" applyBorder="0" applyAlignment="0" applyProtection="0"/>
    <xf numFmtId="0" fontId="1" fillId="0" borderId="0"/>
    <xf numFmtId="0" fontId="5" fillId="0" borderId="0" applyNumberFormat="0" applyFill="0" applyBorder="0" applyAlignment="0" applyProtection="0"/>
    <xf numFmtId="0" fontId="5" fillId="0" borderId="0" applyNumberFormat="0" applyFill="0" applyBorder="0" applyAlignment="0" applyProtection="0"/>
    <xf numFmtId="0" fontId="1" fillId="0" borderId="0"/>
    <xf numFmtId="0" fontId="5" fillId="0" borderId="0" applyNumberFormat="0" applyFill="0" applyBorder="0" applyAlignment="0" applyProtection="0"/>
    <xf numFmtId="0" fontId="5" fillId="0" borderId="0" applyNumberFormat="0" applyFill="0" applyBorder="0" applyAlignment="0" applyProtection="0"/>
    <xf numFmtId="0" fontId="1" fillId="0" borderId="0"/>
    <xf numFmtId="0" fontId="2" fillId="0" borderId="1" applyNumberFormat="0" applyFill="0" applyAlignment="0" applyProtection="0"/>
    <xf numFmtId="0" fontId="1" fillId="0" borderId="1" applyNumberFormat="0" applyFill="0" applyAlignment="0" applyProtection="0"/>
  </cellStyleXfs>
  <cellXfs count="353">
    <xf numFmtId="0" fontId="0" fillId="0" borderId="0" xfId="0"/>
    <xf numFmtId="0" fontId="5" fillId="0" borderId="0" xfId="15"/>
    <xf numFmtId="0" fontId="7" fillId="0" borderId="0" xfId="15" applyFont="1"/>
    <xf numFmtId="0" fontId="8" fillId="0" borderId="0" xfId="11" applyFont="1" applyAlignment="1" applyProtection="1"/>
    <xf numFmtId="0" fontId="8" fillId="0" borderId="0" xfId="11" applyAlignment="1" applyProtection="1"/>
    <xf numFmtId="0" fontId="5" fillId="0" borderId="0" xfId="35" applyNumberFormat="1" applyFont="1" applyFill="1"/>
    <xf numFmtId="164" fontId="5" fillId="0" borderId="0" xfId="35" applyNumberFormat="1" applyFont="1" applyFill="1"/>
    <xf numFmtId="164" fontId="5" fillId="0" borderId="0" xfId="32" applyNumberFormat="1" applyFont="1" applyFill="1" applyBorder="1"/>
    <xf numFmtId="0" fontId="5" fillId="0" borderId="0" xfId="32" applyNumberFormat="1" applyFont="1" applyFill="1" applyBorder="1"/>
    <xf numFmtId="164" fontId="5" fillId="0" borderId="0" xfId="32" applyNumberFormat="1" applyFont="1" applyFill="1" applyBorder="1" applyAlignment="1">
      <alignment horizontal="center"/>
    </xf>
    <xf numFmtId="0" fontId="5" fillId="0" borderId="0" xfId="32" applyNumberFormat="1" applyFont="1" applyFill="1" applyBorder="1" applyAlignment="1">
      <alignment horizontal="center"/>
    </xf>
    <xf numFmtId="0" fontId="5" fillId="0" borderId="0" xfId="32" applyNumberFormat="1" applyFont="1" applyFill="1" applyBorder="1" applyAlignment="1">
      <alignment horizontal="right"/>
    </xf>
    <xf numFmtId="167" fontId="5" fillId="0" borderId="0" xfId="35" applyNumberFormat="1" applyFont="1" applyFill="1"/>
    <xf numFmtId="164" fontId="5" fillId="0" borderId="0" xfId="15" applyNumberFormat="1" applyFont="1" applyFill="1" applyBorder="1" applyAlignment="1">
      <alignment horizontal="right"/>
    </xf>
    <xf numFmtId="0" fontId="5" fillId="0" borderId="0" xfId="15" applyNumberFormat="1" applyFont="1" applyFill="1" applyBorder="1" applyAlignment="1">
      <alignment horizontal="right"/>
    </xf>
    <xf numFmtId="164" fontId="5" fillId="0" borderId="0" xfId="32" applyNumberFormat="1" applyFont="1" applyFill="1" applyBorder="1" applyAlignment="1">
      <alignment horizontal="right"/>
    </xf>
    <xf numFmtId="165" fontId="5" fillId="0" borderId="0" xfId="38" applyNumberFormat="1" applyFont="1" applyFill="1"/>
    <xf numFmtId="3" fontId="5" fillId="0" borderId="0" xfId="38" applyNumberFormat="1" applyFont="1" applyFill="1"/>
    <xf numFmtId="167" fontId="5" fillId="0" borderId="0" xfId="39" applyNumberFormat="1" applyFont="1" applyFill="1" applyBorder="1"/>
    <xf numFmtId="0" fontId="5" fillId="0" borderId="0" xfId="39" applyNumberFormat="1" applyFont="1" applyFill="1" applyBorder="1"/>
    <xf numFmtId="167" fontId="5" fillId="0" borderId="0" xfId="39" applyNumberFormat="1" applyFont="1" applyFill="1" applyBorder="1" applyAlignment="1">
      <alignment horizontal="right"/>
    </xf>
    <xf numFmtId="167" fontId="5" fillId="0" borderId="0" xfId="38" applyNumberFormat="1" applyFont="1" applyFill="1"/>
    <xf numFmtId="0" fontId="5" fillId="0" borderId="0" xfId="34" quotePrefix="1" applyNumberFormat="1" applyFont="1" applyFill="1" applyAlignment="1">
      <alignment horizontal="left"/>
    </xf>
    <xf numFmtId="165" fontId="5" fillId="0" borderId="0" xfId="34" quotePrefix="1" applyNumberFormat="1" applyFont="1" applyFill="1" applyAlignment="1">
      <alignment horizontal="left"/>
    </xf>
    <xf numFmtId="0" fontId="5" fillId="0" borderId="0" xfId="38" applyNumberFormat="1" applyFont="1" applyFill="1"/>
    <xf numFmtId="165" fontId="5" fillId="0" borderId="0" xfId="39" applyNumberFormat="1" applyFont="1" applyFill="1"/>
    <xf numFmtId="3" fontId="5" fillId="0" borderId="0" xfId="39" applyNumberFormat="1" applyFont="1" applyFill="1"/>
    <xf numFmtId="165" fontId="5" fillId="0" borderId="0" xfId="36" applyNumberFormat="1" applyFont="1" applyFill="1"/>
    <xf numFmtId="3" fontId="5" fillId="0" borderId="0" xfId="36" applyNumberFormat="1" applyFont="1" applyFill="1"/>
    <xf numFmtId="167" fontId="5" fillId="0" borderId="0" xfId="36" applyNumberFormat="1" applyFont="1" applyFill="1"/>
    <xf numFmtId="0" fontId="5" fillId="0" borderId="0" xfId="36" applyNumberFormat="1" applyFont="1" applyFill="1"/>
    <xf numFmtId="165" fontId="5" fillId="0" borderId="0" xfId="15" applyNumberFormat="1" applyFont="1" applyFill="1"/>
    <xf numFmtId="3" fontId="5" fillId="0" borderId="0" xfId="15" applyNumberFormat="1" applyFont="1" applyFill="1"/>
    <xf numFmtId="167" fontId="5" fillId="0" borderId="0" xfId="15" applyNumberFormat="1" applyFont="1" applyFill="1"/>
    <xf numFmtId="0" fontId="5" fillId="0" borderId="0" xfId="15" applyNumberFormat="1" applyFont="1" applyFill="1"/>
    <xf numFmtId="167" fontId="5" fillId="0" borderId="0" xfId="32" applyNumberFormat="1" applyFont="1" applyFill="1" applyBorder="1"/>
    <xf numFmtId="0" fontId="5" fillId="0" borderId="0" xfId="35" applyNumberFormat="1" applyFont="1" applyFill="1" applyAlignment="1">
      <alignment horizontal="left"/>
    </xf>
    <xf numFmtId="0" fontId="5" fillId="0" borderId="2" xfId="35" applyNumberFormat="1" applyFont="1" applyFill="1" applyBorder="1" applyAlignment="1">
      <alignment horizontal="center"/>
    </xf>
    <xf numFmtId="3" fontId="5" fillId="0" borderId="3" xfId="38" applyNumberFormat="1" applyFont="1" applyFill="1" applyBorder="1" applyAlignment="1">
      <alignment horizontal="centerContinuous"/>
    </xf>
    <xf numFmtId="3" fontId="5" fillId="0" borderId="4" xfId="38" applyNumberFormat="1" applyFont="1" applyFill="1" applyBorder="1" applyAlignment="1">
      <alignment horizontal="centerContinuous"/>
    </xf>
    <xf numFmtId="0" fontId="5" fillId="0" borderId="2" xfId="15" applyNumberFormat="1" applyFont="1" applyFill="1" applyBorder="1" applyAlignment="1">
      <alignment horizontal="center"/>
    </xf>
    <xf numFmtId="167" fontId="5" fillId="0" borderId="2" xfId="15" applyNumberFormat="1" applyFont="1" applyFill="1" applyBorder="1" applyProtection="1"/>
    <xf numFmtId="0" fontId="5" fillId="0" borderId="2" xfId="38" applyNumberFormat="1" applyFont="1" applyFill="1" applyBorder="1" applyAlignment="1">
      <alignment horizontal="center"/>
    </xf>
    <xf numFmtId="164" fontId="5" fillId="0" borderId="2" xfId="38" applyNumberFormat="1" applyFont="1" applyFill="1" applyBorder="1" applyProtection="1"/>
    <xf numFmtId="164" fontId="5" fillId="0" borderId="2" xfId="38" applyNumberFormat="1" applyFont="1" applyFill="1" applyBorder="1" applyAlignment="1" applyProtection="1">
      <alignment horizontal="right"/>
    </xf>
    <xf numFmtId="164" fontId="5" fillId="0" borderId="2" xfId="38" applyNumberFormat="1" applyFont="1" applyFill="1" applyBorder="1"/>
    <xf numFmtId="164" fontId="5" fillId="0" borderId="2" xfId="38" quotePrefix="1" applyNumberFormat="1" applyFont="1" applyFill="1" applyBorder="1" applyAlignment="1" applyProtection="1">
      <alignment horizontal="right"/>
    </xf>
    <xf numFmtId="164" fontId="5" fillId="0" borderId="2" xfId="38" applyNumberFormat="1" applyFont="1" applyFill="1" applyBorder="1" applyAlignment="1">
      <alignment horizontal="right"/>
    </xf>
    <xf numFmtId="0" fontId="5" fillId="0" borderId="2" xfId="37" applyNumberFormat="1" applyFont="1" applyFill="1" applyBorder="1" applyAlignment="1">
      <alignment horizontal="center"/>
    </xf>
    <xf numFmtId="164" fontId="5" fillId="0" borderId="2" xfId="37" applyNumberFormat="1" applyFont="1" applyFill="1" applyBorder="1"/>
    <xf numFmtId="164" fontId="5" fillId="0" borderId="2" xfId="37" applyNumberFormat="1" applyFont="1" applyFill="1" applyBorder="1" applyAlignment="1">
      <alignment horizontal="right"/>
    </xf>
    <xf numFmtId="164" fontId="5" fillId="0" borderId="2" xfId="37" quotePrefix="1" applyNumberFormat="1" applyFont="1" applyFill="1" applyBorder="1" applyAlignment="1">
      <alignment horizontal="right"/>
    </xf>
    <xf numFmtId="0" fontId="5" fillId="0" borderId="2" xfId="36" applyNumberFormat="1" applyFont="1" applyFill="1" applyBorder="1" applyAlignment="1">
      <alignment horizontal="center"/>
    </xf>
    <xf numFmtId="167" fontId="5" fillId="0" borderId="2" xfId="15" applyNumberFormat="1" applyFont="1" applyFill="1" applyBorder="1"/>
    <xf numFmtId="164" fontId="11" fillId="0" borderId="0" xfId="32" applyNumberFormat="1" applyFont="1" applyFill="1" applyBorder="1"/>
    <xf numFmtId="0" fontId="11" fillId="0" borderId="0" xfId="32" applyNumberFormat="1" applyFont="1" applyFill="1" applyBorder="1"/>
    <xf numFmtId="167" fontId="11" fillId="0" borderId="0" xfId="39" applyNumberFormat="1" applyFont="1" applyFill="1" applyBorder="1"/>
    <xf numFmtId="0" fontId="11" fillId="0" borderId="0" xfId="39" applyNumberFormat="1" applyFont="1" applyFill="1" applyBorder="1"/>
    <xf numFmtId="167" fontId="11" fillId="0" borderId="0" xfId="36" applyNumberFormat="1" applyFont="1" applyFill="1"/>
    <xf numFmtId="0" fontId="11" fillId="0" borderId="0" xfId="36" applyNumberFormat="1" applyFont="1" applyFill="1"/>
    <xf numFmtId="167" fontId="5" fillId="0" borderId="0" xfId="35" quotePrefix="1" applyNumberFormat="1" applyFont="1" applyFill="1" applyAlignment="1">
      <alignment horizontal="right"/>
    </xf>
    <xf numFmtId="164" fontId="5" fillId="0" borderId="0" xfId="35" applyNumberFormat="1" applyFont="1" applyFill="1" applyAlignment="1">
      <alignment horizontal="centerContinuous"/>
    </xf>
    <xf numFmtId="164" fontId="5" fillId="0" borderId="0" xfId="35" applyNumberFormat="1" applyFont="1" applyFill="1" applyAlignment="1">
      <alignment horizontal="left"/>
    </xf>
    <xf numFmtId="164" fontId="5" fillId="0" borderId="0" xfId="35" applyNumberFormat="1" applyFont="1" applyFill="1" applyAlignment="1">
      <alignment horizontal="right"/>
    </xf>
    <xf numFmtId="164" fontId="5" fillId="0" borderId="2" xfId="15" applyNumberFormat="1" applyFont="1" applyFill="1" applyBorder="1"/>
    <xf numFmtId="164" fontId="5" fillId="0" borderId="2" xfId="15" applyNumberFormat="1" applyFont="1" applyFill="1" applyBorder="1" applyAlignment="1">
      <alignment horizontal="right"/>
    </xf>
    <xf numFmtId="164" fontId="5" fillId="0" borderId="2" xfId="32" quotePrefix="1" applyNumberFormat="1" applyFont="1" applyFill="1" applyBorder="1" applyAlignment="1">
      <alignment horizontal="right"/>
    </xf>
    <xf numFmtId="164" fontId="5" fillId="0" borderId="2" xfId="32" applyNumberFormat="1" applyFont="1" applyFill="1" applyBorder="1" applyAlignment="1">
      <alignment horizontal="right"/>
    </xf>
    <xf numFmtId="164" fontId="5" fillId="0" borderId="2" xfId="35" applyNumberFormat="1" applyFont="1" applyFill="1" applyBorder="1"/>
    <xf numFmtId="165" fontId="5" fillId="0" borderId="2" xfId="38" applyNumberFormat="1" applyFont="1" applyFill="1" applyBorder="1" applyAlignment="1">
      <alignment horizontal="center"/>
    </xf>
    <xf numFmtId="165" fontId="5" fillId="0" borderId="2" xfId="0" applyNumberFormat="1" applyFont="1" applyFill="1" applyBorder="1" applyAlignment="1">
      <alignment horizontal="center"/>
    </xf>
    <xf numFmtId="2" fontId="5" fillId="0" borderId="2" xfId="15" applyNumberFormat="1" applyFont="1" applyFill="1" applyBorder="1"/>
    <xf numFmtId="0" fontId="1" fillId="0" borderId="0" xfId="14"/>
    <xf numFmtId="0" fontId="5" fillId="0" borderId="0" xfId="38" applyNumberFormat="1" applyFont="1" applyFill="1" applyAlignment="1">
      <alignment horizontal="center"/>
    </xf>
    <xf numFmtId="0" fontId="5" fillId="0" borderId="0" xfId="36" applyNumberFormat="1" applyFont="1" applyFill="1" applyAlignment="1">
      <alignment horizontal="center"/>
    </xf>
    <xf numFmtId="0" fontId="5" fillId="0" borderId="0" xfId="15" applyNumberFormat="1" applyFont="1" applyFill="1" applyAlignment="1">
      <alignment horizontal="center"/>
    </xf>
    <xf numFmtId="165" fontId="14" fillId="0" borderId="5" xfId="15" quotePrefix="1" applyNumberFormat="1" applyFont="1" applyFill="1" applyBorder="1" applyAlignment="1">
      <alignment horizontal="center" vertical="center"/>
    </xf>
    <xf numFmtId="0" fontId="5" fillId="0" borderId="0" xfId="35" applyNumberFormat="1" applyFont="1" applyFill="1" applyAlignment="1"/>
    <xf numFmtId="0" fontId="5" fillId="2" borderId="2" xfId="38" applyNumberFormat="1" applyFont="1" applyFill="1" applyBorder="1" applyAlignment="1">
      <alignment horizontal="center"/>
    </xf>
    <xf numFmtId="165" fontId="5" fillId="2" borderId="2" xfId="38" applyNumberFormat="1" applyFont="1" applyFill="1" applyBorder="1" applyAlignment="1">
      <alignment horizontal="center"/>
    </xf>
    <xf numFmtId="164" fontId="5" fillId="2" borderId="2" xfId="38" applyNumberFormat="1" applyFont="1" applyFill="1" applyBorder="1" applyProtection="1"/>
    <xf numFmtId="164" fontId="5" fillId="2" borderId="2" xfId="38" applyNumberFormat="1" applyFont="1" applyFill="1" applyBorder="1" applyAlignment="1" applyProtection="1">
      <alignment horizontal="right"/>
    </xf>
    <xf numFmtId="164" fontId="5" fillId="2" borderId="2" xfId="38" applyNumberFormat="1" applyFont="1" applyFill="1" applyBorder="1"/>
    <xf numFmtId="164" fontId="5" fillId="2" borderId="2" xfId="38" quotePrefix="1" applyNumberFormat="1" applyFont="1" applyFill="1" applyBorder="1" applyAlignment="1" applyProtection="1">
      <alignment horizontal="right"/>
    </xf>
    <xf numFmtId="164" fontId="5" fillId="2" borderId="2" xfId="38" applyNumberFormat="1" applyFont="1" applyFill="1" applyBorder="1" applyProtection="1">
      <protection locked="0"/>
    </xf>
    <xf numFmtId="164" fontId="5" fillId="2" borderId="2" xfId="38" applyNumberFormat="1" applyFont="1" applyFill="1" applyBorder="1" applyAlignment="1">
      <alignment horizontal="right"/>
    </xf>
    <xf numFmtId="0" fontId="5" fillId="2" borderId="6" xfId="38" applyNumberFormat="1" applyFont="1" applyFill="1" applyBorder="1" applyAlignment="1">
      <alignment horizontal="center"/>
    </xf>
    <xf numFmtId="165" fontId="5" fillId="2" borderId="6" xfId="38" applyNumberFormat="1" applyFont="1" applyFill="1" applyBorder="1" applyAlignment="1">
      <alignment horizontal="center"/>
    </xf>
    <xf numFmtId="164" fontId="5" fillId="2" borderId="6" xfId="38" applyNumberFormat="1" applyFont="1" applyFill="1" applyBorder="1" applyProtection="1"/>
    <xf numFmtId="164" fontId="5" fillId="2" borderId="6" xfId="38" applyNumberFormat="1" applyFont="1" applyFill="1" applyBorder="1"/>
    <xf numFmtId="164" fontId="5" fillId="2" borderId="6" xfId="38" applyNumberFormat="1" applyFont="1" applyFill="1" applyBorder="1" applyAlignment="1" applyProtection="1">
      <alignment horizontal="right"/>
    </xf>
    <xf numFmtId="0" fontId="5" fillId="2" borderId="2" xfId="36" applyNumberFormat="1" applyFont="1" applyFill="1" applyBorder="1" applyAlignment="1">
      <alignment horizontal="center"/>
    </xf>
    <xf numFmtId="165" fontId="5" fillId="2" borderId="2" xfId="0" applyNumberFormat="1" applyFont="1" applyFill="1" applyBorder="1" applyAlignment="1">
      <alignment horizontal="center"/>
    </xf>
    <xf numFmtId="164" fontId="5" fillId="2" borderId="2" xfId="37" applyNumberFormat="1" applyFont="1" applyFill="1" applyBorder="1"/>
    <xf numFmtId="164" fontId="5" fillId="2" borderId="2" xfId="37" quotePrefix="1" applyNumberFormat="1" applyFont="1" applyFill="1" applyBorder="1" applyAlignment="1">
      <alignment horizontal="right"/>
    </xf>
    <xf numFmtId="0" fontId="5" fillId="2" borderId="2" xfId="37" applyNumberFormat="1" applyFont="1" applyFill="1" applyBorder="1" applyAlignment="1">
      <alignment horizontal="center"/>
    </xf>
    <xf numFmtId="0" fontId="5" fillId="2" borderId="6" xfId="36" applyNumberFormat="1" applyFont="1" applyFill="1" applyBorder="1" applyAlignment="1">
      <alignment horizontal="center"/>
    </xf>
    <xf numFmtId="165" fontId="5" fillId="2" borderId="6" xfId="0" applyNumberFormat="1" applyFont="1" applyFill="1" applyBorder="1" applyAlignment="1">
      <alignment horizontal="center"/>
    </xf>
    <xf numFmtId="164" fontId="5" fillId="2" borderId="6" xfId="37" applyNumberFormat="1" applyFont="1" applyFill="1" applyBorder="1"/>
    <xf numFmtId="0" fontId="5" fillId="2" borderId="2" xfId="15" applyNumberFormat="1" applyFont="1" applyFill="1" applyBorder="1" applyAlignment="1">
      <alignment horizontal="center"/>
    </xf>
    <xf numFmtId="167" fontId="5" fillId="2" borderId="2" xfId="15" applyNumberFormat="1" applyFont="1" applyFill="1" applyBorder="1" applyProtection="1"/>
    <xf numFmtId="167" fontId="5" fillId="2" borderId="2" xfId="15" applyNumberFormat="1" applyFont="1" applyFill="1" applyBorder="1"/>
    <xf numFmtId="0" fontId="5" fillId="2" borderId="6" xfId="15" applyNumberFormat="1" applyFont="1" applyFill="1" applyBorder="1" applyAlignment="1">
      <alignment horizontal="center"/>
    </xf>
    <xf numFmtId="167" fontId="5" fillId="2" borderId="6" xfId="15" applyNumberFormat="1" applyFont="1" applyFill="1" applyBorder="1" applyProtection="1"/>
    <xf numFmtId="167" fontId="5" fillId="2" borderId="6" xfId="15" applyNumberFormat="1" applyFont="1" applyFill="1" applyBorder="1"/>
    <xf numFmtId="0" fontId="5" fillId="2" borderId="2" xfId="35" applyNumberFormat="1" applyFont="1" applyFill="1" applyBorder="1" applyAlignment="1">
      <alignment horizontal="center"/>
    </xf>
    <xf numFmtId="2" fontId="5" fillId="2" borderId="2" xfId="15" applyNumberFormat="1" applyFont="1" applyFill="1" applyBorder="1"/>
    <xf numFmtId="164" fontId="5" fillId="2" borderId="2" xfId="15" applyNumberFormat="1" applyFont="1" applyFill="1" applyBorder="1"/>
    <xf numFmtId="164" fontId="5" fillId="2" borderId="2" xfId="15" applyNumberFormat="1" applyFont="1" applyFill="1" applyBorder="1" applyAlignment="1">
      <alignment horizontal="right"/>
    </xf>
    <xf numFmtId="164" fontId="5" fillId="2" borderId="2" xfId="32" quotePrefix="1" applyNumberFormat="1" applyFont="1" applyFill="1" applyBorder="1" applyAlignment="1">
      <alignment horizontal="right"/>
    </xf>
    <xf numFmtId="0" fontId="5" fillId="2" borderId="6" xfId="35" applyNumberFormat="1" applyFont="1" applyFill="1" applyBorder="1" applyAlignment="1">
      <alignment horizontal="center"/>
    </xf>
    <xf numFmtId="2" fontId="5" fillId="2" borderId="6" xfId="15" applyNumberFormat="1" applyFont="1" applyFill="1" applyBorder="1"/>
    <xf numFmtId="164" fontId="5" fillId="2" borderId="6" xfId="15" applyNumberFormat="1" applyFont="1" applyFill="1" applyBorder="1"/>
    <xf numFmtId="164" fontId="5" fillId="2" borderId="6" xfId="15" applyNumberFormat="1" applyFont="1" applyFill="1" applyBorder="1" applyAlignment="1">
      <alignment horizontal="right"/>
    </xf>
    <xf numFmtId="164" fontId="5" fillId="2" borderId="6" xfId="32" quotePrefix="1" applyNumberFormat="1" applyFont="1" applyFill="1" applyBorder="1" applyAlignment="1">
      <alignment horizontal="right"/>
    </xf>
    <xf numFmtId="164" fontId="5" fillId="2" borderId="2" xfId="32" applyNumberFormat="1" applyFont="1" applyFill="1" applyBorder="1" applyAlignment="1">
      <alignment horizontal="right"/>
    </xf>
    <xf numFmtId="164" fontId="5" fillId="2" borderId="2" xfId="35" applyNumberFormat="1" applyFont="1" applyFill="1" applyBorder="1"/>
    <xf numFmtId="164" fontId="5" fillId="2" borderId="6" xfId="38" quotePrefix="1" applyNumberFormat="1" applyFont="1" applyFill="1" applyBorder="1" applyAlignment="1" applyProtection="1">
      <alignment horizontal="right"/>
    </xf>
    <xf numFmtId="164" fontId="5" fillId="2" borderId="6" xfId="38" applyNumberFormat="1" applyFont="1" applyFill="1" applyBorder="1" applyAlignment="1">
      <alignment horizontal="right"/>
    </xf>
    <xf numFmtId="0" fontId="5" fillId="3" borderId="2" xfId="38" applyNumberFormat="1" applyFont="1" applyFill="1" applyBorder="1" applyAlignment="1">
      <alignment horizontal="center"/>
    </xf>
    <xf numFmtId="165" fontId="5" fillId="3" borderId="2" xfId="38" applyNumberFormat="1" applyFont="1" applyFill="1" applyBorder="1" applyAlignment="1">
      <alignment horizontal="center"/>
    </xf>
    <xf numFmtId="164" fontId="5" fillId="3" borderId="2" xfId="38" applyNumberFormat="1" applyFont="1" applyFill="1" applyBorder="1" applyProtection="1"/>
    <xf numFmtId="164" fontId="5" fillId="3" borderId="2" xfId="38" applyNumberFormat="1" applyFont="1" applyFill="1" applyBorder="1"/>
    <xf numFmtId="0" fontId="5" fillId="3" borderId="7" xfId="38" applyNumberFormat="1" applyFont="1" applyFill="1" applyBorder="1" applyAlignment="1">
      <alignment horizontal="center"/>
    </xf>
    <xf numFmtId="165" fontId="5" fillId="3" borderId="7" xfId="38" applyNumberFormat="1" applyFont="1" applyFill="1" applyBorder="1" applyAlignment="1">
      <alignment horizontal="center"/>
    </xf>
    <xf numFmtId="164" fontId="5" fillId="3" borderId="7" xfId="38" applyNumberFormat="1" applyFont="1" applyFill="1" applyBorder="1" applyProtection="1"/>
    <xf numFmtId="164" fontId="5" fillId="3" borderId="2" xfId="38" quotePrefix="1" applyNumberFormat="1" applyFont="1" applyFill="1" applyBorder="1" applyAlignment="1" applyProtection="1">
      <alignment horizontal="right"/>
    </xf>
    <xf numFmtId="164" fontId="5" fillId="3" borderId="2" xfId="38" applyNumberFormat="1" applyFont="1" applyFill="1" applyBorder="1" applyAlignment="1">
      <alignment horizontal="right"/>
    </xf>
    <xf numFmtId="164" fontId="5" fillId="3" borderId="2" xfId="38" applyNumberFormat="1" applyFont="1" applyFill="1" applyBorder="1" applyAlignment="1" applyProtection="1">
      <alignment horizontal="right"/>
    </xf>
    <xf numFmtId="0" fontId="5" fillId="3" borderId="2" xfId="36" applyNumberFormat="1" applyFont="1" applyFill="1" applyBorder="1" applyAlignment="1">
      <alignment horizontal="center"/>
    </xf>
    <xf numFmtId="165" fontId="5" fillId="3" borderId="2" xfId="0" applyNumberFormat="1" applyFont="1" applyFill="1" applyBorder="1" applyAlignment="1">
      <alignment horizontal="center"/>
    </xf>
    <xf numFmtId="164" fontId="5" fillId="3" borderId="2" xfId="37" applyNumberFormat="1" applyFont="1" applyFill="1" applyBorder="1"/>
    <xf numFmtId="0" fontId="5" fillId="3" borderId="7" xfId="36" applyNumberFormat="1" applyFont="1" applyFill="1" applyBorder="1" applyAlignment="1">
      <alignment horizontal="center"/>
    </xf>
    <xf numFmtId="165" fontId="5" fillId="3" borderId="7" xfId="0" applyNumberFormat="1" applyFont="1" applyFill="1" applyBorder="1" applyAlignment="1">
      <alignment horizontal="center"/>
    </xf>
    <xf numFmtId="164" fontId="5" fillId="3" borderId="7" xfId="37" applyNumberFormat="1" applyFont="1" applyFill="1" applyBorder="1"/>
    <xf numFmtId="0" fontId="5" fillId="3" borderId="2" xfId="15" applyNumberFormat="1" applyFont="1" applyFill="1" applyBorder="1" applyAlignment="1">
      <alignment horizontal="center"/>
    </xf>
    <xf numFmtId="167" fontId="5" fillId="3" borderId="2" xfId="15" applyNumberFormat="1" applyFont="1" applyFill="1" applyBorder="1" applyProtection="1"/>
    <xf numFmtId="167" fontId="5" fillId="3" borderId="2" xfId="15" applyNumberFormat="1" applyFont="1" applyFill="1" applyBorder="1"/>
    <xf numFmtId="0" fontId="5" fillId="3" borderId="2" xfId="35" applyNumberFormat="1" applyFont="1" applyFill="1" applyBorder="1" applyAlignment="1">
      <alignment horizontal="center"/>
    </xf>
    <xf numFmtId="2" fontId="5" fillId="3" borderId="2" xfId="15" applyNumberFormat="1" applyFont="1" applyFill="1" applyBorder="1"/>
    <xf numFmtId="164" fontId="5" fillId="3" borderId="2" xfId="15" applyNumberFormat="1" applyFont="1" applyFill="1" applyBorder="1"/>
    <xf numFmtId="164" fontId="5" fillId="3" borderId="2" xfId="15" applyNumberFormat="1" applyFont="1" applyFill="1" applyBorder="1" applyAlignment="1">
      <alignment horizontal="right"/>
    </xf>
    <xf numFmtId="164" fontId="5" fillId="3" borderId="2" xfId="32" quotePrefix="1" applyNumberFormat="1" applyFont="1" applyFill="1" applyBorder="1" applyAlignment="1">
      <alignment horizontal="right"/>
    </xf>
    <xf numFmtId="164" fontId="5" fillId="3" borderId="2" xfId="32" applyNumberFormat="1" applyFont="1" applyFill="1" applyBorder="1" applyAlignment="1">
      <alignment horizontal="right"/>
    </xf>
    <xf numFmtId="164" fontId="5" fillId="3" borderId="2" xfId="35" applyNumberFormat="1" applyFont="1" applyFill="1" applyBorder="1"/>
    <xf numFmtId="0" fontId="5" fillId="3" borderId="6" xfId="38" applyNumberFormat="1" applyFont="1" applyFill="1" applyBorder="1" applyAlignment="1">
      <alignment horizontal="center"/>
    </xf>
    <xf numFmtId="165" fontId="5" fillId="3" borderId="6" xfId="38" applyNumberFormat="1" applyFont="1" applyFill="1" applyBorder="1" applyAlignment="1">
      <alignment horizontal="center"/>
    </xf>
    <xf numFmtId="164" fontId="5" fillId="3" borderId="6" xfId="38" applyNumberFormat="1" applyFont="1" applyFill="1" applyBorder="1" applyProtection="1"/>
    <xf numFmtId="164" fontId="5" fillId="3" borderId="6" xfId="38" applyNumberFormat="1" applyFont="1" applyFill="1" applyBorder="1"/>
    <xf numFmtId="164" fontId="5" fillId="3" borderId="6" xfId="38" quotePrefix="1" applyNumberFormat="1" applyFont="1" applyFill="1" applyBorder="1" applyAlignment="1" applyProtection="1">
      <alignment horizontal="right"/>
    </xf>
    <xf numFmtId="164" fontId="5" fillId="3" borderId="6" xfId="38" applyNumberFormat="1" applyFont="1" applyFill="1" applyBorder="1" applyAlignment="1">
      <alignment horizontal="right"/>
    </xf>
    <xf numFmtId="164" fontId="5" fillId="3" borderId="6" xfId="38" applyNumberFormat="1" applyFont="1" applyFill="1" applyBorder="1" applyAlignment="1" applyProtection="1">
      <alignment horizontal="right"/>
    </xf>
    <xf numFmtId="0" fontId="5" fillId="3" borderId="6" xfId="36" applyNumberFormat="1" applyFont="1" applyFill="1" applyBorder="1" applyAlignment="1">
      <alignment horizontal="center"/>
    </xf>
    <xf numFmtId="165" fontId="5" fillId="3" borderId="6" xfId="0" applyNumberFormat="1" applyFont="1" applyFill="1" applyBorder="1" applyAlignment="1">
      <alignment horizontal="center"/>
    </xf>
    <xf numFmtId="164" fontId="5" fillId="3" borderId="6" xfId="37" applyNumberFormat="1" applyFont="1" applyFill="1" applyBorder="1"/>
    <xf numFmtId="0" fontId="5" fillId="3" borderId="6" xfId="15" applyNumberFormat="1" applyFont="1" applyFill="1" applyBorder="1" applyAlignment="1">
      <alignment horizontal="center"/>
    </xf>
    <xf numFmtId="167" fontId="5" fillId="3" borderId="6" xfId="15" applyNumberFormat="1" applyFont="1" applyFill="1" applyBorder="1" applyProtection="1"/>
    <xf numFmtId="167" fontId="5" fillId="3" borderId="6" xfId="15" applyNumberFormat="1" applyFont="1" applyFill="1" applyBorder="1"/>
    <xf numFmtId="164" fontId="5" fillId="3" borderId="8" xfId="37" applyNumberFormat="1" applyFont="1" applyFill="1" applyBorder="1"/>
    <xf numFmtId="0" fontId="5" fillId="3" borderId="9" xfId="38" applyNumberFormat="1" applyFont="1" applyFill="1" applyBorder="1" applyAlignment="1">
      <alignment horizontal="center"/>
    </xf>
    <xf numFmtId="165" fontId="5" fillId="3" borderId="9" xfId="38" applyNumberFormat="1" applyFont="1" applyFill="1" applyBorder="1" applyAlignment="1">
      <alignment horizontal="center"/>
    </xf>
    <xf numFmtId="164" fontId="5" fillId="3" borderId="9" xfId="38" applyNumberFormat="1" applyFont="1" applyFill="1" applyBorder="1" applyAlignment="1" applyProtection="1">
      <alignment horizontal="right"/>
    </xf>
    <xf numFmtId="0" fontId="5" fillId="3" borderId="6" xfId="35" applyNumberFormat="1" applyFont="1" applyFill="1" applyBorder="1" applyAlignment="1">
      <alignment horizontal="center"/>
    </xf>
    <xf numFmtId="164" fontId="5" fillId="3" borderId="6" xfId="15" applyNumberFormat="1" applyFont="1" applyFill="1" applyBorder="1"/>
    <xf numFmtId="164" fontId="5" fillId="3" borderId="6" xfId="32" applyNumberFormat="1" applyFont="1" applyFill="1" applyBorder="1" applyAlignment="1">
      <alignment horizontal="right"/>
    </xf>
    <xf numFmtId="164" fontId="5" fillId="3" borderId="6" xfId="35" applyNumberFormat="1" applyFont="1" applyFill="1" applyBorder="1"/>
    <xf numFmtId="164" fontId="5" fillId="3" borderId="6" xfId="32" quotePrefix="1" applyNumberFormat="1" applyFont="1" applyFill="1" applyBorder="1" applyAlignment="1">
      <alignment horizontal="right"/>
    </xf>
    <xf numFmtId="164" fontId="5" fillId="3" borderId="6" xfId="15" applyNumberFormat="1" applyFont="1" applyFill="1" applyBorder="1" applyAlignment="1">
      <alignment horizontal="right"/>
    </xf>
    <xf numFmtId="164" fontId="5" fillId="2" borderId="6" xfId="32" applyNumberFormat="1" applyFont="1" applyFill="1" applyBorder="1" applyAlignment="1">
      <alignment horizontal="right"/>
    </xf>
    <xf numFmtId="164" fontId="5" fillId="2" borderId="6" xfId="35" applyNumberFormat="1" applyFont="1" applyFill="1" applyBorder="1"/>
    <xf numFmtId="164" fontId="5" fillId="3" borderId="34" xfId="37" applyNumberFormat="1" applyFont="1" applyFill="1" applyBorder="1"/>
    <xf numFmtId="164" fontId="5" fillId="3" borderId="0" xfId="38" applyNumberFormat="1" applyFont="1" applyFill="1" applyBorder="1" applyProtection="1"/>
    <xf numFmtId="164" fontId="5" fillId="3" borderId="0" xfId="38" applyNumberFormat="1" applyFont="1" applyFill="1" applyBorder="1"/>
    <xf numFmtId="164" fontId="5" fillId="3" borderId="9" xfId="38" applyNumberFormat="1" applyFont="1" applyFill="1" applyBorder="1"/>
    <xf numFmtId="164" fontId="5" fillId="3" borderId="12" xfId="38" applyNumberFormat="1" applyFont="1" applyFill="1" applyBorder="1" applyProtection="1"/>
    <xf numFmtId="164" fontId="5" fillId="3" borderId="12" xfId="38" applyNumberFormat="1" applyFont="1" applyFill="1" applyBorder="1"/>
    <xf numFmtId="164" fontId="5" fillId="3" borderId="9" xfId="38" quotePrefix="1" applyNumberFormat="1" applyFont="1" applyFill="1" applyBorder="1" applyAlignment="1" applyProtection="1">
      <alignment horizontal="right"/>
    </xf>
    <xf numFmtId="164" fontId="5" fillId="3" borderId="9" xfId="38" applyNumberFormat="1" applyFont="1" applyFill="1" applyBorder="1" applyProtection="1"/>
    <xf numFmtId="0" fontId="5" fillId="3" borderId="38" xfId="38" applyNumberFormat="1" applyFont="1" applyFill="1" applyBorder="1" applyAlignment="1">
      <alignment horizontal="center"/>
    </xf>
    <xf numFmtId="165" fontId="5" fillId="3" borderId="38" xfId="38" applyNumberFormat="1" applyFont="1" applyFill="1" applyBorder="1" applyAlignment="1">
      <alignment horizontal="center"/>
    </xf>
    <xf numFmtId="164" fontId="5" fillId="3" borderId="38" xfId="38" applyNumberFormat="1" applyFont="1" applyFill="1" applyBorder="1" applyAlignment="1" applyProtection="1">
      <alignment horizontal="right"/>
    </xf>
    <xf numFmtId="167" fontId="5" fillId="3" borderId="7" xfId="39" applyNumberFormat="1" applyFont="1" applyFill="1" applyBorder="1" applyAlignment="1">
      <alignment horizontal="right"/>
    </xf>
    <xf numFmtId="0" fontId="1" fillId="0" borderId="0" xfId="15" applyFont="1"/>
    <xf numFmtId="2" fontId="5" fillId="0" borderId="2" xfId="38" applyNumberFormat="1" applyFont="1" applyFill="1" applyBorder="1" applyAlignment="1">
      <alignment horizontal="right"/>
    </xf>
    <xf numFmtId="2" fontId="5" fillId="0" borderId="2" xfId="39" applyNumberFormat="1" applyFont="1" applyFill="1" applyBorder="1"/>
    <xf numFmtId="2" fontId="5" fillId="2" borderId="2" xfId="38" applyNumberFormat="1" applyFont="1" applyFill="1" applyBorder="1" applyAlignment="1">
      <alignment horizontal="right"/>
    </xf>
    <xf numFmtId="2" fontId="5" fillId="2" borderId="2" xfId="39" applyNumberFormat="1" applyFont="1" applyFill="1" applyBorder="1"/>
    <xf numFmtId="2" fontId="5" fillId="2" borderId="6" xfId="38" applyNumberFormat="1" applyFont="1" applyFill="1" applyBorder="1" applyAlignment="1">
      <alignment horizontal="right"/>
    </xf>
    <xf numFmtId="2" fontId="5" fillId="2" borderId="6" xfId="39" applyNumberFormat="1" applyFont="1" applyFill="1" applyBorder="1"/>
    <xf numFmtId="2" fontId="5" fillId="3" borderId="2" xfId="38" applyNumberFormat="1" applyFont="1" applyFill="1" applyBorder="1" applyAlignment="1">
      <alignment horizontal="right"/>
    </xf>
    <xf numFmtId="2" fontId="5" fillId="3" borderId="2" xfId="39" applyNumberFormat="1" applyFont="1" applyFill="1" applyBorder="1"/>
    <xf numFmtId="2" fontId="5" fillId="3" borderId="6" xfId="38" applyNumberFormat="1" applyFont="1" applyFill="1" applyBorder="1" applyAlignment="1">
      <alignment horizontal="right"/>
    </xf>
    <xf numFmtId="2" fontId="5" fillId="3" borderId="6" xfId="39" applyNumberFormat="1" applyFont="1" applyFill="1" applyBorder="1"/>
    <xf numFmtId="2" fontId="5" fillId="3" borderId="9" xfId="38" applyNumberFormat="1" applyFont="1" applyFill="1" applyBorder="1" applyAlignment="1">
      <alignment horizontal="right"/>
    </xf>
    <xf numFmtId="2" fontId="5" fillId="3" borderId="9" xfId="39" applyNumberFormat="1" applyFont="1" applyFill="1" applyBorder="1"/>
    <xf numFmtId="2" fontId="5" fillId="0" borderId="2" xfId="37" applyNumberFormat="1" applyFont="1" applyFill="1" applyBorder="1"/>
    <xf numFmtId="2" fontId="5" fillId="2" borderId="2" xfId="37" applyNumberFormat="1" applyFont="1" applyFill="1" applyBorder="1"/>
    <xf numFmtId="2" fontId="5" fillId="2" borderId="6" xfId="37" applyNumberFormat="1" applyFont="1" applyFill="1" applyBorder="1"/>
    <xf numFmtId="2" fontId="5" fillId="3" borderId="2" xfId="37" applyNumberFormat="1" applyFont="1" applyFill="1" applyBorder="1"/>
    <xf numFmtId="2" fontId="5" fillId="3" borderId="6" xfId="37" applyNumberFormat="1" applyFont="1" applyFill="1" applyBorder="1"/>
    <xf numFmtId="2" fontId="5" fillId="3" borderId="7" xfId="37" applyNumberFormat="1" applyFont="1" applyFill="1" applyBorder="1"/>
    <xf numFmtId="2" fontId="5" fillId="0" borderId="10" xfId="39" applyNumberFormat="1" applyFont="1" applyFill="1" applyBorder="1"/>
    <xf numFmtId="164" fontId="5" fillId="0" borderId="2" xfId="15" applyNumberFormat="1" applyFont="1" applyFill="1" applyBorder="1" applyProtection="1"/>
    <xf numFmtId="164" fontId="5" fillId="2" borderId="2" xfId="15" applyNumberFormat="1" applyFont="1" applyFill="1" applyBorder="1" applyProtection="1"/>
    <xf numFmtId="164" fontId="5" fillId="2" borderId="6" xfId="15" applyNumberFormat="1" applyFont="1" applyFill="1" applyBorder="1" applyProtection="1"/>
    <xf numFmtId="164" fontId="5" fillId="3" borderId="2" xfId="15" applyNumberFormat="1" applyFont="1" applyFill="1" applyBorder="1" applyProtection="1"/>
    <xf numFmtId="164" fontId="5" fillId="3" borderId="6" xfId="15" applyNumberFormat="1" applyFont="1" applyFill="1" applyBorder="1" applyProtection="1"/>
    <xf numFmtId="0" fontId="5" fillId="3" borderId="39" xfId="0" applyFont="1" applyFill="1" applyBorder="1" applyAlignment="1">
      <alignment horizontal="center"/>
    </xf>
    <xf numFmtId="165" fontId="5" fillId="3" borderId="39" xfId="0" applyNumberFormat="1" applyFont="1" applyFill="1" applyBorder="1" applyAlignment="1">
      <alignment horizontal="center"/>
    </xf>
    <xf numFmtId="167" fontId="5" fillId="3" borderId="39" xfId="0" applyNumberFormat="1" applyFont="1" applyFill="1" applyBorder="1" applyAlignment="1">
      <alignment horizontal="right"/>
    </xf>
    <xf numFmtId="164" fontId="5" fillId="3" borderId="34" xfId="38" applyNumberFormat="1" applyFont="1" applyFill="1" applyBorder="1" applyProtection="1"/>
    <xf numFmtId="164" fontId="5" fillId="3" borderId="34" xfId="38" applyNumberFormat="1" applyFont="1" applyFill="1" applyBorder="1"/>
    <xf numFmtId="164" fontId="5" fillId="3" borderId="34" xfId="38" applyNumberFormat="1" applyFont="1" applyFill="1" applyBorder="1" applyAlignment="1">
      <alignment horizontal="right"/>
    </xf>
    <xf numFmtId="2" fontId="5" fillId="0" borderId="6" xfId="39" applyNumberFormat="1" applyFont="1" applyFill="1" applyBorder="1"/>
    <xf numFmtId="0" fontId="5" fillId="3" borderId="38" xfId="35" applyNumberFormat="1" applyFont="1" applyFill="1" applyBorder="1" applyAlignment="1">
      <alignment horizontal="center"/>
    </xf>
    <xf numFmtId="2" fontId="5" fillId="3" borderId="38" xfId="15" applyNumberFormat="1" applyFont="1" applyFill="1" applyBorder="1"/>
    <xf numFmtId="164" fontId="5" fillId="3" borderId="38" xfId="15" applyNumberFormat="1" applyFont="1" applyFill="1" applyBorder="1"/>
    <xf numFmtId="164" fontId="5" fillId="3" borderId="38" xfId="32" quotePrefix="1" applyNumberFormat="1" applyFont="1" applyFill="1" applyBorder="1" applyAlignment="1">
      <alignment horizontal="right"/>
    </xf>
    <xf numFmtId="164" fontId="5" fillId="0" borderId="6" xfId="32" quotePrefix="1" applyNumberFormat="1" applyFont="1" applyFill="1" applyBorder="1" applyAlignment="1">
      <alignment horizontal="right"/>
    </xf>
    <xf numFmtId="167" fontId="5" fillId="0" borderId="11" xfId="35" quotePrefix="1" applyNumberFormat="1" applyFont="1" applyFill="1" applyBorder="1" applyAlignment="1">
      <alignment horizontal="left" vertical="center"/>
    </xf>
    <xf numFmtId="167" fontId="5" fillId="0" borderId="12" xfId="35" quotePrefix="1" applyNumberFormat="1" applyFont="1" applyFill="1" applyBorder="1" applyAlignment="1">
      <alignment horizontal="left" vertical="center"/>
    </xf>
    <xf numFmtId="167" fontId="5" fillId="0" borderId="13" xfId="35" quotePrefix="1" applyNumberFormat="1" applyFont="1" applyFill="1" applyBorder="1" applyAlignment="1">
      <alignment horizontal="left" vertical="center"/>
    </xf>
    <xf numFmtId="0" fontId="5" fillId="0" borderId="35" xfId="35" quotePrefix="1" applyNumberFormat="1" applyFont="1" applyFill="1" applyBorder="1" applyAlignment="1">
      <alignment horizontal="left" vertical="center" wrapText="1"/>
    </xf>
    <xf numFmtId="0" fontId="5" fillId="0" borderId="36" xfId="35" quotePrefix="1" applyNumberFormat="1" applyFont="1" applyFill="1" applyBorder="1" applyAlignment="1">
      <alignment horizontal="left" vertical="center" wrapText="1"/>
    </xf>
    <xf numFmtId="0" fontId="5" fillId="0" borderId="37" xfId="35" quotePrefix="1" applyNumberFormat="1" applyFont="1" applyFill="1" applyBorder="1" applyAlignment="1">
      <alignment horizontal="left" vertical="center" wrapText="1"/>
    </xf>
    <xf numFmtId="164" fontId="5" fillId="0" borderId="17" xfId="35" applyNumberFormat="1" applyFont="1" applyFill="1" applyBorder="1" applyAlignment="1">
      <alignment horizontal="center" vertical="center" wrapText="1"/>
    </xf>
    <xf numFmtId="164" fontId="5" fillId="0" borderId="3" xfId="35" applyNumberFormat="1" applyFont="1" applyFill="1" applyBorder="1" applyAlignment="1">
      <alignment horizontal="center" vertical="center" wrapText="1"/>
    </xf>
    <xf numFmtId="164" fontId="11" fillId="0" borderId="18" xfId="35" applyNumberFormat="1" applyFont="1" applyFill="1" applyBorder="1" applyAlignment="1">
      <alignment horizontal="right"/>
    </xf>
    <xf numFmtId="167" fontId="11" fillId="0" borderId="18" xfId="35" quotePrefix="1" applyNumberFormat="1" applyFont="1" applyFill="1" applyBorder="1" applyAlignment="1">
      <alignment horizontal="left"/>
    </xf>
    <xf numFmtId="167" fontId="14" fillId="0" borderId="19" xfId="35" quotePrefix="1" applyNumberFormat="1" applyFont="1" applyFill="1" applyBorder="1" applyAlignment="1">
      <alignment horizontal="center" vertical="center"/>
    </xf>
    <xf numFmtId="167" fontId="14" fillId="0" borderId="20" xfId="35" applyNumberFormat="1" applyFont="1" applyFill="1" applyBorder="1" applyAlignment="1">
      <alignment horizontal="center" vertical="center"/>
    </xf>
    <xf numFmtId="167" fontId="14" fillId="0" borderId="21" xfId="35" applyNumberFormat="1" applyFont="1" applyFill="1" applyBorder="1" applyAlignment="1">
      <alignment horizontal="center" vertical="center"/>
    </xf>
    <xf numFmtId="0" fontId="5" fillId="0" borderId="11" xfId="35" quotePrefix="1" applyNumberFormat="1" applyFont="1" applyFill="1" applyBorder="1" applyAlignment="1">
      <alignment horizontal="left" vertical="center" wrapText="1"/>
    </xf>
    <xf numFmtId="0" fontId="5" fillId="0" borderId="12" xfId="35" quotePrefix="1" applyNumberFormat="1" applyFont="1" applyFill="1" applyBorder="1" applyAlignment="1">
      <alignment horizontal="left" vertical="center" wrapText="1"/>
    </xf>
    <xf numFmtId="0" fontId="5" fillId="0" borderId="13" xfId="35" quotePrefix="1" applyNumberFormat="1" applyFont="1" applyFill="1" applyBorder="1" applyAlignment="1">
      <alignment horizontal="left" vertical="center" wrapText="1"/>
    </xf>
    <xf numFmtId="0" fontId="5" fillId="0" borderId="22" xfId="35" applyNumberFormat="1" applyFont="1" applyFill="1" applyBorder="1" applyAlignment="1">
      <alignment horizontal="center" vertical="center"/>
    </xf>
    <xf numFmtId="0" fontId="5" fillId="0" borderId="23" xfId="35" applyNumberFormat="1" applyFont="1" applyFill="1" applyBorder="1" applyAlignment="1">
      <alignment horizontal="center" vertical="center"/>
    </xf>
    <xf numFmtId="0" fontId="5" fillId="0" borderId="24" xfId="35" applyNumberFormat="1" applyFont="1" applyFill="1" applyBorder="1" applyAlignment="1">
      <alignment horizontal="center" vertical="center"/>
    </xf>
    <xf numFmtId="167" fontId="5" fillId="0" borderId="25" xfId="35" applyNumberFormat="1" applyFont="1" applyFill="1" applyBorder="1" applyAlignment="1">
      <alignment horizontal="center" vertical="center"/>
    </xf>
    <xf numFmtId="167" fontId="5" fillId="0" borderId="26" xfId="35" applyNumberFormat="1" applyFont="1" applyFill="1" applyBorder="1" applyAlignment="1">
      <alignment horizontal="center" vertical="center"/>
    </xf>
    <xf numFmtId="167" fontId="5" fillId="0" borderId="27" xfId="35" applyNumberFormat="1" applyFont="1" applyFill="1" applyBorder="1" applyAlignment="1">
      <alignment horizontal="center" vertical="center"/>
    </xf>
    <xf numFmtId="164" fontId="5" fillId="0" borderId="25" xfId="35" applyNumberFormat="1" applyFont="1" applyFill="1" applyBorder="1" applyAlignment="1">
      <alignment horizontal="center" vertical="center"/>
    </xf>
    <xf numFmtId="164" fontId="5" fillId="0" borderId="26" xfId="35" applyNumberFormat="1" applyFont="1" applyFill="1" applyBorder="1" applyAlignment="1">
      <alignment horizontal="center" vertical="center"/>
    </xf>
    <xf numFmtId="164" fontId="5" fillId="0" borderId="27" xfId="35" applyNumberFormat="1" applyFont="1" applyFill="1" applyBorder="1" applyAlignment="1">
      <alignment horizontal="center" vertical="center"/>
    </xf>
    <xf numFmtId="164" fontId="5" fillId="0" borderId="25" xfId="35" quotePrefix="1" applyNumberFormat="1" applyFont="1" applyFill="1" applyBorder="1" applyAlignment="1">
      <alignment horizontal="center" vertical="center"/>
    </xf>
    <xf numFmtId="164" fontId="5" fillId="0" borderId="26" xfId="35" quotePrefix="1" applyNumberFormat="1" applyFont="1" applyFill="1" applyBorder="1" applyAlignment="1">
      <alignment horizontal="center" vertical="center"/>
    </xf>
    <xf numFmtId="164" fontId="5" fillId="0" borderId="27" xfId="35" quotePrefix="1" applyNumberFormat="1" applyFont="1" applyFill="1" applyBorder="1" applyAlignment="1">
      <alignment horizontal="center" vertical="center"/>
    </xf>
    <xf numFmtId="0" fontId="5" fillId="0" borderId="11" xfId="38" quotePrefix="1" applyNumberFormat="1" applyFont="1" applyFill="1" applyBorder="1" applyAlignment="1">
      <alignment horizontal="left"/>
    </xf>
    <xf numFmtId="0" fontId="5" fillId="0" borderId="12" xfId="38" quotePrefix="1" applyNumberFormat="1" applyFont="1" applyFill="1" applyBorder="1" applyAlignment="1">
      <alignment horizontal="left"/>
    </xf>
    <xf numFmtId="0" fontId="5" fillId="0" borderId="36" xfId="38" quotePrefix="1" applyNumberFormat="1" applyFont="1" applyFill="1" applyBorder="1" applyAlignment="1">
      <alignment horizontal="left"/>
    </xf>
    <xf numFmtId="0" fontId="5" fillId="0" borderId="13" xfId="38" quotePrefix="1" applyNumberFormat="1" applyFont="1" applyFill="1" applyBorder="1" applyAlignment="1">
      <alignment horizontal="left"/>
    </xf>
    <xf numFmtId="0" fontId="5" fillId="3" borderId="11" xfId="35" applyNumberFormat="1" applyFont="1" applyFill="1" applyBorder="1" applyAlignment="1">
      <alignment horizontal="center"/>
    </xf>
    <xf numFmtId="0" fontId="5" fillId="3" borderId="12" xfId="35" applyNumberFormat="1" applyFont="1" applyFill="1" applyBorder="1" applyAlignment="1">
      <alignment horizontal="center"/>
    </xf>
    <xf numFmtId="0" fontId="5" fillId="3" borderId="13" xfId="35" applyNumberFormat="1" applyFont="1" applyFill="1" applyBorder="1" applyAlignment="1">
      <alignment horizontal="center"/>
    </xf>
    <xf numFmtId="0" fontId="5" fillId="3" borderId="11" xfId="35" quotePrefix="1" applyNumberFormat="1" applyFont="1" applyFill="1" applyBorder="1" applyAlignment="1">
      <alignment vertical="center" wrapText="1"/>
    </xf>
    <xf numFmtId="0" fontId="5" fillId="3" borderId="12" xfId="35" quotePrefix="1" applyNumberFormat="1" applyFont="1" applyFill="1" applyBorder="1" applyAlignment="1">
      <alignment vertical="center" wrapText="1"/>
    </xf>
    <xf numFmtId="0" fontId="5" fillId="3" borderId="13" xfId="35" quotePrefix="1" applyNumberFormat="1" applyFont="1" applyFill="1" applyBorder="1" applyAlignment="1">
      <alignment vertical="center" wrapText="1"/>
    </xf>
    <xf numFmtId="164" fontId="5" fillId="0" borderId="11" xfId="35" applyNumberFormat="1" applyFont="1" applyFill="1" applyBorder="1" applyAlignment="1">
      <alignment horizontal="left" vertical="center"/>
    </xf>
    <xf numFmtId="164" fontId="5" fillId="0" borderId="12" xfId="35" applyNumberFormat="1" applyFont="1" applyFill="1" applyBorder="1" applyAlignment="1">
      <alignment horizontal="left" vertical="center"/>
    </xf>
    <xf numFmtId="164" fontId="5" fillId="0" borderId="13" xfId="35" applyNumberFormat="1" applyFont="1" applyFill="1" applyBorder="1" applyAlignment="1">
      <alignment horizontal="left" vertical="center"/>
    </xf>
    <xf numFmtId="0" fontId="5" fillId="0" borderId="14" xfId="38" quotePrefix="1" applyNumberFormat="1" applyFont="1" applyFill="1" applyBorder="1" applyAlignment="1">
      <alignment horizontal="left"/>
    </xf>
    <xf numFmtId="0" fontId="5" fillId="0" borderId="15" xfId="38" quotePrefix="1" applyNumberFormat="1" applyFont="1" applyFill="1" applyBorder="1" applyAlignment="1">
      <alignment horizontal="left"/>
    </xf>
    <xf numFmtId="0" fontId="5" fillId="0" borderId="16" xfId="38" quotePrefix="1" applyNumberFormat="1" applyFont="1" applyFill="1" applyBorder="1" applyAlignment="1">
      <alignment horizontal="left"/>
    </xf>
    <xf numFmtId="0" fontId="5" fillId="3" borderId="35" xfId="35" quotePrefix="1" applyNumberFormat="1" applyFont="1" applyFill="1" applyBorder="1" applyAlignment="1">
      <alignment vertical="center" wrapText="1"/>
    </xf>
    <xf numFmtId="0" fontId="5" fillId="3" borderId="36" xfId="35" applyNumberFormat="1" applyFont="1" applyFill="1" applyBorder="1" applyAlignment="1">
      <alignment vertical="center" wrapText="1"/>
    </xf>
    <xf numFmtId="0" fontId="5" fillId="3" borderId="37" xfId="35" applyNumberFormat="1" applyFont="1" applyFill="1" applyBorder="1" applyAlignment="1">
      <alignment vertical="center" wrapText="1"/>
    </xf>
    <xf numFmtId="0" fontId="11" fillId="0" borderId="18" xfId="33" quotePrefix="1" applyNumberFormat="1" applyFont="1" applyFill="1" applyBorder="1" applyAlignment="1">
      <alignment horizontal="left"/>
    </xf>
    <xf numFmtId="3" fontId="14" fillId="0" borderId="5" xfId="15" quotePrefix="1" applyNumberFormat="1" applyFont="1" applyFill="1" applyBorder="1" applyAlignment="1">
      <alignment horizontal="center" vertical="center"/>
    </xf>
    <xf numFmtId="3" fontId="14" fillId="0" borderId="5" xfId="15" applyNumberFormat="1" applyFont="1" applyFill="1" applyBorder="1" applyAlignment="1">
      <alignment horizontal="center" vertical="center"/>
    </xf>
    <xf numFmtId="167" fontId="14" fillId="0" borderId="5" xfId="15" quotePrefix="1" applyNumberFormat="1" applyFont="1" applyFill="1" applyBorder="1" applyAlignment="1">
      <alignment horizontal="center" vertical="center"/>
    </xf>
    <xf numFmtId="167" fontId="5" fillId="0" borderId="26" xfId="38" applyNumberFormat="1" applyFont="1" applyFill="1" applyBorder="1" applyAlignment="1">
      <alignment horizontal="center" vertical="center" wrapText="1"/>
    </xf>
    <xf numFmtId="167" fontId="5" fillId="0" borderId="27" xfId="38" applyNumberFormat="1" applyFont="1" applyFill="1" applyBorder="1" applyAlignment="1">
      <alignment horizontal="center" vertical="center" wrapText="1"/>
    </xf>
    <xf numFmtId="3" fontId="5" fillId="0" borderId="29" xfId="38" applyNumberFormat="1" applyFont="1" applyFill="1" applyBorder="1" applyAlignment="1">
      <alignment horizontal="center"/>
    </xf>
    <xf numFmtId="3" fontId="5" fillId="0" borderId="30" xfId="38" applyNumberFormat="1" applyFont="1" applyFill="1" applyBorder="1" applyAlignment="1">
      <alignment horizontal="center"/>
    </xf>
    <xf numFmtId="165" fontId="5" fillId="0" borderId="26" xfId="38" quotePrefix="1" applyNumberFormat="1" applyFont="1" applyFill="1" applyBorder="1" applyAlignment="1">
      <alignment horizontal="center" vertical="center" wrapText="1"/>
    </xf>
    <xf numFmtId="165" fontId="5" fillId="0" borderId="26" xfId="0" applyNumberFormat="1" applyFont="1" applyFill="1" applyBorder="1" applyAlignment="1">
      <alignment horizontal="center" vertical="center" wrapText="1"/>
    </xf>
    <xf numFmtId="165" fontId="5" fillId="0" borderId="27" xfId="0" applyNumberFormat="1" applyFont="1" applyFill="1" applyBorder="1" applyAlignment="1">
      <alignment horizontal="center" vertical="center" wrapText="1"/>
    </xf>
    <xf numFmtId="167" fontId="5" fillId="0" borderId="17" xfId="38" applyNumberFormat="1" applyFont="1" applyFill="1" applyBorder="1" applyAlignment="1">
      <alignment horizontal="center" vertical="center" wrapText="1"/>
    </xf>
    <xf numFmtId="167" fontId="5" fillId="0" borderId="3" xfId="38" applyNumberFormat="1" applyFont="1" applyFill="1" applyBorder="1" applyAlignment="1">
      <alignment horizontal="center" vertical="center" wrapText="1"/>
    </xf>
    <xf numFmtId="3" fontId="5" fillId="0" borderId="28" xfId="38" quotePrefix="1" applyNumberFormat="1" applyFont="1" applyFill="1" applyBorder="1" applyAlignment="1">
      <alignment horizontal="center" vertical="center" wrapText="1"/>
    </xf>
    <xf numFmtId="3" fontId="5" fillId="0" borderId="17" xfId="0" applyNumberFormat="1" applyFont="1" applyFill="1" applyBorder="1" applyAlignment="1">
      <alignment horizontal="center" vertical="center" wrapText="1"/>
    </xf>
    <xf numFmtId="3" fontId="5" fillId="0" borderId="3" xfId="0" applyNumberFormat="1" applyFont="1" applyFill="1" applyBorder="1" applyAlignment="1">
      <alignment horizontal="center" vertical="center" wrapText="1"/>
    </xf>
    <xf numFmtId="0" fontId="5" fillId="0" borderId="23" xfId="38" applyNumberFormat="1" applyFont="1" applyFill="1" applyBorder="1" applyAlignment="1">
      <alignment horizontal="center" vertical="center" wrapText="1"/>
    </xf>
    <xf numFmtId="0" fontId="5" fillId="0" borderId="23" xfId="0" applyNumberFormat="1" applyFont="1" applyFill="1" applyBorder="1" applyAlignment="1">
      <alignment horizontal="center" vertical="center" wrapText="1"/>
    </xf>
    <xf numFmtId="0" fontId="5" fillId="0" borderId="24" xfId="0" applyNumberFormat="1" applyFont="1" applyFill="1" applyBorder="1" applyAlignment="1">
      <alignment horizontal="center" vertical="center" wrapText="1"/>
    </xf>
    <xf numFmtId="0" fontId="5" fillId="0" borderId="11" xfId="15" quotePrefix="1" applyNumberFormat="1" applyFont="1" applyFill="1" applyBorder="1" applyAlignment="1">
      <alignment horizontal="left" vertical="center"/>
    </xf>
    <xf numFmtId="0" fontId="5" fillId="0" borderId="12" xfId="15" quotePrefix="1" applyNumberFormat="1" applyFont="1" applyFill="1" applyBorder="1" applyAlignment="1">
      <alignment horizontal="left" vertical="center"/>
    </xf>
    <xf numFmtId="0" fontId="5" fillId="0" borderId="13" xfId="15" quotePrefix="1" applyNumberFormat="1" applyFont="1" applyFill="1" applyBorder="1" applyAlignment="1">
      <alignment horizontal="left" vertical="center"/>
    </xf>
    <xf numFmtId="167" fontId="5" fillId="0" borderId="31" xfId="38" applyNumberFormat="1" applyFont="1" applyFill="1" applyBorder="1" applyAlignment="1">
      <alignment horizontal="center"/>
    </xf>
    <xf numFmtId="167" fontId="5" fillId="0" borderId="32" xfId="38" applyNumberFormat="1" applyFont="1" applyFill="1" applyBorder="1" applyAlignment="1">
      <alignment horizontal="center"/>
    </xf>
    <xf numFmtId="0" fontId="5" fillId="0" borderId="11" xfId="34" quotePrefix="1" applyNumberFormat="1" applyFont="1" applyFill="1" applyBorder="1" applyAlignment="1">
      <alignment horizontal="left" vertical="center" wrapText="1"/>
    </xf>
    <xf numFmtId="0" fontId="5" fillId="0" borderId="12" xfId="34" quotePrefix="1" applyNumberFormat="1" applyFont="1" applyFill="1" applyBorder="1" applyAlignment="1">
      <alignment horizontal="left" vertical="center" wrapText="1"/>
    </xf>
    <xf numFmtId="0" fontId="5" fillId="0" borderId="13" xfId="34" quotePrefix="1" applyNumberFormat="1" applyFont="1" applyFill="1" applyBorder="1" applyAlignment="1">
      <alignment horizontal="left" vertical="center" wrapText="1"/>
    </xf>
    <xf numFmtId="3" fontId="5" fillId="0" borderId="28" xfId="38" applyNumberFormat="1" applyFont="1" applyFill="1" applyBorder="1" applyAlignment="1">
      <alignment horizontal="center" vertical="center" wrapText="1"/>
    </xf>
    <xf numFmtId="3" fontId="5" fillId="0" borderId="17" xfId="38" applyNumberFormat="1" applyFont="1" applyFill="1" applyBorder="1" applyAlignment="1">
      <alignment horizontal="center" vertical="center" wrapText="1"/>
    </xf>
    <xf numFmtId="3" fontId="5" fillId="0" borderId="3" xfId="38" applyNumberFormat="1" applyFont="1" applyFill="1" applyBorder="1" applyAlignment="1">
      <alignment horizontal="center" vertical="center" wrapText="1"/>
    </xf>
    <xf numFmtId="0" fontId="5" fillId="0" borderId="35" xfId="38" quotePrefix="1" applyNumberFormat="1" applyFont="1" applyFill="1" applyBorder="1" applyAlignment="1">
      <alignment horizontal="left" vertical="center" wrapText="1"/>
    </xf>
    <xf numFmtId="0" fontId="5" fillId="0" borderId="36" xfId="38" quotePrefix="1" applyNumberFormat="1" applyFont="1" applyFill="1" applyBorder="1" applyAlignment="1">
      <alignment horizontal="left" vertical="center" wrapText="1"/>
    </xf>
    <xf numFmtId="0" fontId="5" fillId="0" borderId="37" xfId="38" quotePrefix="1" applyNumberFormat="1" applyFont="1" applyFill="1" applyBorder="1" applyAlignment="1">
      <alignment horizontal="left" vertical="center" wrapText="1"/>
    </xf>
    <xf numFmtId="0" fontId="5" fillId="0" borderId="11" xfId="38" quotePrefix="1" applyNumberFormat="1" applyFont="1" applyFill="1" applyBorder="1" applyAlignment="1">
      <alignment horizontal="left" vertical="center" wrapText="1"/>
    </xf>
    <xf numFmtId="0" fontId="5" fillId="0" borderId="12" xfId="38" quotePrefix="1" applyNumberFormat="1" applyFont="1" applyFill="1" applyBorder="1" applyAlignment="1">
      <alignment horizontal="left" vertical="center" wrapText="1"/>
    </xf>
    <xf numFmtId="0" fontId="5" fillId="0" borderId="13" xfId="38" quotePrefix="1" applyNumberFormat="1" applyFont="1" applyFill="1" applyBorder="1" applyAlignment="1">
      <alignment horizontal="left" vertical="center" wrapText="1"/>
    </xf>
    <xf numFmtId="0" fontId="5" fillId="0" borderId="40" xfId="15" quotePrefix="1" applyNumberFormat="1" applyFont="1" applyFill="1" applyBorder="1" applyAlignment="1">
      <alignment wrapText="1"/>
    </xf>
    <xf numFmtId="0" fontId="5" fillId="0" borderId="0" xfId="15" quotePrefix="1" applyNumberFormat="1" applyFont="1" applyFill="1" applyBorder="1" applyAlignment="1">
      <alignment wrapText="1"/>
    </xf>
    <xf numFmtId="0" fontId="5" fillId="0" borderId="10" xfId="15" quotePrefix="1" applyNumberFormat="1" applyFont="1" applyFill="1" applyBorder="1" applyAlignment="1">
      <alignment wrapText="1"/>
    </xf>
    <xf numFmtId="0" fontId="5" fillId="0" borderId="35" xfId="15" quotePrefix="1" applyNumberFormat="1" applyFont="1" applyFill="1" applyBorder="1" applyAlignment="1">
      <alignment wrapText="1"/>
    </xf>
    <xf numFmtId="0" fontId="5" fillId="0" borderId="36" xfId="15" quotePrefix="1" applyNumberFormat="1" applyFont="1" applyFill="1" applyBorder="1" applyAlignment="1">
      <alignment wrapText="1"/>
    </xf>
    <xf numFmtId="0" fontId="5" fillId="0" borderId="37" xfId="15" quotePrefix="1" applyNumberFormat="1" applyFont="1" applyFill="1" applyBorder="1" applyAlignment="1">
      <alignment wrapText="1"/>
    </xf>
    <xf numFmtId="0" fontId="5" fillId="0" borderId="11" xfId="38" quotePrefix="1" applyNumberFormat="1" applyFont="1" applyFill="1" applyBorder="1" applyAlignment="1">
      <alignment horizontal="left" vertical="center"/>
    </xf>
    <xf numFmtId="0" fontId="5" fillId="0" borderId="12" xfId="38" quotePrefix="1" applyNumberFormat="1" applyFont="1" applyFill="1" applyBorder="1" applyAlignment="1">
      <alignment horizontal="left" vertical="center"/>
    </xf>
    <xf numFmtId="0" fontId="5" fillId="0" borderId="13" xfId="38" quotePrefix="1" applyNumberFormat="1" applyFont="1" applyFill="1" applyBorder="1" applyAlignment="1">
      <alignment horizontal="left" vertical="center"/>
    </xf>
    <xf numFmtId="167" fontId="5" fillId="0" borderId="33" xfId="37" applyNumberFormat="1" applyFont="1" applyFill="1" applyBorder="1" applyAlignment="1">
      <alignment horizontal="center" vertical="center"/>
    </xf>
    <xf numFmtId="167" fontId="5" fillId="0" borderId="26" xfId="37" applyNumberFormat="1" applyFont="1" applyFill="1" applyBorder="1" applyAlignment="1">
      <alignment horizontal="center" vertical="center"/>
    </xf>
    <xf numFmtId="167" fontId="5" fillId="0" borderId="27" xfId="37" applyNumberFormat="1" applyFont="1" applyFill="1" applyBorder="1" applyAlignment="1">
      <alignment horizontal="center" vertical="center"/>
    </xf>
    <xf numFmtId="167" fontId="5" fillId="0" borderId="28" xfId="38" applyNumberFormat="1" applyFont="1" applyFill="1" applyBorder="1" applyAlignment="1">
      <alignment horizontal="center" vertical="center" wrapText="1"/>
    </xf>
    <xf numFmtId="0" fontId="5" fillId="3" borderId="41" xfId="0" applyFont="1" applyFill="1" applyBorder="1" applyAlignment="1">
      <alignment horizontal="left"/>
    </xf>
    <xf numFmtId="0" fontId="5" fillId="3" borderId="42" xfId="0" applyFont="1" applyFill="1" applyBorder="1" applyAlignment="1">
      <alignment horizontal="left"/>
    </xf>
    <xf numFmtId="0" fontId="5" fillId="3" borderId="43" xfId="0" applyFont="1" applyFill="1" applyBorder="1" applyAlignment="1">
      <alignment horizontal="left"/>
    </xf>
    <xf numFmtId="0" fontId="11" fillId="0" borderId="18" xfId="33" applyNumberFormat="1" applyFont="1" applyFill="1" applyBorder="1" applyAlignment="1">
      <alignment horizontal="left"/>
    </xf>
    <xf numFmtId="0" fontId="5" fillId="0" borderId="34" xfId="34" quotePrefix="1" applyNumberFormat="1" applyFont="1" applyFill="1" applyBorder="1" applyAlignment="1">
      <alignment horizontal="left" vertical="center" wrapText="1"/>
    </xf>
    <xf numFmtId="0" fontId="5" fillId="0" borderId="11" xfId="14" applyNumberFormat="1" applyFont="1" applyFill="1" applyBorder="1" applyAlignment="1">
      <alignment horizontal="left" vertical="center" wrapText="1"/>
    </xf>
    <xf numFmtId="0" fontId="5" fillId="0" borderId="12" xfId="14" applyNumberFormat="1" applyFont="1" applyFill="1" applyBorder="1" applyAlignment="1">
      <alignment horizontal="left" vertical="center" wrapText="1"/>
    </xf>
    <xf numFmtId="0" fontId="5" fillId="0" borderId="13" xfId="14" applyNumberFormat="1" applyFont="1" applyFill="1" applyBorder="1" applyAlignment="1">
      <alignment horizontal="left" vertical="center" wrapText="1"/>
    </xf>
    <xf numFmtId="0" fontId="11" fillId="0" borderId="18" xfId="39" applyNumberFormat="1" applyFont="1" applyFill="1" applyBorder="1" applyAlignment="1">
      <alignment horizontal="left"/>
    </xf>
    <xf numFmtId="0" fontId="5" fillId="0" borderId="11" xfId="14" quotePrefix="1" applyNumberFormat="1" applyFont="1" applyFill="1" applyBorder="1" applyAlignment="1">
      <alignment horizontal="left" vertical="center" wrapText="1"/>
    </xf>
    <xf numFmtId="0" fontId="5" fillId="0" borderId="12" xfId="14" quotePrefix="1" applyNumberFormat="1" applyFont="1" applyFill="1" applyBorder="1" applyAlignment="1">
      <alignment horizontal="left" vertical="center" wrapText="1"/>
    </xf>
    <xf numFmtId="0" fontId="5" fillId="0" borderId="13" xfId="14" quotePrefix="1" applyNumberFormat="1" applyFont="1" applyFill="1" applyBorder="1" applyAlignment="1">
      <alignment horizontal="left" vertical="center" wrapText="1"/>
    </xf>
    <xf numFmtId="0" fontId="5" fillId="0" borderId="11" xfId="36" quotePrefix="1" applyNumberFormat="1" applyFont="1" applyFill="1" applyBorder="1" applyAlignment="1">
      <alignment horizontal="left" vertical="center" wrapText="1"/>
    </xf>
    <xf numFmtId="0" fontId="5" fillId="0" borderId="23" xfId="0" quotePrefix="1" applyNumberFormat="1" applyFont="1" applyFill="1" applyBorder="1" applyAlignment="1">
      <alignment horizontal="center" vertical="center" wrapText="1"/>
    </xf>
    <xf numFmtId="165" fontId="5" fillId="0" borderId="26" xfId="0" quotePrefix="1" applyNumberFormat="1" applyFont="1" applyFill="1" applyBorder="1" applyAlignment="1">
      <alignment horizontal="center" vertical="center" wrapText="1"/>
    </xf>
    <xf numFmtId="3" fontId="5" fillId="0" borderId="28" xfId="0" applyNumberFormat="1" applyFont="1" applyFill="1" applyBorder="1" applyAlignment="1">
      <alignment horizontal="center" vertical="center" wrapText="1"/>
    </xf>
    <xf numFmtId="0" fontId="5" fillId="0" borderId="11" xfId="37" quotePrefix="1" applyNumberFormat="1" applyFont="1" applyFill="1" applyBorder="1" applyAlignment="1">
      <alignment horizontal="left" vertical="center"/>
    </xf>
    <xf numFmtId="0" fontId="5" fillId="0" borderId="12" xfId="37" quotePrefix="1" applyNumberFormat="1" applyFont="1" applyFill="1" applyBorder="1" applyAlignment="1">
      <alignment horizontal="left" vertical="center"/>
    </xf>
    <xf numFmtId="0" fontId="5" fillId="0" borderId="13" xfId="37" quotePrefix="1" applyNumberFormat="1" applyFont="1" applyFill="1" applyBorder="1" applyAlignment="1">
      <alignment horizontal="left" vertical="center"/>
    </xf>
    <xf numFmtId="0" fontId="5" fillId="0" borderId="14" xfId="37" quotePrefix="1" applyNumberFormat="1" applyFont="1" applyFill="1" applyBorder="1" applyAlignment="1">
      <alignment horizontal="left"/>
    </xf>
    <xf numFmtId="0" fontId="5" fillId="0" borderId="15" xfId="37" quotePrefix="1" applyNumberFormat="1" applyFont="1" applyFill="1" applyBorder="1" applyAlignment="1">
      <alignment horizontal="left"/>
    </xf>
    <xf numFmtId="0" fontId="5" fillId="0" borderId="16" xfId="37" quotePrefix="1" applyNumberFormat="1" applyFont="1" applyFill="1" applyBorder="1" applyAlignment="1">
      <alignment horizontal="left"/>
    </xf>
    <xf numFmtId="167" fontId="5" fillId="0" borderId="31" xfId="37" applyNumberFormat="1" applyFont="1" applyFill="1" applyBorder="1" applyAlignment="1">
      <alignment horizontal="center"/>
    </xf>
    <xf numFmtId="167" fontId="5" fillId="0" borderId="32" xfId="37" applyNumberFormat="1" applyFont="1" applyFill="1" applyBorder="1" applyAlignment="1">
      <alignment horizontal="center"/>
    </xf>
    <xf numFmtId="0" fontId="11" fillId="0" borderId="18" xfId="37" quotePrefix="1" applyNumberFormat="1" applyFont="1" applyFill="1" applyBorder="1" applyAlignment="1">
      <alignment horizontal="left"/>
    </xf>
    <xf numFmtId="3" fontId="5" fillId="0" borderId="3" xfId="0" applyNumberFormat="1" applyFont="1" applyFill="1" applyBorder="1" applyAlignment="1">
      <alignment horizontal="center"/>
    </xf>
    <xf numFmtId="3" fontId="5" fillId="0" borderId="4" xfId="0" applyNumberFormat="1" applyFont="1" applyFill="1" applyBorder="1" applyAlignment="1">
      <alignment horizontal="center"/>
    </xf>
    <xf numFmtId="3" fontId="5" fillId="0" borderId="28" xfId="0" quotePrefix="1" applyNumberFormat="1" applyFont="1" applyFill="1" applyBorder="1" applyAlignment="1">
      <alignment horizontal="center" vertical="center" wrapText="1"/>
    </xf>
    <xf numFmtId="3" fontId="5" fillId="0" borderId="17" xfId="0" quotePrefix="1" applyNumberFormat="1" applyFont="1" applyFill="1" applyBorder="1" applyAlignment="1">
      <alignment horizontal="center" vertical="center" wrapText="1"/>
    </xf>
    <xf numFmtId="3" fontId="5" fillId="0" borderId="3" xfId="0" quotePrefix="1" applyNumberFormat="1" applyFont="1" applyFill="1" applyBorder="1" applyAlignment="1">
      <alignment horizontal="center" vertical="center" wrapText="1"/>
    </xf>
    <xf numFmtId="3" fontId="5" fillId="0" borderId="28" xfId="37" quotePrefix="1" applyNumberFormat="1" applyFont="1" applyFill="1" applyBorder="1" applyAlignment="1">
      <alignment horizontal="center" vertical="center" wrapText="1"/>
    </xf>
    <xf numFmtId="3" fontId="5" fillId="0" borderId="17" xfId="37" quotePrefix="1" applyNumberFormat="1" applyFont="1" applyFill="1" applyBorder="1" applyAlignment="1">
      <alignment horizontal="center" vertical="center" wrapText="1"/>
    </xf>
    <xf numFmtId="3" fontId="5" fillId="0" borderId="3" xfId="37" quotePrefix="1" applyNumberFormat="1" applyFont="1" applyFill="1" applyBorder="1" applyAlignment="1">
      <alignment horizontal="center" vertical="center" wrapText="1"/>
    </xf>
    <xf numFmtId="3" fontId="5" fillId="0" borderId="29" xfId="37" applyNumberFormat="1" applyFont="1" applyFill="1" applyBorder="1" applyAlignment="1">
      <alignment horizontal="center"/>
    </xf>
    <xf numFmtId="3" fontId="5" fillId="0" borderId="30" xfId="37" applyNumberFormat="1" applyFont="1" applyFill="1" applyBorder="1" applyAlignment="1">
      <alignment horizontal="center"/>
    </xf>
    <xf numFmtId="167" fontId="5" fillId="0" borderId="28" xfId="37" quotePrefix="1" applyNumberFormat="1" applyFont="1" applyFill="1" applyBorder="1" applyAlignment="1">
      <alignment horizontal="center" vertical="center" wrapText="1"/>
    </xf>
    <xf numFmtId="167" fontId="5" fillId="0" borderId="17" xfId="37" quotePrefix="1" applyNumberFormat="1" applyFont="1" applyFill="1" applyBorder="1" applyAlignment="1">
      <alignment horizontal="center" vertical="center" wrapText="1"/>
    </xf>
    <xf numFmtId="167" fontId="5" fillId="0" borderId="3" xfId="37" quotePrefix="1" applyNumberFormat="1" applyFont="1" applyFill="1" applyBorder="1" applyAlignment="1">
      <alignment horizontal="center" vertical="center" wrapText="1"/>
    </xf>
  </cellXfs>
  <cellStyles count="42">
    <cellStyle name="Comma0" xfId="1" xr:uid="{00000000-0005-0000-0000-000000000000}"/>
    <cellStyle name="Comma0 2" xfId="2" xr:uid="{00000000-0005-0000-0000-000001000000}"/>
    <cellStyle name="Currency0" xfId="3" xr:uid="{00000000-0005-0000-0000-000002000000}"/>
    <cellStyle name="Currency0 2" xfId="4" xr:uid="{00000000-0005-0000-0000-000003000000}"/>
    <cellStyle name="Date" xfId="5" xr:uid="{00000000-0005-0000-0000-000004000000}"/>
    <cellStyle name="Date 2" xfId="6" xr:uid="{00000000-0005-0000-0000-000005000000}"/>
    <cellStyle name="Fixed" xfId="7" xr:uid="{00000000-0005-0000-0000-000006000000}"/>
    <cellStyle name="Fixed 2" xfId="8" xr:uid="{00000000-0005-0000-0000-000007000000}"/>
    <cellStyle name="Heading 1" xfId="9" builtinId="16" customBuiltin="1"/>
    <cellStyle name="Heading 2" xfId="10" builtinId="17" customBuiltin="1"/>
    <cellStyle name="Hyperlink" xfId="11" builtinId="8"/>
    <cellStyle name="Hyperlink 3" xfId="12" xr:uid="{00000000-0005-0000-0000-00000B000000}"/>
    <cellStyle name="Normal" xfId="0" builtinId="0"/>
    <cellStyle name="Normal 10" xfId="13" xr:uid="{00000000-0005-0000-0000-00000D000000}"/>
    <cellStyle name="Normal 11" xfId="14" xr:uid="{00000000-0005-0000-0000-00000E000000}"/>
    <cellStyle name="normal 2" xfId="15" xr:uid="{00000000-0005-0000-0000-00000F000000}"/>
    <cellStyle name="Normal 2 2" xfId="16" xr:uid="{00000000-0005-0000-0000-000010000000}"/>
    <cellStyle name="Normal 2 3" xfId="17" xr:uid="{00000000-0005-0000-0000-000011000000}"/>
    <cellStyle name="Normal 2 4" xfId="18" xr:uid="{00000000-0005-0000-0000-000012000000}"/>
    <cellStyle name="Normal 3" xfId="19" xr:uid="{00000000-0005-0000-0000-000013000000}"/>
    <cellStyle name="Normal 3 2" xfId="20" xr:uid="{00000000-0005-0000-0000-000014000000}"/>
    <cellStyle name="Normal 4" xfId="21" xr:uid="{00000000-0005-0000-0000-000015000000}"/>
    <cellStyle name="Normal 4 2" xfId="22" xr:uid="{00000000-0005-0000-0000-000016000000}"/>
    <cellStyle name="Normal 4 3" xfId="23" xr:uid="{00000000-0005-0000-0000-000017000000}"/>
    <cellStyle name="Normal 5" xfId="24" xr:uid="{00000000-0005-0000-0000-000018000000}"/>
    <cellStyle name="Normal 5 2" xfId="25" xr:uid="{00000000-0005-0000-0000-000019000000}"/>
    <cellStyle name="Normal 5 3" xfId="26" xr:uid="{00000000-0005-0000-0000-00001A000000}"/>
    <cellStyle name="Normal 6" xfId="27" xr:uid="{00000000-0005-0000-0000-00001B000000}"/>
    <cellStyle name="Normal 6 2" xfId="28" xr:uid="{00000000-0005-0000-0000-00001C000000}"/>
    <cellStyle name="Normal 7" xfId="29" xr:uid="{00000000-0005-0000-0000-00001D000000}"/>
    <cellStyle name="Normal 8" xfId="30" xr:uid="{00000000-0005-0000-0000-00001E000000}"/>
    <cellStyle name="Normal 9" xfId="31" xr:uid="{00000000-0005-0000-0000-00001F000000}"/>
    <cellStyle name="Normal_dymfg" xfId="32" xr:uid="{00000000-0005-0000-0000-000020000000}"/>
    <cellStyle name="Normal_MTFISH" xfId="33" xr:uid="{00000000-0005-0000-0000-000021000000}"/>
    <cellStyle name="normal_MTFISH_1" xfId="34" xr:uid="{00000000-0005-0000-0000-000022000000}"/>
    <cellStyle name="normal_mtredsu" xfId="35" xr:uid="{00000000-0005-0000-0000-000023000000}"/>
    <cellStyle name="Normal_potatoes" xfId="36" xr:uid="{00000000-0005-0000-0000-000024000000}"/>
    <cellStyle name="normal_potatoes_1" xfId="37" xr:uid="{00000000-0005-0000-0000-000025000000}"/>
    <cellStyle name="normal_vegcan_1" xfId="38" xr:uid="{00000000-0005-0000-0000-000026000000}"/>
    <cellStyle name="Normal_vegfr" xfId="39" xr:uid="{00000000-0005-0000-0000-000027000000}"/>
    <cellStyle name="Total" xfId="40" builtinId="25" customBuiltin="1"/>
    <cellStyle name="Total 2" xfId="41" xr:uid="{00000000-0005-0000-0000-000029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17"/>
  <sheetViews>
    <sheetView tabSelected="1" workbookViewId="0"/>
  </sheetViews>
  <sheetFormatPr defaultRowHeight="12.75" x14ac:dyDescent="0.2"/>
  <cols>
    <col min="1" max="1" width="11.7109375" customWidth="1"/>
    <col min="2" max="2" width="9.5703125" customWidth="1"/>
  </cols>
  <sheetData>
    <row r="2" spans="1:2" s="1" customFormat="1" x14ac:dyDescent="0.2">
      <c r="A2" s="182" t="s">
        <v>68</v>
      </c>
      <c r="B2" s="2" t="s">
        <v>75</v>
      </c>
    </row>
    <row r="3" spans="1:2" s="1" customFormat="1" x14ac:dyDescent="0.2">
      <c r="A3" s="182"/>
    </row>
    <row r="4" spans="1:2" x14ac:dyDescent="0.2">
      <c r="A4" s="182" t="s">
        <v>69</v>
      </c>
      <c r="B4" s="3" t="s">
        <v>70</v>
      </c>
    </row>
    <row r="5" spans="1:2" x14ac:dyDescent="0.2">
      <c r="A5" s="1"/>
      <c r="B5" s="4" t="s">
        <v>73</v>
      </c>
    </row>
    <row r="6" spans="1:2" x14ac:dyDescent="0.2">
      <c r="A6" s="1"/>
      <c r="B6" s="3" t="s">
        <v>56</v>
      </c>
    </row>
    <row r="7" spans="1:2" x14ac:dyDescent="0.2">
      <c r="B7" s="3" t="s">
        <v>45</v>
      </c>
    </row>
    <row r="8" spans="1:2" x14ac:dyDescent="0.2">
      <c r="B8" s="3" t="s">
        <v>46</v>
      </c>
    </row>
    <row r="9" spans="1:2" x14ac:dyDescent="0.2">
      <c r="B9" s="3" t="s">
        <v>47</v>
      </c>
    </row>
    <row r="10" spans="1:2" x14ac:dyDescent="0.2">
      <c r="B10" s="3" t="s">
        <v>48</v>
      </c>
    </row>
    <row r="11" spans="1:2" x14ac:dyDescent="0.2">
      <c r="B11" s="3" t="s">
        <v>49</v>
      </c>
    </row>
    <row r="12" spans="1:2" x14ac:dyDescent="0.2">
      <c r="B12" s="3" t="s">
        <v>50</v>
      </c>
    </row>
    <row r="13" spans="1:2" x14ac:dyDescent="0.2">
      <c r="B13" s="3" t="s">
        <v>51</v>
      </c>
    </row>
    <row r="14" spans="1:2" x14ac:dyDescent="0.2">
      <c r="B14" s="3" t="s">
        <v>52</v>
      </c>
    </row>
    <row r="15" spans="1:2" x14ac:dyDescent="0.2">
      <c r="B15" s="4" t="s">
        <v>74</v>
      </c>
    </row>
    <row r="16" spans="1:2" x14ac:dyDescent="0.2">
      <c r="B16" s="3" t="s">
        <v>54</v>
      </c>
    </row>
    <row r="17" spans="2:2" x14ac:dyDescent="0.2">
      <c r="B17" s="4" t="s">
        <v>55</v>
      </c>
    </row>
  </sheetData>
  <phoneticPr fontId="5" type="noConversion"/>
  <hyperlinks>
    <hyperlink ref="B4" location="FarmPcc!A1" display="FarmPcc!A1" xr:uid="{00000000-0004-0000-0000-000000000000}"/>
    <hyperlink ref="B7" location="Asparagus!A1" display="Asparagus!A1" xr:uid="{00000000-0004-0000-0000-000001000000}"/>
    <hyperlink ref="B8" location="LimaBeans!A1" display="LimaBeans!A1" xr:uid="{00000000-0004-0000-0000-000002000000}"/>
    <hyperlink ref="B9" location="SnapBeans!A1" display="SnapBeans!A1" xr:uid="{00000000-0004-0000-0000-000003000000}"/>
    <hyperlink ref="B10" location="Broccoli!A1" display="Broccoli!A1" xr:uid="{00000000-0004-0000-0000-000004000000}"/>
    <hyperlink ref="B11" location="Carrots!A1" display="Carrots!A1" xr:uid="{00000000-0004-0000-0000-000005000000}"/>
    <hyperlink ref="B12" location="Cauliflower!A1" display="Cauliflower!A1" xr:uid="{00000000-0004-0000-0000-000006000000}"/>
    <hyperlink ref="B13" location="SweetCorn!A1" display="SweetCorn!A1" xr:uid="{00000000-0004-0000-0000-000007000000}"/>
    <hyperlink ref="B14" location="GreenPeas!A1" display="GreenPeas!A1" xr:uid="{00000000-0004-0000-0000-000008000000}"/>
    <hyperlink ref="B16" location="Spinach!A1" display="Spinach!A1" xr:uid="{00000000-0004-0000-0000-000009000000}"/>
    <hyperlink ref="B6" location="Total!A1" display="Vegetables for freezing:  Supply and utilization (excluding potatoes)" xr:uid="{00000000-0004-0000-0000-00000A000000}"/>
    <hyperlink ref="B17" location="MiscFrozen!A1" display="Miscellaneous vegetables for freezing:  Supply and utilization" xr:uid="{00000000-0004-0000-0000-00000B000000}"/>
    <hyperlink ref="B15" location="Potatoes!A1" display="Potatoes for freezing - Supply and disappearance" xr:uid="{00000000-0004-0000-0000-00000C000000}"/>
    <hyperlink ref="B5" location="ProcPcc!A1" display="Vegetables for freezing - Per capita availability, product weight" xr:uid="{00000000-0004-0000-0000-00000D000000}"/>
  </hyperlinks>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pageSetUpPr autoPageBreaks="0" fitToPage="1"/>
  </sheetPr>
  <dimension ref="A1:L64"/>
  <sheetViews>
    <sheetView showOutlineSymbols="0" zoomScaleNormal="100" workbookViewId="0">
      <pane ySplit="7" topLeftCell="A8" activePane="bottomLeft" state="frozen"/>
      <selection pane="bottomLeft" sqref="A1:I1"/>
    </sheetView>
  </sheetViews>
  <sheetFormatPr defaultColWidth="12.7109375" defaultRowHeight="12" customHeight="1" x14ac:dyDescent="0.2"/>
  <cols>
    <col min="1" max="1" width="12.7109375" style="24" customWidth="1"/>
    <col min="2" max="2" width="12.7109375" style="16" customWidth="1"/>
    <col min="3" max="9" width="12.7109375" style="17" customWidth="1"/>
    <col min="10" max="10" width="12.7109375" style="21" customWidth="1"/>
    <col min="11" max="12" width="12.7109375" style="18" customWidth="1"/>
    <col min="13" max="16384" width="12.7109375" style="19"/>
  </cols>
  <sheetData>
    <row r="1" spans="1:12" s="57" customFormat="1" ht="12" customHeight="1" thickBot="1" x14ac:dyDescent="0.25">
      <c r="A1" s="266" t="s">
        <v>50</v>
      </c>
      <c r="B1" s="266"/>
      <c r="C1" s="266"/>
      <c r="D1" s="266"/>
      <c r="E1" s="266"/>
      <c r="F1" s="266"/>
      <c r="G1" s="266"/>
      <c r="H1" s="266"/>
      <c r="I1" s="266"/>
      <c r="J1" s="227" t="s">
        <v>32</v>
      </c>
      <c r="K1" s="227"/>
      <c r="L1" s="56"/>
    </row>
    <row r="2" spans="1:12" ht="12" customHeight="1" thickTop="1" x14ac:dyDescent="0.2">
      <c r="A2" s="282" t="s">
        <v>0</v>
      </c>
      <c r="B2" s="274" t="s">
        <v>18</v>
      </c>
      <c r="C2" s="38" t="s">
        <v>1</v>
      </c>
      <c r="D2" s="39"/>
      <c r="E2" s="39"/>
      <c r="F2" s="39"/>
      <c r="G2" s="272" t="s">
        <v>44</v>
      </c>
      <c r="H2" s="273"/>
      <c r="I2" s="272" t="s">
        <v>43</v>
      </c>
      <c r="J2" s="273"/>
      <c r="K2" s="273"/>
    </row>
    <row r="3" spans="1:12" ht="12" customHeight="1" x14ac:dyDescent="0.2">
      <c r="A3" s="283"/>
      <c r="B3" s="275"/>
      <c r="C3" s="279" t="s">
        <v>19</v>
      </c>
      <c r="D3" s="279" t="s">
        <v>20</v>
      </c>
      <c r="E3" s="279" t="s">
        <v>29</v>
      </c>
      <c r="F3" s="279" t="s">
        <v>30</v>
      </c>
      <c r="G3" s="279" t="s">
        <v>23</v>
      </c>
      <c r="H3" s="279" t="s">
        <v>31</v>
      </c>
      <c r="I3" s="293" t="s">
        <v>41</v>
      </c>
      <c r="J3" s="288" t="s">
        <v>17</v>
      </c>
      <c r="K3" s="289"/>
      <c r="L3" s="20"/>
    </row>
    <row r="4" spans="1:12" ht="12" customHeight="1" x14ac:dyDescent="0.2">
      <c r="A4" s="283"/>
      <c r="B4" s="275"/>
      <c r="C4" s="280"/>
      <c r="D4" s="280"/>
      <c r="E4" s="280"/>
      <c r="F4" s="280"/>
      <c r="G4" s="280"/>
      <c r="H4" s="280"/>
      <c r="I4" s="294"/>
      <c r="J4" s="314" t="s">
        <v>3</v>
      </c>
      <c r="K4" s="311" t="s">
        <v>16</v>
      </c>
    </row>
    <row r="5" spans="1:12" ht="12" customHeight="1" x14ac:dyDescent="0.2">
      <c r="A5" s="283"/>
      <c r="B5" s="275"/>
      <c r="C5" s="280"/>
      <c r="D5" s="280"/>
      <c r="E5" s="280"/>
      <c r="F5" s="280"/>
      <c r="G5" s="280"/>
      <c r="H5" s="280"/>
      <c r="I5" s="294"/>
      <c r="J5" s="277"/>
      <c r="K5" s="312"/>
    </row>
    <row r="6" spans="1:12" ht="12" customHeight="1" x14ac:dyDescent="0.2">
      <c r="A6" s="284"/>
      <c r="B6" s="276"/>
      <c r="C6" s="281"/>
      <c r="D6" s="281"/>
      <c r="E6" s="281"/>
      <c r="F6" s="281"/>
      <c r="G6" s="281"/>
      <c r="H6" s="281"/>
      <c r="I6" s="295"/>
      <c r="J6" s="278"/>
      <c r="K6" s="313"/>
    </row>
    <row r="7" spans="1:12" ht="12" customHeight="1" x14ac:dyDescent="0.2">
      <c r="A7" s="73"/>
      <c r="B7" s="76" t="s">
        <v>33</v>
      </c>
      <c r="C7" s="267" t="s">
        <v>35</v>
      </c>
      <c r="D7" s="268"/>
      <c r="E7" s="268"/>
      <c r="F7" s="268"/>
      <c r="G7" s="268"/>
      <c r="H7" s="268"/>
      <c r="I7" s="268"/>
      <c r="J7" s="269" t="s">
        <v>36</v>
      </c>
      <c r="K7" s="269"/>
      <c r="L7" s="72"/>
    </row>
    <row r="8" spans="1:12" ht="12" customHeight="1" x14ac:dyDescent="0.2">
      <c r="A8" s="42">
        <v>1970</v>
      </c>
      <c r="B8" s="69">
        <v>205.05199999999999</v>
      </c>
      <c r="C8" s="43">
        <v>94.4</v>
      </c>
      <c r="D8" s="46" t="s">
        <v>2</v>
      </c>
      <c r="E8" s="45">
        <v>65.062139999999999</v>
      </c>
      <c r="F8" s="45">
        <f t="shared" ref="F8:F51" si="0">SUM(C8,D8,E8)</f>
        <v>159.46214000000001</v>
      </c>
      <c r="G8" s="46">
        <v>0.50478999999999996</v>
      </c>
      <c r="H8" s="44">
        <v>57.015529999999998</v>
      </c>
      <c r="I8" s="43">
        <f t="shared" ref="I8:I50" si="1">F8-SUM(G8,H8)</f>
        <v>101.94182000000001</v>
      </c>
      <c r="J8" s="183">
        <f t="shared" ref="J8:J50" si="2">IF(I8=0,0,IF(B8=0,0,I8/B8))</f>
        <v>0.49715106412032073</v>
      </c>
      <c r="K8" s="184">
        <f>J8/1.43</f>
        <v>0.3476580867974271</v>
      </c>
    </row>
    <row r="9" spans="1:12" ht="12" customHeight="1" x14ac:dyDescent="0.2">
      <c r="A9" s="78">
        <v>1971</v>
      </c>
      <c r="B9" s="79">
        <v>207.661</v>
      </c>
      <c r="C9" s="80">
        <v>118.2</v>
      </c>
      <c r="D9" s="83" t="s">
        <v>2</v>
      </c>
      <c r="E9" s="82">
        <v>57.015529999999998</v>
      </c>
      <c r="F9" s="82">
        <f t="shared" si="0"/>
        <v>175.21553</v>
      </c>
      <c r="G9" s="83">
        <v>0.38467000000000001</v>
      </c>
      <c r="H9" s="81">
        <v>46.30912</v>
      </c>
      <c r="I9" s="80">
        <f t="shared" si="1"/>
        <v>128.52173999999999</v>
      </c>
      <c r="J9" s="185">
        <f t="shared" si="2"/>
        <v>0.6189016714741814</v>
      </c>
      <c r="K9" s="186">
        <f t="shared" ref="K9:K44" si="3">J9/1.43</f>
        <v>0.43279837166026675</v>
      </c>
    </row>
    <row r="10" spans="1:12" ht="12" customHeight="1" x14ac:dyDescent="0.2">
      <c r="A10" s="78">
        <v>1972</v>
      </c>
      <c r="B10" s="79">
        <v>209.89599999999999</v>
      </c>
      <c r="C10" s="80">
        <v>137.80000000000001</v>
      </c>
      <c r="D10" s="83" t="s">
        <v>2</v>
      </c>
      <c r="E10" s="82">
        <v>46.30912</v>
      </c>
      <c r="F10" s="82">
        <f t="shared" si="0"/>
        <v>184.10912000000002</v>
      </c>
      <c r="G10" s="83">
        <v>0.70499000000000001</v>
      </c>
      <c r="H10" s="81">
        <v>70.614829999999998</v>
      </c>
      <c r="I10" s="80">
        <f t="shared" si="1"/>
        <v>112.78930000000003</v>
      </c>
      <c r="J10" s="185">
        <f t="shared" si="2"/>
        <v>0.53735802492663054</v>
      </c>
      <c r="K10" s="186">
        <f t="shared" si="3"/>
        <v>0.37577484260603539</v>
      </c>
    </row>
    <row r="11" spans="1:12" ht="12" customHeight="1" x14ac:dyDescent="0.2">
      <c r="A11" s="78">
        <v>1973</v>
      </c>
      <c r="B11" s="79">
        <v>211.90899999999999</v>
      </c>
      <c r="C11" s="80">
        <v>149.80000000000001</v>
      </c>
      <c r="D11" s="83" t="s">
        <v>2</v>
      </c>
      <c r="E11" s="82">
        <v>70.614829999999998</v>
      </c>
      <c r="F11" s="82">
        <f t="shared" si="0"/>
        <v>220.41482999999999</v>
      </c>
      <c r="G11" s="83">
        <v>1.2441</v>
      </c>
      <c r="H11" s="81">
        <v>93.115880000000004</v>
      </c>
      <c r="I11" s="80">
        <f t="shared" si="1"/>
        <v>126.05484999999999</v>
      </c>
      <c r="J11" s="185">
        <f t="shared" si="2"/>
        <v>0.59485368719591891</v>
      </c>
      <c r="K11" s="186">
        <f t="shared" si="3"/>
        <v>0.41598159943770557</v>
      </c>
    </row>
    <row r="12" spans="1:12" ht="12" customHeight="1" x14ac:dyDescent="0.2">
      <c r="A12" s="78">
        <v>1974</v>
      </c>
      <c r="B12" s="79">
        <v>213.85400000000001</v>
      </c>
      <c r="C12" s="80">
        <v>148</v>
      </c>
      <c r="D12" s="83" t="s">
        <v>2</v>
      </c>
      <c r="E12" s="82">
        <v>93.115880000000004</v>
      </c>
      <c r="F12" s="82">
        <f t="shared" si="0"/>
        <v>241.11588</v>
      </c>
      <c r="G12" s="83">
        <v>1.6101799999999997</v>
      </c>
      <c r="H12" s="81">
        <v>98.981740000000002</v>
      </c>
      <c r="I12" s="80">
        <f t="shared" si="1"/>
        <v>140.52395999999999</v>
      </c>
      <c r="J12" s="185">
        <f t="shared" si="2"/>
        <v>0.65710232214501474</v>
      </c>
      <c r="K12" s="186">
        <f t="shared" si="3"/>
        <v>0.4595121133881222</v>
      </c>
    </row>
    <row r="13" spans="1:12" ht="12" customHeight="1" x14ac:dyDescent="0.2">
      <c r="A13" s="78">
        <v>1975</v>
      </c>
      <c r="B13" s="79">
        <v>215.97300000000001</v>
      </c>
      <c r="C13" s="80">
        <v>124.3</v>
      </c>
      <c r="D13" s="83" t="s">
        <v>2</v>
      </c>
      <c r="E13" s="82">
        <v>98.981740000000002</v>
      </c>
      <c r="F13" s="82">
        <f t="shared" si="0"/>
        <v>223.28174000000001</v>
      </c>
      <c r="G13" s="83">
        <v>1.4600299999999997</v>
      </c>
      <c r="H13" s="81">
        <v>94.873350000000002</v>
      </c>
      <c r="I13" s="80">
        <f t="shared" si="1"/>
        <v>126.94836000000001</v>
      </c>
      <c r="J13" s="185">
        <f t="shared" si="2"/>
        <v>0.58779736355933376</v>
      </c>
      <c r="K13" s="186">
        <f t="shared" si="3"/>
        <v>0.41104710738414951</v>
      </c>
    </row>
    <row r="14" spans="1:12" ht="12" customHeight="1" x14ac:dyDescent="0.2">
      <c r="A14" s="42">
        <v>1976</v>
      </c>
      <c r="B14" s="69">
        <v>218.035</v>
      </c>
      <c r="C14" s="43">
        <v>108.2</v>
      </c>
      <c r="D14" s="46" t="s">
        <v>2</v>
      </c>
      <c r="E14" s="45">
        <v>94.873350000000002</v>
      </c>
      <c r="F14" s="45">
        <f t="shared" si="0"/>
        <v>203.07335</v>
      </c>
      <c r="G14" s="46">
        <v>2.4038300000000001</v>
      </c>
      <c r="H14" s="43">
        <v>67.264340000000004</v>
      </c>
      <c r="I14" s="43">
        <f t="shared" si="1"/>
        <v>133.40518</v>
      </c>
      <c r="J14" s="183">
        <f t="shared" si="2"/>
        <v>0.61185213383172432</v>
      </c>
      <c r="K14" s="184">
        <f t="shared" si="3"/>
        <v>0.4278686250571499</v>
      </c>
    </row>
    <row r="15" spans="1:12" ht="12" customHeight="1" x14ac:dyDescent="0.2">
      <c r="A15" s="42">
        <v>1977</v>
      </c>
      <c r="B15" s="69">
        <v>220.23899999999998</v>
      </c>
      <c r="C15" s="43">
        <v>156.1</v>
      </c>
      <c r="D15" s="46" t="s">
        <v>2</v>
      </c>
      <c r="E15" s="45">
        <v>67.264340000000004</v>
      </c>
      <c r="F15" s="45">
        <f t="shared" si="0"/>
        <v>223.36434</v>
      </c>
      <c r="G15" s="46">
        <v>2.7598999999999996</v>
      </c>
      <c r="H15" s="43">
        <v>73.999639999999999</v>
      </c>
      <c r="I15" s="43">
        <f t="shared" si="1"/>
        <v>146.60480000000001</v>
      </c>
      <c r="J15" s="183">
        <f t="shared" si="2"/>
        <v>0.66566230322513287</v>
      </c>
      <c r="K15" s="184">
        <f t="shared" si="3"/>
        <v>0.4654981141434496</v>
      </c>
    </row>
    <row r="16" spans="1:12" ht="12" customHeight="1" x14ac:dyDescent="0.2">
      <c r="A16" s="42">
        <v>1978</v>
      </c>
      <c r="B16" s="69">
        <v>222.58500000000001</v>
      </c>
      <c r="C16" s="43">
        <v>199.1</v>
      </c>
      <c r="D16" s="43">
        <v>20.263100000000001</v>
      </c>
      <c r="E16" s="45">
        <v>73.999639999999999</v>
      </c>
      <c r="F16" s="45">
        <f t="shared" si="0"/>
        <v>293.36274000000003</v>
      </c>
      <c r="G16" s="46" t="s">
        <v>2</v>
      </c>
      <c r="H16" s="43">
        <v>123.34179</v>
      </c>
      <c r="I16" s="43">
        <f t="shared" si="1"/>
        <v>170.02095000000003</v>
      </c>
      <c r="J16" s="183">
        <f t="shared" si="2"/>
        <v>0.76384729429206832</v>
      </c>
      <c r="K16" s="184">
        <f t="shared" si="3"/>
        <v>0.53415894705739042</v>
      </c>
    </row>
    <row r="17" spans="1:11" ht="12" customHeight="1" x14ac:dyDescent="0.2">
      <c r="A17" s="42">
        <v>1979</v>
      </c>
      <c r="B17" s="69">
        <v>225.05500000000001</v>
      </c>
      <c r="C17" s="43">
        <v>132.274</v>
      </c>
      <c r="D17" s="43">
        <v>14.314299999999999</v>
      </c>
      <c r="E17" s="45">
        <v>123.34179</v>
      </c>
      <c r="F17" s="45">
        <f t="shared" si="0"/>
        <v>269.93009000000001</v>
      </c>
      <c r="G17" s="46" t="s">
        <v>2</v>
      </c>
      <c r="H17" s="43">
        <v>118.04078</v>
      </c>
      <c r="I17" s="43">
        <f t="shared" si="1"/>
        <v>151.88931000000002</v>
      </c>
      <c r="J17" s="183">
        <f t="shared" si="2"/>
        <v>0.67489862478060925</v>
      </c>
      <c r="K17" s="184">
        <f t="shared" si="3"/>
        <v>0.47195708026616034</v>
      </c>
    </row>
    <row r="18" spans="1:11" ht="12" customHeight="1" x14ac:dyDescent="0.2">
      <c r="A18" s="42">
        <v>1980</v>
      </c>
      <c r="B18" s="69">
        <v>227.726</v>
      </c>
      <c r="C18" s="43">
        <v>145.44</v>
      </c>
      <c r="D18" s="43">
        <v>13.90103</v>
      </c>
      <c r="E18" s="45">
        <v>118.04078</v>
      </c>
      <c r="F18" s="45">
        <f t="shared" si="0"/>
        <v>277.38180999999997</v>
      </c>
      <c r="G18" s="46" t="s">
        <v>2</v>
      </c>
      <c r="H18" s="43">
        <v>99.300629999999998</v>
      </c>
      <c r="I18" s="43">
        <f t="shared" si="1"/>
        <v>178.08117999999996</v>
      </c>
      <c r="J18" s="183">
        <f t="shared" si="2"/>
        <v>0.78199757603435693</v>
      </c>
      <c r="K18" s="184">
        <f t="shared" si="3"/>
        <v>0.54685145177227756</v>
      </c>
    </row>
    <row r="19" spans="1:11" ht="12" customHeight="1" x14ac:dyDescent="0.2">
      <c r="A19" s="78">
        <v>1981</v>
      </c>
      <c r="B19" s="79">
        <v>229.96600000000001</v>
      </c>
      <c r="C19" s="80">
        <v>173.18</v>
      </c>
      <c r="D19" s="80">
        <v>19.410820000000001</v>
      </c>
      <c r="E19" s="82">
        <v>99.300629999999998</v>
      </c>
      <c r="F19" s="82">
        <f t="shared" si="0"/>
        <v>291.89145000000002</v>
      </c>
      <c r="G19" s="83" t="s">
        <v>2</v>
      </c>
      <c r="H19" s="80">
        <v>82.684030000000007</v>
      </c>
      <c r="I19" s="80">
        <f t="shared" si="1"/>
        <v>209.20742000000001</v>
      </c>
      <c r="J19" s="185">
        <f t="shared" si="2"/>
        <v>0.90973196037675141</v>
      </c>
      <c r="K19" s="186">
        <f t="shared" si="3"/>
        <v>0.63617619606765841</v>
      </c>
    </row>
    <row r="20" spans="1:11" ht="12" customHeight="1" x14ac:dyDescent="0.2">
      <c r="A20" s="78">
        <v>1982</v>
      </c>
      <c r="B20" s="79">
        <v>232.18799999999999</v>
      </c>
      <c r="C20" s="84">
        <v>195.06</v>
      </c>
      <c r="D20" s="80">
        <v>29.415099999999999</v>
      </c>
      <c r="E20" s="82">
        <v>82.684030000000007</v>
      </c>
      <c r="F20" s="82">
        <f t="shared" si="0"/>
        <v>307.15913</v>
      </c>
      <c r="G20" s="83" t="s">
        <v>2</v>
      </c>
      <c r="H20" s="80">
        <v>99.432190000000006</v>
      </c>
      <c r="I20" s="80">
        <f t="shared" si="1"/>
        <v>207.72694000000001</v>
      </c>
      <c r="J20" s="185">
        <f t="shared" si="2"/>
        <v>0.89464976656847051</v>
      </c>
      <c r="K20" s="186">
        <f t="shared" si="3"/>
        <v>0.62562920739053884</v>
      </c>
    </row>
    <row r="21" spans="1:11" ht="12" customHeight="1" x14ac:dyDescent="0.2">
      <c r="A21" s="78">
        <v>1983</v>
      </c>
      <c r="B21" s="79">
        <v>234.30699999999999</v>
      </c>
      <c r="C21" s="84">
        <v>171.02</v>
      </c>
      <c r="D21" s="80">
        <v>30.152979999999999</v>
      </c>
      <c r="E21" s="82">
        <v>99.432190000000006</v>
      </c>
      <c r="F21" s="82">
        <f t="shared" si="0"/>
        <v>300.60516999999999</v>
      </c>
      <c r="G21" s="83" t="s">
        <v>2</v>
      </c>
      <c r="H21" s="80">
        <v>101.93898</v>
      </c>
      <c r="I21" s="80">
        <f t="shared" si="1"/>
        <v>198.66618999999997</v>
      </c>
      <c r="J21" s="185">
        <f t="shared" si="2"/>
        <v>0.84788841135774851</v>
      </c>
      <c r="K21" s="186">
        <f t="shared" si="3"/>
        <v>0.5929289589914325</v>
      </c>
    </row>
    <row r="22" spans="1:11" ht="12" customHeight="1" x14ac:dyDescent="0.2">
      <c r="A22" s="78">
        <v>1984</v>
      </c>
      <c r="B22" s="79">
        <v>236.34800000000001</v>
      </c>
      <c r="C22" s="80">
        <v>187.12</v>
      </c>
      <c r="D22" s="80">
        <v>44.094050000000003</v>
      </c>
      <c r="E22" s="82">
        <v>101.93898</v>
      </c>
      <c r="F22" s="82">
        <f t="shared" si="0"/>
        <v>333.15303</v>
      </c>
      <c r="G22" s="83" t="s">
        <v>2</v>
      </c>
      <c r="H22" s="80">
        <v>108.67142</v>
      </c>
      <c r="I22" s="80">
        <f t="shared" si="1"/>
        <v>224.48160999999999</v>
      </c>
      <c r="J22" s="185">
        <f t="shared" si="2"/>
        <v>0.94979272090307498</v>
      </c>
      <c r="K22" s="186">
        <f t="shared" si="3"/>
        <v>0.66419071391823425</v>
      </c>
    </row>
    <row r="23" spans="1:11" ht="12" customHeight="1" x14ac:dyDescent="0.2">
      <c r="A23" s="78">
        <v>1985</v>
      </c>
      <c r="B23" s="79">
        <v>238.46600000000001</v>
      </c>
      <c r="C23" s="80">
        <v>175.9</v>
      </c>
      <c r="D23" s="80">
        <v>52.656889999999997</v>
      </c>
      <c r="E23" s="82">
        <v>108.67142</v>
      </c>
      <c r="F23" s="82">
        <f t="shared" si="0"/>
        <v>337.22831000000002</v>
      </c>
      <c r="G23" s="83" t="s">
        <v>2</v>
      </c>
      <c r="H23" s="80">
        <v>115.90293</v>
      </c>
      <c r="I23" s="80">
        <f t="shared" si="1"/>
        <v>221.32538000000002</v>
      </c>
      <c r="J23" s="185">
        <f t="shared" si="2"/>
        <v>0.92812132547197512</v>
      </c>
      <c r="K23" s="186">
        <f t="shared" si="3"/>
        <v>0.64903589193844413</v>
      </c>
    </row>
    <row r="24" spans="1:11" ht="12" customHeight="1" x14ac:dyDescent="0.2">
      <c r="A24" s="42">
        <v>1986</v>
      </c>
      <c r="B24" s="69">
        <v>240.65100000000001</v>
      </c>
      <c r="C24" s="43">
        <v>162.1</v>
      </c>
      <c r="D24" s="43">
        <v>60.2</v>
      </c>
      <c r="E24" s="45">
        <v>115.90293</v>
      </c>
      <c r="F24" s="45">
        <f t="shared" si="0"/>
        <v>338.20293000000004</v>
      </c>
      <c r="G24" s="46" t="s">
        <v>2</v>
      </c>
      <c r="H24" s="43">
        <v>115.4</v>
      </c>
      <c r="I24" s="43">
        <f t="shared" si="1"/>
        <v>222.80293000000003</v>
      </c>
      <c r="J24" s="183">
        <f t="shared" si="2"/>
        <v>0.92583421635480434</v>
      </c>
      <c r="K24" s="184">
        <f t="shared" si="3"/>
        <v>0.64743651493342969</v>
      </c>
    </row>
    <row r="25" spans="1:11" ht="12" customHeight="1" x14ac:dyDescent="0.2">
      <c r="A25" s="42">
        <v>1987</v>
      </c>
      <c r="B25" s="69">
        <v>242.804</v>
      </c>
      <c r="C25" s="43">
        <v>144.66</v>
      </c>
      <c r="D25" s="43">
        <v>83.67</v>
      </c>
      <c r="E25" s="45">
        <v>115.4</v>
      </c>
      <c r="F25" s="45">
        <f t="shared" si="0"/>
        <v>343.73</v>
      </c>
      <c r="G25" s="46" t="s">
        <v>2</v>
      </c>
      <c r="H25" s="43">
        <v>114.2</v>
      </c>
      <c r="I25" s="43">
        <f t="shared" si="1"/>
        <v>229.53000000000003</v>
      </c>
      <c r="J25" s="183">
        <f t="shared" si="2"/>
        <v>0.94533038994415264</v>
      </c>
      <c r="K25" s="184">
        <f t="shared" si="3"/>
        <v>0.66107020275814876</v>
      </c>
    </row>
    <row r="26" spans="1:11" ht="12" customHeight="1" x14ac:dyDescent="0.2">
      <c r="A26" s="42">
        <v>1988</v>
      </c>
      <c r="B26" s="69">
        <v>245.02099999999999</v>
      </c>
      <c r="C26" s="43">
        <v>135.88</v>
      </c>
      <c r="D26" s="43">
        <v>71.900000000000006</v>
      </c>
      <c r="E26" s="45">
        <v>114.2</v>
      </c>
      <c r="F26" s="45">
        <f t="shared" si="0"/>
        <v>321.98</v>
      </c>
      <c r="G26" s="46" t="s">
        <v>2</v>
      </c>
      <c r="H26" s="43">
        <v>90.7</v>
      </c>
      <c r="I26" s="43">
        <f t="shared" si="1"/>
        <v>231.28000000000003</v>
      </c>
      <c r="J26" s="183">
        <f t="shared" si="2"/>
        <v>0.94391909264920171</v>
      </c>
      <c r="K26" s="184">
        <f t="shared" si="3"/>
        <v>0.66008328157286833</v>
      </c>
    </row>
    <row r="27" spans="1:11" ht="12" customHeight="1" x14ac:dyDescent="0.2">
      <c r="A27" s="42">
        <v>1989</v>
      </c>
      <c r="B27" s="69">
        <v>247.34200000000001</v>
      </c>
      <c r="C27" s="43">
        <v>118.26</v>
      </c>
      <c r="D27" s="43">
        <v>85.8</v>
      </c>
      <c r="E27" s="45">
        <v>90.7</v>
      </c>
      <c r="F27" s="45">
        <f t="shared" si="0"/>
        <v>294.76</v>
      </c>
      <c r="G27" s="46" t="s">
        <v>2</v>
      </c>
      <c r="H27" s="43">
        <v>109</v>
      </c>
      <c r="I27" s="43">
        <f t="shared" si="1"/>
        <v>185.76</v>
      </c>
      <c r="J27" s="183">
        <f t="shared" si="2"/>
        <v>0.75102489670173278</v>
      </c>
      <c r="K27" s="184">
        <f t="shared" si="3"/>
        <v>0.52519223545575722</v>
      </c>
    </row>
    <row r="28" spans="1:11" ht="12" customHeight="1" x14ac:dyDescent="0.2">
      <c r="A28" s="42">
        <v>1990</v>
      </c>
      <c r="B28" s="69">
        <v>250.13200000000001</v>
      </c>
      <c r="C28" s="43">
        <v>122.36</v>
      </c>
      <c r="D28" s="43">
        <v>88.905959999999993</v>
      </c>
      <c r="E28" s="45">
        <v>109</v>
      </c>
      <c r="F28" s="45">
        <f t="shared" si="0"/>
        <v>320.26596000000001</v>
      </c>
      <c r="G28" s="46" t="s">
        <v>2</v>
      </c>
      <c r="H28" s="43">
        <v>130.72201999999999</v>
      </c>
      <c r="I28" s="43">
        <f t="shared" si="1"/>
        <v>189.54394000000002</v>
      </c>
      <c r="J28" s="183">
        <f t="shared" si="2"/>
        <v>0.75777565445444817</v>
      </c>
      <c r="K28" s="184">
        <f t="shared" si="3"/>
        <v>0.52991304507304071</v>
      </c>
    </row>
    <row r="29" spans="1:11" ht="12" customHeight="1" x14ac:dyDescent="0.2">
      <c r="A29" s="78">
        <v>1991</v>
      </c>
      <c r="B29" s="79">
        <v>253.49299999999999</v>
      </c>
      <c r="C29" s="80">
        <v>74.599999999999994</v>
      </c>
      <c r="D29" s="80">
        <v>68.341701999999998</v>
      </c>
      <c r="E29" s="82">
        <v>130.72201999999999</v>
      </c>
      <c r="F29" s="82">
        <f t="shared" si="0"/>
        <v>273.66372200000001</v>
      </c>
      <c r="G29" s="83" t="s">
        <v>2</v>
      </c>
      <c r="H29" s="80">
        <v>126.17461999999999</v>
      </c>
      <c r="I29" s="80">
        <f t="shared" si="1"/>
        <v>147.489102</v>
      </c>
      <c r="J29" s="185">
        <f t="shared" si="2"/>
        <v>0.58182711948653421</v>
      </c>
      <c r="K29" s="186">
        <f t="shared" si="3"/>
        <v>0.4068721115290449</v>
      </c>
    </row>
    <row r="30" spans="1:11" ht="12" customHeight="1" x14ac:dyDescent="0.2">
      <c r="A30" s="78">
        <v>1992</v>
      </c>
      <c r="B30" s="79">
        <v>256.89400000000001</v>
      </c>
      <c r="C30" s="80">
        <v>83.2</v>
      </c>
      <c r="D30" s="80">
        <v>60.899531549999999</v>
      </c>
      <c r="E30" s="82">
        <v>126.17461999999999</v>
      </c>
      <c r="F30" s="82">
        <f t="shared" si="0"/>
        <v>270.27415155</v>
      </c>
      <c r="G30" s="83" t="s">
        <v>2</v>
      </c>
      <c r="H30" s="80">
        <v>101.72305</v>
      </c>
      <c r="I30" s="80">
        <f t="shared" si="1"/>
        <v>168.55110155</v>
      </c>
      <c r="J30" s="185">
        <f t="shared" si="2"/>
        <v>0.65611147613412535</v>
      </c>
      <c r="K30" s="186">
        <f t="shared" si="3"/>
        <v>0.45881921407980797</v>
      </c>
    </row>
    <row r="31" spans="1:11" ht="12" customHeight="1" x14ac:dyDescent="0.2">
      <c r="A31" s="78">
        <v>1993</v>
      </c>
      <c r="B31" s="79">
        <v>260.255</v>
      </c>
      <c r="C31" s="80">
        <v>87.32</v>
      </c>
      <c r="D31" s="80">
        <v>76.725950729999994</v>
      </c>
      <c r="E31" s="82">
        <v>101.72305</v>
      </c>
      <c r="F31" s="82">
        <f t="shared" si="0"/>
        <v>265.76900073000002</v>
      </c>
      <c r="G31" s="83" t="s">
        <v>2</v>
      </c>
      <c r="H31" s="80">
        <v>86.776690000000002</v>
      </c>
      <c r="I31" s="80">
        <f t="shared" si="1"/>
        <v>178.99231073000001</v>
      </c>
      <c r="J31" s="185">
        <f t="shared" si="2"/>
        <v>0.68775743301761738</v>
      </c>
      <c r="K31" s="186">
        <f t="shared" si="3"/>
        <v>0.4809492538584737</v>
      </c>
    </row>
    <row r="32" spans="1:11" ht="12" customHeight="1" x14ac:dyDescent="0.2">
      <c r="A32" s="78">
        <v>1994</v>
      </c>
      <c r="B32" s="79">
        <v>263.43599999999998</v>
      </c>
      <c r="C32" s="80">
        <v>84.58</v>
      </c>
      <c r="D32" s="80">
        <v>93.8</v>
      </c>
      <c r="E32" s="82">
        <v>86.776690000000002</v>
      </c>
      <c r="F32" s="82">
        <f t="shared" si="0"/>
        <v>265.15669000000003</v>
      </c>
      <c r="G32" s="83" t="s">
        <v>2</v>
      </c>
      <c r="H32" s="80">
        <v>110.45748999999999</v>
      </c>
      <c r="I32" s="80">
        <f t="shared" si="1"/>
        <v>154.69920000000002</v>
      </c>
      <c r="J32" s="185">
        <f t="shared" si="2"/>
        <v>0.58723636860565764</v>
      </c>
      <c r="K32" s="186">
        <f t="shared" si="3"/>
        <v>0.41065480322073961</v>
      </c>
    </row>
    <row r="33" spans="1:11" ht="12" customHeight="1" x14ac:dyDescent="0.2">
      <c r="A33" s="78">
        <v>1995</v>
      </c>
      <c r="B33" s="79">
        <v>266.55700000000002</v>
      </c>
      <c r="C33" s="80">
        <v>83.1</v>
      </c>
      <c r="D33" s="80">
        <v>61.134230299999999</v>
      </c>
      <c r="E33" s="82">
        <v>110.45748999999999</v>
      </c>
      <c r="F33" s="82">
        <f t="shared" si="0"/>
        <v>254.69172029999999</v>
      </c>
      <c r="G33" s="83" t="s">
        <v>2</v>
      </c>
      <c r="H33" s="80">
        <v>92.961439999999996</v>
      </c>
      <c r="I33" s="80">
        <f t="shared" si="1"/>
        <v>161.7302803</v>
      </c>
      <c r="J33" s="185">
        <f t="shared" si="2"/>
        <v>0.60673807215717457</v>
      </c>
      <c r="K33" s="186">
        <f t="shared" si="3"/>
        <v>0.42429235815187033</v>
      </c>
    </row>
    <row r="34" spans="1:11" ht="12" customHeight="1" x14ac:dyDescent="0.2">
      <c r="A34" s="42">
        <v>1996</v>
      </c>
      <c r="B34" s="69">
        <v>269.66699999999997</v>
      </c>
      <c r="C34" s="43">
        <v>55.28</v>
      </c>
      <c r="D34" s="43">
        <v>59.085858259999995</v>
      </c>
      <c r="E34" s="45">
        <v>92.961439999999996</v>
      </c>
      <c r="F34" s="45">
        <f t="shared" si="0"/>
        <v>207.32729825999999</v>
      </c>
      <c r="G34" s="46" t="s">
        <v>2</v>
      </c>
      <c r="H34" s="43">
        <v>78.103740000000002</v>
      </c>
      <c r="I34" s="43">
        <f t="shared" si="1"/>
        <v>129.22355826</v>
      </c>
      <c r="J34" s="183">
        <f t="shared" si="2"/>
        <v>0.47919678069619204</v>
      </c>
      <c r="K34" s="184">
        <f t="shared" si="3"/>
        <v>0.33510264384349098</v>
      </c>
    </row>
    <row r="35" spans="1:11" ht="12" customHeight="1" x14ac:dyDescent="0.2">
      <c r="A35" s="42">
        <v>1997</v>
      </c>
      <c r="B35" s="69">
        <v>272.91199999999998</v>
      </c>
      <c r="C35" s="43">
        <v>56.6</v>
      </c>
      <c r="D35" s="43">
        <v>67.763228389999995</v>
      </c>
      <c r="E35" s="45">
        <v>78.103740000000002</v>
      </c>
      <c r="F35" s="45">
        <f t="shared" si="0"/>
        <v>202.46696838999998</v>
      </c>
      <c r="G35" s="46" t="s">
        <v>2</v>
      </c>
      <c r="H35" s="43">
        <v>83.672159999999991</v>
      </c>
      <c r="I35" s="43">
        <f t="shared" si="1"/>
        <v>118.79480838999999</v>
      </c>
      <c r="J35" s="183">
        <f t="shared" si="2"/>
        <v>0.43528613029108282</v>
      </c>
      <c r="K35" s="184">
        <f t="shared" si="3"/>
        <v>0.30439589530844952</v>
      </c>
    </row>
    <row r="36" spans="1:11" ht="12" customHeight="1" x14ac:dyDescent="0.2">
      <c r="A36" s="42">
        <v>1998</v>
      </c>
      <c r="B36" s="69">
        <v>276.11500000000001</v>
      </c>
      <c r="C36" s="43">
        <v>142.9</v>
      </c>
      <c r="D36" s="43">
        <v>59.220815940000001</v>
      </c>
      <c r="E36" s="45">
        <v>83.672159999999991</v>
      </c>
      <c r="F36" s="45">
        <f t="shared" si="0"/>
        <v>285.79297594000002</v>
      </c>
      <c r="G36" s="46" t="s">
        <v>2</v>
      </c>
      <c r="H36" s="43">
        <v>71.926140000000004</v>
      </c>
      <c r="I36" s="43">
        <f t="shared" si="1"/>
        <v>213.86683594000002</v>
      </c>
      <c r="J36" s="183">
        <f t="shared" si="2"/>
        <v>0.77455710823388813</v>
      </c>
      <c r="K36" s="184">
        <f t="shared" si="3"/>
        <v>0.54164832743628544</v>
      </c>
    </row>
    <row r="37" spans="1:11" ht="12" customHeight="1" x14ac:dyDescent="0.2">
      <c r="A37" s="42">
        <v>1999</v>
      </c>
      <c r="B37" s="69">
        <v>279.29500000000002</v>
      </c>
      <c r="C37" s="43">
        <v>78.372</v>
      </c>
      <c r="D37" s="43">
        <v>72.845817329999988</v>
      </c>
      <c r="E37" s="45">
        <v>71.926140000000004</v>
      </c>
      <c r="F37" s="45">
        <f t="shared" si="0"/>
        <v>223.14395733000001</v>
      </c>
      <c r="G37" s="46" t="s">
        <v>2</v>
      </c>
      <c r="H37" s="43">
        <v>82.671159999999986</v>
      </c>
      <c r="I37" s="43">
        <f t="shared" si="1"/>
        <v>140.47279733000002</v>
      </c>
      <c r="J37" s="183">
        <f t="shared" si="2"/>
        <v>0.50295493055729612</v>
      </c>
      <c r="K37" s="184">
        <f t="shared" si="3"/>
        <v>0.35171673465545183</v>
      </c>
    </row>
    <row r="38" spans="1:11" ht="12" customHeight="1" x14ac:dyDescent="0.2">
      <c r="A38" s="42">
        <v>2000</v>
      </c>
      <c r="B38" s="69">
        <v>282.38499999999999</v>
      </c>
      <c r="C38" s="43">
        <v>76.960000000000008</v>
      </c>
      <c r="D38" s="43">
        <v>63.798025719999998</v>
      </c>
      <c r="E38" s="45">
        <v>82.671159999999986</v>
      </c>
      <c r="F38" s="45">
        <f t="shared" si="0"/>
        <v>223.42918571999999</v>
      </c>
      <c r="G38" s="46" t="s">
        <v>2</v>
      </c>
      <c r="H38" s="43">
        <v>64.312819999999988</v>
      </c>
      <c r="I38" s="43">
        <f t="shared" si="1"/>
        <v>159.11636572</v>
      </c>
      <c r="J38" s="183">
        <f t="shared" si="2"/>
        <v>0.56347315091099037</v>
      </c>
      <c r="K38" s="184">
        <f t="shared" si="3"/>
        <v>0.39403716846922404</v>
      </c>
    </row>
    <row r="39" spans="1:11" ht="12" customHeight="1" x14ac:dyDescent="0.2">
      <c r="A39" s="78">
        <v>2001</v>
      </c>
      <c r="B39" s="79">
        <v>285.30901899999998</v>
      </c>
      <c r="C39" s="80">
        <v>78.820000000000007</v>
      </c>
      <c r="D39" s="80">
        <v>52.138560759999997</v>
      </c>
      <c r="E39" s="82">
        <v>64.312819999999988</v>
      </c>
      <c r="F39" s="82">
        <f t="shared" si="0"/>
        <v>195.27138076</v>
      </c>
      <c r="G39" s="83" t="s">
        <v>2</v>
      </c>
      <c r="H39" s="80">
        <v>52.113489999999992</v>
      </c>
      <c r="I39" s="80">
        <f t="shared" si="1"/>
        <v>143.15789076000002</v>
      </c>
      <c r="J39" s="185">
        <f t="shared" si="2"/>
        <v>0.5017643370047129</v>
      </c>
      <c r="K39" s="186">
        <f t="shared" si="3"/>
        <v>0.35088415175154752</v>
      </c>
    </row>
    <row r="40" spans="1:11" ht="12" customHeight="1" x14ac:dyDescent="0.2">
      <c r="A40" s="78">
        <v>2002</v>
      </c>
      <c r="B40" s="79">
        <v>288.10481800000002</v>
      </c>
      <c r="C40" s="80">
        <v>37.82</v>
      </c>
      <c r="D40" s="80">
        <v>48.229467</v>
      </c>
      <c r="E40" s="82">
        <v>52.113489999999992</v>
      </c>
      <c r="F40" s="82">
        <f t="shared" si="0"/>
        <v>138.16295699999998</v>
      </c>
      <c r="G40" s="83" t="s">
        <v>2</v>
      </c>
      <c r="H40" s="80">
        <v>50.958049999999993</v>
      </c>
      <c r="I40" s="80">
        <f t="shared" si="1"/>
        <v>87.204906999999992</v>
      </c>
      <c r="J40" s="185">
        <f t="shared" si="2"/>
        <v>0.30268465347219559</v>
      </c>
      <c r="K40" s="186">
        <f t="shared" si="3"/>
        <v>0.21166758984069622</v>
      </c>
    </row>
    <row r="41" spans="1:11" ht="12" customHeight="1" x14ac:dyDescent="0.2">
      <c r="A41" s="78">
        <v>2003</v>
      </c>
      <c r="B41" s="79">
        <v>290.81963400000001</v>
      </c>
      <c r="C41" s="80">
        <v>33</v>
      </c>
      <c r="D41" s="80">
        <v>61.197087379999999</v>
      </c>
      <c r="E41" s="82">
        <v>50.958049999999993</v>
      </c>
      <c r="F41" s="82">
        <f t="shared" si="0"/>
        <v>145.15513737999999</v>
      </c>
      <c r="G41" s="83" t="s">
        <v>2</v>
      </c>
      <c r="H41" s="80">
        <v>40.248779999999996</v>
      </c>
      <c r="I41" s="80">
        <f t="shared" si="1"/>
        <v>104.90635737999999</v>
      </c>
      <c r="J41" s="185">
        <f t="shared" si="2"/>
        <v>0.36072652983257653</v>
      </c>
      <c r="K41" s="186">
        <f t="shared" si="3"/>
        <v>0.25225631456823533</v>
      </c>
    </row>
    <row r="42" spans="1:11" ht="12" customHeight="1" x14ac:dyDescent="0.2">
      <c r="A42" s="78">
        <v>2004</v>
      </c>
      <c r="B42" s="79">
        <v>293.46318500000001</v>
      </c>
      <c r="C42" s="80">
        <v>32.840000000000003</v>
      </c>
      <c r="D42" s="80">
        <v>92.210230969999998</v>
      </c>
      <c r="E42" s="82">
        <v>40.248779999999996</v>
      </c>
      <c r="F42" s="82">
        <f t="shared" si="0"/>
        <v>165.29901096999998</v>
      </c>
      <c r="G42" s="83" t="s">
        <v>2</v>
      </c>
      <c r="H42" s="80">
        <v>53.085889999999992</v>
      </c>
      <c r="I42" s="80">
        <f t="shared" si="1"/>
        <v>112.21312096999999</v>
      </c>
      <c r="J42" s="185">
        <f t="shared" si="2"/>
        <v>0.38237546208734835</v>
      </c>
      <c r="K42" s="186">
        <f t="shared" si="3"/>
        <v>0.26739542803311073</v>
      </c>
    </row>
    <row r="43" spans="1:11" ht="12" customHeight="1" x14ac:dyDescent="0.2">
      <c r="A43" s="78">
        <v>2005</v>
      </c>
      <c r="B43" s="79">
        <v>296.186216</v>
      </c>
      <c r="C43" s="80">
        <v>34.625999999999998</v>
      </c>
      <c r="D43" s="80">
        <v>83.064583029999994</v>
      </c>
      <c r="E43" s="82">
        <v>53.085889999999992</v>
      </c>
      <c r="F43" s="82">
        <f t="shared" si="0"/>
        <v>170.77647302999998</v>
      </c>
      <c r="G43" s="83" t="s">
        <v>2</v>
      </c>
      <c r="H43" s="80">
        <v>62.685479999999998</v>
      </c>
      <c r="I43" s="80">
        <f t="shared" si="1"/>
        <v>108.09099302999998</v>
      </c>
      <c r="J43" s="185">
        <f t="shared" si="2"/>
        <v>0.36494268534765295</v>
      </c>
      <c r="K43" s="186">
        <f t="shared" si="3"/>
        <v>0.25520467506828881</v>
      </c>
    </row>
    <row r="44" spans="1:11" ht="12" customHeight="1" x14ac:dyDescent="0.2">
      <c r="A44" s="42">
        <v>2006</v>
      </c>
      <c r="B44" s="69">
        <v>298.99582500000002</v>
      </c>
      <c r="C44" s="43">
        <v>28.7</v>
      </c>
      <c r="D44" s="43">
        <v>70.172618229999998</v>
      </c>
      <c r="E44" s="45">
        <v>62.685479999999998</v>
      </c>
      <c r="F44" s="45">
        <f t="shared" si="0"/>
        <v>161.55809822999998</v>
      </c>
      <c r="G44" s="46" t="s">
        <v>2</v>
      </c>
      <c r="H44" s="43">
        <v>54.620279999999994</v>
      </c>
      <c r="I44" s="43">
        <f t="shared" si="1"/>
        <v>106.93781822999999</v>
      </c>
      <c r="J44" s="183">
        <f t="shared" si="2"/>
        <v>0.35765656002052865</v>
      </c>
      <c r="K44" s="184">
        <f t="shared" si="3"/>
        <v>0.25010948253183823</v>
      </c>
    </row>
    <row r="45" spans="1:11" ht="12" customHeight="1" x14ac:dyDescent="0.2">
      <c r="A45" s="42">
        <v>2007</v>
      </c>
      <c r="B45" s="69">
        <v>302.003917</v>
      </c>
      <c r="C45" s="43">
        <v>21.2</v>
      </c>
      <c r="D45" s="43">
        <v>86.783891479999994</v>
      </c>
      <c r="E45" s="45">
        <v>54.620279999999994</v>
      </c>
      <c r="F45" s="45">
        <f t="shared" si="0"/>
        <v>162.60417147999999</v>
      </c>
      <c r="G45" s="46" t="s">
        <v>2</v>
      </c>
      <c r="H45" s="43">
        <v>52.47242</v>
      </c>
      <c r="I45" s="43">
        <f t="shared" si="1"/>
        <v>110.13175147999999</v>
      </c>
      <c r="J45" s="183">
        <f t="shared" si="2"/>
        <v>0.36466994393321062</v>
      </c>
      <c r="K45" s="184">
        <f t="shared" ref="K45:K50" si="4">J45/1.43</f>
        <v>0.25501394680644102</v>
      </c>
    </row>
    <row r="46" spans="1:11" ht="12" customHeight="1" x14ac:dyDescent="0.2">
      <c r="A46" s="42">
        <v>2008</v>
      </c>
      <c r="B46" s="69">
        <v>304.79776099999998</v>
      </c>
      <c r="C46" s="43">
        <v>16.32</v>
      </c>
      <c r="D46" s="43">
        <v>105.4976387297118</v>
      </c>
      <c r="E46" s="45">
        <v>52.47242</v>
      </c>
      <c r="F46" s="45">
        <f t="shared" si="0"/>
        <v>174.2900587297118</v>
      </c>
      <c r="G46" s="46" t="s">
        <v>2</v>
      </c>
      <c r="H46" s="43">
        <v>39.416519999999998</v>
      </c>
      <c r="I46" s="43">
        <f t="shared" si="1"/>
        <v>134.87353872971181</v>
      </c>
      <c r="J46" s="183">
        <f t="shared" si="2"/>
        <v>0.44250173717552937</v>
      </c>
      <c r="K46" s="184">
        <f t="shared" si="4"/>
        <v>0.30944177424862196</v>
      </c>
    </row>
    <row r="47" spans="1:11" ht="12" customHeight="1" x14ac:dyDescent="0.2">
      <c r="A47" s="42">
        <v>2009</v>
      </c>
      <c r="B47" s="69">
        <v>307.43940600000002</v>
      </c>
      <c r="C47" s="43">
        <v>16.7</v>
      </c>
      <c r="D47" s="43">
        <v>92.071191637367789</v>
      </c>
      <c r="E47" s="45">
        <v>39.416519999999998</v>
      </c>
      <c r="F47" s="45">
        <f t="shared" si="0"/>
        <v>148.18771163736778</v>
      </c>
      <c r="G47" s="46" t="s">
        <v>2</v>
      </c>
      <c r="H47" s="43">
        <v>38.70438</v>
      </c>
      <c r="I47" s="43">
        <f t="shared" si="1"/>
        <v>109.48333163736778</v>
      </c>
      <c r="J47" s="183">
        <f t="shared" si="2"/>
        <v>0.3561135283918932</v>
      </c>
      <c r="K47" s="184">
        <f t="shared" si="4"/>
        <v>0.24903043943489037</v>
      </c>
    </row>
    <row r="48" spans="1:11" ht="12" customHeight="1" x14ac:dyDescent="0.2">
      <c r="A48" s="42">
        <v>2010</v>
      </c>
      <c r="B48" s="69">
        <v>309.74127900000002</v>
      </c>
      <c r="C48" s="43">
        <v>11.51</v>
      </c>
      <c r="D48" s="43">
        <v>98.174874460462789</v>
      </c>
      <c r="E48" s="45">
        <v>38.70438</v>
      </c>
      <c r="F48" s="45">
        <f t="shared" si="0"/>
        <v>148.38925446046278</v>
      </c>
      <c r="G48" s="46" t="s">
        <v>2</v>
      </c>
      <c r="H48" s="43">
        <v>33.639319999999998</v>
      </c>
      <c r="I48" s="43">
        <f t="shared" si="1"/>
        <v>114.74993446046278</v>
      </c>
      <c r="J48" s="183">
        <f t="shared" si="2"/>
        <v>0.37047026741457595</v>
      </c>
      <c r="K48" s="184">
        <f t="shared" si="4"/>
        <v>0.25907011707313005</v>
      </c>
    </row>
    <row r="49" spans="1:12" ht="12" customHeight="1" x14ac:dyDescent="0.2">
      <c r="A49" s="78">
        <v>2011</v>
      </c>
      <c r="B49" s="79">
        <v>311.97391399999998</v>
      </c>
      <c r="C49" s="80">
        <v>25</v>
      </c>
      <c r="D49" s="80">
        <v>112.99867029176438</v>
      </c>
      <c r="E49" s="82">
        <v>33.639319999999998</v>
      </c>
      <c r="F49" s="82">
        <f t="shared" si="0"/>
        <v>171.63799029176437</v>
      </c>
      <c r="G49" s="83" t="s">
        <v>2</v>
      </c>
      <c r="H49" s="80">
        <v>33.509189999999997</v>
      </c>
      <c r="I49" s="80">
        <f t="shared" si="1"/>
        <v>138.12880029176438</v>
      </c>
      <c r="J49" s="185">
        <f t="shared" si="2"/>
        <v>0.44275753225881698</v>
      </c>
      <c r="K49" s="186">
        <f t="shared" si="4"/>
        <v>0.30962065192924265</v>
      </c>
    </row>
    <row r="50" spans="1:12" ht="12" customHeight="1" x14ac:dyDescent="0.2">
      <c r="A50" s="78">
        <v>2012</v>
      </c>
      <c r="B50" s="79">
        <v>314.16755799999999</v>
      </c>
      <c r="C50" s="80">
        <v>14.8</v>
      </c>
      <c r="D50" s="80">
        <v>95.395725638298799</v>
      </c>
      <c r="E50" s="82">
        <v>33.509189999999997</v>
      </c>
      <c r="F50" s="82">
        <f t="shared" si="0"/>
        <v>143.70491563829879</v>
      </c>
      <c r="G50" s="83" t="s">
        <v>2</v>
      </c>
      <c r="H50" s="80">
        <v>37.536069999999995</v>
      </c>
      <c r="I50" s="80">
        <f t="shared" si="1"/>
        <v>106.16884563829879</v>
      </c>
      <c r="J50" s="185">
        <f t="shared" si="2"/>
        <v>0.33793701142846455</v>
      </c>
      <c r="K50" s="186">
        <f t="shared" si="4"/>
        <v>0.23631958841151368</v>
      </c>
      <c r="L50"/>
    </row>
    <row r="51" spans="1:12" ht="12" customHeight="1" x14ac:dyDescent="0.2">
      <c r="A51" s="86">
        <v>2013</v>
      </c>
      <c r="B51" s="87">
        <v>316.29476599999998</v>
      </c>
      <c r="C51" s="88">
        <v>9</v>
      </c>
      <c r="D51" s="88">
        <v>92.908066822370785</v>
      </c>
      <c r="E51" s="89">
        <v>37.536069999999995</v>
      </c>
      <c r="F51" s="89">
        <f t="shared" si="0"/>
        <v>139.44413682237078</v>
      </c>
      <c r="G51" s="117" t="s">
        <v>2</v>
      </c>
      <c r="H51" s="88">
        <v>33.088769999999997</v>
      </c>
      <c r="I51" s="88">
        <f t="shared" ref="I51:I58" si="5">F51-SUM(G51,H51)</f>
        <v>106.35536682237078</v>
      </c>
      <c r="J51" s="187">
        <f t="shared" ref="J51:J58" si="6">IF(I51=0,0,IF(B51=0,0,I51/B51))</f>
        <v>0.336253957557966</v>
      </c>
      <c r="K51" s="188">
        <f t="shared" ref="K51:K58" si="7">J51/1.43</f>
        <v>0.2351426276629133</v>
      </c>
      <c r="L51"/>
    </row>
    <row r="52" spans="1:12" ht="12" customHeight="1" x14ac:dyDescent="0.2">
      <c r="A52" s="86">
        <v>2014</v>
      </c>
      <c r="B52" s="87">
        <v>318.576955</v>
      </c>
      <c r="C52" s="88">
        <v>7.5</v>
      </c>
      <c r="D52" s="88">
        <v>102.49465799155438</v>
      </c>
      <c r="E52" s="89">
        <v>33.088769999999997</v>
      </c>
      <c r="F52" s="89">
        <f t="shared" ref="F52:F58" si="8">SUM(C52,D52,E52)</f>
        <v>143.08342799155437</v>
      </c>
      <c r="G52" s="117" t="s">
        <v>2</v>
      </c>
      <c r="H52" s="88">
        <v>29.410809999999998</v>
      </c>
      <c r="I52" s="88">
        <f t="shared" si="5"/>
        <v>113.67261799155438</v>
      </c>
      <c r="J52" s="187">
        <f t="shared" si="6"/>
        <v>0.35681368726609358</v>
      </c>
      <c r="K52" s="188">
        <f t="shared" si="7"/>
        <v>0.24952006102524027</v>
      </c>
      <c r="L52"/>
    </row>
    <row r="53" spans="1:12" ht="12" customHeight="1" x14ac:dyDescent="0.2">
      <c r="A53" s="86">
        <v>2015</v>
      </c>
      <c r="B53" s="87">
        <v>320.87070299999999</v>
      </c>
      <c r="C53" s="88">
        <v>4.8</v>
      </c>
      <c r="D53" s="88">
        <v>113.40941394785857</v>
      </c>
      <c r="E53" s="89">
        <v>29.410809999999998</v>
      </c>
      <c r="F53" s="89">
        <f t="shared" si="8"/>
        <v>147.62022394785856</v>
      </c>
      <c r="G53" s="117" t="s">
        <v>2</v>
      </c>
      <c r="H53" s="88">
        <v>37.820639999999997</v>
      </c>
      <c r="I53" s="88">
        <f t="shared" si="5"/>
        <v>109.79958394785857</v>
      </c>
      <c r="J53" s="187">
        <f t="shared" si="6"/>
        <v>0.3421926119190089</v>
      </c>
      <c r="K53" s="188">
        <f t="shared" si="7"/>
        <v>0.23929553281049576</v>
      </c>
      <c r="L53"/>
    </row>
    <row r="54" spans="1:12" ht="12" customHeight="1" x14ac:dyDescent="0.2">
      <c r="A54" s="119">
        <v>2016</v>
      </c>
      <c r="B54" s="120">
        <v>323.16101099999997</v>
      </c>
      <c r="C54" s="121">
        <v>17.794</v>
      </c>
      <c r="D54" s="121">
        <v>115.27108489207738</v>
      </c>
      <c r="E54" s="122">
        <v>37.820639999999997</v>
      </c>
      <c r="F54" s="122">
        <f t="shared" si="8"/>
        <v>170.88572489207738</v>
      </c>
      <c r="G54" s="126" t="s">
        <v>2</v>
      </c>
      <c r="H54" s="121">
        <v>39.074749999999995</v>
      </c>
      <c r="I54" s="121">
        <f t="shared" si="5"/>
        <v>131.81097489207738</v>
      </c>
      <c r="J54" s="189">
        <f t="shared" si="6"/>
        <v>0.40788019100508816</v>
      </c>
      <c r="K54" s="190">
        <f t="shared" si="7"/>
        <v>0.28523090280076097</v>
      </c>
      <c r="L54"/>
    </row>
    <row r="55" spans="1:12" ht="12" customHeight="1" x14ac:dyDescent="0.2">
      <c r="A55" s="145">
        <v>2017</v>
      </c>
      <c r="B55" s="146">
        <v>325.20603</v>
      </c>
      <c r="C55" s="147">
        <v>36.090000000000003</v>
      </c>
      <c r="D55" s="147">
        <v>145.47687077406337</v>
      </c>
      <c r="E55" s="148">
        <v>39.074749999999995</v>
      </c>
      <c r="F55" s="148">
        <f t="shared" si="8"/>
        <v>220.64162077406337</v>
      </c>
      <c r="G55" s="149" t="s">
        <v>2</v>
      </c>
      <c r="H55" s="147">
        <v>48.738689999999998</v>
      </c>
      <c r="I55" s="147">
        <f t="shared" si="5"/>
        <v>171.90293077406338</v>
      </c>
      <c r="J55" s="191">
        <f t="shared" si="6"/>
        <v>0.52859699672254967</v>
      </c>
      <c r="K55" s="192">
        <f t="shared" si="7"/>
        <v>0.36964824945632846</v>
      </c>
      <c r="L55"/>
    </row>
    <row r="56" spans="1:12" ht="12" customHeight="1" x14ac:dyDescent="0.2">
      <c r="A56" s="145">
        <v>2018</v>
      </c>
      <c r="B56" s="146">
        <v>326.92397599999998</v>
      </c>
      <c r="C56" s="147">
        <v>18.352</v>
      </c>
      <c r="D56" s="147">
        <v>165.92432413700001</v>
      </c>
      <c r="E56" s="148">
        <v>48.738689999999998</v>
      </c>
      <c r="F56" s="148">
        <f t="shared" si="8"/>
        <v>233.01501413700001</v>
      </c>
      <c r="G56" s="149" t="s">
        <v>2</v>
      </c>
      <c r="H56" s="147">
        <v>42.556800000000003</v>
      </c>
      <c r="I56" s="147">
        <f t="shared" si="5"/>
        <v>190.458214137</v>
      </c>
      <c r="J56" s="191">
        <f t="shared" si="6"/>
        <v>0.58257646461818391</v>
      </c>
      <c r="K56" s="192">
        <f t="shared" si="7"/>
        <v>0.4073961291036251</v>
      </c>
      <c r="L56"/>
    </row>
    <row r="57" spans="1:12" ht="12" customHeight="1" x14ac:dyDescent="0.2">
      <c r="A57" s="119">
        <v>2019</v>
      </c>
      <c r="B57" s="120">
        <v>328.475998</v>
      </c>
      <c r="C57" s="174">
        <v>0.89200000000000002</v>
      </c>
      <c r="D57" s="121">
        <v>214.16413890299998</v>
      </c>
      <c r="E57" s="175">
        <v>42.556800000000003</v>
      </c>
      <c r="F57" s="122">
        <f t="shared" si="8"/>
        <v>257.61293890299999</v>
      </c>
      <c r="G57" s="126" t="s">
        <v>2</v>
      </c>
      <c r="H57" s="174">
        <v>34.866260000000004</v>
      </c>
      <c r="I57" s="121">
        <f t="shared" si="5"/>
        <v>222.74667890299997</v>
      </c>
      <c r="J57" s="189">
        <f t="shared" si="6"/>
        <v>0.67812162915781737</v>
      </c>
      <c r="K57" s="190">
        <f t="shared" si="7"/>
        <v>0.47421092948099119</v>
      </c>
      <c r="L57"/>
    </row>
    <row r="58" spans="1:12" ht="12" customHeight="1" thickBot="1" x14ac:dyDescent="0.25">
      <c r="A58" s="159">
        <v>2020</v>
      </c>
      <c r="B58" s="160">
        <v>330.11398000000003</v>
      </c>
      <c r="C58" s="171">
        <v>5.4480000000000004</v>
      </c>
      <c r="D58" s="125">
        <v>239.260640333</v>
      </c>
      <c r="E58" s="172">
        <v>34.866260000000004</v>
      </c>
      <c r="F58" s="173">
        <f t="shared" si="8"/>
        <v>279.57490033300002</v>
      </c>
      <c r="G58" s="176" t="s">
        <v>2</v>
      </c>
      <c r="H58" s="171">
        <v>43.483439999999995</v>
      </c>
      <c r="I58" s="177">
        <f t="shared" si="5"/>
        <v>236.09146033300001</v>
      </c>
      <c r="J58" s="193">
        <f t="shared" si="6"/>
        <v>0.71518164826887975</v>
      </c>
      <c r="K58" s="194">
        <f t="shared" si="7"/>
        <v>0.50012702676145437</v>
      </c>
      <c r="L58"/>
    </row>
    <row r="59" spans="1:12" ht="12" customHeight="1" thickTop="1" x14ac:dyDescent="0.2">
      <c r="A59" s="260" t="s">
        <v>4</v>
      </c>
      <c r="B59" s="261"/>
      <c r="C59" s="261"/>
      <c r="D59" s="261"/>
      <c r="E59" s="261"/>
      <c r="F59" s="261"/>
      <c r="G59" s="261"/>
      <c r="H59" s="261"/>
      <c r="I59" s="261"/>
      <c r="J59" s="261"/>
      <c r="K59" s="262"/>
    </row>
    <row r="60" spans="1:12" ht="12" customHeight="1" x14ac:dyDescent="0.2">
      <c r="A60" s="308"/>
      <c r="B60" s="309"/>
      <c r="C60" s="309"/>
      <c r="D60" s="309"/>
      <c r="E60" s="309"/>
      <c r="F60" s="309"/>
      <c r="G60" s="309"/>
      <c r="H60" s="309"/>
      <c r="I60" s="309"/>
      <c r="J60" s="309"/>
      <c r="K60" s="310"/>
    </row>
    <row r="61" spans="1:12" ht="12" customHeight="1" x14ac:dyDescent="0.2">
      <c r="A61" s="299" t="s">
        <v>82</v>
      </c>
      <c r="B61" s="300"/>
      <c r="C61" s="300"/>
      <c r="D61" s="300"/>
      <c r="E61" s="300"/>
      <c r="F61" s="300"/>
      <c r="G61" s="300"/>
      <c r="H61" s="300"/>
      <c r="I61" s="300"/>
      <c r="J61" s="300"/>
      <c r="K61" s="301"/>
    </row>
    <row r="62" spans="1:12" ht="12" customHeight="1" x14ac:dyDescent="0.2">
      <c r="A62" s="299"/>
      <c r="B62" s="300"/>
      <c r="C62" s="300"/>
      <c r="D62" s="300"/>
      <c r="E62" s="300"/>
      <c r="F62" s="300"/>
      <c r="G62" s="300"/>
      <c r="H62" s="300"/>
      <c r="I62" s="300"/>
      <c r="J62" s="300"/>
      <c r="K62" s="301"/>
    </row>
    <row r="63" spans="1:12" ht="12" customHeight="1" x14ac:dyDescent="0.2">
      <c r="A63" s="308"/>
      <c r="B63" s="309"/>
      <c r="C63" s="309"/>
      <c r="D63" s="309"/>
      <c r="E63" s="309"/>
      <c r="F63" s="309"/>
      <c r="G63" s="309"/>
      <c r="H63" s="309"/>
      <c r="I63" s="309"/>
      <c r="J63" s="309"/>
      <c r="K63" s="310"/>
    </row>
    <row r="64" spans="1:12" ht="12" customHeight="1" x14ac:dyDescent="0.2">
      <c r="A64" s="290" t="s">
        <v>63</v>
      </c>
      <c r="B64" s="291"/>
      <c r="C64" s="291"/>
      <c r="D64" s="291"/>
      <c r="E64" s="291"/>
      <c r="F64" s="291"/>
      <c r="G64" s="291"/>
      <c r="H64" s="291"/>
      <c r="I64" s="291"/>
      <c r="J64" s="291"/>
      <c r="K64" s="292"/>
    </row>
  </sheetData>
  <mergeCells count="23">
    <mergeCell ref="A63:K63"/>
    <mergeCell ref="E3:E6"/>
    <mergeCell ref="G3:G6"/>
    <mergeCell ref="J3:K3"/>
    <mergeCell ref="A64:K64"/>
    <mergeCell ref="D3:D6"/>
    <mergeCell ref="H3:H6"/>
    <mergeCell ref="A59:K59"/>
    <mergeCell ref="A60:K60"/>
    <mergeCell ref="A61:K62"/>
    <mergeCell ref="J7:K7"/>
    <mergeCell ref="J1:K1"/>
    <mergeCell ref="A1:I1"/>
    <mergeCell ref="C7:I7"/>
    <mergeCell ref="F3:F6"/>
    <mergeCell ref="I3:I6"/>
    <mergeCell ref="A2:A6"/>
    <mergeCell ref="B2:B6"/>
    <mergeCell ref="K4:K6"/>
    <mergeCell ref="C3:C6"/>
    <mergeCell ref="G2:H2"/>
    <mergeCell ref="I2:K2"/>
    <mergeCell ref="J4:J6"/>
  </mergeCells>
  <phoneticPr fontId="5" type="noConversion"/>
  <printOptions horizontalCentered="1" verticalCentered="1"/>
  <pageMargins left="0.75" right="0.75" top="0.75" bottom="0.75" header="0.5" footer="0.5"/>
  <pageSetup scale="82"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pageSetUpPr autoPageBreaks="0" fitToPage="1"/>
  </sheetPr>
  <dimension ref="A1:L66"/>
  <sheetViews>
    <sheetView showOutlineSymbols="0" zoomScaleNormal="100" workbookViewId="0">
      <pane ySplit="7" topLeftCell="A8" activePane="bottomLeft" state="frozen"/>
      <selection pane="bottomLeft" sqref="A1:I1"/>
    </sheetView>
  </sheetViews>
  <sheetFormatPr defaultColWidth="12.7109375" defaultRowHeight="12" customHeight="1" x14ac:dyDescent="0.2"/>
  <cols>
    <col min="1" max="1" width="12.7109375" style="24" customWidth="1"/>
    <col min="2" max="2" width="12.7109375" style="16" customWidth="1"/>
    <col min="3" max="9" width="12.7109375" style="17" customWidth="1"/>
    <col min="10" max="10" width="12.7109375" style="21" customWidth="1"/>
    <col min="11" max="12" width="12.7109375" style="18" customWidth="1"/>
    <col min="13" max="16384" width="12.7109375" style="19"/>
  </cols>
  <sheetData>
    <row r="1" spans="1:12" s="57" customFormat="1" ht="12" customHeight="1" thickBot="1" x14ac:dyDescent="0.25">
      <c r="A1" s="266" t="s">
        <v>51</v>
      </c>
      <c r="B1" s="266"/>
      <c r="C1" s="266"/>
      <c r="D1" s="266"/>
      <c r="E1" s="266"/>
      <c r="F1" s="266"/>
      <c r="G1" s="266"/>
      <c r="H1" s="266"/>
      <c r="I1" s="266"/>
      <c r="J1" s="227" t="s">
        <v>32</v>
      </c>
      <c r="K1" s="227"/>
      <c r="L1" s="56"/>
    </row>
    <row r="2" spans="1:12" ht="12" customHeight="1" thickTop="1" x14ac:dyDescent="0.2">
      <c r="A2" s="282" t="s">
        <v>0</v>
      </c>
      <c r="B2" s="274" t="s">
        <v>18</v>
      </c>
      <c r="C2" s="38" t="s">
        <v>1</v>
      </c>
      <c r="D2" s="39"/>
      <c r="E2" s="39"/>
      <c r="F2" s="39"/>
      <c r="G2" s="272" t="s">
        <v>44</v>
      </c>
      <c r="H2" s="273"/>
      <c r="I2" s="272" t="s">
        <v>43</v>
      </c>
      <c r="J2" s="273"/>
      <c r="K2" s="273"/>
    </row>
    <row r="3" spans="1:12" ht="12" customHeight="1" x14ac:dyDescent="0.2">
      <c r="A3" s="283"/>
      <c r="B3" s="275"/>
      <c r="C3" s="279" t="s">
        <v>19</v>
      </c>
      <c r="D3" s="279" t="s">
        <v>20</v>
      </c>
      <c r="E3" s="279" t="s">
        <v>29</v>
      </c>
      <c r="F3" s="279" t="s">
        <v>22</v>
      </c>
      <c r="G3" s="279" t="s">
        <v>23</v>
      </c>
      <c r="H3" s="279" t="s">
        <v>59</v>
      </c>
      <c r="I3" s="293" t="s">
        <v>37</v>
      </c>
      <c r="J3" s="288" t="s">
        <v>17</v>
      </c>
      <c r="K3" s="289"/>
      <c r="L3" s="20"/>
    </row>
    <row r="4" spans="1:12" ht="12" customHeight="1" x14ac:dyDescent="0.2">
      <c r="A4" s="283"/>
      <c r="B4" s="275"/>
      <c r="C4" s="280"/>
      <c r="D4" s="280"/>
      <c r="E4" s="280"/>
      <c r="F4" s="280"/>
      <c r="G4" s="280"/>
      <c r="H4" s="280"/>
      <c r="I4" s="294"/>
      <c r="J4" s="314" t="s">
        <v>3</v>
      </c>
      <c r="K4" s="311" t="s">
        <v>16</v>
      </c>
    </row>
    <row r="5" spans="1:12" ht="12" customHeight="1" x14ac:dyDescent="0.2">
      <c r="A5" s="283"/>
      <c r="B5" s="275"/>
      <c r="C5" s="280"/>
      <c r="D5" s="280"/>
      <c r="E5" s="280"/>
      <c r="F5" s="280"/>
      <c r="G5" s="280"/>
      <c r="H5" s="280"/>
      <c r="I5" s="294"/>
      <c r="J5" s="277"/>
      <c r="K5" s="312"/>
    </row>
    <row r="6" spans="1:12" ht="12" customHeight="1" x14ac:dyDescent="0.2">
      <c r="A6" s="284"/>
      <c r="B6" s="276"/>
      <c r="C6" s="281"/>
      <c r="D6" s="281"/>
      <c r="E6" s="281"/>
      <c r="F6" s="281"/>
      <c r="G6" s="281"/>
      <c r="H6" s="281"/>
      <c r="I6" s="295"/>
      <c r="J6" s="278"/>
      <c r="K6" s="313"/>
    </row>
    <row r="7" spans="1:12" ht="12" customHeight="1" x14ac:dyDescent="0.2">
      <c r="A7" s="73"/>
      <c r="B7" s="76" t="s">
        <v>33</v>
      </c>
      <c r="C7" s="267" t="s">
        <v>35</v>
      </c>
      <c r="D7" s="268"/>
      <c r="E7" s="268"/>
      <c r="F7" s="268"/>
      <c r="G7" s="268"/>
      <c r="H7" s="268"/>
      <c r="I7" s="268"/>
      <c r="J7" s="269" t="s">
        <v>36</v>
      </c>
      <c r="K7" s="269"/>
      <c r="L7" s="72"/>
    </row>
    <row r="8" spans="1:12" ht="12" customHeight="1" x14ac:dyDescent="0.2">
      <c r="A8" s="42">
        <v>1970</v>
      </c>
      <c r="B8" s="69">
        <v>205.05199999999999</v>
      </c>
      <c r="C8" s="43">
        <v>963</v>
      </c>
      <c r="D8" s="46" t="s">
        <v>2</v>
      </c>
      <c r="E8" s="45">
        <v>1006.8819999999999</v>
      </c>
      <c r="F8" s="45">
        <f t="shared" ref="F8:F57" si="0">SUM(C8,D8,E8)</f>
        <v>1969.8820000000001</v>
      </c>
      <c r="G8" s="46">
        <v>5.4945000000000004</v>
      </c>
      <c r="H8" s="44">
        <v>785.37114640000004</v>
      </c>
      <c r="I8" s="43">
        <f t="shared" ref="I8:I50" si="1">F8-SUM(G8,H8)</f>
        <v>1179.0163536</v>
      </c>
      <c r="J8" s="183">
        <f t="shared" ref="J8:J50" si="2">IF(I8=0,0,IF(B8=0,0,I8/B8))</f>
        <v>5.7498407896533568</v>
      </c>
      <c r="K8" s="184">
        <f>J8/3.7</f>
        <v>1.5540110242306369</v>
      </c>
    </row>
    <row r="9" spans="1:12" ht="12" customHeight="1" x14ac:dyDescent="0.2">
      <c r="A9" s="78">
        <v>1971</v>
      </c>
      <c r="B9" s="79">
        <v>207.661</v>
      </c>
      <c r="C9" s="80">
        <v>1026.2</v>
      </c>
      <c r="D9" s="83" t="s">
        <v>2</v>
      </c>
      <c r="E9" s="82">
        <v>785.37114640000004</v>
      </c>
      <c r="F9" s="82">
        <f t="shared" si="0"/>
        <v>1811.5711464000001</v>
      </c>
      <c r="G9" s="83">
        <v>4.0330000000000004</v>
      </c>
      <c r="H9" s="81">
        <v>672.48980000000006</v>
      </c>
      <c r="I9" s="80">
        <f t="shared" si="1"/>
        <v>1135.0483463999999</v>
      </c>
      <c r="J9" s="185">
        <f t="shared" si="2"/>
        <v>5.4658715232999935</v>
      </c>
      <c r="K9" s="186">
        <f t="shared" ref="K9:K44" si="3">J9/3.7</f>
        <v>1.477262573864863</v>
      </c>
    </row>
    <row r="10" spans="1:12" ht="12" customHeight="1" x14ac:dyDescent="0.2">
      <c r="A10" s="78">
        <v>1972</v>
      </c>
      <c r="B10" s="79">
        <v>209.89599999999999</v>
      </c>
      <c r="C10" s="80">
        <v>1215.5</v>
      </c>
      <c r="D10" s="83" t="s">
        <v>2</v>
      </c>
      <c r="E10" s="82">
        <v>672.48980000000006</v>
      </c>
      <c r="F10" s="82">
        <f t="shared" si="0"/>
        <v>1887.9898000000001</v>
      </c>
      <c r="G10" s="83">
        <v>6.5045999999999999</v>
      </c>
      <c r="H10" s="81">
        <v>763.21749999999997</v>
      </c>
      <c r="I10" s="80">
        <f t="shared" si="1"/>
        <v>1118.2677000000001</v>
      </c>
      <c r="J10" s="185">
        <f t="shared" si="2"/>
        <v>5.3277227769943218</v>
      </c>
      <c r="K10" s="186">
        <f t="shared" si="3"/>
        <v>1.4399250748633301</v>
      </c>
    </row>
    <row r="11" spans="1:12" ht="12" customHeight="1" x14ac:dyDescent="0.2">
      <c r="A11" s="78">
        <v>1973</v>
      </c>
      <c r="B11" s="79">
        <v>211.90899999999999</v>
      </c>
      <c r="C11" s="80">
        <v>1384.3</v>
      </c>
      <c r="D11" s="83" t="s">
        <v>2</v>
      </c>
      <c r="E11" s="82">
        <v>763.21749999999997</v>
      </c>
      <c r="F11" s="82">
        <f t="shared" si="0"/>
        <v>2147.5174999999999</v>
      </c>
      <c r="G11" s="83">
        <v>11.026</v>
      </c>
      <c r="H11" s="81">
        <v>881.28289419999999</v>
      </c>
      <c r="I11" s="80">
        <f t="shared" si="1"/>
        <v>1255.2086058</v>
      </c>
      <c r="J11" s="185">
        <f t="shared" si="2"/>
        <v>5.9233378752200236</v>
      </c>
      <c r="K11" s="186">
        <f t="shared" si="3"/>
        <v>1.6009021284378442</v>
      </c>
    </row>
    <row r="12" spans="1:12" ht="12" customHeight="1" x14ac:dyDescent="0.2">
      <c r="A12" s="78">
        <v>1974</v>
      </c>
      <c r="B12" s="79">
        <v>213.85400000000001</v>
      </c>
      <c r="C12" s="80">
        <v>1366.2</v>
      </c>
      <c r="D12" s="83" t="s">
        <v>2</v>
      </c>
      <c r="E12" s="82">
        <v>881.28289419999999</v>
      </c>
      <c r="F12" s="82">
        <f t="shared" si="0"/>
        <v>2247.4828941999999</v>
      </c>
      <c r="G12" s="83">
        <v>16.668500000000002</v>
      </c>
      <c r="H12" s="81">
        <v>992.42161311999996</v>
      </c>
      <c r="I12" s="80">
        <f t="shared" si="1"/>
        <v>1238.3927810800001</v>
      </c>
      <c r="J12" s="185">
        <f t="shared" si="2"/>
        <v>5.7908329097421607</v>
      </c>
      <c r="K12" s="186">
        <f t="shared" si="3"/>
        <v>1.5650899756059893</v>
      </c>
    </row>
    <row r="13" spans="1:12" ht="12" customHeight="1" x14ac:dyDescent="0.2">
      <c r="A13" s="78">
        <v>1975</v>
      </c>
      <c r="B13" s="79">
        <v>215.97300000000001</v>
      </c>
      <c r="C13" s="80">
        <v>1497.6</v>
      </c>
      <c r="D13" s="83" t="s">
        <v>2</v>
      </c>
      <c r="E13" s="82">
        <v>992.42161311999996</v>
      </c>
      <c r="F13" s="82">
        <f t="shared" si="0"/>
        <v>2490.02161312</v>
      </c>
      <c r="G13" s="83">
        <v>18.381600000000002</v>
      </c>
      <c r="H13" s="81">
        <v>1126.7594607999999</v>
      </c>
      <c r="I13" s="80">
        <f t="shared" si="1"/>
        <v>1344.8805523200001</v>
      </c>
      <c r="J13" s="185">
        <f t="shared" si="2"/>
        <v>6.2270772379880821</v>
      </c>
      <c r="K13" s="186">
        <f t="shared" si="3"/>
        <v>1.6829938481048869</v>
      </c>
    </row>
    <row r="14" spans="1:12" ht="12" customHeight="1" x14ac:dyDescent="0.2">
      <c r="A14" s="42">
        <v>1976</v>
      </c>
      <c r="B14" s="69">
        <v>218.035</v>
      </c>
      <c r="C14" s="43">
        <v>1355.4</v>
      </c>
      <c r="D14" s="46" t="s">
        <v>2</v>
      </c>
      <c r="E14" s="45">
        <v>1126.7594607999999</v>
      </c>
      <c r="F14" s="45">
        <f t="shared" si="0"/>
        <v>2482.1594608</v>
      </c>
      <c r="G14" s="46">
        <v>35.253599999999999</v>
      </c>
      <c r="H14" s="43">
        <v>1204.1571086399999</v>
      </c>
      <c r="I14" s="43">
        <f t="shared" si="1"/>
        <v>1242.7487521600001</v>
      </c>
      <c r="J14" s="183">
        <f t="shared" si="2"/>
        <v>5.6997672491113818</v>
      </c>
      <c r="K14" s="184">
        <f t="shared" si="3"/>
        <v>1.540477634894968</v>
      </c>
    </row>
    <row r="15" spans="1:12" ht="12" customHeight="1" x14ac:dyDescent="0.2">
      <c r="A15" s="42">
        <v>1977</v>
      </c>
      <c r="B15" s="69">
        <v>220.23899999999998</v>
      </c>
      <c r="C15" s="43">
        <v>1591.9</v>
      </c>
      <c r="D15" s="46" t="s">
        <v>2</v>
      </c>
      <c r="E15" s="45">
        <v>1204.1571086399999</v>
      </c>
      <c r="F15" s="45">
        <f t="shared" si="0"/>
        <v>2796.05710864</v>
      </c>
      <c r="G15" s="46">
        <v>29.995899999999999</v>
      </c>
      <c r="H15" s="43">
        <v>1171.0894545799999</v>
      </c>
      <c r="I15" s="43">
        <f t="shared" si="1"/>
        <v>1594.9717540600002</v>
      </c>
      <c r="J15" s="183">
        <f t="shared" si="2"/>
        <v>7.2420041593904818</v>
      </c>
      <c r="K15" s="184">
        <f t="shared" si="3"/>
        <v>1.9572984214568869</v>
      </c>
    </row>
    <row r="16" spans="1:12" ht="12" customHeight="1" x14ac:dyDescent="0.2">
      <c r="A16" s="42">
        <v>1978</v>
      </c>
      <c r="B16" s="69">
        <v>222.58500000000001</v>
      </c>
      <c r="C16" s="43">
        <v>1720.3</v>
      </c>
      <c r="D16" s="46" t="s">
        <v>2</v>
      </c>
      <c r="E16" s="45">
        <v>1171.0894545799999</v>
      </c>
      <c r="F16" s="45">
        <f t="shared" si="0"/>
        <v>2891.3894545799999</v>
      </c>
      <c r="G16" s="44">
        <v>171.32480000000001</v>
      </c>
      <c r="H16" s="43">
        <v>1312.2215575</v>
      </c>
      <c r="I16" s="43">
        <f t="shared" si="1"/>
        <v>1407.8430970799998</v>
      </c>
      <c r="J16" s="183">
        <f t="shared" si="2"/>
        <v>6.324968425904709</v>
      </c>
      <c r="K16" s="184">
        <f t="shared" si="3"/>
        <v>1.7094509259201915</v>
      </c>
    </row>
    <row r="17" spans="1:11" ht="12" customHeight="1" x14ac:dyDescent="0.2">
      <c r="A17" s="42">
        <v>1979</v>
      </c>
      <c r="B17" s="69">
        <v>225.05500000000001</v>
      </c>
      <c r="C17" s="43">
        <v>1664.84</v>
      </c>
      <c r="D17" s="46" t="s">
        <v>2</v>
      </c>
      <c r="E17" s="45">
        <v>1312.2215575</v>
      </c>
      <c r="F17" s="45">
        <f t="shared" si="0"/>
        <v>2977.0615575000002</v>
      </c>
      <c r="G17" s="44">
        <v>235.0129</v>
      </c>
      <c r="H17" s="43">
        <v>1200.8084191999999</v>
      </c>
      <c r="I17" s="43">
        <f t="shared" si="1"/>
        <v>1541.2402383000003</v>
      </c>
      <c r="J17" s="183">
        <f t="shared" si="2"/>
        <v>6.8482825900335484</v>
      </c>
      <c r="K17" s="184">
        <f t="shared" si="3"/>
        <v>1.8508871864955536</v>
      </c>
    </row>
    <row r="18" spans="1:11" ht="12" customHeight="1" x14ac:dyDescent="0.2">
      <c r="A18" s="42">
        <v>1980</v>
      </c>
      <c r="B18" s="69">
        <v>227.726</v>
      </c>
      <c r="C18" s="43">
        <v>1538.8</v>
      </c>
      <c r="D18" s="46" t="s">
        <v>2</v>
      </c>
      <c r="E18" s="45">
        <v>1200.8084191999999</v>
      </c>
      <c r="F18" s="45">
        <f t="shared" si="0"/>
        <v>2739.6084191999998</v>
      </c>
      <c r="G18" s="46">
        <v>283.48289999999997</v>
      </c>
      <c r="H18" s="43">
        <v>1000.5384896</v>
      </c>
      <c r="I18" s="43">
        <f t="shared" si="1"/>
        <v>1455.5870295999998</v>
      </c>
      <c r="J18" s="183">
        <f t="shared" si="2"/>
        <v>6.3918350544074887</v>
      </c>
      <c r="K18" s="184">
        <f t="shared" si="3"/>
        <v>1.7275229876776996</v>
      </c>
    </row>
    <row r="19" spans="1:11" ht="12" customHeight="1" x14ac:dyDescent="0.2">
      <c r="A19" s="78">
        <v>1981</v>
      </c>
      <c r="B19" s="79">
        <v>229.96600000000001</v>
      </c>
      <c r="C19" s="80">
        <v>1663.94</v>
      </c>
      <c r="D19" s="83" t="s">
        <v>2</v>
      </c>
      <c r="E19" s="82">
        <v>1000.5384896</v>
      </c>
      <c r="F19" s="82">
        <f t="shared" si="0"/>
        <v>2664.4784896000001</v>
      </c>
      <c r="G19" s="81">
        <v>289.94310000000002</v>
      </c>
      <c r="H19" s="80">
        <v>931.37844554000003</v>
      </c>
      <c r="I19" s="80">
        <f t="shared" si="1"/>
        <v>1443.1569440600001</v>
      </c>
      <c r="J19" s="185">
        <f t="shared" si="2"/>
        <v>6.275523094979258</v>
      </c>
      <c r="K19" s="186">
        <f t="shared" si="3"/>
        <v>1.696087322967367</v>
      </c>
    </row>
    <row r="20" spans="1:11" ht="12" customHeight="1" x14ac:dyDescent="0.2">
      <c r="A20" s="78">
        <v>1982</v>
      </c>
      <c r="B20" s="79">
        <v>232.18799999999999</v>
      </c>
      <c r="C20" s="84">
        <v>2253.8200000000002</v>
      </c>
      <c r="D20" s="83" t="s">
        <v>2</v>
      </c>
      <c r="E20" s="82">
        <v>931.37844554000003</v>
      </c>
      <c r="F20" s="82">
        <f t="shared" si="0"/>
        <v>3185.1984455400002</v>
      </c>
      <c r="G20" s="81">
        <v>271.93150000000003</v>
      </c>
      <c r="H20" s="80">
        <v>1576.2716149800001</v>
      </c>
      <c r="I20" s="80">
        <f t="shared" si="1"/>
        <v>1336.9953305600002</v>
      </c>
      <c r="J20" s="185">
        <f t="shared" si="2"/>
        <v>5.7582447437421411</v>
      </c>
      <c r="K20" s="186">
        <f t="shared" si="3"/>
        <v>1.5562823631735516</v>
      </c>
    </row>
    <row r="21" spans="1:11" ht="12" customHeight="1" x14ac:dyDescent="0.2">
      <c r="A21" s="78">
        <v>1983</v>
      </c>
      <c r="B21" s="79">
        <v>234.30699999999999</v>
      </c>
      <c r="C21" s="84">
        <v>1801.48</v>
      </c>
      <c r="D21" s="83" t="s">
        <v>2</v>
      </c>
      <c r="E21" s="82">
        <v>1576.2716149800001</v>
      </c>
      <c r="F21" s="82">
        <f t="shared" si="0"/>
        <v>3377.7516149800003</v>
      </c>
      <c r="G21" s="81">
        <v>304.67649999999998</v>
      </c>
      <c r="H21" s="80">
        <v>1515.1772682599999</v>
      </c>
      <c r="I21" s="80">
        <f t="shared" si="1"/>
        <v>1557.8978467200004</v>
      </c>
      <c r="J21" s="185">
        <f t="shared" si="2"/>
        <v>6.6489598975702835</v>
      </c>
      <c r="K21" s="186">
        <f t="shared" si="3"/>
        <v>1.7970161885325089</v>
      </c>
    </row>
    <row r="22" spans="1:11" ht="12" customHeight="1" x14ac:dyDescent="0.2">
      <c r="A22" s="78">
        <v>1984</v>
      </c>
      <c r="B22" s="79">
        <v>236.34800000000001</v>
      </c>
      <c r="C22" s="80">
        <v>1939.4</v>
      </c>
      <c r="D22" s="83" t="s">
        <v>2</v>
      </c>
      <c r="E22" s="82">
        <v>1515.1772682599999</v>
      </c>
      <c r="F22" s="82">
        <f t="shared" si="0"/>
        <v>3454.57726826</v>
      </c>
      <c r="G22" s="81">
        <v>286.32080000000002</v>
      </c>
      <c r="H22" s="80">
        <v>1280.7729716399999</v>
      </c>
      <c r="I22" s="80">
        <f t="shared" si="1"/>
        <v>1887.4834966200001</v>
      </c>
      <c r="J22" s="185">
        <f t="shared" si="2"/>
        <v>7.9860354080423779</v>
      </c>
      <c r="K22" s="186">
        <f t="shared" si="3"/>
        <v>2.1583879481195614</v>
      </c>
    </row>
    <row r="23" spans="1:11" ht="12" customHeight="1" x14ac:dyDescent="0.2">
      <c r="A23" s="78">
        <v>1985</v>
      </c>
      <c r="B23" s="79">
        <v>238.46600000000001</v>
      </c>
      <c r="C23" s="80">
        <v>2221.3200000000002</v>
      </c>
      <c r="D23" s="83" t="s">
        <v>2</v>
      </c>
      <c r="E23" s="82">
        <v>1280.7729716399999</v>
      </c>
      <c r="F23" s="82">
        <f t="shared" si="0"/>
        <v>3502.0929716400001</v>
      </c>
      <c r="G23" s="83">
        <v>281.14449999999999</v>
      </c>
      <c r="H23" s="80">
        <v>1336.34389842</v>
      </c>
      <c r="I23" s="80">
        <f t="shared" si="1"/>
        <v>1884.60457322</v>
      </c>
      <c r="J23" s="185">
        <f t="shared" si="2"/>
        <v>7.9030326051512585</v>
      </c>
      <c r="K23" s="186">
        <f t="shared" si="3"/>
        <v>2.1359547581489888</v>
      </c>
    </row>
    <row r="24" spans="1:11" ht="12" customHeight="1" x14ac:dyDescent="0.2">
      <c r="A24" s="42">
        <v>1986</v>
      </c>
      <c r="B24" s="69">
        <v>240.65100000000001</v>
      </c>
      <c r="C24" s="43">
        <v>2167</v>
      </c>
      <c r="D24" s="46" t="s">
        <v>2</v>
      </c>
      <c r="E24" s="45">
        <v>1336.34389842</v>
      </c>
      <c r="F24" s="45">
        <f t="shared" si="0"/>
        <v>3503.3438984200002</v>
      </c>
      <c r="G24" s="44">
        <v>366</v>
      </c>
      <c r="H24" s="43">
        <v>1318</v>
      </c>
      <c r="I24" s="43">
        <f t="shared" si="1"/>
        <v>1819.3438984200002</v>
      </c>
      <c r="J24" s="183">
        <f t="shared" si="2"/>
        <v>7.5600928249622905</v>
      </c>
      <c r="K24" s="184">
        <f t="shared" si="3"/>
        <v>2.0432683310708892</v>
      </c>
    </row>
    <row r="25" spans="1:11" ht="12" customHeight="1" x14ac:dyDescent="0.2">
      <c r="A25" s="42">
        <v>1987</v>
      </c>
      <c r="B25" s="69">
        <v>242.804</v>
      </c>
      <c r="C25" s="43">
        <v>2456.6</v>
      </c>
      <c r="D25" s="46" t="s">
        <v>2</v>
      </c>
      <c r="E25" s="45">
        <v>1318</v>
      </c>
      <c r="F25" s="45">
        <f t="shared" si="0"/>
        <v>3774.6</v>
      </c>
      <c r="G25" s="44">
        <v>328.3</v>
      </c>
      <c r="H25" s="43">
        <v>1542</v>
      </c>
      <c r="I25" s="43">
        <f t="shared" si="1"/>
        <v>1904.3</v>
      </c>
      <c r="J25" s="183">
        <f t="shared" si="2"/>
        <v>7.8429515164494816</v>
      </c>
      <c r="K25" s="184">
        <f t="shared" si="3"/>
        <v>2.1197166260674272</v>
      </c>
    </row>
    <row r="26" spans="1:11" ht="12" customHeight="1" x14ac:dyDescent="0.2">
      <c r="A26" s="42">
        <v>1988</v>
      </c>
      <c r="B26" s="69">
        <v>245.02099999999999</v>
      </c>
      <c r="C26" s="43">
        <v>2184</v>
      </c>
      <c r="D26" s="46" t="s">
        <v>2</v>
      </c>
      <c r="E26" s="45">
        <v>1542</v>
      </c>
      <c r="F26" s="45">
        <f t="shared" si="0"/>
        <v>3726</v>
      </c>
      <c r="G26" s="44">
        <v>420.7</v>
      </c>
      <c r="H26" s="43">
        <v>1171</v>
      </c>
      <c r="I26" s="43">
        <f t="shared" si="1"/>
        <v>2134.3000000000002</v>
      </c>
      <c r="J26" s="183">
        <f t="shared" si="2"/>
        <v>8.7106819415478682</v>
      </c>
      <c r="K26" s="184">
        <f t="shared" si="3"/>
        <v>2.3542383625805048</v>
      </c>
    </row>
    <row r="27" spans="1:11" ht="12" customHeight="1" x14ac:dyDescent="0.2">
      <c r="A27" s="42">
        <v>1989</v>
      </c>
      <c r="B27" s="69">
        <v>247.34200000000001</v>
      </c>
      <c r="C27" s="43">
        <v>2522.56</v>
      </c>
      <c r="D27" s="43">
        <v>109.9307</v>
      </c>
      <c r="E27" s="45">
        <v>1171</v>
      </c>
      <c r="F27" s="45">
        <f t="shared" si="0"/>
        <v>3803.4906999999998</v>
      </c>
      <c r="G27" s="44">
        <v>448.5</v>
      </c>
      <c r="H27" s="43">
        <v>1286</v>
      </c>
      <c r="I27" s="43">
        <f t="shared" si="1"/>
        <v>2068.9906999999998</v>
      </c>
      <c r="J27" s="183">
        <f t="shared" si="2"/>
        <v>8.3648983997865294</v>
      </c>
      <c r="K27" s="184">
        <f t="shared" si="3"/>
        <v>2.2607833512936564</v>
      </c>
    </row>
    <row r="28" spans="1:11" ht="12" customHeight="1" x14ac:dyDescent="0.2">
      <c r="A28" s="42">
        <v>1990</v>
      </c>
      <c r="B28" s="69">
        <v>250.13200000000001</v>
      </c>
      <c r="C28" s="43">
        <v>2887.62</v>
      </c>
      <c r="D28" s="43">
        <v>74.022199999999998</v>
      </c>
      <c r="E28" s="45">
        <v>1286</v>
      </c>
      <c r="F28" s="45">
        <f t="shared" si="0"/>
        <v>4247.6422000000002</v>
      </c>
      <c r="G28" s="46">
        <v>480.61083399999995</v>
      </c>
      <c r="H28" s="43">
        <v>1616.1397314000001</v>
      </c>
      <c r="I28" s="43">
        <f t="shared" si="1"/>
        <v>2150.8916346000001</v>
      </c>
      <c r="J28" s="183">
        <f t="shared" si="2"/>
        <v>8.5990262525386605</v>
      </c>
      <c r="K28" s="184">
        <f t="shared" si="3"/>
        <v>2.3240611493347729</v>
      </c>
    </row>
    <row r="29" spans="1:11" ht="12" customHeight="1" x14ac:dyDescent="0.2">
      <c r="A29" s="78">
        <v>1991</v>
      </c>
      <c r="B29" s="79">
        <v>253.49299999999999</v>
      </c>
      <c r="C29" s="80">
        <v>2921</v>
      </c>
      <c r="D29" s="80">
        <v>47.415500000000009</v>
      </c>
      <c r="E29" s="82">
        <v>1616.1397314000001</v>
      </c>
      <c r="F29" s="82">
        <f t="shared" si="0"/>
        <v>4584.5552313999997</v>
      </c>
      <c r="G29" s="81">
        <v>471.54573780000004</v>
      </c>
      <c r="H29" s="80">
        <v>1742.0217322799999</v>
      </c>
      <c r="I29" s="80">
        <f t="shared" si="1"/>
        <v>2370.9877613199997</v>
      </c>
      <c r="J29" s="185">
        <f t="shared" si="2"/>
        <v>9.3532671960172458</v>
      </c>
      <c r="K29" s="186">
        <f t="shared" si="3"/>
        <v>2.5279100529776337</v>
      </c>
    </row>
    <row r="30" spans="1:11" ht="12" customHeight="1" x14ac:dyDescent="0.2">
      <c r="A30" s="78">
        <v>1992</v>
      </c>
      <c r="B30" s="79">
        <v>256.89400000000001</v>
      </c>
      <c r="C30" s="80">
        <v>2818.76</v>
      </c>
      <c r="D30" s="80">
        <v>57.953296100000003</v>
      </c>
      <c r="E30" s="82">
        <v>1742.0217322799999</v>
      </c>
      <c r="F30" s="82">
        <f t="shared" si="0"/>
        <v>4618.7350283800006</v>
      </c>
      <c r="G30" s="81">
        <v>507.13275959999999</v>
      </c>
      <c r="H30" s="80">
        <v>1814.6377176800004</v>
      </c>
      <c r="I30" s="80">
        <f t="shared" si="1"/>
        <v>2296.9645511000003</v>
      </c>
      <c r="J30" s="185">
        <f t="shared" si="2"/>
        <v>8.9412931057167562</v>
      </c>
      <c r="K30" s="186">
        <f t="shared" si="3"/>
        <v>2.416565704247772</v>
      </c>
    </row>
    <row r="31" spans="1:11" ht="12" customHeight="1" x14ac:dyDescent="0.2">
      <c r="A31" s="78">
        <v>1993</v>
      </c>
      <c r="B31" s="79">
        <v>260.255</v>
      </c>
      <c r="C31" s="80">
        <v>2520.8200000000002</v>
      </c>
      <c r="D31" s="80">
        <v>74.778524399999995</v>
      </c>
      <c r="E31" s="82">
        <v>1814.6377176800004</v>
      </c>
      <c r="F31" s="82">
        <f t="shared" si="0"/>
        <v>4410.2362420800009</v>
      </c>
      <c r="G31" s="81">
        <v>508.24587129999998</v>
      </c>
      <c r="H31" s="80">
        <v>1373.2580880200003</v>
      </c>
      <c r="I31" s="80">
        <f t="shared" si="1"/>
        <v>2528.7322827600005</v>
      </c>
      <c r="J31" s="185">
        <f t="shared" si="2"/>
        <v>9.7163638844978983</v>
      </c>
      <c r="K31" s="186">
        <f t="shared" si="3"/>
        <v>2.6260442931075398</v>
      </c>
    </row>
    <row r="32" spans="1:11" ht="12" customHeight="1" x14ac:dyDescent="0.2">
      <c r="A32" s="78">
        <v>1994</v>
      </c>
      <c r="B32" s="79">
        <v>263.43599999999998</v>
      </c>
      <c r="C32" s="80">
        <v>3222.4</v>
      </c>
      <c r="D32" s="80">
        <v>123.39703130000001</v>
      </c>
      <c r="E32" s="82">
        <v>1373.2580880200003</v>
      </c>
      <c r="F32" s="82">
        <f t="shared" si="0"/>
        <v>4719.0551193200008</v>
      </c>
      <c r="G32" s="81">
        <v>525.27568739999992</v>
      </c>
      <c r="H32" s="80">
        <v>1795.8369365400001</v>
      </c>
      <c r="I32" s="80">
        <f t="shared" si="1"/>
        <v>2397.9424953800008</v>
      </c>
      <c r="J32" s="185">
        <f t="shared" si="2"/>
        <v>9.1025618950333325</v>
      </c>
      <c r="K32" s="186">
        <f t="shared" si="3"/>
        <v>2.4601518635225221</v>
      </c>
    </row>
    <row r="33" spans="1:11" ht="12" customHeight="1" x14ac:dyDescent="0.2">
      <c r="A33" s="78">
        <v>1995</v>
      </c>
      <c r="B33" s="79">
        <v>266.55700000000002</v>
      </c>
      <c r="C33" s="80">
        <v>3234.2</v>
      </c>
      <c r="D33" s="80">
        <v>71.486060899999998</v>
      </c>
      <c r="E33" s="82">
        <v>1795.8369365400001</v>
      </c>
      <c r="F33" s="82">
        <f t="shared" si="0"/>
        <v>5101.5229974399999</v>
      </c>
      <c r="G33" s="83">
        <v>500.38603160000008</v>
      </c>
      <c r="H33" s="80">
        <v>1844.9157227000001</v>
      </c>
      <c r="I33" s="80">
        <f t="shared" si="1"/>
        <v>2756.2212431399998</v>
      </c>
      <c r="J33" s="185">
        <f t="shared" si="2"/>
        <v>10.340082020505932</v>
      </c>
      <c r="K33" s="186">
        <f t="shared" si="3"/>
        <v>2.7946167622989004</v>
      </c>
    </row>
    <row r="34" spans="1:11" ht="12" customHeight="1" x14ac:dyDescent="0.2">
      <c r="A34" s="42">
        <v>1996</v>
      </c>
      <c r="B34" s="69">
        <v>269.66699999999997</v>
      </c>
      <c r="C34" s="43">
        <v>3145.42</v>
      </c>
      <c r="D34" s="43">
        <v>82.497697500000001</v>
      </c>
      <c r="E34" s="45">
        <v>1844.9157227000001</v>
      </c>
      <c r="F34" s="45">
        <f t="shared" si="0"/>
        <v>5072.8334202000005</v>
      </c>
      <c r="G34" s="44">
        <v>467.61546090000002</v>
      </c>
      <c r="H34" s="43">
        <v>1814.05615612</v>
      </c>
      <c r="I34" s="43">
        <f t="shared" si="1"/>
        <v>2791.1618031800008</v>
      </c>
      <c r="J34" s="183">
        <f t="shared" si="2"/>
        <v>10.350401803631891</v>
      </c>
      <c r="K34" s="184">
        <f t="shared" si="3"/>
        <v>2.797405892873484</v>
      </c>
    </row>
    <row r="35" spans="1:11" ht="12" customHeight="1" x14ac:dyDescent="0.2">
      <c r="A35" s="42">
        <v>1997</v>
      </c>
      <c r="B35" s="69">
        <v>272.91199999999998</v>
      </c>
      <c r="C35" s="43">
        <v>3390.16</v>
      </c>
      <c r="D35" s="43">
        <v>100.9233016</v>
      </c>
      <c r="E35" s="45">
        <v>1814.05615612</v>
      </c>
      <c r="F35" s="45">
        <f t="shared" si="0"/>
        <v>5305.1394577199999</v>
      </c>
      <c r="G35" s="44">
        <v>589.18017450000002</v>
      </c>
      <c r="H35" s="43">
        <v>1970.7873384200002</v>
      </c>
      <c r="I35" s="43">
        <f t="shared" si="1"/>
        <v>2745.1719447999994</v>
      </c>
      <c r="J35" s="183">
        <f t="shared" si="2"/>
        <v>10.058817292020869</v>
      </c>
      <c r="K35" s="184">
        <f t="shared" si="3"/>
        <v>2.7185992681137483</v>
      </c>
    </row>
    <row r="36" spans="1:11" ht="12" customHeight="1" x14ac:dyDescent="0.2">
      <c r="A36" s="42">
        <v>1998</v>
      </c>
      <c r="B36" s="69">
        <v>276.11500000000001</v>
      </c>
      <c r="C36" s="43">
        <v>3189.5</v>
      </c>
      <c r="D36" s="43">
        <v>114.09204190000001</v>
      </c>
      <c r="E36" s="45">
        <v>1970.7873384200002</v>
      </c>
      <c r="F36" s="45">
        <f t="shared" si="0"/>
        <v>5274.3793803200006</v>
      </c>
      <c r="G36" s="44">
        <v>600.41011850000007</v>
      </c>
      <c r="H36" s="43">
        <v>1963.2215051600001</v>
      </c>
      <c r="I36" s="43">
        <f t="shared" si="1"/>
        <v>2710.7477566600005</v>
      </c>
      <c r="J36" s="183">
        <f t="shared" si="2"/>
        <v>9.8174592349564502</v>
      </c>
      <c r="K36" s="184">
        <f t="shared" si="3"/>
        <v>2.6533673607990407</v>
      </c>
    </row>
    <row r="37" spans="1:11" ht="12" customHeight="1" x14ac:dyDescent="0.2">
      <c r="A37" s="42">
        <v>1999</v>
      </c>
      <c r="B37" s="69">
        <v>279.29500000000002</v>
      </c>
      <c r="C37" s="43">
        <v>3101.22</v>
      </c>
      <c r="D37" s="43">
        <v>90.144039800000002</v>
      </c>
      <c r="E37" s="45">
        <v>1963.2215051600001</v>
      </c>
      <c r="F37" s="45">
        <f t="shared" si="0"/>
        <v>5154.5855449600003</v>
      </c>
      <c r="G37" s="44">
        <v>599.51289810000003</v>
      </c>
      <c r="H37" s="43">
        <v>1740.9185876400002</v>
      </c>
      <c r="I37" s="43">
        <f t="shared" si="1"/>
        <v>2814.1540592199999</v>
      </c>
      <c r="J37" s="183">
        <f t="shared" si="2"/>
        <v>10.075919938487978</v>
      </c>
      <c r="K37" s="184">
        <f t="shared" si="3"/>
        <v>2.7232216049967506</v>
      </c>
    </row>
    <row r="38" spans="1:11" ht="12" customHeight="1" x14ac:dyDescent="0.2">
      <c r="A38" s="42">
        <v>2000</v>
      </c>
      <c r="B38" s="69">
        <v>282.38499999999999</v>
      </c>
      <c r="C38" s="43">
        <v>2916.1</v>
      </c>
      <c r="D38" s="43">
        <v>76.915662900000001</v>
      </c>
      <c r="E38" s="45">
        <v>1740.9185876400002</v>
      </c>
      <c r="F38" s="45">
        <f t="shared" si="0"/>
        <v>4733.93425054</v>
      </c>
      <c r="G38" s="44">
        <v>561.76943860000006</v>
      </c>
      <c r="H38" s="43">
        <v>1611.6808503000002</v>
      </c>
      <c r="I38" s="43">
        <f t="shared" si="1"/>
        <v>2560.4839616399995</v>
      </c>
      <c r="J38" s="183">
        <f t="shared" si="2"/>
        <v>9.0673511753103018</v>
      </c>
      <c r="K38" s="184">
        <f t="shared" si="3"/>
        <v>2.4506354527865679</v>
      </c>
    </row>
    <row r="39" spans="1:11" ht="12" customHeight="1" x14ac:dyDescent="0.2">
      <c r="A39" s="78">
        <v>2001</v>
      </c>
      <c r="B39" s="79">
        <v>285.30901899999998</v>
      </c>
      <c r="C39" s="80">
        <v>3259.92</v>
      </c>
      <c r="D39" s="80">
        <v>80.215278500000011</v>
      </c>
      <c r="E39" s="82">
        <v>1611.6808503000002</v>
      </c>
      <c r="F39" s="82">
        <f t="shared" si="0"/>
        <v>4951.8161288000001</v>
      </c>
      <c r="G39" s="81">
        <v>542.56206150000003</v>
      </c>
      <c r="H39" s="80">
        <v>1760.47059754</v>
      </c>
      <c r="I39" s="80">
        <f t="shared" si="1"/>
        <v>2648.7834697600001</v>
      </c>
      <c r="J39" s="185">
        <f t="shared" si="2"/>
        <v>9.2839107541847472</v>
      </c>
      <c r="K39" s="186">
        <f t="shared" si="3"/>
        <v>2.50916506869858</v>
      </c>
    </row>
    <row r="40" spans="1:11" ht="12" customHeight="1" x14ac:dyDescent="0.2">
      <c r="A40" s="78">
        <v>2002</v>
      </c>
      <c r="B40" s="79">
        <v>288.10481800000002</v>
      </c>
      <c r="C40" s="80">
        <v>3279.38</v>
      </c>
      <c r="D40" s="80">
        <v>109.63310530000001</v>
      </c>
      <c r="E40" s="82">
        <v>1760.47059754</v>
      </c>
      <c r="F40" s="82">
        <f t="shared" si="0"/>
        <v>5149.4837028399998</v>
      </c>
      <c r="G40" s="81">
        <v>517.42800590000002</v>
      </c>
      <c r="H40" s="80">
        <v>1944.79497236</v>
      </c>
      <c r="I40" s="80">
        <f t="shared" si="1"/>
        <v>2687.26072458</v>
      </c>
      <c r="J40" s="185">
        <f t="shared" si="2"/>
        <v>9.3273716949086207</v>
      </c>
      <c r="K40" s="186">
        <f t="shared" si="3"/>
        <v>2.5209112688942219</v>
      </c>
    </row>
    <row r="41" spans="1:11" ht="12" customHeight="1" x14ac:dyDescent="0.2">
      <c r="A41" s="78">
        <v>2003</v>
      </c>
      <c r="B41" s="79">
        <v>290.81963400000001</v>
      </c>
      <c r="C41" s="80">
        <v>3419.48</v>
      </c>
      <c r="D41" s="80">
        <v>151.9945903</v>
      </c>
      <c r="E41" s="82">
        <v>1944.79497236</v>
      </c>
      <c r="F41" s="82">
        <f t="shared" si="0"/>
        <v>5516.2695626599998</v>
      </c>
      <c r="G41" s="81">
        <v>564.90294640000002</v>
      </c>
      <c r="H41" s="80">
        <v>2332.7507075400003</v>
      </c>
      <c r="I41" s="80">
        <f t="shared" si="1"/>
        <v>2618.6159087199994</v>
      </c>
      <c r="J41" s="185">
        <f t="shared" si="2"/>
        <v>9.0042610696635403</v>
      </c>
      <c r="K41" s="186">
        <f t="shared" si="3"/>
        <v>2.4335840728820379</v>
      </c>
    </row>
    <row r="42" spans="1:11" ht="12" customHeight="1" x14ac:dyDescent="0.2">
      <c r="A42" s="78">
        <v>2004</v>
      </c>
      <c r="B42" s="79">
        <v>293.46318500000001</v>
      </c>
      <c r="C42" s="80">
        <v>3019.82</v>
      </c>
      <c r="D42" s="80">
        <v>128.2605629</v>
      </c>
      <c r="E42" s="82">
        <v>2332.7507075400003</v>
      </c>
      <c r="F42" s="82">
        <f t="shared" si="0"/>
        <v>5480.8312704400005</v>
      </c>
      <c r="G42" s="81">
        <v>540.73802069999999</v>
      </c>
      <c r="H42" s="80">
        <v>2279.3396106200003</v>
      </c>
      <c r="I42" s="80">
        <f t="shared" si="1"/>
        <v>2660.7536391200001</v>
      </c>
      <c r="J42" s="185">
        <f t="shared" si="2"/>
        <v>9.066737414166619</v>
      </c>
      <c r="K42" s="186">
        <f t="shared" si="3"/>
        <v>2.4504695713963836</v>
      </c>
    </row>
    <row r="43" spans="1:11" ht="12" customHeight="1" x14ac:dyDescent="0.2">
      <c r="A43" s="78">
        <v>2005</v>
      </c>
      <c r="B43" s="79">
        <v>296.186216</v>
      </c>
      <c r="C43" s="80">
        <v>3150.2000000000003</v>
      </c>
      <c r="D43" s="80">
        <v>130.65445550000001</v>
      </c>
      <c r="E43" s="82">
        <v>2279.3396106200003</v>
      </c>
      <c r="F43" s="82">
        <f t="shared" si="0"/>
        <v>5560.1940661200006</v>
      </c>
      <c r="G43" s="81">
        <v>585.32377180000003</v>
      </c>
      <c r="H43" s="80">
        <v>2176.8200779600002</v>
      </c>
      <c r="I43" s="80">
        <f t="shared" si="1"/>
        <v>2798.0502163600004</v>
      </c>
      <c r="J43" s="185">
        <f t="shared" si="2"/>
        <v>9.4469292128030702</v>
      </c>
      <c r="K43" s="186">
        <f t="shared" si="3"/>
        <v>2.5532241115683973</v>
      </c>
    </row>
    <row r="44" spans="1:11" ht="12" customHeight="1" x14ac:dyDescent="0.2">
      <c r="A44" s="42">
        <v>2006</v>
      </c>
      <c r="B44" s="69">
        <v>298.99582500000002</v>
      </c>
      <c r="C44" s="43">
        <v>3293.04</v>
      </c>
      <c r="D44" s="43">
        <v>141.35080400000001</v>
      </c>
      <c r="E44" s="45">
        <v>2176.8200779600002</v>
      </c>
      <c r="F44" s="45">
        <f t="shared" si="0"/>
        <v>5611.2108819599998</v>
      </c>
      <c r="G44" s="44">
        <v>539.3832731</v>
      </c>
      <c r="H44" s="43">
        <v>2250.4739266800002</v>
      </c>
      <c r="I44" s="43">
        <f t="shared" si="1"/>
        <v>2821.3536821799999</v>
      </c>
      <c r="J44" s="183">
        <f t="shared" si="2"/>
        <v>9.4360972504549174</v>
      </c>
      <c r="K44" s="184">
        <f t="shared" si="3"/>
        <v>2.5502965541770046</v>
      </c>
    </row>
    <row r="45" spans="1:11" ht="12" customHeight="1" x14ac:dyDescent="0.2">
      <c r="A45" s="42">
        <v>2007</v>
      </c>
      <c r="B45" s="69">
        <v>302.003917</v>
      </c>
      <c r="C45" s="43">
        <v>3243.94</v>
      </c>
      <c r="D45" s="43">
        <v>185.66843829999999</v>
      </c>
      <c r="E45" s="45">
        <v>2250.4739266800002</v>
      </c>
      <c r="F45" s="45">
        <f t="shared" si="0"/>
        <v>5680.0823649800004</v>
      </c>
      <c r="G45" s="44">
        <v>511.34201280000008</v>
      </c>
      <c r="H45" s="43">
        <v>2154.12134608</v>
      </c>
      <c r="I45" s="43">
        <f t="shared" si="1"/>
        <v>3014.6190061000002</v>
      </c>
      <c r="J45" s="183">
        <f t="shared" si="2"/>
        <v>9.9820526701976533</v>
      </c>
      <c r="K45" s="184">
        <f>J45/3.7</f>
        <v>2.6978520730263926</v>
      </c>
    </row>
    <row r="46" spans="1:11" ht="12" customHeight="1" x14ac:dyDescent="0.2">
      <c r="A46" s="42">
        <v>2008</v>
      </c>
      <c r="B46" s="69">
        <v>304.79776099999998</v>
      </c>
      <c r="C46" s="43">
        <v>2953.44</v>
      </c>
      <c r="D46" s="43">
        <v>146.43266678730001</v>
      </c>
      <c r="E46" s="45">
        <v>2154.12134608</v>
      </c>
      <c r="F46" s="45">
        <f t="shared" si="0"/>
        <v>5253.9940128673006</v>
      </c>
      <c r="G46" s="44">
        <v>477.21</v>
      </c>
      <c r="H46" s="43">
        <v>1958.7955010759999</v>
      </c>
      <c r="I46" s="43">
        <f t="shared" si="1"/>
        <v>2817.9885117913009</v>
      </c>
      <c r="J46" s="183">
        <f t="shared" si="2"/>
        <v>9.2454370483098831</v>
      </c>
      <c r="K46" s="184">
        <f>J46/3.33</f>
        <v>2.77640752201498</v>
      </c>
    </row>
    <row r="47" spans="1:11" ht="12" customHeight="1" x14ac:dyDescent="0.2">
      <c r="A47" s="42">
        <v>2009</v>
      </c>
      <c r="B47" s="69">
        <v>307.43940600000002</v>
      </c>
      <c r="C47" s="43">
        <v>3447.4</v>
      </c>
      <c r="D47" s="43">
        <v>163.57546789290001</v>
      </c>
      <c r="E47" s="45">
        <v>1958.7955010759999</v>
      </c>
      <c r="F47" s="45">
        <f t="shared" si="0"/>
        <v>5569.7709689689</v>
      </c>
      <c r="G47" s="44">
        <v>442.99</v>
      </c>
      <c r="H47" s="43">
        <v>2339.9577825840001</v>
      </c>
      <c r="I47" s="43">
        <f t="shared" si="1"/>
        <v>2786.8231863848996</v>
      </c>
      <c r="J47" s="183">
        <f t="shared" si="2"/>
        <v>9.0646258482066528</v>
      </c>
      <c r="K47" s="184">
        <f t="shared" ref="K47:K57" si="4">J47/3.33</f>
        <v>2.7221098643263222</v>
      </c>
    </row>
    <row r="48" spans="1:11" ht="12" customHeight="1" x14ac:dyDescent="0.2">
      <c r="A48" s="42">
        <v>2010</v>
      </c>
      <c r="B48" s="69">
        <v>309.74127900000002</v>
      </c>
      <c r="C48" s="43">
        <v>2899.8</v>
      </c>
      <c r="D48" s="43">
        <v>167.46171057768237</v>
      </c>
      <c r="E48" s="45">
        <v>2339.9577825840001</v>
      </c>
      <c r="F48" s="45">
        <f t="shared" si="0"/>
        <v>5407.2194931616832</v>
      </c>
      <c r="G48" s="44">
        <v>467.10164447591035</v>
      </c>
      <c r="H48" s="43">
        <v>2292.2838289259998</v>
      </c>
      <c r="I48" s="43">
        <f t="shared" si="1"/>
        <v>2647.8340197597731</v>
      </c>
      <c r="J48" s="183">
        <f t="shared" si="2"/>
        <v>8.5485345327826749</v>
      </c>
      <c r="K48" s="184">
        <f t="shared" si="4"/>
        <v>2.5671274873221246</v>
      </c>
    </row>
    <row r="49" spans="1:12" ht="12" customHeight="1" x14ac:dyDescent="0.2">
      <c r="A49" s="78">
        <v>2011</v>
      </c>
      <c r="B49" s="79">
        <v>311.97391399999998</v>
      </c>
      <c r="C49" s="80">
        <v>3077.6800000000003</v>
      </c>
      <c r="D49" s="80">
        <v>161.89614818134558</v>
      </c>
      <c r="E49" s="82">
        <v>2292.2838289259998</v>
      </c>
      <c r="F49" s="82">
        <f t="shared" si="0"/>
        <v>5531.8599771073459</v>
      </c>
      <c r="G49" s="81">
        <v>569.28070183301463</v>
      </c>
      <c r="H49" s="80">
        <v>1918.690739982</v>
      </c>
      <c r="I49" s="80">
        <f t="shared" si="1"/>
        <v>3043.8885352923312</v>
      </c>
      <c r="J49" s="185">
        <f t="shared" si="2"/>
        <v>9.7568687595217707</v>
      </c>
      <c r="K49" s="185">
        <f t="shared" si="4"/>
        <v>2.929990618475006</v>
      </c>
    </row>
    <row r="50" spans="1:12" ht="12" customHeight="1" x14ac:dyDescent="0.2">
      <c r="A50" s="78">
        <v>2012</v>
      </c>
      <c r="B50" s="79">
        <v>314.16755799999999</v>
      </c>
      <c r="C50" s="80">
        <v>3446.88</v>
      </c>
      <c r="D50" s="80">
        <v>162.69067687106519</v>
      </c>
      <c r="E50" s="82">
        <v>1918.690739982</v>
      </c>
      <c r="F50" s="82">
        <f t="shared" si="0"/>
        <v>5528.2614168530654</v>
      </c>
      <c r="G50" s="81">
        <v>532.82072098680476</v>
      </c>
      <c r="H50" s="80">
        <v>1920.6723370679999</v>
      </c>
      <c r="I50" s="80">
        <f t="shared" si="1"/>
        <v>3074.7683587982606</v>
      </c>
      <c r="J50" s="185">
        <f t="shared" si="2"/>
        <v>9.7870333218755228</v>
      </c>
      <c r="K50" s="185">
        <f t="shared" si="4"/>
        <v>2.939049045608265</v>
      </c>
      <c r="L50"/>
    </row>
    <row r="51" spans="1:12" ht="12" customHeight="1" x14ac:dyDescent="0.2">
      <c r="A51" s="86">
        <v>2013</v>
      </c>
      <c r="B51" s="87">
        <v>316.29476599999998</v>
      </c>
      <c r="C51" s="88">
        <v>2858.38</v>
      </c>
      <c r="D51" s="88">
        <v>163.22824241701562</v>
      </c>
      <c r="E51" s="89">
        <v>1920.6723370679999</v>
      </c>
      <c r="F51" s="89">
        <f t="shared" si="0"/>
        <v>4942.2805794850156</v>
      </c>
      <c r="G51" s="90">
        <v>514.07881948623412</v>
      </c>
      <c r="H51" s="88">
        <v>2207.7280453500002</v>
      </c>
      <c r="I51" s="88">
        <f t="shared" ref="I51:I57" si="5">F51-SUM(G51,H51)</f>
        <v>2220.4737146487814</v>
      </c>
      <c r="J51" s="187">
        <f t="shared" ref="J51:J57" si="6">IF(I51=0,0,IF(B51=0,0,I51/B51))</f>
        <v>7.0202670209496336</v>
      </c>
      <c r="K51" s="185">
        <f t="shared" si="4"/>
        <v>2.1081882945794694</v>
      </c>
      <c r="L51"/>
    </row>
    <row r="52" spans="1:12" ht="12" customHeight="1" x14ac:dyDescent="0.2">
      <c r="A52" s="86">
        <v>2014</v>
      </c>
      <c r="B52" s="87">
        <v>318.576955</v>
      </c>
      <c r="C52" s="88">
        <v>2792.44</v>
      </c>
      <c r="D52" s="88">
        <v>171.50036775660359</v>
      </c>
      <c r="E52" s="89">
        <v>2207.7280453500002</v>
      </c>
      <c r="F52" s="89">
        <f t="shared" si="0"/>
        <v>5171.668413106604</v>
      </c>
      <c r="G52" s="90">
        <v>612.86633335136878</v>
      </c>
      <c r="H52" s="88">
        <v>2113.0672901940002</v>
      </c>
      <c r="I52" s="88">
        <f t="shared" si="5"/>
        <v>2445.7347895612352</v>
      </c>
      <c r="J52" s="187">
        <f t="shared" si="6"/>
        <v>7.6770612286165996</v>
      </c>
      <c r="K52" s="185">
        <f t="shared" si="4"/>
        <v>2.3054237923773573</v>
      </c>
      <c r="L52"/>
    </row>
    <row r="53" spans="1:12" ht="12" customHeight="1" x14ac:dyDescent="0.2">
      <c r="A53" s="86">
        <v>2015</v>
      </c>
      <c r="B53" s="87">
        <v>320.87070299999999</v>
      </c>
      <c r="C53" s="88">
        <v>2912.94</v>
      </c>
      <c r="D53" s="88">
        <v>249.59287082079899</v>
      </c>
      <c r="E53" s="89">
        <v>2113.0672901940002</v>
      </c>
      <c r="F53" s="89">
        <f t="shared" si="0"/>
        <v>5275.6001610147996</v>
      </c>
      <c r="G53" s="90">
        <v>625.16265334221589</v>
      </c>
      <c r="H53" s="88">
        <v>2079.50117391</v>
      </c>
      <c r="I53" s="88">
        <f t="shared" si="5"/>
        <v>2570.9363337625837</v>
      </c>
      <c r="J53" s="187">
        <f t="shared" si="6"/>
        <v>8.0123747968432752</v>
      </c>
      <c r="K53" s="185">
        <f t="shared" si="4"/>
        <v>2.406118557610593</v>
      </c>
      <c r="L53"/>
    </row>
    <row r="54" spans="1:12" ht="12" customHeight="1" x14ac:dyDescent="0.2">
      <c r="A54" s="119">
        <v>2016</v>
      </c>
      <c r="B54" s="120">
        <v>323.16101099999997</v>
      </c>
      <c r="C54" s="121">
        <v>2903.6672399392373</v>
      </c>
      <c r="D54" s="121">
        <v>210.38715340311239</v>
      </c>
      <c r="E54" s="122">
        <v>2079.50117391</v>
      </c>
      <c r="F54" s="122">
        <f t="shared" si="0"/>
        <v>5193.5555672523496</v>
      </c>
      <c r="G54" s="128">
        <v>721.30455242099993</v>
      </c>
      <c r="H54" s="121">
        <v>2064.0682602719999</v>
      </c>
      <c r="I54" s="121">
        <f t="shared" si="5"/>
        <v>2408.1827545593496</v>
      </c>
      <c r="J54" s="189">
        <f t="shared" si="6"/>
        <v>7.4519594647491365</v>
      </c>
      <c r="K54" s="184">
        <f t="shared" si="4"/>
        <v>2.2378256650898307</v>
      </c>
      <c r="L54"/>
    </row>
    <row r="55" spans="1:12" ht="12" customHeight="1" x14ac:dyDescent="0.2">
      <c r="A55" s="145">
        <v>2017</v>
      </c>
      <c r="B55" s="146">
        <v>325.20603</v>
      </c>
      <c r="C55" s="147">
        <v>3029.9053949316421</v>
      </c>
      <c r="D55" s="147">
        <v>228.99722566042078</v>
      </c>
      <c r="E55" s="148">
        <v>2064.0682602719999</v>
      </c>
      <c r="F55" s="148">
        <f t="shared" si="0"/>
        <v>5322.9708808640626</v>
      </c>
      <c r="G55" s="151">
        <v>702.03747045599994</v>
      </c>
      <c r="H55" s="147">
        <v>2000.28191913</v>
      </c>
      <c r="I55" s="147">
        <f t="shared" si="5"/>
        <v>2620.6514912780626</v>
      </c>
      <c r="J55" s="191">
        <f t="shared" si="6"/>
        <v>8.058434498517947</v>
      </c>
      <c r="K55" s="184">
        <f t="shared" si="4"/>
        <v>2.4199502998552394</v>
      </c>
      <c r="L55"/>
    </row>
    <row r="56" spans="1:12" ht="12" customHeight="1" x14ac:dyDescent="0.2">
      <c r="A56" s="145">
        <v>2018</v>
      </c>
      <c r="B56" s="146">
        <v>326.92397599999998</v>
      </c>
      <c r="C56" s="147">
        <v>2975.8456457936486</v>
      </c>
      <c r="D56" s="147">
        <v>228.36071293283158</v>
      </c>
      <c r="E56" s="148">
        <v>2000.28191913</v>
      </c>
      <c r="F56" s="148">
        <f t="shared" si="0"/>
        <v>5204.4882778564806</v>
      </c>
      <c r="G56" s="151">
        <v>606.13805719799996</v>
      </c>
      <c r="H56" s="147">
        <v>2006.750052522</v>
      </c>
      <c r="I56" s="147">
        <f t="shared" si="5"/>
        <v>2591.6001681364805</v>
      </c>
      <c r="J56" s="191">
        <f t="shared" si="6"/>
        <v>7.927225772319864</v>
      </c>
      <c r="K56" s="184">
        <f t="shared" si="4"/>
        <v>2.380548279975935</v>
      </c>
      <c r="L56"/>
    </row>
    <row r="57" spans="1:12" ht="12" customHeight="1" x14ac:dyDescent="0.2">
      <c r="A57" s="145">
        <v>2019</v>
      </c>
      <c r="B57" s="146">
        <v>328.475998</v>
      </c>
      <c r="C57" s="210">
        <v>2676.8560000000002</v>
      </c>
      <c r="D57" s="147">
        <v>212.72210995500001</v>
      </c>
      <c r="E57" s="211">
        <v>2006.750052522</v>
      </c>
      <c r="F57" s="148">
        <f t="shared" si="0"/>
        <v>4896.3281624770007</v>
      </c>
      <c r="G57" s="151">
        <v>610.405390926</v>
      </c>
      <c r="H57" s="210">
        <v>2320.8231510360001</v>
      </c>
      <c r="I57" s="147">
        <f t="shared" si="5"/>
        <v>1965.0996205150004</v>
      </c>
      <c r="J57" s="191">
        <f t="shared" si="6"/>
        <v>5.9824755308757762</v>
      </c>
      <c r="K57" s="213">
        <f t="shared" si="4"/>
        <v>1.796539198461194</v>
      </c>
      <c r="L57"/>
    </row>
    <row r="58" spans="1:12" ht="12" customHeight="1" thickBot="1" x14ac:dyDescent="0.25">
      <c r="A58" s="207">
        <v>2020</v>
      </c>
      <c r="B58" s="208">
        <v>330.11398000000003</v>
      </c>
      <c r="C58" s="209" t="s">
        <v>2</v>
      </c>
      <c r="D58" s="209" t="s">
        <v>2</v>
      </c>
      <c r="E58" s="209" t="s">
        <v>2</v>
      </c>
      <c r="F58" s="209" t="s">
        <v>2</v>
      </c>
      <c r="G58" s="209" t="s">
        <v>2</v>
      </c>
      <c r="H58" s="209" t="s">
        <v>2</v>
      </c>
      <c r="I58" s="209" t="s">
        <v>2</v>
      </c>
      <c r="J58" s="209" t="s">
        <v>2</v>
      </c>
      <c r="K58" s="209" t="s">
        <v>2</v>
      </c>
      <c r="L58"/>
    </row>
    <row r="59" spans="1:12" ht="12" customHeight="1" thickTop="1" x14ac:dyDescent="0.2">
      <c r="A59" s="260" t="s">
        <v>4</v>
      </c>
      <c r="B59" s="261"/>
      <c r="C59" s="261"/>
      <c r="D59" s="261"/>
      <c r="E59" s="261"/>
      <c r="F59" s="261"/>
      <c r="G59" s="261"/>
      <c r="H59" s="261"/>
      <c r="I59" s="261"/>
      <c r="J59" s="261"/>
      <c r="K59" s="262"/>
      <c r="L59"/>
    </row>
    <row r="60" spans="1:12" ht="12" customHeight="1" x14ac:dyDescent="0.2">
      <c r="A60" s="315" t="s">
        <v>93</v>
      </c>
      <c r="B60" s="316"/>
      <c r="C60" s="316"/>
      <c r="D60" s="316"/>
      <c r="E60" s="316"/>
      <c r="F60" s="316"/>
      <c r="G60" s="316"/>
      <c r="H60" s="316"/>
      <c r="I60" s="316"/>
      <c r="J60" s="316"/>
      <c r="K60" s="317"/>
      <c r="L60"/>
    </row>
    <row r="61" spans="1:12" ht="12" customHeight="1" x14ac:dyDescent="0.2">
      <c r="A61" s="308"/>
      <c r="B61" s="309"/>
      <c r="C61" s="309"/>
      <c r="D61" s="309"/>
      <c r="E61" s="309"/>
      <c r="F61" s="309"/>
      <c r="G61" s="309"/>
      <c r="H61" s="309"/>
      <c r="I61" s="309"/>
      <c r="J61" s="309"/>
      <c r="K61" s="310"/>
    </row>
    <row r="62" spans="1:12" ht="12" customHeight="1" x14ac:dyDescent="0.2">
      <c r="A62" s="299" t="s">
        <v>83</v>
      </c>
      <c r="B62" s="300"/>
      <c r="C62" s="300"/>
      <c r="D62" s="300"/>
      <c r="E62" s="300"/>
      <c r="F62" s="300"/>
      <c r="G62" s="300"/>
      <c r="H62" s="300"/>
      <c r="I62" s="300"/>
      <c r="J62" s="300"/>
      <c r="K62" s="301"/>
    </row>
    <row r="63" spans="1:12" ht="12" customHeight="1" x14ac:dyDescent="0.2">
      <c r="A63" s="299"/>
      <c r="B63" s="300"/>
      <c r="C63" s="300"/>
      <c r="D63" s="300"/>
      <c r="E63" s="300"/>
      <c r="F63" s="300"/>
      <c r="G63" s="300"/>
      <c r="H63" s="300"/>
      <c r="I63" s="300"/>
      <c r="J63" s="300"/>
      <c r="K63" s="301"/>
    </row>
    <row r="64" spans="1:12" ht="12" customHeight="1" x14ac:dyDescent="0.2">
      <c r="A64" s="299"/>
      <c r="B64" s="300"/>
      <c r="C64" s="300"/>
      <c r="D64" s="300"/>
      <c r="E64" s="300"/>
      <c r="F64" s="300"/>
      <c r="G64" s="300"/>
      <c r="H64" s="300"/>
      <c r="I64" s="300"/>
      <c r="J64" s="300"/>
      <c r="K64" s="301"/>
    </row>
    <row r="65" spans="1:11" ht="12" customHeight="1" x14ac:dyDescent="0.2">
      <c r="A65" s="308"/>
      <c r="B65" s="309"/>
      <c r="C65" s="309"/>
      <c r="D65" s="309"/>
      <c r="E65" s="309"/>
      <c r="F65" s="309"/>
      <c r="G65" s="309"/>
      <c r="H65" s="309"/>
      <c r="I65" s="309"/>
      <c r="J65" s="309"/>
      <c r="K65" s="310"/>
    </row>
    <row r="66" spans="1:11" ht="12" customHeight="1" x14ac:dyDescent="0.2">
      <c r="A66" s="290" t="s">
        <v>63</v>
      </c>
      <c r="B66" s="291"/>
      <c r="C66" s="291"/>
      <c r="D66" s="291"/>
      <c r="E66" s="291"/>
      <c r="F66" s="291"/>
      <c r="G66" s="291"/>
      <c r="H66" s="291"/>
      <c r="I66" s="291"/>
      <c r="J66" s="291"/>
      <c r="K66" s="292"/>
    </row>
  </sheetData>
  <mergeCells count="24">
    <mergeCell ref="J1:K1"/>
    <mergeCell ref="A1:I1"/>
    <mergeCell ref="J4:J6"/>
    <mergeCell ref="C3:C6"/>
    <mergeCell ref="D3:D6"/>
    <mergeCell ref="K4:K6"/>
    <mergeCell ref="A2:A6"/>
    <mergeCell ref="J3:K3"/>
    <mergeCell ref="G2:H2"/>
    <mergeCell ref="E3:E6"/>
    <mergeCell ref="I3:I6"/>
    <mergeCell ref="I2:K2"/>
    <mergeCell ref="H3:H6"/>
    <mergeCell ref="G3:G6"/>
    <mergeCell ref="B2:B6"/>
    <mergeCell ref="F3:F6"/>
    <mergeCell ref="C7:I7"/>
    <mergeCell ref="A66:K66"/>
    <mergeCell ref="A62:K64"/>
    <mergeCell ref="A61:K61"/>
    <mergeCell ref="A65:K65"/>
    <mergeCell ref="A60:K60"/>
    <mergeCell ref="J7:K7"/>
    <mergeCell ref="A59:K59"/>
  </mergeCells>
  <phoneticPr fontId="5" type="noConversion"/>
  <printOptions horizontalCentered="1" verticalCentered="1"/>
  <pageMargins left="0.75" right="0.75" top="0.75" bottom="0.75" header="0.5" footer="0.5"/>
  <pageSetup scale="82"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pageSetUpPr autoPageBreaks="0" fitToPage="1"/>
  </sheetPr>
  <dimension ref="A1:L66"/>
  <sheetViews>
    <sheetView showOutlineSymbols="0" zoomScaleNormal="100" workbookViewId="0">
      <pane ySplit="7" topLeftCell="A8" activePane="bottomLeft" state="frozen"/>
      <selection pane="bottomLeft" sqref="A1:I1"/>
    </sheetView>
  </sheetViews>
  <sheetFormatPr defaultColWidth="12.7109375" defaultRowHeight="12" customHeight="1" x14ac:dyDescent="0.2"/>
  <cols>
    <col min="1" max="1" width="12.7109375" style="24" customWidth="1"/>
    <col min="2" max="2" width="12.7109375" style="16" customWidth="1"/>
    <col min="3" max="9" width="12.7109375" style="17" customWidth="1"/>
    <col min="10" max="10" width="12.7109375" style="21" customWidth="1"/>
    <col min="11" max="12" width="12.7109375" style="18" customWidth="1"/>
    <col min="13" max="16384" width="12.7109375" style="19"/>
  </cols>
  <sheetData>
    <row r="1" spans="1:12" s="57" customFormat="1" ht="12" customHeight="1" thickBot="1" x14ac:dyDescent="0.25">
      <c r="A1" s="266" t="s">
        <v>52</v>
      </c>
      <c r="B1" s="266"/>
      <c r="C1" s="266"/>
      <c r="D1" s="266"/>
      <c r="E1" s="266"/>
      <c r="F1" s="266"/>
      <c r="G1" s="266"/>
      <c r="H1" s="266"/>
      <c r="I1" s="266"/>
      <c r="J1" s="227" t="s">
        <v>32</v>
      </c>
      <c r="K1" s="227"/>
      <c r="L1" s="56"/>
    </row>
    <row r="2" spans="1:12" ht="12" customHeight="1" thickTop="1" x14ac:dyDescent="0.2">
      <c r="A2" s="282" t="s">
        <v>0</v>
      </c>
      <c r="B2" s="274" t="s">
        <v>18</v>
      </c>
      <c r="C2" s="38" t="s">
        <v>1</v>
      </c>
      <c r="D2" s="39"/>
      <c r="E2" s="39"/>
      <c r="F2" s="39"/>
      <c r="G2" s="272" t="s">
        <v>44</v>
      </c>
      <c r="H2" s="273"/>
      <c r="I2" s="272" t="s">
        <v>43</v>
      </c>
      <c r="J2" s="273"/>
      <c r="K2" s="273"/>
    </row>
    <row r="3" spans="1:12" ht="12" customHeight="1" x14ac:dyDescent="0.2">
      <c r="A3" s="283"/>
      <c r="B3" s="275"/>
      <c r="C3" s="279" t="s">
        <v>19</v>
      </c>
      <c r="D3" s="279" t="s">
        <v>20</v>
      </c>
      <c r="E3" s="279" t="s">
        <v>66</v>
      </c>
      <c r="F3" s="279" t="s">
        <v>22</v>
      </c>
      <c r="G3" s="279" t="s">
        <v>23</v>
      </c>
      <c r="H3" s="279" t="s">
        <v>67</v>
      </c>
      <c r="I3" s="293" t="s">
        <v>37</v>
      </c>
      <c r="J3" s="288" t="s">
        <v>17</v>
      </c>
      <c r="K3" s="289"/>
      <c r="L3" s="20"/>
    </row>
    <row r="4" spans="1:12" ht="12" customHeight="1" x14ac:dyDescent="0.2">
      <c r="A4" s="283"/>
      <c r="B4" s="275"/>
      <c r="C4" s="280"/>
      <c r="D4" s="280"/>
      <c r="E4" s="280"/>
      <c r="F4" s="280"/>
      <c r="G4" s="280"/>
      <c r="H4" s="280"/>
      <c r="I4" s="294"/>
      <c r="J4" s="314" t="s">
        <v>3</v>
      </c>
      <c r="K4" s="311" t="s">
        <v>16</v>
      </c>
    </row>
    <row r="5" spans="1:12" ht="12" customHeight="1" x14ac:dyDescent="0.2">
      <c r="A5" s="283"/>
      <c r="B5" s="275"/>
      <c r="C5" s="280"/>
      <c r="D5" s="280"/>
      <c r="E5" s="280"/>
      <c r="F5" s="280"/>
      <c r="G5" s="280"/>
      <c r="H5" s="280"/>
      <c r="I5" s="294"/>
      <c r="J5" s="277"/>
      <c r="K5" s="312"/>
    </row>
    <row r="6" spans="1:12" ht="12" customHeight="1" x14ac:dyDescent="0.2">
      <c r="A6" s="284"/>
      <c r="B6" s="276"/>
      <c r="C6" s="281"/>
      <c r="D6" s="281"/>
      <c r="E6" s="281"/>
      <c r="F6" s="281"/>
      <c r="G6" s="281"/>
      <c r="H6" s="281"/>
      <c r="I6" s="295"/>
      <c r="J6" s="278"/>
      <c r="K6" s="313"/>
    </row>
    <row r="7" spans="1:12" ht="12" customHeight="1" x14ac:dyDescent="0.2">
      <c r="A7" s="73"/>
      <c r="B7" s="76" t="s">
        <v>33</v>
      </c>
      <c r="C7" s="267" t="s">
        <v>35</v>
      </c>
      <c r="D7" s="268"/>
      <c r="E7" s="268"/>
      <c r="F7" s="268"/>
      <c r="G7" s="268"/>
      <c r="H7" s="268"/>
      <c r="I7" s="268"/>
      <c r="J7" s="269" t="s">
        <v>36</v>
      </c>
      <c r="K7" s="269"/>
      <c r="L7" s="72"/>
    </row>
    <row r="8" spans="1:12" ht="12" customHeight="1" x14ac:dyDescent="0.2">
      <c r="A8" s="42">
        <v>1970</v>
      </c>
      <c r="B8" s="69">
        <v>205.05199999999999</v>
      </c>
      <c r="C8" s="43">
        <v>352.7</v>
      </c>
      <c r="D8" s="46">
        <v>0.24307000000000001</v>
      </c>
      <c r="E8" s="45">
        <v>303.06687000000005</v>
      </c>
      <c r="F8" s="45">
        <f t="shared" ref="F8:F57" si="0">SUM(C8,D8,E8)</f>
        <v>656.00994000000003</v>
      </c>
      <c r="G8" s="46">
        <v>2.1974400000000003</v>
      </c>
      <c r="H8" s="44">
        <v>260.28654999999998</v>
      </c>
      <c r="I8" s="43">
        <f t="shared" ref="I8:I50" si="1">F8-SUM(G8,H8)</f>
        <v>393.52595000000008</v>
      </c>
      <c r="J8" s="183">
        <f t="shared" ref="J8:J50" si="2">IF(I8=0,0,IF(B8=0,0,I8/B8))</f>
        <v>1.919151971207304</v>
      </c>
      <c r="K8" s="184">
        <f>J8/1.09</f>
        <v>1.7606898818415631</v>
      </c>
    </row>
    <row r="9" spans="1:12" ht="12" customHeight="1" x14ac:dyDescent="0.2">
      <c r="A9" s="78">
        <v>1971</v>
      </c>
      <c r="B9" s="79">
        <v>207.661</v>
      </c>
      <c r="C9" s="80">
        <v>394.8</v>
      </c>
      <c r="D9" s="83">
        <v>0.21364000000000002</v>
      </c>
      <c r="E9" s="82">
        <v>260.28654999999998</v>
      </c>
      <c r="F9" s="82">
        <f t="shared" si="0"/>
        <v>655.30018999999993</v>
      </c>
      <c r="G9" s="83">
        <v>1.4845800000000002</v>
      </c>
      <c r="H9" s="81">
        <v>228.47054</v>
      </c>
      <c r="I9" s="80">
        <f t="shared" si="1"/>
        <v>425.34506999999996</v>
      </c>
      <c r="J9" s="185">
        <f t="shared" si="2"/>
        <v>2.0482665016541381</v>
      </c>
      <c r="K9" s="186">
        <f t="shared" ref="K9:K42" si="3">J9/1.09</f>
        <v>1.8791435794992091</v>
      </c>
    </row>
    <row r="10" spans="1:12" ht="12" customHeight="1" x14ac:dyDescent="0.2">
      <c r="A10" s="78">
        <v>1972</v>
      </c>
      <c r="B10" s="79">
        <v>209.89599999999999</v>
      </c>
      <c r="C10" s="80">
        <v>376.1</v>
      </c>
      <c r="D10" s="83">
        <v>0.28558000000000006</v>
      </c>
      <c r="E10" s="82">
        <v>228.47054</v>
      </c>
      <c r="F10" s="82">
        <f t="shared" si="0"/>
        <v>604.85612000000003</v>
      </c>
      <c r="G10" s="83">
        <v>1.9238500000000001</v>
      </c>
      <c r="H10" s="81">
        <v>183.78163000000001</v>
      </c>
      <c r="I10" s="80">
        <f t="shared" si="1"/>
        <v>419.15064000000007</v>
      </c>
      <c r="J10" s="185">
        <f t="shared" si="2"/>
        <v>1.9969443915081759</v>
      </c>
      <c r="K10" s="186">
        <f t="shared" si="3"/>
        <v>1.8320590747781429</v>
      </c>
    </row>
    <row r="11" spans="1:12" ht="12" customHeight="1" x14ac:dyDescent="0.2">
      <c r="A11" s="78">
        <v>1973</v>
      </c>
      <c r="B11" s="79">
        <v>211.90899999999999</v>
      </c>
      <c r="C11" s="80">
        <v>424.9</v>
      </c>
      <c r="D11" s="83">
        <v>1.1935500000000001</v>
      </c>
      <c r="E11" s="82">
        <v>183.78163000000001</v>
      </c>
      <c r="F11" s="82">
        <f t="shared" si="0"/>
        <v>609.87518</v>
      </c>
      <c r="G11" s="83">
        <v>3.7953800000000006</v>
      </c>
      <c r="H11" s="81">
        <v>196.89323999999999</v>
      </c>
      <c r="I11" s="80">
        <f t="shared" si="1"/>
        <v>409.18655999999999</v>
      </c>
      <c r="J11" s="185">
        <f t="shared" si="2"/>
        <v>1.9309541359734603</v>
      </c>
      <c r="K11" s="186">
        <f t="shared" si="3"/>
        <v>1.7715175559389542</v>
      </c>
    </row>
    <row r="12" spans="1:12" ht="12" customHeight="1" x14ac:dyDescent="0.2">
      <c r="A12" s="78">
        <v>1974</v>
      </c>
      <c r="B12" s="79">
        <v>213.85400000000001</v>
      </c>
      <c r="C12" s="80">
        <v>464.1</v>
      </c>
      <c r="D12" s="81">
        <v>0.90470000000000006</v>
      </c>
      <c r="E12" s="82">
        <v>196.89323999999999</v>
      </c>
      <c r="F12" s="82">
        <f t="shared" si="0"/>
        <v>661.89794000000006</v>
      </c>
      <c r="G12" s="83">
        <v>5.5611800000000011</v>
      </c>
      <c r="H12" s="81">
        <v>241.15378000000001</v>
      </c>
      <c r="I12" s="80">
        <f t="shared" si="1"/>
        <v>415.18298000000004</v>
      </c>
      <c r="J12" s="185">
        <f t="shared" si="2"/>
        <v>1.9414319114910172</v>
      </c>
      <c r="K12" s="186">
        <f t="shared" si="3"/>
        <v>1.7811301940284561</v>
      </c>
    </row>
    <row r="13" spans="1:12" ht="12" customHeight="1" x14ac:dyDescent="0.2">
      <c r="A13" s="78">
        <v>1975</v>
      </c>
      <c r="B13" s="79">
        <v>215.97300000000001</v>
      </c>
      <c r="C13" s="80">
        <v>445</v>
      </c>
      <c r="D13" s="81">
        <v>1.0180600000000002</v>
      </c>
      <c r="E13" s="82">
        <v>241.15378000000001</v>
      </c>
      <c r="F13" s="82">
        <f t="shared" si="0"/>
        <v>687.17183999999997</v>
      </c>
      <c r="G13" s="83">
        <v>5.7857200000000004</v>
      </c>
      <c r="H13" s="81">
        <v>272.93491</v>
      </c>
      <c r="I13" s="80">
        <f t="shared" si="1"/>
        <v>408.45120999999995</v>
      </c>
      <c r="J13" s="185">
        <f t="shared" si="2"/>
        <v>1.8912142258523053</v>
      </c>
      <c r="K13" s="186">
        <f t="shared" si="3"/>
        <v>1.73505892280028</v>
      </c>
    </row>
    <row r="14" spans="1:12" ht="12" customHeight="1" x14ac:dyDescent="0.2">
      <c r="A14" s="42">
        <v>1976</v>
      </c>
      <c r="B14" s="69">
        <v>218.035</v>
      </c>
      <c r="C14" s="43">
        <v>395.4</v>
      </c>
      <c r="D14" s="44">
        <v>0.62675000000000003</v>
      </c>
      <c r="E14" s="45">
        <v>272.93491</v>
      </c>
      <c r="F14" s="45">
        <f t="shared" si="0"/>
        <v>668.96165999999994</v>
      </c>
      <c r="G14" s="46">
        <v>9.6214300000000001</v>
      </c>
      <c r="H14" s="43">
        <v>251.19377</v>
      </c>
      <c r="I14" s="43">
        <f t="shared" si="1"/>
        <v>408.14645999999993</v>
      </c>
      <c r="J14" s="183">
        <f t="shared" si="2"/>
        <v>1.87193092852065</v>
      </c>
      <c r="K14" s="184">
        <f t="shared" si="3"/>
        <v>1.7173678243308714</v>
      </c>
    </row>
    <row r="15" spans="1:12" ht="12" customHeight="1" x14ac:dyDescent="0.2">
      <c r="A15" s="42">
        <v>1977</v>
      </c>
      <c r="B15" s="69">
        <v>220.23899999999998</v>
      </c>
      <c r="C15" s="43">
        <v>383.4</v>
      </c>
      <c r="D15" s="44">
        <v>5.4489099999999997</v>
      </c>
      <c r="E15" s="45">
        <v>251.19377</v>
      </c>
      <c r="F15" s="45">
        <f t="shared" si="0"/>
        <v>640.04268000000002</v>
      </c>
      <c r="G15" s="46">
        <v>7.5744100000000003</v>
      </c>
      <c r="H15" s="43">
        <v>246.08712</v>
      </c>
      <c r="I15" s="43">
        <f t="shared" si="1"/>
        <v>386.38115000000005</v>
      </c>
      <c r="J15" s="183">
        <f t="shared" si="2"/>
        <v>1.7543720685255568</v>
      </c>
      <c r="K15" s="184">
        <f t="shared" si="3"/>
        <v>1.6095156591977584</v>
      </c>
    </row>
    <row r="16" spans="1:12" ht="12" customHeight="1" x14ac:dyDescent="0.2">
      <c r="A16" s="42">
        <v>1978</v>
      </c>
      <c r="B16" s="69">
        <v>222.58500000000001</v>
      </c>
      <c r="C16" s="43">
        <v>413.38</v>
      </c>
      <c r="D16" s="43">
        <v>10.375710000000002</v>
      </c>
      <c r="E16" s="45">
        <v>246.08712</v>
      </c>
      <c r="F16" s="45">
        <f t="shared" si="0"/>
        <v>669.84283000000005</v>
      </c>
      <c r="G16" s="44">
        <v>25.625682000000001</v>
      </c>
      <c r="H16" s="43">
        <v>248.52217999999999</v>
      </c>
      <c r="I16" s="43">
        <f t="shared" si="1"/>
        <v>395.69496800000007</v>
      </c>
      <c r="J16" s="183">
        <f t="shared" si="2"/>
        <v>1.7777252195790374</v>
      </c>
      <c r="K16" s="184">
        <f t="shared" si="3"/>
        <v>1.6309405684211351</v>
      </c>
    </row>
    <row r="17" spans="1:11" ht="12" customHeight="1" x14ac:dyDescent="0.2">
      <c r="A17" s="42">
        <v>1979</v>
      </c>
      <c r="B17" s="69">
        <v>225.05500000000001</v>
      </c>
      <c r="C17" s="43">
        <v>489.52</v>
      </c>
      <c r="D17" s="43">
        <v>9.6045350000000003</v>
      </c>
      <c r="E17" s="45">
        <v>248.52217999999999</v>
      </c>
      <c r="F17" s="45">
        <f t="shared" si="0"/>
        <v>747.64671499999997</v>
      </c>
      <c r="G17" s="44">
        <v>17.572652999999999</v>
      </c>
      <c r="H17" s="43">
        <v>305.91286000000002</v>
      </c>
      <c r="I17" s="43">
        <f t="shared" si="1"/>
        <v>424.16120199999995</v>
      </c>
      <c r="J17" s="183">
        <f t="shared" si="2"/>
        <v>1.8847001932860854</v>
      </c>
      <c r="K17" s="184">
        <f t="shared" si="3"/>
        <v>1.7290827461340232</v>
      </c>
    </row>
    <row r="18" spans="1:11" ht="12" customHeight="1" x14ac:dyDescent="0.2">
      <c r="A18" s="42">
        <v>1980</v>
      </c>
      <c r="B18" s="69">
        <v>227.726</v>
      </c>
      <c r="C18" s="43">
        <v>365.82</v>
      </c>
      <c r="D18" s="43">
        <v>9.4961889999999993</v>
      </c>
      <c r="E18" s="45">
        <v>305.91286000000002</v>
      </c>
      <c r="F18" s="45">
        <f t="shared" si="0"/>
        <v>681.22904900000003</v>
      </c>
      <c r="G18" s="46">
        <v>28.558109000000002</v>
      </c>
      <c r="H18" s="43">
        <v>246.94604000000001</v>
      </c>
      <c r="I18" s="43">
        <f t="shared" si="1"/>
        <v>405.72490000000005</v>
      </c>
      <c r="J18" s="183">
        <f t="shared" si="2"/>
        <v>1.7816362646338146</v>
      </c>
      <c r="K18" s="184">
        <f t="shared" si="3"/>
        <v>1.6345286831502885</v>
      </c>
    </row>
    <row r="19" spans="1:11" ht="12" customHeight="1" x14ac:dyDescent="0.2">
      <c r="A19" s="78">
        <v>1981</v>
      </c>
      <c r="B19" s="79">
        <v>229.96600000000001</v>
      </c>
      <c r="C19" s="80">
        <v>367.7</v>
      </c>
      <c r="D19" s="80">
        <v>10.825008</v>
      </c>
      <c r="E19" s="82">
        <v>246.94604000000001</v>
      </c>
      <c r="F19" s="82">
        <f t="shared" si="0"/>
        <v>625.471048</v>
      </c>
      <c r="G19" s="81">
        <v>36.44</v>
      </c>
      <c r="H19" s="80">
        <v>196.48339999999999</v>
      </c>
      <c r="I19" s="80">
        <f t="shared" si="1"/>
        <v>392.54764799999998</v>
      </c>
      <c r="J19" s="185">
        <f t="shared" si="2"/>
        <v>1.7069812407051477</v>
      </c>
      <c r="K19" s="186">
        <f t="shared" si="3"/>
        <v>1.5660378355093096</v>
      </c>
    </row>
    <row r="20" spans="1:11" ht="12" customHeight="1" x14ac:dyDescent="0.2">
      <c r="A20" s="78">
        <v>1982</v>
      </c>
      <c r="B20" s="79">
        <v>232.18799999999999</v>
      </c>
      <c r="C20" s="84">
        <v>461.36</v>
      </c>
      <c r="D20" s="80">
        <v>17.813870000000001</v>
      </c>
      <c r="E20" s="82">
        <v>196.48339999999999</v>
      </c>
      <c r="F20" s="82">
        <f t="shared" si="0"/>
        <v>675.65727000000004</v>
      </c>
      <c r="G20" s="81">
        <v>21.675740000000001</v>
      </c>
      <c r="H20" s="80">
        <v>269.34881000000001</v>
      </c>
      <c r="I20" s="80">
        <f t="shared" si="1"/>
        <v>384.63272000000001</v>
      </c>
      <c r="J20" s="185">
        <f t="shared" si="2"/>
        <v>1.6565572725549986</v>
      </c>
      <c r="K20" s="186">
        <f t="shared" si="3"/>
        <v>1.5197773142706408</v>
      </c>
    </row>
    <row r="21" spans="1:11" ht="12" customHeight="1" x14ac:dyDescent="0.2">
      <c r="A21" s="78">
        <v>1983</v>
      </c>
      <c r="B21" s="79">
        <v>234.30699999999999</v>
      </c>
      <c r="C21" s="84">
        <v>409.68</v>
      </c>
      <c r="D21" s="80">
        <v>21.24737</v>
      </c>
      <c r="E21" s="82">
        <v>269.34881000000001</v>
      </c>
      <c r="F21" s="82">
        <f t="shared" si="0"/>
        <v>700.27618000000007</v>
      </c>
      <c r="G21" s="81">
        <v>21.504173999999999</v>
      </c>
      <c r="H21" s="80">
        <v>249.62635</v>
      </c>
      <c r="I21" s="80">
        <f t="shared" si="1"/>
        <v>429.14565600000009</v>
      </c>
      <c r="J21" s="185">
        <f t="shared" si="2"/>
        <v>1.8315528601364881</v>
      </c>
      <c r="K21" s="186">
        <f t="shared" si="3"/>
        <v>1.6803237248958605</v>
      </c>
    </row>
    <row r="22" spans="1:11" ht="12" customHeight="1" x14ac:dyDescent="0.2">
      <c r="A22" s="78">
        <v>1984</v>
      </c>
      <c r="B22" s="79">
        <v>236.34800000000001</v>
      </c>
      <c r="C22" s="80">
        <v>492.6</v>
      </c>
      <c r="D22" s="80">
        <v>24.264490000000002</v>
      </c>
      <c r="E22" s="82">
        <v>249.62635</v>
      </c>
      <c r="F22" s="82">
        <f t="shared" si="0"/>
        <v>766.49084000000005</v>
      </c>
      <c r="G22" s="81">
        <v>21.961320000000001</v>
      </c>
      <c r="H22" s="80">
        <v>275.61849000000001</v>
      </c>
      <c r="I22" s="80">
        <f t="shared" si="1"/>
        <v>468.91103000000004</v>
      </c>
      <c r="J22" s="185">
        <f t="shared" si="2"/>
        <v>1.9839856059708565</v>
      </c>
      <c r="K22" s="186">
        <f t="shared" si="3"/>
        <v>1.8201702807072078</v>
      </c>
    </row>
    <row r="23" spans="1:11" ht="12" customHeight="1" x14ac:dyDescent="0.2">
      <c r="A23" s="78">
        <v>1985</v>
      </c>
      <c r="B23" s="79">
        <v>238.46600000000001</v>
      </c>
      <c r="C23" s="80">
        <v>564.52</v>
      </c>
      <c r="D23" s="80">
        <v>19.342050000000004</v>
      </c>
      <c r="E23" s="82">
        <v>275.61849000000001</v>
      </c>
      <c r="F23" s="82">
        <f t="shared" si="0"/>
        <v>859.48054000000002</v>
      </c>
      <c r="G23" s="83">
        <v>17.424848999999998</v>
      </c>
      <c r="H23" s="80">
        <v>343.32166000000001</v>
      </c>
      <c r="I23" s="80">
        <f t="shared" si="1"/>
        <v>498.73403100000002</v>
      </c>
      <c r="J23" s="185">
        <f t="shared" si="2"/>
        <v>2.0914261613814968</v>
      </c>
      <c r="K23" s="186">
        <f t="shared" si="3"/>
        <v>1.9187395975977033</v>
      </c>
    </row>
    <row r="24" spans="1:11" ht="12" customHeight="1" x14ac:dyDescent="0.2">
      <c r="A24" s="42">
        <v>1986</v>
      </c>
      <c r="B24" s="69">
        <v>240.65100000000001</v>
      </c>
      <c r="C24" s="43">
        <v>397.3</v>
      </c>
      <c r="D24" s="43">
        <v>19.061920000000001</v>
      </c>
      <c r="E24" s="45">
        <v>343.32166000000001</v>
      </c>
      <c r="F24" s="45">
        <f t="shared" si="0"/>
        <v>759.68358000000001</v>
      </c>
      <c r="G24" s="44">
        <v>28.862110000000001</v>
      </c>
      <c r="H24" s="43">
        <v>272.39999999999998</v>
      </c>
      <c r="I24" s="43">
        <f t="shared" si="1"/>
        <v>458.42147</v>
      </c>
      <c r="J24" s="183">
        <f t="shared" si="2"/>
        <v>1.9049223564414857</v>
      </c>
      <c r="K24" s="184">
        <f t="shared" si="3"/>
        <v>1.7476351893958584</v>
      </c>
    </row>
    <row r="25" spans="1:11" ht="12" customHeight="1" x14ac:dyDescent="0.2">
      <c r="A25" s="42">
        <v>1987</v>
      </c>
      <c r="B25" s="69">
        <v>242.804</v>
      </c>
      <c r="C25" s="43">
        <v>426.78</v>
      </c>
      <c r="D25" s="43">
        <v>21.953689999999998</v>
      </c>
      <c r="E25" s="45">
        <v>272.39999999999998</v>
      </c>
      <c r="F25" s="45">
        <f t="shared" si="0"/>
        <v>721.13368999999989</v>
      </c>
      <c r="G25" s="44">
        <v>30.1</v>
      </c>
      <c r="H25" s="43">
        <v>273.8</v>
      </c>
      <c r="I25" s="43">
        <f t="shared" si="1"/>
        <v>417.23368999999985</v>
      </c>
      <c r="J25" s="183">
        <f t="shared" si="2"/>
        <v>1.7183971021894195</v>
      </c>
      <c r="K25" s="184">
        <f t="shared" si="3"/>
        <v>1.5765111029260728</v>
      </c>
    </row>
    <row r="26" spans="1:11" ht="12" customHeight="1" x14ac:dyDescent="0.2">
      <c r="A26" s="42">
        <v>1988</v>
      </c>
      <c r="B26" s="69">
        <v>245.02099999999999</v>
      </c>
      <c r="C26" s="43">
        <v>372.8</v>
      </c>
      <c r="D26" s="43">
        <v>40.783439999999999</v>
      </c>
      <c r="E26" s="45">
        <v>273.8</v>
      </c>
      <c r="F26" s="45">
        <f t="shared" si="0"/>
        <v>687.38344000000006</v>
      </c>
      <c r="G26" s="44">
        <v>38.5</v>
      </c>
      <c r="H26" s="43">
        <v>181.8</v>
      </c>
      <c r="I26" s="43">
        <f t="shared" si="1"/>
        <v>467.08344000000005</v>
      </c>
      <c r="J26" s="183">
        <f t="shared" si="2"/>
        <v>1.9062996232975953</v>
      </c>
      <c r="K26" s="184">
        <f t="shared" si="3"/>
        <v>1.7488987369702709</v>
      </c>
    </row>
    <row r="27" spans="1:11" ht="12" customHeight="1" x14ac:dyDescent="0.2">
      <c r="A27" s="42">
        <v>1989</v>
      </c>
      <c r="B27" s="69">
        <v>247.34200000000001</v>
      </c>
      <c r="C27" s="43">
        <v>515.24</v>
      </c>
      <c r="D27" s="43">
        <v>62.828864400000015</v>
      </c>
      <c r="E27" s="45">
        <v>181.8</v>
      </c>
      <c r="F27" s="45">
        <f t="shared" si="0"/>
        <v>759.86886440000012</v>
      </c>
      <c r="G27" s="44">
        <v>17.8</v>
      </c>
      <c r="H27" s="43">
        <v>253</v>
      </c>
      <c r="I27" s="43">
        <f t="shared" si="1"/>
        <v>489.06886440000011</v>
      </c>
      <c r="J27" s="183">
        <f t="shared" si="2"/>
        <v>1.9772980909024755</v>
      </c>
      <c r="K27" s="184">
        <f t="shared" si="3"/>
        <v>1.8140349457820875</v>
      </c>
    </row>
    <row r="28" spans="1:11" ht="12" customHeight="1" x14ac:dyDescent="0.2">
      <c r="A28" s="42">
        <v>1990</v>
      </c>
      <c r="B28" s="69">
        <v>250.13200000000001</v>
      </c>
      <c r="C28" s="43">
        <v>583.29999999999995</v>
      </c>
      <c r="D28" s="43">
        <v>42.066477909999996</v>
      </c>
      <c r="E28" s="45">
        <v>253</v>
      </c>
      <c r="F28" s="45">
        <f t="shared" si="0"/>
        <v>878.36647790999996</v>
      </c>
      <c r="G28" s="46">
        <v>17.146790000000003</v>
      </c>
      <c r="H28" s="43">
        <v>307.50862000000001</v>
      </c>
      <c r="I28" s="43">
        <f t="shared" si="1"/>
        <v>553.71106790999988</v>
      </c>
      <c r="J28" s="183">
        <f t="shared" si="2"/>
        <v>2.2136754510018704</v>
      </c>
      <c r="K28" s="184">
        <f t="shared" si="3"/>
        <v>2.0308949091760278</v>
      </c>
    </row>
    <row r="29" spans="1:11" ht="12" customHeight="1" x14ac:dyDescent="0.2">
      <c r="A29" s="78">
        <v>1991</v>
      </c>
      <c r="B29" s="79">
        <v>253.49299999999999</v>
      </c>
      <c r="C29" s="80">
        <v>541.41999999999996</v>
      </c>
      <c r="D29" s="80">
        <v>36.568740269999999</v>
      </c>
      <c r="E29" s="82">
        <v>307.50862000000001</v>
      </c>
      <c r="F29" s="82">
        <f t="shared" si="0"/>
        <v>885.49736026999994</v>
      </c>
      <c r="G29" s="81">
        <v>18.722548499999998</v>
      </c>
      <c r="H29" s="80">
        <v>297.23318999999998</v>
      </c>
      <c r="I29" s="80">
        <f t="shared" si="1"/>
        <v>569.54162176999989</v>
      </c>
      <c r="J29" s="185">
        <f t="shared" si="2"/>
        <v>2.2467745530251326</v>
      </c>
      <c r="K29" s="186">
        <f t="shared" si="3"/>
        <v>2.0612610578212225</v>
      </c>
    </row>
    <row r="30" spans="1:11" ht="12" customHeight="1" x14ac:dyDescent="0.2">
      <c r="A30" s="78">
        <v>1992</v>
      </c>
      <c r="B30" s="79">
        <v>256.89400000000001</v>
      </c>
      <c r="C30" s="80">
        <v>539.12</v>
      </c>
      <c r="D30" s="80">
        <v>31.908227270000005</v>
      </c>
      <c r="E30" s="82">
        <v>297.23318999999998</v>
      </c>
      <c r="F30" s="82">
        <f t="shared" si="0"/>
        <v>868.26141727000004</v>
      </c>
      <c r="G30" s="81">
        <v>24.510422340000002</v>
      </c>
      <c r="H30" s="80">
        <v>332.62876</v>
      </c>
      <c r="I30" s="80">
        <f t="shared" si="1"/>
        <v>511.12223493000005</v>
      </c>
      <c r="J30" s="185">
        <f t="shared" si="2"/>
        <v>1.9896230932991819</v>
      </c>
      <c r="K30" s="186">
        <f t="shared" si="3"/>
        <v>1.8253422874304419</v>
      </c>
    </row>
    <row r="31" spans="1:11" ht="12" customHeight="1" x14ac:dyDescent="0.2">
      <c r="A31" s="78">
        <v>1993</v>
      </c>
      <c r="B31" s="79">
        <v>260.255</v>
      </c>
      <c r="C31" s="80">
        <v>424.82</v>
      </c>
      <c r="D31" s="80">
        <v>37.48125993</v>
      </c>
      <c r="E31" s="82">
        <v>332.62876</v>
      </c>
      <c r="F31" s="82">
        <f t="shared" si="0"/>
        <v>794.93001993000007</v>
      </c>
      <c r="G31" s="81">
        <v>25.951318410000003</v>
      </c>
      <c r="H31" s="80">
        <v>284.85842000000002</v>
      </c>
      <c r="I31" s="80">
        <f t="shared" si="1"/>
        <v>484.12028152000005</v>
      </c>
      <c r="J31" s="185">
        <f t="shared" si="2"/>
        <v>1.8601766787189489</v>
      </c>
      <c r="K31" s="186">
        <f t="shared" si="3"/>
        <v>1.7065841089164668</v>
      </c>
    </row>
    <row r="32" spans="1:11" ht="12" customHeight="1" x14ac:dyDescent="0.2">
      <c r="A32" s="78">
        <v>1994</v>
      </c>
      <c r="B32" s="79">
        <v>263.43599999999998</v>
      </c>
      <c r="C32" s="80">
        <v>548.16</v>
      </c>
      <c r="D32" s="80">
        <v>38.4</v>
      </c>
      <c r="E32" s="82">
        <v>284.85842000000002</v>
      </c>
      <c r="F32" s="82">
        <f t="shared" si="0"/>
        <v>871.41841999999997</v>
      </c>
      <c r="G32" s="81">
        <v>25.25947034</v>
      </c>
      <c r="H32" s="80">
        <v>283.93083000000007</v>
      </c>
      <c r="I32" s="80">
        <f t="shared" si="1"/>
        <v>562.22811965999995</v>
      </c>
      <c r="J32" s="185">
        <f t="shared" si="2"/>
        <v>2.1342114200792603</v>
      </c>
      <c r="K32" s="186">
        <f t="shared" si="3"/>
        <v>1.9579921285130828</v>
      </c>
    </row>
    <row r="33" spans="1:11" ht="12" customHeight="1" x14ac:dyDescent="0.2">
      <c r="A33" s="78">
        <v>1995</v>
      </c>
      <c r="B33" s="79">
        <v>266.55700000000002</v>
      </c>
      <c r="C33" s="80">
        <v>583.36</v>
      </c>
      <c r="D33" s="80">
        <v>31.92569125</v>
      </c>
      <c r="E33" s="82">
        <v>283.93083000000007</v>
      </c>
      <c r="F33" s="82">
        <f t="shared" si="0"/>
        <v>899.21652125000014</v>
      </c>
      <c r="G33" s="83">
        <v>39.195658800000004</v>
      </c>
      <c r="H33" s="80">
        <v>306.67041</v>
      </c>
      <c r="I33" s="80">
        <f t="shared" si="1"/>
        <v>553.35045245000015</v>
      </c>
      <c r="J33" s="185">
        <f t="shared" si="2"/>
        <v>2.0759179179312497</v>
      </c>
      <c r="K33" s="186">
        <f t="shared" si="3"/>
        <v>1.904511851313073</v>
      </c>
    </row>
    <row r="34" spans="1:11" ht="12" customHeight="1" x14ac:dyDescent="0.2">
      <c r="A34" s="42">
        <v>1996</v>
      </c>
      <c r="B34" s="69">
        <v>269.66699999999997</v>
      </c>
      <c r="C34" s="43">
        <v>437.01600000000002</v>
      </c>
      <c r="D34" s="43">
        <v>36.05117448</v>
      </c>
      <c r="E34" s="45">
        <v>306.67041</v>
      </c>
      <c r="F34" s="45">
        <f t="shared" si="0"/>
        <v>779.73758448000001</v>
      </c>
      <c r="G34" s="44">
        <v>36.703052250000006</v>
      </c>
      <c r="H34" s="43">
        <v>227.10913000000002</v>
      </c>
      <c r="I34" s="43">
        <f t="shared" si="1"/>
        <v>515.92540222999992</v>
      </c>
      <c r="J34" s="183">
        <f t="shared" si="2"/>
        <v>1.9131944295371699</v>
      </c>
      <c r="K34" s="184">
        <f t="shared" si="3"/>
        <v>1.7552242472818071</v>
      </c>
    </row>
    <row r="35" spans="1:11" ht="12" customHeight="1" x14ac:dyDescent="0.2">
      <c r="A35" s="42">
        <v>1997</v>
      </c>
      <c r="B35" s="69">
        <v>272.91199999999998</v>
      </c>
      <c r="C35" s="43">
        <v>552.1</v>
      </c>
      <c r="D35" s="43">
        <v>40.983378700000003</v>
      </c>
      <c r="E35" s="45">
        <v>227.10913000000002</v>
      </c>
      <c r="F35" s="45">
        <f t="shared" si="0"/>
        <v>820.19250870000008</v>
      </c>
      <c r="G35" s="44">
        <v>28.754409280000004</v>
      </c>
      <c r="H35" s="43">
        <v>239.29097000000002</v>
      </c>
      <c r="I35" s="43">
        <f t="shared" si="1"/>
        <v>552.14712942000006</v>
      </c>
      <c r="J35" s="183">
        <f t="shared" si="2"/>
        <v>2.0231691146596709</v>
      </c>
      <c r="K35" s="184">
        <f t="shared" si="3"/>
        <v>1.8561184538162117</v>
      </c>
    </row>
    <row r="36" spans="1:11" ht="12" customHeight="1" x14ac:dyDescent="0.2">
      <c r="A36" s="42">
        <v>1998</v>
      </c>
      <c r="B36" s="69">
        <v>276.11500000000001</v>
      </c>
      <c r="C36" s="43">
        <v>580.9</v>
      </c>
      <c r="D36" s="43">
        <v>34.471781920000005</v>
      </c>
      <c r="E36" s="45">
        <v>239.29097000000002</v>
      </c>
      <c r="F36" s="45">
        <f t="shared" si="0"/>
        <v>854.66275192000001</v>
      </c>
      <c r="G36" s="44">
        <v>28.897897970000006</v>
      </c>
      <c r="H36" s="43">
        <v>302.86522000000002</v>
      </c>
      <c r="I36" s="43">
        <f t="shared" si="1"/>
        <v>522.89963394999995</v>
      </c>
      <c r="J36" s="183">
        <f t="shared" si="2"/>
        <v>1.8937748182822371</v>
      </c>
      <c r="K36" s="184">
        <f t="shared" si="3"/>
        <v>1.73740809016719</v>
      </c>
    </row>
    <row r="37" spans="1:11" ht="12" customHeight="1" x14ac:dyDescent="0.2">
      <c r="A37" s="42">
        <v>1999</v>
      </c>
      <c r="B37" s="69">
        <v>279.29500000000002</v>
      </c>
      <c r="C37" s="43">
        <v>550.32000000000005</v>
      </c>
      <c r="D37" s="43">
        <v>49.09050331000001</v>
      </c>
      <c r="E37" s="45">
        <v>302.86522000000002</v>
      </c>
      <c r="F37" s="45">
        <f t="shared" si="0"/>
        <v>902.2757233100001</v>
      </c>
      <c r="G37" s="44">
        <v>32.73114348</v>
      </c>
      <c r="H37" s="43">
        <v>301.00785999999999</v>
      </c>
      <c r="I37" s="43">
        <f t="shared" si="1"/>
        <v>568.53671983000004</v>
      </c>
      <c r="J37" s="183">
        <f t="shared" si="2"/>
        <v>2.0356136695250542</v>
      </c>
      <c r="K37" s="184">
        <f t="shared" si="3"/>
        <v>1.86753547662849</v>
      </c>
    </row>
    <row r="38" spans="1:11" ht="12" customHeight="1" x14ac:dyDescent="0.2">
      <c r="A38" s="42">
        <v>2000</v>
      </c>
      <c r="B38" s="69">
        <v>282.38499999999999</v>
      </c>
      <c r="C38" s="43">
        <v>614.38</v>
      </c>
      <c r="D38" s="43">
        <v>42.886886030000007</v>
      </c>
      <c r="E38" s="45">
        <v>301.00785999999999</v>
      </c>
      <c r="F38" s="45">
        <f t="shared" si="0"/>
        <v>958.27474602999996</v>
      </c>
      <c r="G38" s="44">
        <v>33.736518060000002</v>
      </c>
      <c r="H38" s="43">
        <v>322.40456</v>
      </c>
      <c r="I38" s="43">
        <f t="shared" si="1"/>
        <v>602.13366797000003</v>
      </c>
      <c r="J38" s="183">
        <f t="shared" si="2"/>
        <v>2.1323146341696622</v>
      </c>
      <c r="K38" s="184">
        <f t="shared" si="3"/>
        <v>1.9562519579538185</v>
      </c>
    </row>
    <row r="39" spans="1:11" ht="12" customHeight="1" x14ac:dyDescent="0.2">
      <c r="A39" s="78">
        <v>2001</v>
      </c>
      <c r="B39" s="79">
        <v>285.30901899999998</v>
      </c>
      <c r="C39" s="80">
        <v>470.36</v>
      </c>
      <c r="D39" s="80">
        <v>42.617306140000004</v>
      </c>
      <c r="E39" s="82">
        <v>322.40456</v>
      </c>
      <c r="F39" s="82">
        <f t="shared" si="0"/>
        <v>835.38186614000006</v>
      </c>
      <c r="G39" s="81">
        <v>26.494735730000002</v>
      </c>
      <c r="H39" s="80">
        <v>244.93935000000002</v>
      </c>
      <c r="I39" s="80">
        <f t="shared" si="1"/>
        <v>563.94778041000006</v>
      </c>
      <c r="J39" s="185">
        <f t="shared" si="2"/>
        <v>1.9766209367885426</v>
      </c>
      <c r="K39" s="186">
        <f t="shared" si="3"/>
        <v>1.8134137034757269</v>
      </c>
    </row>
    <row r="40" spans="1:11" ht="12" customHeight="1" x14ac:dyDescent="0.2">
      <c r="A40" s="78">
        <v>2002</v>
      </c>
      <c r="B40" s="79">
        <v>288.10481800000002</v>
      </c>
      <c r="C40" s="80">
        <v>424.32</v>
      </c>
      <c r="D40" s="80">
        <v>44.190951130000009</v>
      </c>
      <c r="E40" s="82">
        <v>244.93935000000002</v>
      </c>
      <c r="F40" s="82">
        <f t="shared" si="0"/>
        <v>713.45030113000007</v>
      </c>
      <c r="G40" s="81">
        <v>36.65142396400001</v>
      </c>
      <c r="H40" s="80">
        <v>186.56549000000001</v>
      </c>
      <c r="I40" s="80">
        <f t="shared" si="1"/>
        <v>490.23338716600006</v>
      </c>
      <c r="J40" s="185">
        <f t="shared" si="2"/>
        <v>1.701579968600178</v>
      </c>
      <c r="K40" s="186">
        <f t="shared" si="3"/>
        <v>1.5610825400001631</v>
      </c>
    </row>
    <row r="41" spans="1:11" ht="12" customHeight="1" x14ac:dyDescent="0.2">
      <c r="A41" s="78">
        <v>2003</v>
      </c>
      <c r="B41" s="79">
        <v>290.81963400000001</v>
      </c>
      <c r="C41" s="80">
        <v>506.3</v>
      </c>
      <c r="D41" s="80">
        <v>68.42523614000001</v>
      </c>
      <c r="E41" s="82">
        <v>186.56549000000001</v>
      </c>
      <c r="F41" s="82">
        <f t="shared" si="0"/>
        <v>761.29072614000006</v>
      </c>
      <c r="G41" s="81">
        <v>34.973710570000009</v>
      </c>
      <c r="H41" s="80">
        <v>197.12650000000002</v>
      </c>
      <c r="I41" s="80">
        <f t="shared" si="1"/>
        <v>529.19051557</v>
      </c>
      <c r="J41" s="185">
        <f t="shared" si="2"/>
        <v>1.8196519550327197</v>
      </c>
      <c r="K41" s="186">
        <f t="shared" si="3"/>
        <v>1.6694054633327702</v>
      </c>
    </row>
    <row r="42" spans="1:11" ht="12" customHeight="1" x14ac:dyDescent="0.2">
      <c r="A42" s="78">
        <v>2004</v>
      </c>
      <c r="B42" s="79">
        <v>293.46318500000001</v>
      </c>
      <c r="C42" s="80">
        <v>489.68</v>
      </c>
      <c r="D42" s="80">
        <v>61.018279570000004</v>
      </c>
      <c r="E42" s="82">
        <v>197.12650000000002</v>
      </c>
      <c r="F42" s="82">
        <f t="shared" si="0"/>
        <v>747.82477957000015</v>
      </c>
      <c r="G42" s="81">
        <v>30.212245040000003</v>
      </c>
      <c r="H42" s="80">
        <v>251.05534</v>
      </c>
      <c r="I42" s="80">
        <f t="shared" si="1"/>
        <v>466.55719453000012</v>
      </c>
      <c r="J42" s="185">
        <f t="shared" si="2"/>
        <v>1.58983210970739</v>
      </c>
      <c r="K42" s="186">
        <f t="shared" si="3"/>
        <v>1.4585615685388897</v>
      </c>
    </row>
    <row r="43" spans="1:11" ht="12" customHeight="1" x14ac:dyDescent="0.2">
      <c r="A43" s="78">
        <v>2005</v>
      </c>
      <c r="B43" s="79">
        <v>296.186216</v>
      </c>
      <c r="C43" s="80">
        <v>439.92</v>
      </c>
      <c r="D43" s="80">
        <v>53.345735310000009</v>
      </c>
      <c r="E43" s="82">
        <v>251.05534</v>
      </c>
      <c r="F43" s="82">
        <f t="shared" si="0"/>
        <v>744.32107530999997</v>
      </c>
      <c r="G43" s="81">
        <v>31.382725860000001</v>
      </c>
      <c r="H43" s="80">
        <v>237.48117000000002</v>
      </c>
      <c r="I43" s="80">
        <f t="shared" si="1"/>
        <v>475.45717944999996</v>
      </c>
      <c r="J43" s="185">
        <f t="shared" si="2"/>
        <v>1.6052643700677818</v>
      </c>
      <c r="K43" s="186">
        <f>J43/1.11</f>
        <v>1.4461841171781817</v>
      </c>
    </row>
    <row r="44" spans="1:11" ht="12" customHeight="1" x14ac:dyDescent="0.2">
      <c r="A44" s="42">
        <v>2006</v>
      </c>
      <c r="B44" s="69">
        <v>298.99582500000002</v>
      </c>
      <c r="C44" s="43">
        <v>467.18</v>
      </c>
      <c r="D44" s="43">
        <v>59.824985130000009</v>
      </c>
      <c r="E44" s="45">
        <v>237.48117000000002</v>
      </c>
      <c r="F44" s="45">
        <f t="shared" si="0"/>
        <v>764.48615513000004</v>
      </c>
      <c r="G44" s="44">
        <v>34.02099939</v>
      </c>
      <c r="H44" s="43">
        <v>255.68961000000002</v>
      </c>
      <c r="I44" s="43">
        <f t="shared" si="1"/>
        <v>474.77554574000004</v>
      </c>
      <c r="J44" s="183">
        <f t="shared" si="2"/>
        <v>1.5879002515837806</v>
      </c>
      <c r="K44" s="184">
        <f t="shared" ref="K44:K57" si="4">J44/1.11</f>
        <v>1.4305407671925949</v>
      </c>
    </row>
    <row r="45" spans="1:11" ht="12" customHeight="1" x14ac:dyDescent="0.2">
      <c r="A45" s="42">
        <v>2007</v>
      </c>
      <c r="B45" s="69">
        <v>302.003917</v>
      </c>
      <c r="C45" s="43">
        <v>521.20000000000005</v>
      </c>
      <c r="D45" s="43">
        <v>62.935245090000009</v>
      </c>
      <c r="E45" s="45">
        <v>255.68961000000002</v>
      </c>
      <c r="F45" s="45">
        <f t="shared" si="0"/>
        <v>839.82485509000003</v>
      </c>
      <c r="G45" s="44">
        <v>27.405014220000005</v>
      </c>
      <c r="H45" s="43">
        <v>258.23817000000003</v>
      </c>
      <c r="I45" s="43">
        <f t="shared" si="1"/>
        <v>554.18167087000006</v>
      </c>
      <c r="J45" s="183">
        <f t="shared" si="2"/>
        <v>1.8350148447577919</v>
      </c>
      <c r="K45" s="184">
        <f t="shared" si="4"/>
        <v>1.6531665268088214</v>
      </c>
    </row>
    <row r="46" spans="1:11" ht="12" customHeight="1" x14ac:dyDescent="0.2">
      <c r="A46" s="42">
        <v>2008</v>
      </c>
      <c r="B46" s="69">
        <v>304.79776099999998</v>
      </c>
      <c r="C46" s="43">
        <v>536.44000000000005</v>
      </c>
      <c r="D46" s="43">
        <v>77.335354257730813</v>
      </c>
      <c r="E46" s="45">
        <v>258.23817000000003</v>
      </c>
      <c r="F46" s="45">
        <f t="shared" si="0"/>
        <v>872.01352425773098</v>
      </c>
      <c r="G46" s="44">
        <v>40.493941986115203</v>
      </c>
      <c r="H46" s="43">
        <v>283.57281</v>
      </c>
      <c r="I46" s="43">
        <f t="shared" si="1"/>
        <v>547.94677227161583</v>
      </c>
      <c r="J46" s="183">
        <f t="shared" si="2"/>
        <v>1.7977388366432778</v>
      </c>
      <c r="K46" s="184">
        <f t="shared" si="4"/>
        <v>1.6195845375164664</v>
      </c>
    </row>
    <row r="47" spans="1:11" ht="12" customHeight="1" x14ac:dyDescent="0.2">
      <c r="A47" s="42">
        <v>2009</v>
      </c>
      <c r="B47" s="69">
        <v>307.43940600000002</v>
      </c>
      <c r="C47" s="43">
        <v>502.56</v>
      </c>
      <c r="D47" s="43">
        <v>72.283182227856614</v>
      </c>
      <c r="E47" s="45">
        <v>283.57281</v>
      </c>
      <c r="F47" s="45">
        <f t="shared" si="0"/>
        <v>858.41599222785658</v>
      </c>
      <c r="G47" s="44">
        <v>34.112817833179804</v>
      </c>
      <c r="H47" s="43">
        <v>305.94375000000002</v>
      </c>
      <c r="I47" s="43">
        <f t="shared" si="1"/>
        <v>518.35942439467681</v>
      </c>
      <c r="J47" s="183">
        <f t="shared" si="2"/>
        <v>1.6860539484475741</v>
      </c>
      <c r="K47" s="184">
        <f t="shared" si="4"/>
        <v>1.5189675211239404</v>
      </c>
    </row>
    <row r="48" spans="1:11" ht="12" customHeight="1" x14ac:dyDescent="0.2">
      <c r="A48" s="42">
        <v>2010</v>
      </c>
      <c r="B48" s="69">
        <v>309.74127900000002</v>
      </c>
      <c r="C48" s="43">
        <v>441.14</v>
      </c>
      <c r="D48" s="43">
        <v>65.536657609984005</v>
      </c>
      <c r="E48" s="45">
        <v>305.94375000000002</v>
      </c>
      <c r="F48" s="45">
        <f t="shared" si="0"/>
        <v>812.620407609984</v>
      </c>
      <c r="G48" s="44">
        <v>38.494946540775999</v>
      </c>
      <c r="H48" s="43">
        <v>307.01157000000001</v>
      </c>
      <c r="I48" s="43">
        <f t="shared" si="1"/>
        <v>467.11389106920797</v>
      </c>
      <c r="J48" s="183">
        <f t="shared" si="2"/>
        <v>1.5080776207074678</v>
      </c>
      <c r="K48" s="184">
        <f t="shared" si="4"/>
        <v>1.3586284871238448</v>
      </c>
    </row>
    <row r="49" spans="1:12" ht="12" customHeight="1" x14ac:dyDescent="0.2">
      <c r="A49" s="86">
        <v>2011</v>
      </c>
      <c r="B49" s="87">
        <v>311.97391399999998</v>
      </c>
      <c r="C49" s="88">
        <v>440.16</v>
      </c>
      <c r="D49" s="88">
        <v>57.273663585973999</v>
      </c>
      <c r="E49" s="89">
        <v>307.01157000000001</v>
      </c>
      <c r="F49" s="89">
        <f t="shared" si="0"/>
        <v>804.44523358597405</v>
      </c>
      <c r="G49" s="90">
        <v>47.517393794397996</v>
      </c>
      <c r="H49" s="88">
        <v>265.18898999999999</v>
      </c>
      <c r="I49" s="88">
        <f t="shared" si="1"/>
        <v>491.73884979157606</v>
      </c>
      <c r="J49" s="187">
        <f t="shared" si="2"/>
        <v>1.5762178429815004</v>
      </c>
      <c r="K49" s="186">
        <f t="shared" si="4"/>
        <v>1.4200160747581083</v>
      </c>
    </row>
    <row r="50" spans="1:12" ht="12" customHeight="1" x14ac:dyDescent="0.2">
      <c r="A50" s="86">
        <v>2012</v>
      </c>
      <c r="B50" s="87">
        <v>314.16755799999999</v>
      </c>
      <c r="C50" s="88">
        <v>553.76</v>
      </c>
      <c r="D50" s="88">
        <v>60.836256973975999</v>
      </c>
      <c r="E50" s="89">
        <v>265.18898999999999</v>
      </c>
      <c r="F50" s="89">
        <f t="shared" si="0"/>
        <v>879.78524697397597</v>
      </c>
      <c r="G50" s="90">
        <v>42.522054685549996</v>
      </c>
      <c r="H50" s="88">
        <v>243.71049000000002</v>
      </c>
      <c r="I50" s="88">
        <f t="shared" si="1"/>
        <v>593.55270228842596</v>
      </c>
      <c r="J50" s="187">
        <f t="shared" si="2"/>
        <v>1.8892870609142463</v>
      </c>
      <c r="K50" s="186">
        <f t="shared" si="4"/>
        <v>1.7020604152380596</v>
      </c>
      <c r="L50"/>
    </row>
    <row r="51" spans="1:12" ht="12" customHeight="1" x14ac:dyDescent="0.2">
      <c r="A51" s="86">
        <v>2013</v>
      </c>
      <c r="B51" s="87">
        <v>316.29476599999998</v>
      </c>
      <c r="C51" s="88">
        <v>464.1</v>
      </c>
      <c r="D51" s="88">
        <v>66.024666561171998</v>
      </c>
      <c r="E51" s="89">
        <v>243.71049000000002</v>
      </c>
      <c r="F51" s="89">
        <f t="shared" si="0"/>
        <v>773.83515656117208</v>
      </c>
      <c r="G51" s="90">
        <v>41.728507228099993</v>
      </c>
      <c r="H51" s="88">
        <v>253.73046000000005</v>
      </c>
      <c r="I51" s="88">
        <f t="shared" ref="I51:I57" si="5">F51-SUM(G51,H51)</f>
        <v>478.37618933307203</v>
      </c>
      <c r="J51" s="187">
        <f t="shared" ref="J51:J57" si="6">IF(I51=0,0,IF(B51=0,0,I51/B51))</f>
        <v>1.5124378926114512</v>
      </c>
      <c r="K51" s="186">
        <f t="shared" si="4"/>
        <v>1.3625566600103163</v>
      </c>
      <c r="L51"/>
    </row>
    <row r="52" spans="1:12" ht="12" customHeight="1" x14ac:dyDescent="0.2">
      <c r="A52" s="86">
        <v>2014</v>
      </c>
      <c r="B52" s="87">
        <v>318.576955</v>
      </c>
      <c r="C52" s="88">
        <v>488.3</v>
      </c>
      <c r="D52" s="88">
        <v>68.518642715710001</v>
      </c>
      <c r="E52" s="89">
        <v>253.73046000000005</v>
      </c>
      <c r="F52" s="89">
        <f t="shared" si="0"/>
        <v>810.54910271570998</v>
      </c>
      <c r="G52" s="90">
        <v>40.704526053927992</v>
      </c>
      <c r="H52" s="88">
        <v>270.00861000000003</v>
      </c>
      <c r="I52" s="88">
        <f t="shared" si="5"/>
        <v>499.83596666178198</v>
      </c>
      <c r="J52" s="187">
        <f t="shared" si="6"/>
        <v>1.5689646059357369</v>
      </c>
      <c r="K52" s="186">
        <f t="shared" si="4"/>
        <v>1.4134816269691322</v>
      </c>
      <c r="L52"/>
    </row>
    <row r="53" spans="1:12" ht="12" customHeight="1" x14ac:dyDescent="0.2">
      <c r="A53" s="86">
        <v>2015</v>
      </c>
      <c r="B53" s="87">
        <v>320.87070299999999</v>
      </c>
      <c r="C53" s="88">
        <v>484.66</v>
      </c>
      <c r="D53" s="88">
        <v>67.549141008668002</v>
      </c>
      <c r="E53" s="89">
        <v>270.00861000000003</v>
      </c>
      <c r="F53" s="89">
        <f t="shared" si="0"/>
        <v>822.21775100866807</v>
      </c>
      <c r="G53" s="90">
        <v>43.037096025791996</v>
      </c>
      <c r="H53" s="88">
        <v>305.00358000000006</v>
      </c>
      <c r="I53" s="88">
        <f t="shared" si="5"/>
        <v>474.17707498287604</v>
      </c>
      <c r="J53" s="187">
        <f t="shared" si="6"/>
        <v>1.477782391940208</v>
      </c>
      <c r="K53" s="186">
        <f t="shared" si="4"/>
        <v>1.3313354882344215</v>
      </c>
      <c r="L53"/>
    </row>
    <row r="54" spans="1:12" ht="12" customHeight="1" x14ac:dyDescent="0.2">
      <c r="A54" s="119">
        <v>2016</v>
      </c>
      <c r="B54" s="120">
        <v>323.16101099999997</v>
      </c>
      <c r="C54" s="121">
        <v>357.40434664008563</v>
      </c>
      <c r="D54" s="121">
        <v>66.897950714781999</v>
      </c>
      <c r="E54" s="122">
        <v>305.00358000000006</v>
      </c>
      <c r="F54" s="122">
        <f t="shared" si="0"/>
        <v>729.30587735486768</v>
      </c>
      <c r="G54" s="128">
        <v>47.297533455000007</v>
      </c>
      <c r="H54" s="121">
        <v>359.4402</v>
      </c>
      <c r="I54" s="121">
        <f t="shared" si="5"/>
        <v>322.56814389986766</v>
      </c>
      <c r="J54" s="189">
        <f t="shared" si="6"/>
        <v>0.99816541265823588</v>
      </c>
      <c r="K54" s="184">
        <f t="shared" si="4"/>
        <v>0.89924811951192418</v>
      </c>
      <c r="L54"/>
    </row>
    <row r="55" spans="1:12" ht="12" customHeight="1" x14ac:dyDescent="0.2">
      <c r="A55" s="119">
        <v>2017</v>
      </c>
      <c r="B55" s="120">
        <v>325.20603</v>
      </c>
      <c r="C55" s="121">
        <v>348.28780861616264</v>
      </c>
      <c r="D55" s="121">
        <v>59.589888505158001</v>
      </c>
      <c r="E55" s="122">
        <v>359.4402</v>
      </c>
      <c r="F55" s="122">
        <f t="shared" si="0"/>
        <v>767.31789712132058</v>
      </c>
      <c r="G55" s="128">
        <v>37.406576535000006</v>
      </c>
      <c r="H55" s="121">
        <v>307.69866000000002</v>
      </c>
      <c r="I55" s="121">
        <f t="shared" si="5"/>
        <v>422.21266058632057</v>
      </c>
      <c r="J55" s="189">
        <f t="shared" si="6"/>
        <v>1.2982928409609151</v>
      </c>
      <c r="K55" s="184">
        <f t="shared" si="4"/>
        <v>1.1696331900548784</v>
      </c>
      <c r="L55"/>
    </row>
    <row r="56" spans="1:12" ht="12" customHeight="1" x14ac:dyDescent="0.2">
      <c r="A56" s="145">
        <v>2018</v>
      </c>
      <c r="B56" s="146">
        <v>326.92397599999998</v>
      </c>
      <c r="C56" s="147">
        <v>298.01193367694253</v>
      </c>
      <c r="D56" s="147">
        <v>78.826562885399994</v>
      </c>
      <c r="E56" s="148">
        <v>307.69866000000002</v>
      </c>
      <c r="F56" s="148">
        <f t="shared" si="0"/>
        <v>684.53715656234249</v>
      </c>
      <c r="G56" s="151">
        <v>36.910105614000003</v>
      </c>
      <c r="H56" s="147">
        <v>230.66688000000002</v>
      </c>
      <c r="I56" s="147">
        <f t="shared" si="5"/>
        <v>416.96017094834247</v>
      </c>
      <c r="J56" s="191">
        <f t="shared" si="6"/>
        <v>1.2754040742130901</v>
      </c>
      <c r="K56" s="184">
        <f t="shared" si="4"/>
        <v>1.1490126794712523</v>
      </c>
      <c r="L56"/>
    </row>
    <row r="57" spans="1:12" ht="12" customHeight="1" x14ac:dyDescent="0.2">
      <c r="A57" s="145">
        <v>2019</v>
      </c>
      <c r="B57" s="146">
        <v>328.475998</v>
      </c>
      <c r="C57" s="210">
        <v>294.97500000000002</v>
      </c>
      <c r="D57" s="147">
        <v>83.991165442601996</v>
      </c>
      <c r="E57" s="211">
        <v>230.66688000000002</v>
      </c>
      <c r="F57" s="148">
        <f t="shared" si="0"/>
        <v>609.633045442602</v>
      </c>
      <c r="G57" s="151">
        <v>35.183392277999999</v>
      </c>
      <c r="H57" s="210">
        <v>236.03928000000002</v>
      </c>
      <c r="I57" s="147">
        <f t="shared" si="5"/>
        <v>338.41037316460199</v>
      </c>
      <c r="J57" s="191">
        <f t="shared" si="6"/>
        <v>1.0302438388956565</v>
      </c>
      <c r="K57" s="184">
        <f t="shared" si="4"/>
        <v>0.92814760260869944</v>
      </c>
      <c r="L57"/>
    </row>
    <row r="58" spans="1:12" ht="12" customHeight="1" thickBot="1" x14ac:dyDescent="0.25">
      <c r="A58" s="207">
        <v>2020</v>
      </c>
      <c r="B58" s="208">
        <v>330.11398000000003</v>
      </c>
      <c r="C58" s="209" t="s">
        <v>2</v>
      </c>
      <c r="D58" s="209" t="s">
        <v>2</v>
      </c>
      <c r="E58" s="209" t="s">
        <v>2</v>
      </c>
      <c r="F58" s="209" t="s">
        <v>2</v>
      </c>
      <c r="G58" s="209" t="s">
        <v>2</v>
      </c>
      <c r="H58" s="209" t="s">
        <v>2</v>
      </c>
      <c r="I58" s="209" t="s">
        <v>2</v>
      </c>
      <c r="J58" s="209" t="s">
        <v>2</v>
      </c>
      <c r="K58" s="209" t="s">
        <v>2</v>
      </c>
      <c r="L58"/>
    </row>
    <row r="59" spans="1:12" ht="12" customHeight="1" thickTop="1" x14ac:dyDescent="0.2">
      <c r="A59" s="260" t="s">
        <v>4</v>
      </c>
      <c r="B59" s="261"/>
      <c r="C59" s="261"/>
      <c r="D59" s="261"/>
      <c r="E59" s="261"/>
      <c r="F59" s="261"/>
      <c r="G59" s="261"/>
      <c r="H59" s="261"/>
      <c r="I59" s="261"/>
      <c r="J59" s="261"/>
      <c r="K59" s="262"/>
      <c r="L59"/>
    </row>
    <row r="60" spans="1:12" ht="12" customHeight="1" x14ac:dyDescent="0.2">
      <c r="A60" s="315" t="s">
        <v>94</v>
      </c>
      <c r="B60" s="316"/>
      <c r="C60" s="316"/>
      <c r="D60" s="316"/>
      <c r="E60" s="316"/>
      <c r="F60" s="316"/>
      <c r="G60" s="316"/>
      <c r="H60" s="316"/>
      <c r="I60" s="316"/>
      <c r="J60" s="316"/>
      <c r="K60" s="317"/>
      <c r="L60"/>
    </row>
    <row r="61" spans="1:12" ht="12" customHeight="1" x14ac:dyDescent="0.2">
      <c r="A61" s="308"/>
      <c r="B61" s="309"/>
      <c r="C61" s="309"/>
      <c r="D61" s="309"/>
      <c r="E61" s="309"/>
      <c r="F61" s="309"/>
      <c r="G61" s="309"/>
      <c r="H61" s="309"/>
      <c r="I61" s="309"/>
      <c r="J61" s="309"/>
      <c r="K61" s="310"/>
      <c r="L61"/>
    </row>
    <row r="62" spans="1:12" ht="12" customHeight="1" x14ac:dyDescent="0.2">
      <c r="A62" s="296" t="s">
        <v>84</v>
      </c>
      <c r="B62" s="297"/>
      <c r="C62" s="297"/>
      <c r="D62" s="297"/>
      <c r="E62" s="297"/>
      <c r="F62" s="297"/>
      <c r="G62" s="297"/>
      <c r="H62" s="297"/>
      <c r="I62" s="297"/>
      <c r="J62" s="297"/>
      <c r="K62" s="298"/>
    </row>
    <row r="63" spans="1:12" ht="12" customHeight="1" x14ac:dyDescent="0.2">
      <c r="A63" s="296"/>
      <c r="B63" s="297"/>
      <c r="C63" s="297"/>
      <c r="D63" s="297"/>
      <c r="E63" s="297"/>
      <c r="F63" s="297"/>
      <c r="G63" s="297"/>
      <c r="H63" s="297"/>
      <c r="I63" s="297"/>
      <c r="J63" s="297"/>
      <c r="K63" s="298"/>
    </row>
    <row r="64" spans="1:12" ht="12" customHeight="1" x14ac:dyDescent="0.2">
      <c r="A64" s="299"/>
      <c r="B64" s="300"/>
      <c r="C64" s="300"/>
      <c r="D64" s="300"/>
      <c r="E64" s="300"/>
      <c r="F64" s="300"/>
      <c r="G64" s="300"/>
      <c r="H64" s="300"/>
      <c r="I64" s="300"/>
      <c r="J64" s="300"/>
      <c r="K64" s="301"/>
    </row>
    <row r="65" spans="1:11" ht="12" customHeight="1" x14ac:dyDescent="0.2">
      <c r="A65" s="308"/>
      <c r="B65" s="309"/>
      <c r="C65" s="309"/>
      <c r="D65" s="309"/>
      <c r="E65" s="309"/>
      <c r="F65" s="309"/>
      <c r="G65" s="309"/>
      <c r="H65" s="309"/>
      <c r="I65" s="309"/>
      <c r="J65" s="309"/>
      <c r="K65" s="310"/>
    </row>
    <row r="66" spans="1:11" ht="12" customHeight="1" x14ac:dyDescent="0.2">
      <c r="A66" s="290" t="s">
        <v>63</v>
      </c>
      <c r="B66" s="291"/>
      <c r="C66" s="291"/>
      <c r="D66" s="291"/>
      <c r="E66" s="291"/>
      <c r="F66" s="291"/>
      <c r="G66" s="291"/>
      <c r="H66" s="291"/>
      <c r="I66" s="291"/>
      <c r="J66" s="291"/>
      <c r="K66" s="292"/>
    </row>
  </sheetData>
  <mergeCells count="24">
    <mergeCell ref="A66:K66"/>
    <mergeCell ref="J4:J6"/>
    <mergeCell ref="J3:K3"/>
    <mergeCell ref="K4:K6"/>
    <mergeCell ref="F3:F6"/>
    <mergeCell ref="A60:K60"/>
    <mergeCell ref="A61:K61"/>
    <mergeCell ref="A65:K65"/>
    <mergeCell ref="A62:K64"/>
    <mergeCell ref="J7:K7"/>
    <mergeCell ref="C7:I7"/>
    <mergeCell ref="A59:K59"/>
    <mergeCell ref="G2:H2"/>
    <mergeCell ref="I2:K2"/>
    <mergeCell ref="E3:E6"/>
    <mergeCell ref="H3:H6"/>
    <mergeCell ref="J1:K1"/>
    <mergeCell ref="A1:I1"/>
    <mergeCell ref="A2:A6"/>
    <mergeCell ref="B2:B6"/>
    <mergeCell ref="C3:C6"/>
    <mergeCell ref="D3:D6"/>
    <mergeCell ref="I3:I6"/>
    <mergeCell ref="G3:G6"/>
  </mergeCells>
  <phoneticPr fontId="5" type="noConversion"/>
  <printOptions horizontalCentered="1" verticalCentered="1"/>
  <pageMargins left="0.75" right="0.75" top="0.75" bottom="0.75" header="0.5" footer="0.5"/>
  <pageSetup scale="82" orientation="landscape" r:id="rId1"/>
  <headerFooter alignWithMargins="0"/>
  <ignoredErrors>
    <ignoredError sqref="K43"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L66"/>
  <sheetViews>
    <sheetView workbookViewId="0">
      <pane ySplit="7" topLeftCell="A8" activePane="bottomLeft" state="frozen"/>
      <selection pane="bottomLeft" sqref="A1:I1"/>
    </sheetView>
  </sheetViews>
  <sheetFormatPr defaultColWidth="12.7109375" defaultRowHeight="12" customHeight="1" x14ac:dyDescent="0.2"/>
  <cols>
    <col min="1" max="1" width="12.7109375" style="30" customWidth="1"/>
    <col min="2" max="2" width="12.7109375" style="27" customWidth="1"/>
    <col min="3" max="9" width="12.7109375" style="28" customWidth="1"/>
    <col min="10" max="12" width="12.7109375" style="29" customWidth="1"/>
    <col min="13" max="16384" width="12.7109375" style="30"/>
  </cols>
  <sheetData>
    <row r="1" spans="1:12" s="59" customFormat="1" ht="12" customHeight="1" thickBot="1" x14ac:dyDescent="0.25">
      <c r="A1" s="339" t="s">
        <v>53</v>
      </c>
      <c r="B1" s="339"/>
      <c r="C1" s="339"/>
      <c r="D1" s="339"/>
      <c r="E1" s="339"/>
      <c r="F1" s="339"/>
      <c r="G1" s="339"/>
      <c r="H1" s="339"/>
      <c r="I1" s="339"/>
      <c r="J1" s="227" t="s">
        <v>32</v>
      </c>
      <c r="K1" s="227"/>
      <c r="L1" s="58"/>
    </row>
    <row r="2" spans="1:12" ht="12" customHeight="1" thickTop="1" x14ac:dyDescent="0.2">
      <c r="A2" s="328" t="s">
        <v>25</v>
      </c>
      <c r="B2" s="329" t="s">
        <v>26</v>
      </c>
      <c r="C2" s="340" t="s">
        <v>1</v>
      </c>
      <c r="D2" s="341"/>
      <c r="E2" s="341"/>
      <c r="F2" s="341"/>
      <c r="G2" s="348" t="s">
        <v>44</v>
      </c>
      <c r="H2" s="349"/>
      <c r="I2" s="348" t="s">
        <v>43</v>
      </c>
      <c r="J2" s="349"/>
      <c r="K2" s="349"/>
    </row>
    <row r="3" spans="1:12" ht="12" customHeight="1" x14ac:dyDescent="0.2">
      <c r="A3" s="283"/>
      <c r="B3" s="275"/>
      <c r="C3" s="330" t="s">
        <v>38</v>
      </c>
      <c r="D3" s="342" t="s">
        <v>60</v>
      </c>
      <c r="E3" s="342" t="s">
        <v>40</v>
      </c>
      <c r="F3" s="342" t="s">
        <v>27</v>
      </c>
      <c r="G3" s="342" t="s">
        <v>61</v>
      </c>
      <c r="H3" s="342" t="s">
        <v>39</v>
      </c>
      <c r="I3" s="345" t="s">
        <v>62</v>
      </c>
      <c r="J3" s="337" t="s">
        <v>17</v>
      </c>
      <c r="K3" s="338"/>
    </row>
    <row r="4" spans="1:12" ht="12" customHeight="1" x14ac:dyDescent="0.2">
      <c r="A4" s="283"/>
      <c r="B4" s="275"/>
      <c r="C4" s="280"/>
      <c r="D4" s="343"/>
      <c r="E4" s="343"/>
      <c r="F4" s="343"/>
      <c r="G4" s="343"/>
      <c r="H4" s="343"/>
      <c r="I4" s="346"/>
      <c r="J4" s="350" t="s">
        <v>3</v>
      </c>
      <c r="K4" s="311" t="s">
        <v>28</v>
      </c>
    </row>
    <row r="5" spans="1:12" ht="12" customHeight="1" x14ac:dyDescent="0.2">
      <c r="A5" s="283"/>
      <c r="B5" s="275"/>
      <c r="C5" s="280"/>
      <c r="D5" s="343"/>
      <c r="E5" s="343"/>
      <c r="F5" s="343"/>
      <c r="G5" s="343"/>
      <c r="H5" s="343"/>
      <c r="I5" s="346"/>
      <c r="J5" s="351"/>
      <c r="K5" s="312"/>
    </row>
    <row r="6" spans="1:12" ht="12" customHeight="1" x14ac:dyDescent="0.2">
      <c r="A6" s="284"/>
      <c r="B6" s="276"/>
      <c r="C6" s="281"/>
      <c r="D6" s="344"/>
      <c r="E6" s="344"/>
      <c r="F6" s="344"/>
      <c r="G6" s="344"/>
      <c r="H6" s="344"/>
      <c r="I6" s="347"/>
      <c r="J6" s="352"/>
      <c r="K6" s="313"/>
    </row>
    <row r="7" spans="1:12" ht="12" customHeight="1" x14ac:dyDescent="0.2">
      <c r="A7" s="74"/>
      <c r="B7" s="76" t="s">
        <v>33</v>
      </c>
      <c r="C7" s="267" t="s">
        <v>35</v>
      </c>
      <c r="D7" s="268"/>
      <c r="E7" s="268"/>
      <c r="F7" s="268"/>
      <c r="G7" s="268"/>
      <c r="H7" s="268"/>
      <c r="I7" s="268"/>
      <c r="J7" s="269" t="s">
        <v>36</v>
      </c>
      <c r="K7" s="269"/>
      <c r="L7" s="72"/>
    </row>
    <row r="8" spans="1:12" ht="12" customHeight="1" x14ac:dyDescent="0.2">
      <c r="A8" s="48">
        <v>1970</v>
      </c>
      <c r="B8" s="70">
        <v>205.05199999999999</v>
      </c>
      <c r="C8" s="49">
        <v>6185.9</v>
      </c>
      <c r="D8" s="50" t="s">
        <v>2</v>
      </c>
      <c r="E8" s="49">
        <v>880.9</v>
      </c>
      <c r="F8" s="49">
        <f t="shared" ref="F8:F58" si="0">SUM(C8,D8,E8)</f>
        <v>7066.7999999999993</v>
      </c>
      <c r="G8" s="51" t="s">
        <v>2</v>
      </c>
      <c r="H8" s="49">
        <v>1217.3</v>
      </c>
      <c r="I8" s="49">
        <f t="shared" ref="I8:I15" si="1">F8-SUM(G8,H8)</f>
        <v>5849.4999999999991</v>
      </c>
      <c r="J8" s="195">
        <f t="shared" ref="J8:J50" si="2">IF(I8=0,0,IF(B8=0,0,I8/B8))</f>
        <v>28.526910247156817</v>
      </c>
      <c r="K8" s="195">
        <f>J8*0.45</f>
        <v>12.837109611220567</v>
      </c>
    </row>
    <row r="9" spans="1:12" ht="12" customHeight="1" x14ac:dyDescent="0.2">
      <c r="A9" s="91">
        <v>1971</v>
      </c>
      <c r="B9" s="92">
        <v>207.661</v>
      </c>
      <c r="C9" s="93">
        <v>6355.1</v>
      </c>
      <c r="D9" s="94" t="s">
        <v>2</v>
      </c>
      <c r="E9" s="93">
        <v>1217.3</v>
      </c>
      <c r="F9" s="93">
        <f t="shared" si="0"/>
        <v>7572.4000000000005</v>
      </c>
      <c r="G9" s="94" t="s">
        <v>2</v>
      </c>
      <c r="H9" s="93">
        <v>1317.3</v>
      </c>
      <c r="I9" s="93">
        <f t="shared" si="1"/>
        <v>6255.1</v>
      </c>
      <c r="J9" s="196">
        <f t="shared" si="2"/>
        <v>30.121688713817232</v>
      </c>
      <c r="K9" s="196">
        <f>J9*0.46</f>
        <v>13.855976808355928</v>
      </c>
    </row>
    <row r="10" spans="1:12" ht="12" customHeight="1" x14ac:dyDescent="0.2">
      <c r="A10" s="91">
        <v>1972</v>
      </c>
      <c r="B10" s="92">
        <v>209.89599999999999</v>
      </c>
      <c r="C10" s="93">
        <v>6402.7</v>
      </c>
      <c r="D10" s="94" t="s">
        <v>2</v>
      </c>
      <c r="E10" s="93">
        <v>1317.3</v>
      </c>
      <c r="F10" s="93">
        <f t="shared" si="0"/>
        <v>7720</v>
      </c>
      <c r="G10" s="94" t="s">
        <v>2</v>
      </c>
      <c r="H10" s="93">
        <v>1354.5</v>
      </c>
      <c r="I10" s="93">
        <f t="shared" si="1"/>
        <v>6365.5</v>
      </c>
      <c r="J10" s="196">
        <f t="shared" si="2"/>
        <v>30.326923809886804</v>
      </c>
      <c r="K10" s="196">
        <f>J10*0.47</f>
        <v>14.253654190646797</v>
      </c>
    </row>
    <row r="11" spans="1:12" ht="12" customHeight="1" x14ac:dyDescent="0.2">
      <c r="A11" s="91">
        <v>1973</v>
      </c>
      <c r="B11" s="92">
        <v>211.90899999999999</v>
      </c>
      <c r="C11" s="93">
        <v>6991.3</v>
      </c>
      <c r="D11" s="94" t="s">
        <v>2</v>
      </c>
      <c r="E11" s="93">
        <v>1354.5</v>
      </c>
      <c r="F11" s="93">
        <f t="shared" si="0"/>
        <v>8345.7999999999993</v>
      </c>
      <c r="G11" s="94" t="s">
        <v>2</v>
      </c>
      <c r="H11" s="93">
        <v>1098.5999999999999</v>
      </c>
      <c r="I11" s="93">
        <f t="shared" si="1"/>
        <v>7247.1999999999989</v>
      </c>
      <c r="J11" s="196">
        <f t="shared" si="2"/>
        <v>34.19958567120792</v>
      </c>
      <c r="K11" s="196">
        <f>J11*0.48</f>
        <v>16.415801122179801</v>
      </c>
    </row>
    <row r="12" spans="1:12" ht="12" customHeight="1" x14ac:dyDescent="0.2">
      <c r="A12" s="91">
        <v>1974</v>
      </c>
      <c r="B12" s="92">
        <v>213.85400000000001</v>
      </c>
      <c r="C12" s="93">
        <v>7842.4</v>
      </c>
      <c r="D12" s="94" t="s">
        <v>2</v>
      </c>
      <c r="E12" s="93">
        <v>1098.5999999999999</v>
      </c>
      <c r="F12" s="93">
        <f t="shared" si="0"/>
        <v>8941</v>
      </c>
      <c r="G12" s="94" t="s">
        <v>2</v>
      </c>
      <c r="H12" s="93">
        <v>1386.9</v>
      </c>
      <c r="I12" s="93">
        <f t="shared" si="1"/>
        <v>7554.1</v>
      </c>
      <c r="J12" s="196">
        <f t="shared" si="2"/>
        <v>35.323632010624067</v>
      </c>
      <c r="K12" s="196">
        <f>J12*0.49</f>
        <v>17.308579685205792</v>
      </c>
    </row>
    <row r="13" spans="1:12" ht="12" customHeight="1" x14ac:dyDescent="0.2">
      <c r="A13" s="95">
        <v>1975</v>
      </c>
      <c r="B13" s="92">
        <v>215.97300000000001</v>
      </c>
      <c r="C13" s="93">
        <v>7997.5</v>
      </c>
      <c r="D13" s="94" t="s">
        <v>2</v>
      </c>
      <c r="E13" s="93">
        <v>1386.9</v>
      </c>
      <c r="F13" s="93">
        <f t="shared" si="0"/>
        <v>9384.4</v>
      </c>
      <c r="G13" s="94" t="s">
        <v>2</v>
      </c>
      <c r="H13" s="93">
        <v>1364.4</v>
      </c>
      <c r="I13" s="93">
        <f t="shared" si="1"/>
        <v>8020</v>
      </c>
      <c r="J13" s="196">
        <f t="shared" si="2"/>
        <v>37.13427141355632</v>
      </c>
      <c r="K13" s="196">
        <f>J13*0.5</f>
        <v>18.56713570677816</v>
      </c>
    </row>
    <row r="14" spans="1:12" ht="12" customHeight="1" x14ac:dyDescent="0.2">
      <c r="A14" s="52">
        <v>1976</v>
      </c>
      <c r="B14" s="70">
        <v>218.035</v>
      </c>
      <c r="C14" s="49">
        <v>9252.6</v>
      </c>
      <c r="D14" s="51" t="s">
        <v>2</v>
      </c>
      <c r="E14" s="49">
        <v>1364.4</v>
      </c>
      <c r="F14" s="49">
        <f t="shared" si="0"/>
        <v>10617</v>
      </c>
      <c r="G14" s="51" t="s">
        <v>2</v>
      </c>
      <c r="H14" s="49">
        <v>1500.8</v>
      </c>
      <c r="I14" s="49">
        <f t="shared" si="1"/>
        <v>9116.2000000000007</v>
      </c>
      <c r="J14" s="195">
        <f t="shared" si="2"/>
        <v>41.810718462632153</v>
      </c>
      <c r="K14" s="195">
        <f t="shared" ref="K14:K44" si="3">J14*0.5</f>
        <v>20.905359231316076</v>
      </c>
    </row>
    <row r="15" spans="1:12" ht="12" customHeight="1" x14ac:dyDescent="0.2">
      <c r="A15" s="52">
        <v>1977</v>
      </c>
      <c r="B15" s="70">
        <v>220.23899999999998</v>
      </c>
      <c r="C15" s="49">
        <v>9454.6</v>
      </c>
      <c r="D15" s="51" t="s">
        <v>2</v>
      </c>
      <c r="E15" s="49">
        <v>1500.8</v>
      </c>
      <c r="F15" s="49">
        <f t="shared" si="0"/>
        <v>10955.4</v>
      </c>
      <c r="G15" s="51" t="s">
        <v>2</v>
      </c>
      <c r="H15" s="49">
        <v>1659.5</v>
      </c>
      <c r="I15" s="49">
        <f t="shared" si="1"/>
        <v>9295.9</v>
      </c>
      <c r="J15" s="195">
        <f t="shared" si="2"/>
        <v>42.208237414808458</v>
      </c>
      <c r="K15" s="195">
        <f t="shared" si="3"/>
        <v>21.104118707404229</v>
      </c>
    </row>
    <row r="16" spans="1:12" ht="12" customHeight="1" x14ac:dyDescent="0.2">
      <c r="A16" s="52">
        <v>1978</v>
      </c>
      <c r="B16" s="70">
        <v>222.58500000000001</v>
      </c>
      <c r="C16" s="49">
        <v>9494.5</v>
      </c>
      <c r="D16" s="49">
        <v>12.63</v>
      </c>
      <c r="E16" s="49">
        <v>1659.5</v>
      </c>
      <c r="F16" s="49">
        <f t="shared" si="0"/>
        <v>11166.63</v>
      </c>
      <c r="G16" s="49">
        <v>106.2</v>
      </c>
      <c r="H16" s="49">
        <v>1554.9459999999999</v>
      </c>
      <c r="I16" s="49">
        <f>F16-SUM(G16,H16)-31.1</f>
        <v>9474.3839999999982</v>
      </c>
      <c r="J16" s="195">
        <f t="shared" si="2"/>
        <v>42.565240245299542</v>
      </c>
      <c r="K16" s="195">
        <f t="shared" si="3"/>
        <v>21.282620122649771</v>
      </c>
    </row>
    <row r="17" spans="1:11" ht="12" customHeight="1" x14ac:dyDescent="0.2">
      <c r="A17" s="52">
        <v>1979</v>
      </c>
      <c r="B17" s="70">
        <v>225.05500000000001</v>
      </c>
      <c r="C17" s="49">
        <v>8874</v>
      </c>
      <c r="D17" s="49">
        <v>32.85</v>
      </c>
      <c r="E17" s="49">
        <v>1554.9459999999999</v>
      </c>
      <c r="F17" s="49">
        <f t="shared" si="0"/>
        <v>10461.796</v>
      </c>
      <c r="G17" s="49">
        <v>133.49</v>
      </c>
      <c r="H17" s="49">
        <v>1624.4159999999999</v>
      </c>
      <c r="I17" s="49">
        <f>F17-SUM(G17,H17)-38.4</f>
        <v>8665.49</v>
      </c>
      <c r="J17" s="195">
        <f t="shared" si="2"/>
        <v>38.50387683010819</v>
      </c>
      <c r="K17" s="195">
        <f t="shared" si="3"/>
        <v>19.251938415054095</v>
      </c>
    </row>
    <row r="18" spans="1:11" ht="12" customHeight="1" x14ac:dyDescent="0.2">
      <c r="A18" s="48">
        <v>1980</v>
      </c>
      <c r="B18" s="70">
        <v>227.726</v>
      </c>
      <c r="C18" s="49">
        <v>8088.1</v>
      </c>
      <c r="D18" s="49">
        <v>21.83</v>
      </c>
      <c r="E18" s="49">
        <v>1624.4159999999999</v>
      </c>
      <c r="F18" s="49">
        <f t="shared" si="0"/>
        <v>9734.3459999999995</v>
      </c>
      <c r="G18" s="49">
        <v>168.74</v>
      </c>
      <c r="H18" s="49">
        <v>1459.8240000000001</v>
      </c>
      <c r="I18" s="49">
        <f>F18-SUM(G18,H18)-43.2</f>
        <v>8062.5819999999994</v>
      </c>
      <c r="J18" s="195">
        <f t="shared" si="2"/>
        <v>35.404749567462652</v>
      </c>
      <c r="K18" s="195">
        <f t="shared" si="3"/>
        <v>17.702374783731326</v>
      </c>
    </row>
    <row r="19" spans="1:11" ht="12" customHeight="1" x14ac:dyDescent="0.2">
      <c r="A19" s="91">
        <v>1981</v>
      </c>
      <c r="B19" s="92">
        <v>229.96600000000001</v>
      </c>
      <c r="C19" s="93">
        <v>9664.1</v>
      </c>
      <c r="D19" s="93">
        <v>29.98</v>
      </c>
      <c r="E19" s="93">
        <v>1459.8240000000001</v>
      </c>
      <c r="F19" s="93">
        <f t="shared" si="0"/>
        <v>11153.904</v>
      </c>
      <c r="G19" s="93">
        <v>192.77</v>
      </c>
      <c r="H19" s="93">
        <v>1377.376</v>
      </c>
      <c r="I19" s="93">
        <f>F19-SUM(G19,H19)-43.5</f>
        <v>9540.2579999999998</v>
      </c>
      <c r="J19" s="196">
        <f t="shared" si="2"/>
        <v>41.485515250080446</v>
      </c>
      <c r="K19" s="196">
        <f t="shared" si="3"/>
        <v>20.742757625040223</v>
      </c>
    </row>
    <row r="20" spans="1:11" ht="12" customHeight="1" x14ac:dyDescent="0.2">
      <c r="A20" s="91">
        <v>1982</v>
      </c>
      <c r="B20" s="92">
        <v>232.18799999999999</v>
      </c>
      <c r="C20" s="93">
        <v>9330.2999999999993</v>
      </c>
      <c r="D20" s="93">
        <v>44.33</v>
      </c>
      <c r="E20" s="93">
        <v>1377.376</v>
      </c>
      <c r="F20" s="93">
        <f t="shared" si="0"/>
        <v>10752.005999999999</v>
      </c>
      <c r="G20" s="93">
        <v>219.44</v>
      </c>
      <c r="H20" s="93">
        <v>1534.6179999999999</v>
      </c>
      <c r="I20" s="93">
        <f>F20-SUM(G20,H20)-29.1</f>
        <v>8968.848</v>
      </c>
      <c r="J20" s="196">
        <f t="shared" si="2"/>
        <v>38.627525970334389</v>
      </c>
      <c r="K20" s="196">
        <f t="shared" si="3"/>
        <v>19.313762985167195</v>
      </c>
    </row>
    <row r="21" spans="1:11" ht="12" customHeight="1" x14ac:dyDescent="0.2">
      <c r="A21" s="91">
        <v>1983</v>
      </c>
      <c r="B21" s="92">
        <v>234.30699999999999</v>
      </c>
      <c r="C21" s="93">
        <v>9400.5</v>
      </c>
      <c r="D21" s="93">
        <v>53.11</v>
      </c>
      <c r="E21" s="93">
        <v>1534.6179999999999</v>
      </c>
      <c r="F21" s="93">
        <f t="shared" si="0"/>
        <v>10988.228000000001</v>
      </c>
      <c r="G21" s="93">
        <v>242.71</v>
      </c>
      <c r="H21" s="93">
        <v>1545.924</v>
      </c>
      <c r="I21" s="93">
        <f>F21-SUM(G21,H21)-17.6</f>
        <v>9181.9940000000006</v>
      </c>
      <c r="J21" s="196">
        <f t="shared" si="2"/>
        <v>39.187877442842087</v>
      </c>
      <c r="K21" s="196">
        <f t="shared" si="3"/>
        <v>19.593938721421043</v>
      </c>
    </row>
    <row r="22" spans="1:11" ht="12" customHeight="1" x14ac:dyDescent="0.2">
      <c r="A22" s="91">
        <v>1984</v>
      </c>
      <c r="B22" s="92">
        <v>236.34800000000001</v>
      </c>
      <c r="C22" s="93">
        <v>10767.2</v>
      </c>
      <c r="D22" s="93">
        <v>99.47</v>
      </c>
      <c r="E22" s="93">
        <v>1545.924</v>
      </c>
      <c r="F22" s="93">
        <f t="shared" si="0"/>
        <v>12412.594000000001</v>
      </c>
      <c r="G22" s="93">
        <v>280.87</v>
      </c>
      <c r="H22" s="93">
        <v>1784.5740000000001</v>
      </c>
      <c r="I22" s="93">
        <f>F22-SUM(G22,H22)-21.3</f>
        <v>10325.850000000002</v>
      </c>
      <c r="J22" s="196">
        <f t="shared" si="2"/>
        <v>43.689178668742706</v>
      </c>
      <c r="K22" s="196">
        <f t="shared" si="3"/>
        <v>21.844589334371353</v>
      </c>
    </row>
    <row r="23" spans="1:11" ht="12" customHeight="1" x14ac:dyDescent="0.2">
      <c r="A23" s="95">
        <v>1985</v>
      </c>
      <c r="B23" s="92">
        <v>238.46600000000001</v>
      </c>
      <c r="C23" s="93">
        <v>11259.7</v>
      </c>
      <c r="D23" s="93">
        <v>138.16</v>
      </c>
      <c r="E23" s="93">
        <v>1784.5740000000001</v>
      </c>
      <c r="F23" s="93">
        <f t="shared" si="0"/>
        <v>13182.434000000001</v>
      </c>
      <c r="G23" s="93">
        <v>291.66000000000003</v>
      </c>
      <c r="H23" s="93">
        <v>2024.6179999999999</v>
      </c>
      <c r="I23" s="93">
        <f>F23-SUM(G23,H23)-37.1</f>
        <v>10829.056</v>
      </c>
      <c r="J23" s="196">
        <f t="shared" si="2"/>
        <v>45.41132069141932</v>
      </c>
      <c r="K23" s="196">
        <f t="shared" si="3"/>
        <v>22.70566034570966</v>
      </c>
    </row>
    <row r="24" spans="1:11" ht="12" customHeight="1" x14ac:dyDescent="0.2">
      <c r="A24" s="52">
        <v>1986</v>
      </c>
      <c r="B24" s="70">
        <v>240.65100000000001</v>
      </c>
      <c r="C24" s="49">
        <v>11195.2</v>
      </c>
      <c r="D24" s="49">
        <v>147.05000000000001</v>
      </c>
      <c r="E24" s="49">
        <v>2024.6179999999999</v>
      </c>
      <c r="F24" s="49">
        <f t="shared" si="0"/>
        <v>13366.868</v>
      </c>
      <c r="G24" s="49">
        <v>393.07</v>
      </c>
      <c r="H24" s="49">
        <v>1788.1</v>
      </c>
      <c r="I24" s="49">
        <f>F24-SUM(G24,H24)-48.5</f>
        <v>11137.198</v>
      </c>
      <c r="J24" s="195">
        <f t="shared" si="2"/>
        <v>46.279458635118907</v>
      </c>
      <c r="K24" s="195">
        <f t="shared" si="3"/>
        <v>23.139729317559453</v>
      </c>
    </row>
    <row r="25" spans="1:11" ht="12" customHeight="1" x14ac:dyDescent="0.2">
      <c r="A25" s="52">
        <v>1987</v>
      </c>
      <c r="B25" s="70">
        <v>242.804</v>
      </c>
      <c r="C25" s="49">
        <v>11968.2</v>
      </c>
      <c r="D25" s="49">
        <v>187.8</v>
      </c>
      <c r="E25" s="49">
        <v>1788.1</v>
      </c>
      <c r="F25" s="49">
        <f t="shared" si="0"/>
        <v>13944.1</v>
      </c>
      <c r="G25" s="49">
        <v>492.01</v>
      </c>
      <c r="H25" s="49">
        <v>1765.1</v>
      </c>
      <c r="I25" s="49">
        <f>F25-SUM(G25,H25)-66.9</f>
        <v>11620.090000000002</v>
      </c>
      <c r="J25" s="195">
        <f t="shared" si="2"/>
        <v>47.857901846757066</v>
      </c>
      <c r="K25" s="195">
        <f t="shared" si="3"/>
        <v>23.928950923378533</v>
      </c>
    </row>
    <row r="26" spans="1:11" ht="12" customHeight="1" x14ac:dyDescent="0.2">
      <c r="A26" s="52">
        <v>1988</v>
      </c>
      <c r="B26" s="70">
        <v>245.02099999999999</v>
      </c>
      <c r="C26" s="49">
        <v>11302.400000000001</v>
      </c>
      <c r="D26" s="49">
        <v>203.81</v>
      </c>
      <c r="E26" s="49">
        <v>1765.1</v>
      </c>
      <c r="F26" s="49">
        <f t="shared" si="0"/>
        <v>13271.310000000001</v>
      </c>
      <c r="G26" s="49">
        <v>618.22</v>
      </c>
      <c r="H26" s="49">
        <v>1977.4</v>
      </c>
      <c r="I26" s="49">
        <f>F26-SUM(G26,H26)-64.2</f>
        <v>10611.490000000002</v>
      </c>
      <c r="J26" s="195">
        <f t="shared" si="2"/>
        <v>43.308491925181933</v>
      </c>
      <c r="K26" s="195">
        <f t="shared" si="3"/>
        <v>21.654245962590966</v>
      </c>
    </row>
    <row r="27" spans="1:11" ht="12" customHeight="1" x14ac:dyDescent="0.2">
      <c r="A27" s="52">
        <v>1989</v>
      </c>
      <c r="B27" s="70">
        <v>247.34200000000001</v>
      </c>
      <c r="C27" s="49">
        <v>11957.400000000001</v>
      </c>
      <c r="D27" s="49">
        <v>208.41</v>
      </c>
      <c r="E27" s="49">
        <v>1977.4</v>
      </c>
      <c r="F27" s="49">
        <f t="shared" si="0"/>
        <v>14143.210000000001</v>
      </c>
      <c r="G27" s="49">
        <v>726.64</v>
      </c>
      <c r="H27" s="49">
        <v>1834.7</v>
      </c>
      <c r="I27" s="49">
        <f t="shared" ref="I27:I50" si="4">F27-SUM(G27,H27)</f>
        <v>11581.87</v>
      </c>
      <c r="J27" s="195">
        <f t="shared" si="2"/>
        <v>46.825326875338604</v>
      </c>
      <c r="K27" s="195">
        <f t="shared" si="3"/>
        <v>23.412663437669302</v>
      </c>
    </row>
    <row r="28" spans="1:11" ht="12" customHeight="1" x14ac:dyDescent="0.2">
      <c r="A28" s="48">
        <v>1990</v>
      </c>
      <c r="B28" s="70">
        <v>250.13200000000001</v>
      </c>
      <c r="C28" s="49">
        <v>12300.694000000001</v>
      </c>
      <c r="D28" s="49">
        <v>269.83799229199997</v>
      </c>
      <c r="E28" s="49">
        <v>1834.7</v>
      </c>
      <c r="F28" s="49">
        <f t="shared" si="0"/>
        <v>14405.231992292001</v>
      </c>
      <c r="G28" s="49">
        <v>843.19305000000008</v>
      </c>
      <c r="H28" s="49">
        <v>1951.508</v>
      </c>
      <c r="I28" s="49">
        <f t="shared" si="4"/>
        <v>11610.530942292002</v>
      </c>
      <c r="J28" s="195">
        <f t="shared" si="2"/>
        <v>46.417615268306342</v>
      </c>
      <c r="K28" s="195">
        <f t="shared" si="3"/>
        <v>23.208807634153171</v>
      </c>
    </row>
    <row r="29" spans="1:11" ht="12" customHeight="1" x14ac:dyDescent="0.2">
      <c r="A29" s="91">
        <v>1991</v>
      </c>
      <c r="B29" s="92">
        <v>253.49299999999999</v>
      </c>
      <c r="C29" s="93">
        <v>13412.815500000001</v>
      </c>
      <c r="D29" s="93">
        <v>340.81529226799995</v>
      </c>
      <c r="E29" s="93">
        <v>1951.508</v>
      </c>
      <c r="F29" s="93">
        <f t="shared" si="0"/>
        <v>15705.138792268001</v>
      </c>
      <c r="G29" s="93">
        <v>819.55817200000001</v>
      </c>
      <c r="H29" s="93">
        <v>1940.0239999999999</v>
      </c>
      <c r="I29" s="93">
        <f t="shared" si="4"/>
        <v>12945.556620268</v>
      </c>
      <c r="J29" s="196">
        <f t="shared" si="2"/>
        <v>51.06869467901678</v>
      </c>
      <c r="K29" s="196">
        <f t="shared" si="3"/>
        <v>25.53434733950839</v>
      </c>
    </row>
    <row r="30" spans="1:11" ht="12" customHeight="1" x14ac:dyDescent="0.2">
      <c r="A30" s="91">
        <v>1992</v>
      </c>
      <c r="B30" s="92">
        <v>256.89400000000001</v>
      </c>
      <c r="C30" s="93">
        <v>13335.9473</v>
      </c>
      <c r="D30" s="93">
        <v>391.2181965559999</v>
      </c>
      <c r="E30" s="93">
        <v>1940.0239999999999</v>
      </c>
      <c r="F30" s="93">
        <f t="shared" si="0"/>
        <v>15667.189496555999</v>
      </c>
      <c r="G30" s="93">
        <v>927.65</v>
      </c>
      <c r="H30" s="93">
        <v>1926.3340000000001</v>
      </c>
      <c r="I30" s="93">
        <f t="shared" si="4"/>
        <v>12813.205496555998</v>
      </c>
      <c r="J30" s="196">
        <f t="shared" si="2"/>
        <v>49.877402728580655</v>
      </c>
      <c r="K30" s="196">
        <f t="shared" si="3"/>
        <v>24.938701364290328</v>
      </c>
    </row>
    <row r="31" spans="1:11" ht="12" customHeight="1" x14ac:dyDescent="0.2">
      <c r="A31" s="91">
        <v>1993</v>
      </c>
      <c r="B31" s="92">
        <v>260.255</v>
      </c>
      <c r="C31" s="93">
        <v>14481.675199999998</v>
      </c>
      <c r="D31" s="93">
        <v>578.66380743599996</v>
      </c>
      <c r="E31" s="93">
        <v>1926.3340000000001</v>
      </c>
      <c r="F31" s="93">
        <f t="shared" si="0"/>
        <v>16986.673007435998</v>
      </c>
      <c r="G31" s="93">
        <v>1055.4981659999999</v>
      </c>
      <c r="H31" s="93">
        <v>2012.8320000000001</v>
      </c>
      <c r="I31" s="93">
        <f t="shared" si="4"/>
        <v>13918.342841435999</v>
      </c>
      <c r="J31" s="196">
        <f t="shared" si="2"/>
        <v>53.479636669558701</v>
      </c>
      <c r="K31" s="196">
        <f t="shared" si="3"/>
        <v>26.739818334779351</v>
      </c>
    </row>
    <row r="32" spans="1:11" ht="12" customHeight="1" x14ac:dyDescent="0.2">
      <c r="A32" s="91">
        <v>1994</v>
      </c>
      <c r="B32" s="92">
        <v>263.43599999999998</v>
      </c>
      <c r="C32" s="93">
        <v>15510.634899999999</v>
      </c>
      <c r="D32" s="93">
        <v>617.97174111199979</v>
      </c>
      <c r="E32" s="93">
        <v>2012.8320000000001</v>
      </c>
      <c r="F32" s="93">
        <f t="shared" si="0"/>
        <v>18141.438641111999</v>
      </c>
      <c r="G32" s="93">
        <v>1276.1233440000001</v>
      </c>
      <c r="H32" s="93">
        <v>2193.152</v>
      </c>
      <c r="I32" s="93">
        <f t="shared" si="4"/>
        <v>14672.163297112</v>
      </c>
      <c r="J32" s="196">
        <f t="shared" si="2"/>
        <v>55.695361670811891</v>
      </c>
      <c r="K32" s="196">
        <f t="shared" si="3"/>
        <v>27.847680835405946</v>
      </c>
    </row>
    <row r="33" spans="1:11" ht="12" customHeight="1" x14ac:dyDescent="0.2">
      <c r="A33" s="95">
        <v>1995</v>
      </c>
      <c r="B33" s="92">
        <v>266.55700000000002</v>
      </c>
      <c r="C33" s="93">
        <v>15980.2549</v>
      </c>
      <c r="D33" s="93">
        <v>708.1821459680001</v>
      </c>
      <c r="E33" s="93">
        <v>2193.152</v>
      </c>
      <c r="F33" s="93">
        <f t="shared" si="0"/>
        <v>18881.589045968001</v>
      </c>
      <c r="G33" s="93">
        <v>1668.3577760000001</v>
      </c>
      <c r="H33" s="93">
        <v>2247.4879999999998</v>
      </c>
      <c r="I33" s="93">
        <f t="shared" si="4"/>
        <v>14965.743269968001</v>
      </c>
      <c r="J33" s="196">
        <f t="shared" si="2"/>
        <v>56.144626740126881</v>
      </c>
      <c r="K33" s="196">
        <f t="shared" si="3"/>
        <v>28.072313370063441</v>
      </c>
    </row>
    <row r="34" spans="1:11" ht="12" customHeight="1" x14ac:dyDescent="0.2">
      <c r="A34" s="52">
        <v>1996</v>
      </c>
      <c r="B34" s="70">
        <v>269.66699999999997</v>
      </c>
      <c r="C34" s="49">
        <v>16989.041700000002</v>
      </c>
      <c r="D34" s="49">
        <v>935.23463699599995</v>
      </c>
      <c r="E34" s="49">
        <v>2247.4879999999998</v>
      </c>
      <c r="F34" s="49">
        <f t="shared" si="0"/>
        <v>20171.764336996002</v>
      </c>
      <c r="G34" s="49">
        <v>1715.1150239999999</v>
      </c>
      <c r="H34" s="49">
        <v>2196.8420000000001</v>
      </c>
      <c r="I34" s="49">
        <f t="shared" si="4"/>
        <v>16259.807312996003</v>
      </c>
      <c r="J34" s="195">
        <f t="shared" si="2"/>
        <v>60.295873477273837</v>
      </c>
      <c r="K34" s="195">
        <f t="shared" si="3"/>
        <v>30.147936738636918</v>
      </c>
    </row>
    <row r="35" spans="1:11" ht="12" customHeight="1" x14ac:dyDescent="0.2">
      <c r="A35" s="52">
        <v>1997</v>
      </c>
      <c r="B35" s="70">
        <v>272.91199999999998</v>
      </c>
      <c r="C35" s="49">
        <v>16436.721000000001</v>
      </c>
      <c r="D35" s="49">
        <v>1433.8059226040002</v>
      </c>
      <c r="E35" s="49">
        <v>2196.8420000000001</v>
      </c>
      <c r="F35" s="49">
        <f t="shared" si="0"/>
        <v>20067.368922604001</v>
      </c>
      <c r="G35" s="49">
        <v>1918.868866</v>
      </c>
      <c r="H35" s="49">
        <v>2327.0940000000001</v>
      </c>
      <c r="I35" s="49">
        <f t="shared" si="4"/>
        <v>15821.406056604001</v>
      </c>
      <c r="J35" s="195">
        <f t="shared" si="2"/>
        <v>57.972555463314187</v>
      </c>
      <c r="K35" s="195">
        <f t="shared" si="3"/>
        <v>28.986277731657093</v>
      </c>
    </row>
    <row r="36" spans="1:11" ht="12" customHeight="1" x14ac:dyDescent="0.2">
      <c r="A36" s="52">
        <v>1998</v>
      </c>
      <c r="B36" s="70">
        <v>276.11500000000001</v>
      </c>
      <c r="C36" s="49">
        <v>16347.133</v>
      </c>
      <c r="D36" s="49">
        <v>1819.4455487119999</v>
      </c>
      <c r="E36" s="49">
        <v>2327.0940000000001</v>
      </c>
      <c r="F36" s="49">
        <f t="shared" si="0"/>
        <v>20493.672548712002</v>
      </c>
      <c r="G36" s="49">
        <v>2075.550209</v>
      </c>
      <c r="H36" s="49">
        <v>2302.5880000000002</v>
      </c>
      <c r="I36" s="49">
        <f t="shared" si="4"/>
        <v>16115.534339712001</v>
      </c>
      <c r="J36" s="195">
        <f t="shared" si="2"/>
        <v>58.365298298578494</v>
      </c>
      <c r="K36" s="195">
        <f t="shared" si="3"/>
        <v>29.182649149289247</v>
      </c>
    </row>
    <row r="37" spans="1:11" ht="12" customHeight="1" x14ac:dyDescent="0.2">
      <c r="A37" s="52">
        <v>1999</v>
      </c>
      <c r="B37" s="70">
        <v>279.29500000000002</v>
      </c>
      <c r="C37" s="49">
        <v>16548.052900000002</v>
      </c>
      <c r="D37" s="49">
        <v>2076.4001826480003</v>
      </c>
      <c r="E37" s="49">
        <v>2302.5880000000002</v>
      </c>
      <c r="F37" s="49">
        <f t="shared" si="0"/>
        <v>20927.041082648004</v>
      </c>
      <c r="G37" s="49">
        <v>2149.8769440000001</v>
      </c>
      <c r="H37" s="49">
        <v>2330.7779999999998</v>
      </c>
      <c r="I37" s="49">
        <f t="shared" si="4"/>
        <v>16446.386138648006</v>
      </c>
      <c r="J37" s="195">
        <f t="shared" si="2"/>
        <v>58.885358272249789</v>
      </c>
      <c r="K37" s="195">
        <f t="shared" si="3"/>
        <v>29.442679136124895</v>
      </c>
    </row>
    <row r="38" spans="1:11" ht="12" customHeight="1" x14ac:dyDescent="0.2">
      <c r="A38" s="52">
        <v>2000</v>
      </c>
      <c r="B38" s="70">
        <v>282.38499999999999</v>
      </c>
      <c r="C38" s="49">
        <v>16276.017600000001</v>
      </c>
      <c r="D38" s="49">
        <v>2398.3672966879999</v>
      </c>
      <c r="E38" s="49">
        <v>2330.7779999999998</v>
      </c>
      <c r="F38" s="49">
        <f t="shared" si="0"/>
        <v>21005.162896687998</v>
      </c>
      <c r="G38" s="49">
        <v>2294.7500639999998</v>
      </c>
      <c r="H38" s="49">
        <v>2379.326</v>
      </c>
      <c r="I38" s="49">
        <f t="shared" si="4"/>
        <v>16331.086832687997</v>
      </c>
      <c r="J38" s="195">
        <f t="shared" si="2"/>
        <v>57.832699444687208</v>
      </c>
      <c r="K38" s="195">
        <f t="shared" si="3"/>
        <v>28.916349722343604</v>
      </c>
    </row>
    <row r="39" spans="1:11" ht="12" customHeight="1" x14ac:dyDescent="0.2">
      <c r="A39" s="91">
        <v>2001</v>
      </c>
      <c r="B39" s="92">
        <v>285.30901899999998</v>
      </c>
      <c r="C39" s="93">
        <v>16365.695400000001</v>
      </c>
      <c r="D39" s="93">
        <v>2674.3848388399997</v>
      </c>
      <c r="E39" s="93">
        <v>2379.326</v>
      </c>
      <c r="F39" s="93">
        <f t="shared" si="0"/>
        <v>21419.406238840002</v>
      </c>
      <c r="G39" s="93">
        <v>2265.7951978000001</v>
      </c>
      <c r="H39" s="93">
        <v>2479.5140000000001</v>
      </c>
      <c r="I39" s="93">
        <f t="shared" si="4"/>
        <v>16674.09704104</v>
      </c>
      <c r="J39" s="196">
        <f t="shared" si="2"/>
        <v>58.442236069095323</v>
      </c>
      <c r="K39" s="196">
        <f t="shared" si="3"/>
        <v>29.221118034547661</v>
      </c>
    </row>
    <row r="40" spans="1:11" ht="12" customHeight="1" x14ac:dyDescent="0.2">
      <c r="A40" s="91">
        <v>2002</v>
      </c>
      <c r="B40" s="92">
        <v>288.10481800000002</v>
      </c>
      <c r="C40" s="93">
        <v>14992.189200000001</v>
      </c>
      <c r="D40" s="93">
        <v>2885.9939667680001</v>
      </c>
      <c r="E40" s="93">
        <v>2479.5140000000001</v>
      </c>
      <c r="F40" s="93">
        <f t="shared" si="0"/>
        <v>20357.697166768001</v>
      </c>
      <c r="G40" s="93">
        <v>2201.8035140000002</v>
      </c>
      <c r="H40" s="93">
        <v>2262.424</v>
      </c>
      <c r="I40" s="93">
        <f t="shared" si="4"/>
        <v>15893.469652768001</v>
      </c>
      <c r="J40" s="196">
        <f t="shared" si="2"/>
        <v>55.165580926758395</v>
      </c>
      <c r="K40" s="196">
        <f t="shared" si="3"/>
        <v>27.582790463379197</v>
      </c>
    </row>
    <row r="41" spans="1:11" ht="12" customHeight="1" x14ac:dyDescent="0.2">
      <c r="A41" s="91">
        <v>2003</v>
      </c>
      <c r="B41" s="92">
        <v>290.81963400000001</v>
      </c>
      <c r="C41" s="93">
        <v>15275.0754</v>
      </c>
      <c r="D41" s="93">
        <v>3277.7831599040001</v>
      </c>
      <c r="E41" s="93">
        <v>2262.424</v>
      </c>
      <c r="F41" s="93">
        <f t="shared" si="0"/>
        <v>20815.282559904001</v>
      </c>
      <c r="G41" s="93">
        <v>1981.5026366000002</v>
      </c>
      <c r="H41" s="93">
        <v>2240.8359999999998</v>
      </c>
      <c r="I41" s="93">
        <f t="shared" si="4"/>
        <v>16592.943923304003</v>
      </c>
      <c r="J41" s="196">
        <f t="shared" si="2"/>
        <v>57.055789855316313</v>
      </c>
      <c r="K41" s="196">
        <f t="shared" si="3"/>
        <v>28.527894927658156</v>
      </c>
    </row>
    <row r="42" spans="1:11" ht="12" customHeight="1" x14ac:dyDescent="0.2">
      <c r="A42" s="91">
        <v>2004</v>
      </c>
      <c r="B42" s="92">
        <v>293.46318500000001</v>
      </c>
      <c r="C42" s="93">
        <v>15279.6155</v>
      </c>
      <c r="D42" s="93">
        <v>3693.8478647840006</v>
      </c>
      <c r="E42" s="93">
        <v>2240.8359999999998</v>
      </c>
      <c r="F42" s="93">
        <f t="shared" si="0"/>
        <v>21214.299364784001</v>
      </c>
      <c r="G42" s="93">
        <v>2237.8623539999999</v>
      </c>
      <c r="H42" s="93">
        <v>2149.6379999999999</v>
      </c>
      <c r="I42" s="93">
        <f t="shared" si="4"/>
        <v>16826.799010784001</v>
      </c>
      <c r="J42" s="196">
        <f t="shared" si="2"/>
        <v>57.338705060343429</v>
      </c>
      <c r="K42" s="196">
        <f t="shared" si="3"/>
        <v>28.669352530171714</v>
      </c>
    </row>
    <row r="43" spans="1:11" ht="12" customHeight="1" x14ac:dyDescent="0.2">
      <c r="A43" s="91">
        <v>2005</v>
      </c>
      <c r="B43" s="92">
        <v>296.186216</v>
      </c>
      <c r="C43" s="93">
        <v>15188.233000000002</v>
      </c>
      <c r="D43" s="93">
        <v>3284.9071689719995</v>
      </c>
      <c r="E43" s="93">
        <v>2149.6379999999999</v>
      </c>
      <c r="F43" s="93">
        <f t="shared" si="0"/>
        <v>20622.778168972</v>
      </c>
      <c r="G43" s="93">
        <v>2426.7232960000001</v>
      </c>
      <c r="H43" s="93">
        <v>2102.1979999999999</v>
      </c>
      <c r="I43" s="93">
        <f t="shared" si="4"/>
        <v>16093.856872971999</v>
      </c>
      <c r="J43" s="196">
        <f t="shared" si="2"/>
        <v>54.336954265866304</v>
      </c>
      <c r="K43" s="196">
        <f t="shared" si="3"/>
        <v>27.168477132933152</v>
      </c>
    </row>
    <row r="44" spans="1:11" ht="12" customHeight="1" x14ac:dyDescent="0.2">
      <c r="A44" s="52">
        <v>2006</v>
      </c>
      <c r="B44" s="70">
        <v>298.99582500000002</v>
      </c>
      <c r="C44" s="49">
        <v>15071.457899999998</v>
      </c>
      <c r="D44" s="49">
        <v>3433.2622217079997</v>
      </c>
      <c r="E44" s="49">
        <v>2102.1979999999999</v>
      </c>
      <c r="F44" s="49">
        <f t="shared" si="0"/>
        <v>20606.918121707997</v>
      </c>
      <c r="G44" s="49">
        <v>2776.3690000000001</v>
      </c>
      <c r="H44" s="49">
        <v>1909.64</v>
      </c>
      <c r="I44" s="49">
        <f t="shared" si="4"/>
        <v>15920.909121707997</v>
      </c>
      <c r="J44" s="195">
        <f t="shared" si="2"/>
        <v>53.247931210103005</v>
      </c>
      <c r="K44" s="195">
        <f t="shared" si="3"/>
        <v>26.623965605051502</v>
      </c>
    </row>
    <row r="45" spans="1:11" ht="12" customHeight="1" x14ac:dyDescent="0.2">
      <c r="A45" s="52">
        <v>2007</v>
      </c>
      <c r="B45" s="70">
        <v>302.003917</v>
      </c>
      <c r="C45" s="49">
        <v>15901.473100000001</v>
      </c>
      <c r="D45" s="49">
        <v>3399.1404361200002</v>
      </c>
      <c r="E45" s="49">
        <v>1909.64</v>
      </c>
      <c r="F45" s="49">
        <f t="shared" si="0"/>
        <v>21210.253536119999</v>
      </c>
      <c r="G45" s="49">
        <v>3134.1300639999999</v>
      </c>
      <c r="H45" s="49">
        <v>2024.71</v>
      </c>
      <c r="I45" s="49">
        <f t="shared" si="4"/>
        <v>16051.413472119999</v>
      </c>
      <c r="J45" s="195">
        <f t="shared" si="2"/>
        <v>53.149686373504878</v>
      </c>
      <c r="K45" s="195">
        <f t="shared" ref="K45:K50" si="5">J45*0.5</f>
        <v>26.574843186752439</v>
      </c>
    </row>
    <row r="46" spans="1:11" ht="12" customHeight="1" x14ac:dyDescent="0.2">
      <c r="A46" s="52">
        <v>2008</v>
      </c>
      <c r="B46" s="70">
        <v>304.79776099999998</v>
      </c>
      <c r="C46" s="49">
        <v>15940.0821</v>
      </c>
      <c r="D46" s="49">
        <v>3427.6131034199993</v>
      </c>
      <c r="E46" s="49">
        <v>2024.71</v>
      </c>
      <c r="F46" s="49">
        <f t="shared" si="0"/>
        <v>21392.405203419999</v>
      </c>
      <c r="G46" s="49">
        <v>3512.4604588399998</v>
      </c>
      <c r="H46" s="49">
        <v>2197.16</v>
      </c>
      <c r="I46" s="49">
        <f t="shared" si="4"/>
        <v>15682.78474458</v>
      </c>
      <c r="J46" s="195">
        <f t="shared" si="2"/>
        <v>51.45308381901139</v>
      </c>
      <c r="K46" s="195">
        <f t="shared" si="5"/>
        <v>25.726541909505695</v>
      </c>
    </row>
    <row r="47" spans="1:11" ht="12" customHeight="1" x14ac:dyDescent="0.2">
      <c r="A47" s="52">
        <v>2009</v>
      </c>
      <c r="B47" s="70">
        <v>307.43940600000002</v>
      </c>
      <c r="C47" s="49">
        <v>15343.2675</v>
      </c>
      <c r="D47" s="49">
        <v>3315.3106424679995</v>
      </c>
      <c r="E47" s="49">
        <v>2197.16</v>
      </c>
      <c r="F47" s="49">
        <f t="shared" si="0"/>
        <v>20855.738142467999</v>
      </c>
      <c r="G47" s="49">
        <v>3284.7960599600001</v>
      </c>
      <c r="H47" s="49">
        <v>2087.69</v>
      </c>
      <c r="I47" s="49">
        <f t="shared" si="4"/>
        <v>15483.252082507999</v>
      </c>
      <c r="J47" s="195">
        <f t="shared" si="2"/>
        <v>50.361963301828645</v>
      </c>
      <c r="K47" s="195">
        <f t="shared" si="5"/>
        <v>25.180981650914323</v>
      </c>
    </row>
    <row r="48" spans="1:11" ht="12" customHeight="1" x14ac:dyDescent="0.2">
      <c r="A48" s="52">
        <v>2010</v>
      </c>
      <c r="B48" s="70">
        <v>309.74127900000002</v>
      </c>
      <c r="C48" s="49">
        <v>15649.754300000001</v>
      </c>
      <c r="D48" s="49">
        <v>3065.19836416728</v>
      </c>
      <c r="E48" s="49">
        <v>2087.69</v>
      </c>
      <c r="F48" s="49">
        <f t="shared" si="0"/>
        <v>20802.642664167281</v>
      </c>
      <c r="G48" s="49">
        <v>3252.8268747317202</v>
      </c>
      <c r="H48" s="49">
        <v>2037.81</v>
      </c>
      <c r="I48" s="49">
        <f t="shared" si="4"/>
        <v>15512.00578943556</v>
      </c>
      <c r="J48" s="195">
        <f t="shared" si="2"/>
        <v>50.080524751224907</v>
      </c>
      <c r="K48" s="195">
        <f t="shared" si="5"/>
        <v>25.040262375612453</v>
      </c>
    </row>
    <row r="49" spans="1:12" ht="12" customHeight="1" x14ac:dyDescent="0.2">
      <c r="A49" s="96">
        <v>2011</v>
      </c>
      <c r="B49" s="97">
        <v>311.97391399999998</v>
      </c>
      <c r="C49" s="98">
        <v>15532.097000000002</v>
      </c>
      <c r="D49" s="98">
        <v>3228.26148191316</v>
      </c>
      <c r="E49" s="98">
        <v>2037.81</v>
      </c>
      <c r="F49" s="98">
        <f t="shared" si="0"/>
        <v>20798.168481913162</v>
      </c>
      <c r="G49" s="98">
        <v>3734.4691479141206</v>
      </c>
      <c r="H49" s="98">
        <v>1999.826</v>
      </c>
      <c r="I49" s="98">
        <f t="shared" si="4"/>
        <v>15063.873333999041</v>
      </c>
      <c r="J49" s="197">
        <f t="shared" si="2"/>
        <v>48.285682417662144</v>
      </c>
      <c r="K49" s="197">
        <f t="shared" si="5"/>
        <v>24.142841208831072</v>
      </c>
    </row>
    <row r="50" spans="1:12" ht="12" customHeight="1" x14ac:dyDescent="0.2">
      <c r="A50" s="96">
        <v>2012</v>
      </c>
      <c r="B50" s="97">
        <v>314.16755799999999</v>
      </c>
      <c r="C50" s="98">
        <v>16132.927999999998</v>
      </c>
      <c r="D50" s="98">
        <v>3308.1031797145201</v>
      </c>
      <c r="E50" s="98">
        <v>1999.826</v>
      </c>
      <c r="F50" s="98">
        <f t="shared" si="0"/>
        <v>21440.85717971452</v>
      </c>
      <c r="G50" s="98">
        <v>4126.7126691397198</v>
      </c>
      <c r="H50" s="98">
        <v>2220.7759999999998</v>
      </c>
      <c r="I50" s="98">
        <f t="shared" si="4"/>
        <v>15093.368510574801</v>
      </c>
      <c r="J50" s="197">
        <f t="shared" si="2"/>
        <v>48.042415985468502</v>
      </c>
      <c r="K50" s="197">
        <f t="shared" si="5"/>
        <v>24.021207992734251</v>
      </c>
      <c r="L50"/>
    </row>
    <row r="51" spans="1:12" ht="12" customHeight="1" x14ac:dyDescent="0.2">
      <c r="A51" s="96">
        <v>2013</v>
      </c>
      <c r="B51" s="97">
        <v>316.29476599999998</v>
      </c>
      <c r="C51" s="98">
        <v>15660.006000000001</v>
      </c>
      <c r="D51" s="98">
        <v>3511.1228700235602</v>
      </c>
      <c r="E51" s="98">
        <v>2220.7759999999998</v>
      </c>
      <c r="F51" s="98">
        <f t="shared" si="0"/>
        <v>21391.904870023558</v>
      </c>
      <c r="G51" s="98">
        <v>4141.1353152259198</v>
      </c>
      <c r="H51" s="98">
        <v>2190.6</v>
      </c>
      <c r="I51" s="98">
        <f t="shared" ref="I51:I58" si="6">F51-SUM(G51,H51)</f>
        <v>15060.169554797638</v>
      </c>
      <c r="J51" s="197">
        <f t="shared" ref="J51:J58" si="7">IF(I51=0,0,IF(B51=0,0,I51/B51))</f>
        <v>47.614349567825727</v>
      </c>
      <c r="K51" s="197">
        <f t="shared" ref="K51:K58" si="8">J51*0.5</f>
        <v>23.807174783912863</v>
      </c>
      <c r="L51"/>
    </row>
    <row r="52" spans="1:12" ht="12" customHeight="1" x14ac:dyDescent="0.2">
      <c r="A52" s="96">
        <v>2014</v>
      </c>
      <c r="B52" s="97">
        <v>318.576955</v>
      </c>
      <c r="C52" s="98">
        <v>15604.953600000001</v>
      </c>
      <c r="D52" s="98">
        <v>3473.4061913804003</v>
      </c>
      <c r="E52" s="98">
        <v>2190.6</v>
      </c>
      <c r="F52" s="98">
        <f t="shared" si="0"/>
        <v>21268.959791380399</v>
      </c>
      <c r="G52" s="98">
        <v>4218.2190334072802</v>
      </c>
      <c r="H52" s="98">
        <v>2060.8620000000001</v>
      </c>
      <c r="I52" s="98">
        <f t="shared" si="6"/>
        <v>14989.878757973118</v>
      </c>
      <c r="J52" s="197">
        <f t="shared" si="7"/>
        <v>47.052614832021099</v>
      </c>
      <c r="K52" s="197">
        <f t="shared" si="8"/>
        <v>23.52630741601055</v>
      </c>
      <c r="L52"/>
    </row>
    <row r="53" spans="1:12" ht="12" customHeight="1" x14ac:dyDescent="0.2">
      <c r="A53" s="96">
        <v>2015</v>
      </c>
      <c r="B53" s="97">
        <v>320.87070299999999</v>
      </c>
      <c r="C53" s="98">
        <v>16497.027400000003</v>
      </c>
      <c r="D53" s="98">
        <v>3559.9773903192404</v>
      </c>
      <c r="E53" s="98">
        <v>2060.8620000000001</v>
      </c>
      <c r="F53" s="98">
        <f t="shared" si="0"/>
        <v>22117.866790319244</v>
      </c>
      <c r="G53" s="98">
        <v>4155.95464299796</v>
      </c>
      <c r="H53" s="98">
        <v>2013.7919999999999</v>
      </c>
      <c r="I53" s="98">
        <f t="shared" si="6"/>
        <v>15948.120147321284</v>
      </c>
      <c r="J53" s="197">
        <f t="shared" si="7"/>
        <v>49.702637224942549</v>
      </c>
      <c r="K53" s="197">
        <f t="shared" si="8"/>
        <v>24.851318612471275</v>
      </c>
      <c r="L53"/>
    </row>
    <row r="54" spans="1:12" ht="12" customHeight="1" x14ac:dyDescent="0.2">
      <c r="A54" s="129">
        <v>2016</v>
      </c>
      <c r="B54" s="130">
        <v>323.16101099999997</v>
      </c>
      <c r="C54" s="131">
        <v>16221.8006</v>
      </c>
      <c r="D54" s="131">
        <v>3838.0028077731995</v>
      </c>
      <c r="E54" s="131">
        <v>2013.7919999999999</v>
      </c>
      <c r="F54" s="131">
        <f t="shared" si="0"/>
        <v>22073.595407773202</v>
      </c>
      <c r="G54" s="131">
        <v>4500.2411931999995</v>
      </c>
      <c r="H54" s="131">
        <v>2249.1419999999998</v>
      </c>
      <c r="I54" s="131">
        <f t="shared" si="6"/>
        <v>15324.212214573203</v>
      </c>
      <c r="J54" s="198">
        <f t="shared" si="7"/>
        <v>47.419743387834629</v>
      </c>
      <c r="K54" s="198">
        <f t="shared" si="8"/>
        <v>23.709871693917314</v>
      </c>
      <c r="L54"/>
    </row>
    <row r="55" spans="1:12" ht="12" customHeight="1" x14ac:dyDescent="0.2">
      <c r="A55" s="152">
        <v>2017</v>
      </c>
      <c r="B55" s="153">
        <v>325.20603</v>
      </c>
      <c r="C55" s="154">
        <v>17303.457400000003</v>
      </c>
      <c r="D55" s="154">
        <v>4203.5945102676806</v>
      </c>
      <c r="E55" s="154">
        <v>2249.1419999999998</v>
      </c>
      <c r="F55" s="154">
        <f t="shared" si="0"/>
        <v>23756.193910267684</v>
      </c>
      <c r="G55" s="154">
        <v>4542.1421392000002</v>
      </c>
      <c r="H55" s="154">
        <v>2366.0860000000002</v>
      </c>
      <c r="I55" s="154">
        <f t="shared" si="6"/>
        <v>16847.965771067684</v>
      </c>
      <c r="J55" s="199">
        <f t="shared" si="7"/>
        <v>51.807052197241497</v>
      </c>
      <c r="K55" s="199">
        <f t="shared" si="8"/>
        <v>25.903526098620748</v>
      </c>
      <c r="L55"/>
    </row>
    <row r="56" spans="1:12" ht="12" customHeight="1" x14ac:dyDescent="0.2">
      <c r="A56" s="152">
        <v>2018</v>
      </c>
      <c r="B56" s="153">
        <v>326.92397599999998</v>
      </c>
      <c r="C56" s="154">
        <v>17387.363933333334</v>
      </c>
      <c r="D56" s="154">
        <v>4458.1889800000008</v>
      </c>
      <c r="E56" s="154">
        <v>2366.0860000000002</v>
      </c>
      <c r="F56" s="154">
        <f t="shared" si="0"/>
        <v>24211.638913333332</v>
      </c>
      <c r="G56" s="154">
        <v>4419.0941309999998</v>
      </c>
      <c r="H56" s="154">
        <v>2349.1179999999999</v>
      </c>
      <c r="I56" s="154">
        <f t="shared" si="6"/>
        <v>17443.426782333332</v>
      </c>
      <c r="J56" s="199">
        <f t="shared" si="7"/>
        <v>53.356217539497109</v>
      </c>
      <c r="K56" s="199">
        <f t="shared" si="8"/>
        <v>26.678108769748555</v>
      </c>
      <c r="L56"/>
    </row>
    <row r="57" spans="1:12" ht="12" customHeight="1" x14ac:dyDescent="0.2">
      <c r="A57" s="152">
        <v>2019</v>
      </c>
      <c r="B57" s="153">
        <v>328.475998</v>
      </c>
      <c r="C57" s="170">
        <v>17581.887977777777</v>
      </c>
      <c r="D57" s="154">
        <v>4326.209006</v>
      </c>
      <c r="E57" s="170">
        <v>2349.1179999999999</v>
      </c>
      <c r="F57" s="154">
        <f t="shared" si="0"/>
        <v>24257.214983777776</v>
      </c>
      <c r="G57" s="154">
        <v>4739.6199572000005</v>
      </c>
      <c r="H57" s="170">
        <v>2311.86</v>
      </c>
      <c r="I57" s="154">
        <f t="shared" si="6"/>
        <v>17205.735026577775</v>
      </c>
      <c r="J57" s="199">
        <f t="shared" si="7"/>
        <v>52.380493951883132</v>
      </c>
      <c r="K57" s="199">
        <f t="shared" si="8"/>
        <v>26.190246975941566</v>
      </c>
      <c r="L57"/>
    </row>
    <row r="58" spans="1:12" ht="12" customHeight="1" thickBot="1" x14ac:dyDescent="0.25">
      <c r="A58" s="132">
        <v>2020</v>
      </c>
      <c r="B58" s="133">
        <v>330.11398000000003</v>
      </c>
      <c r="C58" s="158">
        <v>15935.649335319125</v>
      </c>
      <c r="D58" s="134">
        <v>4727.5221179999999</v>
      </c>
      <c r="E58" s="158">
        <v>2311.86</v>
      </c>
      <c r="F58" s="134">
        <f t="shared" si="0"/>
        <v>22975.031453319127</v>
      </c>
      <c r="G58" s="134">
        <v>3919.3353047999999</v>
      </c>
      <c r="H58" s="158">
        <v>2244.116</v>
      </c>
      <c r="I58" s="134">
        <f t="shared" si="6"/>
        <v>16811.580148519126</v>
      </c>
      <c r="J58" s="200">
        <f t="shared" si="7"/>
        <v>50.926592531825293</v>
      </c>
      <c r="K58" s="200">
        <f t="shared" si="8"/>
        <v>25.463296265912646</v>
      </c>
      <c r="L58"/>
    </row>
    <row r="59" spans="1:12" ht="12" customHeight="1" thickTop="1" x14ac:dyDescent="0.2">
      <c r="A59" s="334" t="s">
        <v>4</v>
      </c>
      <c r="B59" s="335"/>
      <c r="C59" s="335"/>
      <c r="D59" s="335"/>
      <c r="E59" s="335"/>
      <c r="F59" s="335"/>
      <c r="G59" s="335"/>
      <c r="H59" s="335"/>
      <c r="I59" s="335"/>
      <c r="J59" s="335"/>
      <c r="K59" s="336"/>
    </row>
    <row r="60" spans="1:12" ht="12" customHeight="1" x14ac:dyDescent="0.2">
      <c r="A60" s="331"/>
      <c r="B60" s="332"/>
      <c r="C60" s="332"/>
      <c r="D60" s="332"/>
      <c r="E60" s="332"/>
      <c r="F60" s="332"/>
      <c r="G60" s="332"/>
      <c r="H60" s="332"/>
      <c r="I60" s="332"/>
      <c r="J60" s="332"/>
      <c r="K60" s="333"/>
      <c r="L60" s="29" t="s">
        <v>34</v>
      </c>
    </row>
    <row r="61" spans="1:12" ht="12" customHeight="1" x14ac:dyDescent="0.2">
      <c r="A61" s="327" t="s">
        <v>85</v>
      </c>
      <c r="B61" s="321"/>
      <c r="C61" s="321"/>
      <c r="D61" s="321"/>
      <c r="E61" s="321"/>
      <c r="F61" s="321"/>
      <c r="G61" s="321"/>
      <c r="H61" s="321"/>
      <c r="I61" s="321"/>
      <c r="J61" s="321"/>
      <c r="K61" s="322"/>
    </row>
    <row r="62" spans="1:12" ht="11.25" customHeight="1" x14ac:dyDescent="0.2">
      <c r="A62" s="320"/>
      <c r="B62" s="321"/>
      <c r="C62" s="321"/>
      <c r="D62" s="321"/>
      <c r="E62" s="321"/>
      <c r="F62" s="321"/>
      <c r="G62" s="321"/>
      <c r="H62" s="321"/>
      <c r="I62" s="321"/>
      <c r="J62" s="321"/>
      <c r="K62" s="322"/>
    </row>
    <row r="63" spans="1:12" ht="11.25" customHeight="1" x14ac:dyDescent="0.2">
      <c r="A63" s="320"/>
      <c r="B63" s="321"/>
      <c r="C63" s="321"/>
      <c r="D63" s="321"/>
      <c r="E63" s="321"/>
      <c r="F63" s="321"/>
      <c r="G63" s="321"/>
      <c r="H63" s="321"/>
      <c r="I63" s="321"/>
      <c r="J63" s="321"/>
      <c r="K63" s="322"/>
    </row>
    <row r="64" spans="1:12" ht="12" customHeight="1" x14ac:dyDescent="0.2">
      <c r="A64" s="320"/>
      <c r="B64" s="321"/>
      <c r="C64" s="321"/>
      <c r="D64" s="321"/>
      <c r="E64" s="321"/>
      <c r="F64" s="321"/>
      <c r="G64" s="321"/>
      <c r="H64" s="321"/>
      <c r="I64" s="321"/>
      <c r="J64" s="321"/>
      <c r="K64" s="322"/>
    </row>
    <row r="65" spans="1:11" ht="12" customHeight="1" x14ac:dyDescent="0.2">
      <c r="A65" s="331"/>
      <c r="B65" s="332"/>
      <c r="C65" s="332"/>
      <c r="D65" s="332"/>
      <c r="E65" s="332"/>
      <c r="F65" s="332"/>
      <c r="G65" s="332"/>
      <c r="H65" s="332"/>
      <c r="I65" s="332"/>
      <c r="J65" s="332"/>
      <c r="K65" s="333"/>
    </row>
    <row r="66" spans="1:11" ht="12" customHeight="1" x14ac:dyDescent="0.2">
      <c r="A66" s="324" t="s">
        <v>63</v>
      </c>
      <c r="B66" s="325"/>
      <c r="C66" s="325"/>
      <c r="D66" s="325"/>
      <c r="E66" s="325"/>
      <c r="F66" s="325"/>
      <c r="G66" s="325"/>
      <c r="H66" s="325"/>
      <c r="I66" s="325"/>
      <c r="J66" s="325"/>
      <c r="K66" s="326"/>
    </row>
  </sheetData>
  <mergeCells count="24">
    <mergeCell ref="J1:K1"/>
    <mergeCell ref="J3:K3"/>
    <mergeCell ref="A1:I1"/>
    <mergeCell ref="C2:F2"/>
    <mergeCell ref="H3:H6"/>
    <mergeCell ref="D3:D6"/>
    <mergeCell ref="G3:G6"/>
    <mergeCell ref="I3:I6"/>
    <mergeCell ref="E3:E6"/>
    <mergeCell ref="G2:H2"/>
    <mergeCell ref="I2:K2"/>
    <mergeCell ref="F3:F6"/>
    <mergeCell ref="J4:J6"/>
    <mergeCell ref="K4:K6"/>
    <mergeCell ref="A66:K66"/>
    <mergeCell ref="A61:K64"/>
    <mergeCell ref="A2:A6"/>
    <mergeCell ref="B2:B6"/>
    <mergeCell ref="C3:C6"/>
    <mergeCell ref="A65:K65"/>
    <mergeCell ref="A60:K60"/>
    <mergeCell ref="C7:I7"/>
    <mergeCell ref="J7:K7"/>
    <mergeCell ref="A59:K59"/>
  </mergeCells>
  <phoneticPr fontId="5" type="noConversion"/>
  <printOptions horizontalCentered="1" verticalCentered="1"/>
  <pageMargins left="0.75" right="0.75" top="0.75" bottom="0.75" header="0.5" footer="0.5"/>
  <pageSetup scale="10"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pageSetUpPr autoPageBreaks="0" fitToPage="1"/>
  </sheetPr>
  <dimension ref="A1:L73"/>
  <sheetViews>
    <sheetView showOutlineSymbols="0" zoomScaleNormal="100" workbookViewId="0">
      <pane ySplit="7" topLeftCell="A8" activePane="bottomLeft" state="frozen"/>
      <selection pane="bottomLeft" sqref="A1:I1"/>
    </sheetView>
  </sheetViews>
  <sheetFormatPr defaultColWidth="12.7109375" defaultRowHeight="12" customHeight="1" x14ac:dyDescent="0.2"/>
  <cols>
    <col min="1" max="1" width="12.7109375" style="24" customWidth="1"/>
    <col min="2" max="2" width="12.7109375" style="16" customWidth="1"/>
    <col min="3" max="9" width="12.7109375" style="17" customWidth="1"/>
    <col min="10" max="10" width="12.7109375" style="21" customWidth="1"/>
    <col min="11" max="12" width="12.7109375" style="18" customWidth="1"/>
    <col min="13" max="16384" width="12.7109375" style="19"/>
  </cols>
  <sheetData>
    <row r="1" spans="1:12" s="57" customFormat="1" ht="12" customHeight="1" thickBot="1" x14ac:dyDescent="0.25">
      <c r="A1" s="266" t="s">
        <v>54</v>
      </c>
      <c r="B1" s="266"/>
      <c r="C1" s="266"/>
      <c r="D1" s="266"/>
      <c r="E1" s="266"/>
      <c r="F1" s="266"/>
      <c r="G1" s="266"/>
      <c r="H1" s="266"/>
      <c r="I1" s="266"/>
      <c r="J1" s="227" t="s">
        <v>32</v>
      </c>
      <c r="K1" s="227"/>
      <c r="L1" s="56"/>
    </row>
    <row r="2" spans="1:12" ht="12" customHeight="1" thickTop="1" x14ac:dyDescent="0.2">
      <c r="A2" s="282" t="s">
        <v>0</v>
      </c>
      <c r="B2" s="274" t="s">
        <v>18</v>
      </c>
      <c r="C2" s="38" t="s">
        <v>1</v>
      </c>
      <c r="D2" s="39"/>
      <c r="E2" s="39"/>
      <c r="F2" s="39"/>
      <c r="G2" s="272" t="s">
        <v>44</v>
      </c>
      <c r="H2" s="273"/>
      <c r="I2" s="272" t="s">
        <v>43</v>
      </c>
      <c r="J2" s="273"/>
      <c r="K2" s="273"/>
    </row>
    <row r="3" spans="1:12" ht="12" customHeight="1" x14ac:dyDescent="0.2">
      <c r="A3" s="283"/>
      <c r="B3" s="275"/>
      <c r="C3" s="279" t="s">
        <v>19</v>
      </c>
      <c r="D3" s="279" t="s">
        <v>20</v>
      </c>
      <c r="E3" s="279" t="s">
        <v>21</v>
      </c>
      <c r="F3" s="279" t="s">
        <v>22</v>
      </c>
      <c r="G3" s="279" t="s">
        <v>23</v>
      </c>
      <c r="H3" s="279" t="s">
        <v>24</v>
      </c>
      <c r="I3" s="293" t="s">
        <v>37</v>
      </c>
      <c r="J3" s="288" t="s">
        <v>17</v>
      </c>
      <c r="K3" s="289"/>
      <c r="L3" s="20"/>
    </row>
    <row r="4" spans="1:12" ht="12" customHeight="1" x14ac:dyDescent="0.2">
      <c r="A4" s="283"/>
      <c r="B4" s="275"/>
      <c r="C4" s="280"/>
      <c r="D4" s="280"/>
      <c r="E4" s="280"/>
      <c r="F4" s="280"/>
      <c r="G4" s="280"/>
      <c r="H4" s="280"/>
      <c r="I4" s="294"/>
      <c r="J4" s="314" t="s">
        <v>3</v>
      </c>
      <c r="K4" s="311" t="s">
        <v>16</v>
      </c>
    </row>
    <row r="5" spans="1:12" ht="12" customHeight="1" x14ac:dyDescent="0.2">
      <c r="A5" s="283"/>
      <c r="B5" s="275"/>
      <c r="C5" s="280"/>
      <c r="D5" s="280"/>
      <c r="E5" s="280"/>
      <c r="F5" s="280"/>
      <c r="G5" s="280"/>
      <c r="H5" s="280"/>
      <c r="I5" s="294"/>
      <c r="J5" s="277"/>
      <c r="K5" s="312"/>
    </row>
    <row r="6" spans="1:12" ht="12" customHeight="1" x14ac:dyDescent="0.2">
      <c r="A6" s="284"/>
      <c r="B6" s="276"/>
      <c r="C6" s="281"/>
      <c r="D6" s="281"/>
      <c r="E6" s="281"/>
      <c r="F6" s="281"/>
      <c r="G6" s="281"/>
      <c r="H6" s="281"/>
      <c r="I6" s="295"/>
      <c r="J6" s="278"/>
      <c r="K6" s="313"/>
    </row>
    <row r="7" spans="1:12" ht="12" customHeight="1" x14ac:dyDescent="0.2">
      <c r="A7" s="73"/>
      <c r="B7" s="76" t="s">
        <v>33</v>
      </c>
      <c r="C7" s="267" t="s">
        <v>35</v>
      </c>
      <c r="D7" s="268"/>
      <c r="E7" s="268"/>
      <c r="F7" s="268"/>
      <c r="G7" s="268"/>
      <c r="H7" s="268"/>
      <c r="I7" s="268"/>
      <c r="J7" s="269" t="s">
        <v>36</v>
      </c>
      <c r="K7" s="269"/>
      <c r="L7" s="72"/>
    </row>
    <row r="8" spans="1:12" ht="12" customHeight="1" x14ac:dyDescent="0.2">
      <c r="A8" s="42">
        <v>1970</v>
      </c>
      <c r="B8" s="69">
        <v>205.05199999999999</v>
      </c>
      <c r="C8" s="43">
        <v>153.19999999999999</v>
      </c>
      <c r="D8" s="46" t="s">
        <v>2</v>
      </c>
      <c r="E8" s="45">
        <v>52.741259999999997</v>
      </c>
      <c r="F8" s="45">
        <f t="shared" ref="F8:F57" si="0">SUM(C8,D8,E8)</f>
        <v>205.94126</v>
      </c>
      <c r="G8" s="46">
        <v>1.2255099999999999</v>
      </c>
      <c r="H8" s="44">
        <v>57.461689999999997</v>
      </c>
      <c r="I8" s="43">
        <f t="shared" ref="I8:I50" si="1">F8-SUM(G8,H8)</f>
        <v>147.25406000000001</v>
      </c>
      <c r="J8" s="183">
        <f t="shared" ref="J8:J50" si="2">IF(I8=0,0,IF(B8=0,0,I8/B8))</f>
        <v>0.71813032791682119</v>
      </c>
      <c r="K8" s="184">
        <f>J8/1.43</f>
        <v>0.50218904050127355</v>
      </c>
    </row>
    <row r="9" spans="1:12" ht="12" customHeight="1" x14ac:dyDescent="0.2">
      <c r="A9" s="78">
        <v>1971</v>
      </c>
      <c r="B9" s="79">
        <v>207.661</v>
      </c>
      <c r="C9" s="80">
        <v>163</v>
      </c>
      <c r="D9" s="83" t="s">
        <v>2</v>
      </c>
      <c r="E9" s="82">
        <v>57.461689999999997</v>
      </c>
      <c r="F9" s="82">
        <f t="shared" si="0"/>
        <v>220.46169</v>
      </c>
      <c r="G9" s="83">
        <v>0.98669999999999991</v>
      </c>
      <c r="H9" s="81">
        <v>62.390900000000002</v>
      </c>
      <c r="I9" s="80">
        <f t="shared" si="1"/>
        <v>157.08409</v>
      </c>
      <c r="J9" s="185">
        <f t="shared" si="2"/>
        <v>0.75644483075782165</v>
      </c>
      <c r="K9" s="186">
        <f t="shared" ref="K9:K44" si="3">J9/1.43</f>
        <v>0.52898239913134382</v>
      </c>
    </row>
    <row r="10" spans="1:12" ht="12" customHeight="1" x14ac:dyDescent="0.2">
      <c r="A10" s="78">
        <v>1972</v>
      </c>
      <c r="B10" s="79">
        <v>209.89599999999999</v>
      </c>
      <c r="C10" s="80">
        <v>170.8</v>
      </c>
      <c r="D10" s="83" t="s">
        <v>2</v>
      </c>
      <c r="E10" s="82">
        <v>62.390900000000002</v>
      </c>
      <c r="F10" s="82">
        <f t="shared" si="0"/>
        <v>233.1909</v>
      </c>
      <c r="G10" s="83">
        <v>1.1883299999999999</v>
      </c>
      <c r="H10" s="81">
        <v>70.561920000000001</v>
      </c>
      <c r="I10" s="80">
        <f t="shared" si="1"/>
        <v>161.44065000000001</v>
      </c>
      <c r="J10" s="185">
        <f t="shared" si="2"/>
        <v>0.76914591035560476</v>
      </c>
      <c r="K10" s="186">
        <f t="shared" si="3"/>
        <v>0.53786427297594741</v>
      </c>
    </row>
    <row r="11" spans="1:12" ht="12" customHeight="1" x14ac:dyDescent="0.2">
      <c r="A11" s="78">
        <v>1973</v>
      </c>
      <c r="B11" s="79">
        <v>211.90899999999999</v>
      </c>
      <c r="C11" s="80">
        <v>157.80000000000001</v>
      </c>
      <c r="D11" s="83" t="s">
        <v>2</v>
      </c>
      <c r="E11" s="82">
        <v>70.561920000000001</v>
      </c>
      <c r="F11" s="82">
        <f t="shared" si="0"/>
        <v>228.36192</v>
      </c>
      <c r="G11" s="83">
        <v>2.0305999999999997</v>
      </c>
      <c r="H11" s="81">
        <v>90.258740000000003</v>
      </c>
      <c r="I11" s="80">
        <f t="shared" si="1"/>
        <v>136.07257999999999</v>
      </c>
      <c r="J11" s="185">
        <f t="shared" si="2"/>
        <v>0.64212742262008693</v>
      </c>
      <c r="K11" s="186">
        <f t="shared" si="3"/>
        <v>0.44904015567838251</v>
      </c>
    </row>
    <row r="12" spans="1:12" ht="12" customHeight="1" x14ac:dyDescent="0.2">
      <c r="A12" s="78">
        <v>1974</v>
      </c>
      <c r="B12" s="79">
        <v>213.85400000000001</v>
      </c>
      <c r="C12" s="80">
        <v>199.9</v>
      </c>
      <c r="D12" s="83" t="s">
        <v>2</v>
      </c>
      <c r="E12" s="82">
        <v>90.258740000000003</v>
      </c>
      <c r="F12" s="82">
        <f t="shared" si="0"/>
        <v>290.15874000000002</v>
      </c>
      <c r="G12" s="83">
        <v>3.1274099999999998</v>
      </c>
      <c r="H12" s="81">
        <v>98.988889999999998</v>
      </c>
      <c r="I12" s="80">
        <f t="shared" si="1"/>
        <v>188.04244000000003</v>
      </c>
      <c r="J12" s="185">
        <f t="shared" si="2"/>
        <v>0.87930288888681074</v>
      </c>
      <c r="K12" s="186">
        <f t="shared" si="3"/>
        <v>0.61489712509567185</v>
      </c>
    </row>
    <row r="13" spans="1:12" ht="12" customHeight="1" x14ac:dyDescent="0.2">
      <c r="A13" s="78">
        <v>1975</v>
      </c>
      <c r="B13" s="79">
        <v>215.97300000000001</v>
      </c>
      <c r="C13" s="80">
        <v>137</v>
      </c>
      <c r="D13" s="83" t="s">
        <v>2</v>
      </c>
      <c r="E13" s="82">
        <v>98.988889999999998</v>
      </c>
      <c r="F13" s="82">
        <f t="shared" si="0"/>
        <v>235.98889</v>
      </c>
      <c r="G13" s="83">
        <v>2.4324300000000001</v>
      </c>
      <c r="H13" s="81">
        <v>78.800149999999988</v>
      </c>
      <c r="I13" s="80">
        <f t="shared" si="1"/>
        <v>154.75631000000001</v>
      </c>
      <c r="J13" s="185">
        <f t="shared" si="2"/>
        <v>0.7165539673940724</v>
      </c>
      <c r="K13" s="186">
        <f t="shared" si="3"/>
        <v>0.50108669048536536</v>
      </c>
    </row>
    <row r="14" spans="1:12" ht="12" customHeight="1" x14ac:dyDescent="0.2">
      <c r="A14" s="42">
        <v>1976</v>
      </c>
      <c r="B14" s="69">
        <v>218.035</v>
      </c>
      <c r="C14" s="43">
        <v>163.90000000000003</v>
      </c>
      <c r="D14" s="46" t="s">
        <v>2</v>
      </c>
      <c r="E14" s="45">
        <v>78.800149999999988</v>
      </c>
      <c r="F14" s="45">
        <f t="shared" si="0"/>
        <v>242.70015000000001</v>
      </c>
      <c r="G14" s="46">
        <v>6.0102900000000004</v>
      </c>
      <c r="H14" s="43">
        <v>79.619539999999986</v>
      </c>
      <c r="I14" s="43">
        <f t="shared" si="1"/>
        <v>157.07032000000004</v>
      </c>
      <c r="J14" s="183">
        <f t="shared" si="2"/>
        <v>0.72039039603733368</v>
      </c>
      <c r="K14" s="184">
        <f t="shared" si="3"/>
        <v>0.50376950771841522</v>
      </c>
    </row>
    <row r="15" spans="1:12" ht="12" customHeight="1" x14ac:dyDescent="0.2">
      <c r="A15" s="42">
        <v>1977</v>
      </c>
      <c r="B15" s="69">
        <v>220.23899999999998</v>
      </c>
      <c r="C15" s="43">
        <v>179.4</v>
      </c>
      <c r="D15" s="46" t="s">
        <v>2</v>
      </c>
      <c r="E15" s="45">
        <v>79.619539999999986</v>
      </c>
      <c r="F15" s="45">
        <f t="shared" si="0"/>
        <v>259.01954000000001</v>
      </c>
      <c r="G15" s="46">
        <v>4.9678199999999997</v>
      </c>
      <c r="H15" s="43">
        <v>83.715059999999994</v>
      </c>
      <c r="I15" s="43">
        <f t="shared" si="1"/>
        <v>170.33665999999999</v>
      </c>
      <c r="J15" s="183">
        <f t="shared" si="2"/>
        <v>0.77341733298825377</v>
      </c>
      <c r="K15" s="184">
        <f t="shared" si="3"/>
        <v>0.54085128180996767</v>
      </c>
    </row>
    <row r="16" spans="1:12" ht="12" customHeight="1" x14ac:dyDescent="0.2">
      <c r="A16" s="42">
        <v>1978</v>
      </c>
      <c r="B16" s="69">
        <v>222.58500000000001</v>
      </c>
      <c r="C16" s="43">
        <v>146.5</v>
      </c>
      <c r="D16" s="46" t="s">
        <v>2</v>
      </c>
      <c r="E16" s="45">
        <v>83.715059999999994</v>
      </c>
      <c r="F16" s="45">
        <f t="shared" si="0"/>
        <v>230.21505999999999</v>
      </c>
      <c r="G16" s="44">
        <v>5.4426095925343994</v>
      </c>
      <c r="H16" s="43">
        <v>56.562220000000003</v>
      </c>
      <c r="I16" s="43">
        <f t="shared" si="1"/>
        <v>168.21023040746559</v>
      </c>
      <c r="J16" s="183">
        <f t="shared" si="2"/>
        <v>0.75571233644434976</v>
      </c>
      <c r="K16" s="184">
        <f t="shared" si="3"/>
        <v>0.52847016534569913</v>
      </c>
    </row>
    <row r="17" spans="1:11" ht="12" customHeight="1" x14ac:dyDescent="0.2">
      <c r="A17" s="42">
        <v>1979</v>
      </c>
      <c r="B17" s="69">
        <v>225.05500000000001</v>
      </c>
      <c r="C17" s="43">
        <v>202.95999999999998</v>
      </c>
      <c r="D17" s="46" t="s">
        <v>2</v>
      </c>
      <c r="E17" s="45">
        <v>56.562220000000003</v>
      </c>
      <c r="F17" s="45">
        <f t="shared" si="0"/>
        <v>259.52222</v>
      </c>
      <c r="G17" s="44">
        <v>6.4148797731875993</v>
      </c>
      <c r="H17" s="43">
        <v>84.055399999999992</v>
      </c>
      <c r="I17" s="43">
        <f t="shared" si="1"/>
        <v>169.05194022681241</v>
      </c>
      <c r="J17" s="183">
        <f t="shared" si="2"/>
        <v>0.75115834008047988</v>
      </c>
      <c r="K17" s="184">
        <f t="shared" si="3"/>
        <v>0.52528555250383213</v>
      </c>
    </row>
    <row r="18" spans="1:11" ht="12" customHeight="1" x14ac:dyDescent="0.2">
      <c r="A18" s="42">
        <v>1980</v>
      </c>
      <c r="B18" s="69">
        <v>227.726</v>
      </c>
      <c r="C18" s="43">
        <v>181.28</v>
      </c>
      <c r="D18" s="46" t="s">
        <v>2</v>
      </c>
      <c r="E18" s="45">
        <v>84.055399999999992</v>
      </c>
      <c r="F18" s="45">
        <f t="shared" si="0"/>
        <v>265.33539999999999</v>
      </c>
      <c r="G18" s="46">
        <v>5.4927202744413988</v>
      </c>
      <c r="H18" s="43">
        <v>77.081289999999996</v>
      </c>
      <c r="I18" s="43">
        <f t="shared" si="1"/>
        <v>182.76138972555862</v>
      </c>
      <c r="J18" s="183">
        <f t="shared" si="2"/>
        <v>0.80254951004961494</v>
      </c>
      <c r="K18" s="184">
        <f t="shared" si="3"/>
        <v>0.56122343360112936</v>
      </c>
    </row>
    <row r="19" spans="1:11" ht="12" customHeight="1" x14ac:dyDescent="0.2">
      <c r="A19" s="78">
        <v>1981</v>
      </c>
      <c r="B19" s="79">
        <v>229.96600000000001</v>
      </c>
      <c r="C19" s="80">
        <v>191.44</v>
      </c>
      <c r="D19" s="83" t="s">
        <v>2</v>
      </c>
      <c r="E19" s="82">
        <v>77.081289999999996</v>
      </c>
      <c r="F19" s="82">
        <f t="shared" si="0"/>
        <v>268.52129000000002</v>
      </c>
      <c r="G19" s="81">
        <v>5.9174016043141986</v>
      </c>
      <c r="H19" s="80">
        <v>90.224419999999995</v>
      </c>
      <c r="I19" s="80">
        <f t="shared" si="1"/>
        <v>172.37946839568582</v>
      </c>
      <c r="J19" s="185">
        <f t="shared" si="2"/>
        <v>0.74958675802373309</v>
      </c>
      <c r="K19" s="186">
        <f t="shared" si="3"/>
        <v>0.52418654407254062</v>
      </c>
    </row>
    <row r="20" spans="1:11" ht="12" customHeight="1" x14ac:dyDescent="0.2">
      <c r="A20" s="78">
        <v>1982</v>
      </c>
      <c r="B20" s="79">
        <v>232.18799999999999</v>
      </c>
      <c r="C20" s="84">
        <v>156.031698734</v>
      </c>
      <c r="D20" s="83" t="s">
        <v>2</v>
      </c>
      <c r="E20" s="82">
        <v>90.224419999999995</v>
      </c>
      <c r="F20" s="82">
        <f t="shared" si="0"/>
        <v>246.25611873399998</v>
      </c>
      <c r="G20" s="81">
        <v>5.2397204421848</v>
      </c>
      <c r="H20" s="80">
        <v>75.12075999999999</v>
      </c>
      <c r="I20" s="80">
        <f t="shared" si="1"/>
        <v>165.8956382918152</v>
      </c>
      <c r="J20" s="185">
        <f t="shared" si="2"/>
        <v>0.71448842443113003</v>
      </c>
      <c r="K20" s="186">
        <f t="shared" si="3"/>
        <v>0.49964225484694408</v>
      </c>
    </row>
    <row r="21" spans="1:11" ht="12" customHeight="1" x14ac:dyDescent="0.2">
      <c r="A21" s="78">
        <v>1983</v>
      </c>
      <c r="B21" s="79">
        <v>234.30699999999999</v>
      </c>
      <c r="C21" s="84">
        <v>110.388206262</v>
      </c>
      <c r="D21" s="83" t="s">
        <v>2</v>
      </c>
      <c r="E21" s="82">
        <v>75.12075999999999</v>
      </c>
      <c r="F21" s="82">
        <f t="shared" si="0"/>
        <v>185.508966262</v>
      </c>
      <c r="G21" s="81">
        <v>5.2557104628599998</v>
      </c>
      <c r="H21" s="80">
        <v>60.464689999999997</v>
      </c>
      <c r="I21" s="80">
        <f t="shared" si="1"/>
        <v>119.78856579914</v>
      </c>
      <c r="J21" s="185">
        <f t="shared" si="2"/>
        <v>0.51124621031014872</v>
      </c>
      <c r="K21" s="186">
        <f t="shared" si="3"/>
        <v>0.35751483238471937</v>
      </c>
    </row>
    <row r="22" spans="1:11" ht="12" customHeight="1" x14ac:dyDescent="0.2">
      <c r="A22" s="78">
        <v>1984</v>
      </c>
      <c r="B22" s="79">
        <v>236.34800000000001</v>
      </c>
      <c r="C22" s="80">
        <v>127.559595414</v>
      </c>
      <c r="D22" s="83" t="s">
        <v>2</v>
      </c>
      <c r="E22" s="82">
        <v>60.464689999999997</v>
      </c>
      <c r="F22" s="82">
        <f t="shared" si="0"/>
        <v>188.02428541399999</v>
      </c>
      <c r="G22" s="81">
        <v>5.7952286407443987</v>
      </c>
      <c r="H22" s="80">
        <v>64.784720000000007</v>
      </c>
      <c r="I22" s="80">
        <f t="shared" si="1"/>
        <v>117.44433677325559</v>
      </c>
      <c r="J22" s="185">
        <f t="shared" si="2"/>
        <v>0.49691275903860233</v>
      </c>
      <c r="K22" s="186">
        <f t="shared" si="3"/>
        <v>0.34749143988713449</v>
      </c>
    </row>
    <row r="23" spans="1:11" ht="12" customHeight="1" x14ac:dyDescent="0.2">
      <c r="A23" s="78">
        <v>1985</v>
      </c>
      <c r="B23" s="79">
        <v>238.46600000000001</v>
      </c>
      <c r="C23" s="80">
        <v>163.25581371600001</v>
      </c>
      <c r="D23" s="83" t="s">
        <v>2</v>
      </c>
      <c r="E23" s="82">
        <v>64.784720000000007</v>
      </c>
      <c r="F23" s="82">
        <f t="shared" si="0"/>
        <v>228.04053371600003</v>
      </c>
      <c r="G23" s="83">
        <v>5.9205542109141991</v>
      </c>
      <c r="H23" s="80">
        <v>75.265190000000004</v>
      </c>
      <c r="I23" s="80">
        <f t="shared" si="1"/>
        <v>146.85478950508582</v>
      </c>
      <c r="J23" s="185">
        <f t="shared" si="2"/>
        <v>0.61583114366444613</v>
      </c>
      <c r="K23" s="186">
        <f t="shared" si="3"/>
        <v>0.4306511494156966</v>
      </c>
    </row>
    <row r="24" spans="1:11" ht="12" customHeight="1" x14ac:dyDescent="0.2">
      <c r="A24" s="42">
        <v>1986</v>
      </c>
      <c r="B24" s="69">
        <v>240.65100000000001</v>
      </c>
      <c r="C24" s="43">
        <v>129.67081246000001</v>
      </c>
      <c r="D24" s="46" t="s">
        <v>2</v>
      </c>
      <c r="E24" s="45">
        <v>75.265190000000004</v>
      </c>
      <c r="F24" s="45">
        <f t="shared" si="0"/>
        <v>204.93600246</v>
      </c>
      <c r="G24" s="44">
        <v>6.2831922428989992</v>
      </c>
      <c r="H24" s="43">
        <v>65.688479999999998</v>
      </c>
      <c r="I24" s="43">
        <f t="shared" si="1"/>
        <v>132.96433021710101</v>
      </c>
      <c r="J24" s="183">
        <f t="shared" si="2"/>
        <v>0.55251933387810981</v>
      </c>
      <c r="K24" s="184">
        <f t="shared" si="3"/>
        <v>0.38637715655811877</v>
      </c>
    </row>
    <row r="25" spans="1:11" ht="12" customHeight="1" x14ac:dyDescent="0.2">
      <c r="A25" s="42">
        <v>1987</v>
      </c>
      <c r="B25" s="69">
        <v>242.804</v>
      </c>
      <c r="C25" s="43">
        <v>122.351891622</v>
      </c>
      <c r="D25" s="46" t="s">
        <v>2</v>
      </c>
      <c r="E25" s="45">
        <v>65.688479999999998</v>
      </c>
      <c r="F25" s="45">
        <f t="shared" si="0"/>
        <v>188.04037162200001</v>
      </c>
      <c r="G25" s="44">
        <v>7.2337220484385991</v>
      </c>
      <c r="H25" s="43">
        <v>72.659729999999996</v>
      </c>
      <c r="I25" s="43">
        <f t="shared" si="1"/>
        <v>108.14691957356142</v>
      </c>
      <c r="J25" s="183">
        <f t="shared" si="2"/>
        <v>0.44540831112156892</v>
      </c>
      <c r="K25" s="184">
        <f t="shared" si="3"/>
        <v>0.31147434344165659</v>
      </c>
    </row>
    <row r="26" spans="1:11" ht="12" customHeight="1" x14ac:dyDescent="0.2">
      <c r="A26" s="42">
        <v>1988</v>
      </c>
      <c r="B26" s="69">
        <v>245.02099999999999</v>
      </c>
      <c r="C26" s="43">
        <v>127.37269018800001</v>
      </c>
      <c r="D26" s="46" t="s">
        <v>2</v>
      </c>
      <c r="E26" s="45">
        <v>72.659729999999996</v>
      </c>
      <c r="F26" s="45">
        <f t="shared" si="0"/>
        <v>200.032420188</v>
      </c>
      <c r="G26" s="44">
        <v>6.760622986402999</v>
      </c>
      <c r="H26" s="43">
        <v>50.114350000000002</v>
      </c>
      <c r="I26" s="43">
        <f t="shared" si="1"/>
        <v>143.15744720159699</v>
      </c>
      <c r="J26" s="183">
        <f t="shared" si="2"/>
        <v>0.58426603108140529</v>
      </c>
      <c r="K26" s="184">
        <f t="shared" si="3"/>
        <v>0.40857764411287084</v>
      </c>
    </row>
    <row r="27" spans="1:11" ht="12" customHeight="1" x14ac:dyDescent="0.2">
      <c r="A27" s="42">
        <v>1989</v>
      </c>
      <c r="B27" s="69">
        <v>247.34200000000001</v>
      </c>
      <c r="C27" s="43">
        <v>123.236110446</v>
      </c>
      <c r="D27" s="46" t="s">
        <v>2</v>
      </c>
      <c r="E27" s="45">
        <v>50.114350000000002</v>
      </c>
      <c r="F27" s="45">
        <f t="shared" si="0"/>
        <v>173.350460446</v>
      </c>
      <c r="G27" s="44">
        <v>5.3501276399999993</v>
      </c>
      <c r="H27" s="43">
        <v>59.828339999999997</v>
      </c>
      <c r="I27" s="43">
        <f t="shared" si="1"/>
        <v>108.17199280600001</v>
      </c>
      <c r="J27" s="183">
        <f t="shared" si="2"/>
        <v>0.43733774614097082</v>
      </c>
      <c r="K27" s="184">
        <f t="shared" si="3"/>
        <v>0.30583059170697263</v>
      </c>
    </row>
    <row r="28" spans="1:11" ht="12" customHeight="1" x14ac:dyDescent="0.2">
      <c r="A28" s="42">
        <v>1990</v>
      </c>
      <c r="B28" s="69">
        <v>250.13200000000001</v>
      </c>
      <c r="C28" s="43">
        <v>131.39863268799999</v>
      </c>
      <c r="D28" s="46" t="s">
        <v>2</v>
      </c>
      <c r="E28" s="45">
        <v>59.828339999999997</v>
      </c>
      <c r="F28" s="45">
        <f t="shared" si="0"/>
        <v>191.22697268799999</v>
      </c>
      <c r="G28" s="46">
        <v>9.7980010699999998</v>
      </c>
      <c r="H28" s="43">
        <v>130.01989</v>
      </c>
      <c r="I28" s="43">
        <f t="shared" si="1"/>
        <v>51.409081617999988</v>
      </c>
      <c r="J28" s="183">
        <f t="shared" si="2"/>
        <v>0.20552780778948709</v>
      </c>
      <c r="K28" s="184">
        <f t="shared" si="3"/>
        <v>0.14372573971292804</v>
      </c>
    </row>
    <row r="29" spans="1:11" ht="12" customHeight="1" x14ac:dyDescent="0.2">
      <c r="A29" s="78">
        <v>1991</v>
      </c>
      <c r="B29" s="79">
        <v>253.49299999999999</v>
      </c>
      <c r="C29" s="80">
        <v>122.955212542</v>
      </c>
      <c r="D29" s="83" t="s">
        <v>2</v>
      </c>
      <c r="E29" s="82">
        <v>130.01989</v>
      </c>
      <c r="F29" s="82">
        <f t="shared" si="0"/>
        <v>252.975102542</v>
      </c>
      <c r="G29" s="81">
        <v>10.15895166</v>
      </c>
      <c r="H29" s="80">
        <v>76.20899</v>
      </c>
      <c r="I29" s="80">
        <f t="shared" si="1"/>
        <v>166.60716088200002</v>
      </c>
      <c r="J29" s="185">
        <f t="shared" si="2"/>
        <v>0.65724560789449815</v>
      </c>
      <c r="K29" s="186">
        <f t="shared" si="3"/>
        <v>0.45961231321293577</v>
      </c>
    </row>
    <row r="30" spans="1:11" ht="12" customHeight="1" x14ac:dyDescent="0.2">
      <c r="A30" s="78">
        <v>1992</v>
      </c>
      <c r="B30" s="79">
        <v>256.89400000000001</v>
      </c>
      <c r="C30" s="80">
        <v>131.6</v>
      </c>
      <c r="D30" s="83" t="s">
        <v>2</v>
      </c>
      <c r="E30" s="82">
        <v>76.20899</v>
      </c>
      <c r="F30" s="82">
        <f t="shared" si="0"/>
        <v>207.80898999999999</v>
      </c>
      <c r="G30" s="81">
        <v>9.2306185399999983</v>
      </c>
      <c r="H30" s="80">
        <v>80.340260000000001</v>
      </c>
      <c r="I30" s="80">
        <f t="shared" si="1"/>
        <v>118.23811146</v>
      </c>
      <c r="J30" s="185">
        <f t="shared" si="2"/>
        <v>0.46026030759768621</v>
      </c>
      <c r="K30" s="186">
        <f t="shared" si="3"/>
        <v>0.32186035496341697</v>
      </c>
    </row>
    <row r="31" spans="1:11" ht="12" customHeight="1" x14ac:dyDescent="0.2">
      <c r="A31" s="78">
        <v>1993</v>
      </c>
      <c r="B31" s="79">
        <v>260.255</v>
      </c>
      <c r="C31" s="80">
        <v>142.76</v>
      </c>
      <c r="D31" s="83" t="s">
        <v>2</v>
      </c>
      <c r="E31" s="82">
        <v>80.340260000000001</v>
      </c>
      <c r="F31" s="82">
        <f t="shared" si="0"/>
        <v>223.10025999999999</v>
      </c>
      <c r="G31" s="81">
        <v>10.152945659999999</v>
      </c>
      <c r="H31" s="80">
        <v>67.437370000000001</v>
      </c>
      <c r="I31" s="80">
        <f t="shared" si="1"/>
        <v>145.50994434</v>
      </c>
      <c r="J31" s="185">
        <f t="shared" si="2"/>
        <v>0.55910527882269312</v>
      </c>
      <c r="K31" s="186">
        <f t="shared" si="3"/>
        <v>0.39098271246342176</v>
      </c>
    </row>
    <row r="32" spans="1:11" ht="12" customHeight="1" x14ac:dyDescent="0.2">
      <c r="A32" s="78">
        <v>1994</v>
      </c>
      <c r="B32" s="79">
        <v>263.43599999999998</v>
      </c>
      <c r="C32" s="80">
        <v>167.14</v>
      </c>
      <c r="D32" s="83" t="s">
        <v>2</v>
      </c>
      <c r="E32" s="82">
        <v>67.437370000000001</v>
      </c>
      <c r="F32" s="82">
        <f t="shared" si="0"/>
        <v>234.57736999999997</v>
      </c>
      <c r="G32" s="81">
        <v>10.355987069999999</v>
      </c>
      <c r="H32" s="80">
        <v>100.1143</v>
      </c>
      <c r="I32" s="80">
        <f t="shared" si="1"/>
        <v>124.10708292999998</v>
      </c>
      <c r="J32" s="185">
        <f t="shared" si="2"/>
        <v>0.47110904709303203</v>
      </c>
      <c r="K32" s="186">
        <f t="shared" si="3"/>
        <v>0.32944688607904338</v>
      </c>
    </row>
    <row r="33" spans="1:11" ht="12" customHeight="1" x14ac:dyDescent="0.2">
      <c r="A33" s="78">
        <v>1995</v>
      </c>
      <c r="B33" s="79">
        <v>266.55700000000002</v>
      </c>
      <c r="C33" s="80">
        <v>150.04</v>
      </c>
      <c r="D33" s="83" t="s">
        <v>2</v>
      </c>
      <c r="E33" s="82">
        <v>100.1143</v>
      </c>
      <c r="F33" s="82">
        <f t="shared" si="0"/>
        <v>250.15429999999998</v>
      </c>
      <c r="G33" s="83">
        <v>8.3920579600000007</v>
      </c>
      <c r="H33" s="80">
        <v>98.584199999999996</v>
      </c>
      <c r="I33" s="80">
        <f t="shared" si="1"/>
        <v>143.17804203999998</v>
      </c>
      <c r="J33" s="185">
        <f t="shared" si="2"/>
        <v>0.53713855588110604</v>
      </c>
      <c r="K33" s="186">
        <f t="shared" si="3"/>
        <v>0.37562136774902521</v>
      </c>
    </row>
    <row r="34" spans="1:11" ht="12" customHeight="1" x14ac:dyDescent="0.2">
      <c r="A34" s="42">
        <v>1996</v>
      </c>
      <c r="B34" s="69">
        <v>269.66699999999997</v>
      </c>
      <c r="C34" s="43">
        <v>169.1</v>
      </c>
      <c r="D34" s="46" t="s">
        <v>2</v>
      </c>
      <c r="E34" s="45">
        <v>98.584199999999996</v>
      </c>
      <c r="F34" s="45">
        <f t="shared" si="0"/>
        <v>267.68419999999998</v>
      </c>
      <c r="G34" s="44">
        <v>10.300700410000001</v>
      </c>
      <c r="H34" s="43">
        <v>68.451239999999999</v>
      </c>
      <c r="I34" s="43">
        <f t="shared" si="1"/>
        <v>188.93225958999997</v>
      </c>
      <c r="J34" s="183">
        <f t="shared" si="2"/>
        <v>0.70061319920494536</v>
      </c>
      <c r="K34" s="184">
        <f t="shared" si="3"/>
        <v>0.48993930014331843</v>
      </c>
    </row>
    <row r="35" spans="1:11" ht="12" customHeight="1" x14ac:dyDescent="0.2">
      <c r="A35" s="42">
        <v>1997</v>
      </c>
      <c r="B35" s="69">
        <v>272.91199999999998</v>
      </c>
      <c r="C35" s="43">
        <v>173.02</v>
      </c>
      <c r="D35" s="43">
        <v>8.7341225399999995</v>
      </c>
      <c r="E35" s="45">
        <v>68.451239999999999</v>
      </c>
      <c r="F35" s="45">
        <f t="shared" si="0"/>
        <v>250.20536254000001</v>
      </c>
      <c r="G35" s="44">
        <v>13.436977839999999</v>
      </c>
      <c r="H35" s="43">
        <v>95.941559999999996</v>
      </c>
      <c r="I35" s="43">
        <f t="shared" si="1"/>
        <v>140.82682470000003</v>
      </c>
      <c r="J35" s="183">
        <f t="shared" si="2"/>
        <v>0.51601550939496998</v>
      </c>
      <c r="K35" s="184">
        <f t="shared" si="3"/>
        <v>0.36085000656990912</v>
      </c>
    </row>
    <row r="36" spans="1:11" ht="12" customHeight="1" x14ac:dyDescent="0.2">
      <c r="A36" s="42">
        <v>1998</v>
      </c>
      <c r="B36" s="69">
        <v>276.11500000000001</v>
      </c>
      <c r="C36" s="43">
        <v>136.26</v>
      </c>
      <c r="D36" s="43">
        <v>8.5792235099999985</v>
      </c>
      <c r="E36" s="45">
        <v>95.941559999999996</v>
      </c>
      <c r="F36" s="45">
        <f t="shared" si="0"/>
        <v>240.78078350999999</v>
      </c>
      <c r="G36" s="44">
        <v>11.346216309999999</v>
      </c>
      <c r="H36" s="43">
        <v>99.00175999999999</v>
      </c>
      <c r="I36" s="43">
        <f t="shared" si="1"/>
        <v>130.43280720000001</v>
      </c>
      <c r="J36" s="183">
        <f t="shared" si="2"/>
        <v>0.47238580736287422</v>
      </c>
      <c r="K36" s="184">
        <f t="shared" si="3"/>
        <v>0.33033972542858336</v>
      </c>
    </row>
    <row r="37" spans="1:11" ht="12" customHeight="1" x14ac:dyDescent="0.2">
      <c r="A37" s="42">
        <v>1999</v>
      </c>
      <c r="B37" s="69">
        <v>279.29500000000002</v>
      </c>
      <c r="C37" s="43">
        <v>164.28</v>
      </c>
      <c r="D37" s="43">
        <v>9.8823310299999996</v>
      </c>
      <c r="E37" s="45">
        <v>99.00175999999999</v>
      </c>
      <c r="F37" s="45">
        <f t="shared" si="0"/>
        <v>273.16409103000001</v>
      </c>
      <c r="G37" s="44">
        <v>11.97965054</v>
      </c>
      <c r="H37" s="43">
        <v>104.88907</v>
      </c>
      <c r="I37" s="43">
        <f t="shared" si="1"/>
        <v>156.29537049000001</v>
      </c>
      <c r="J37" s="183">
        <f t="shared" si="2"/>
        <v>0.55960676163196621</v>
      </c>
      <c r="K37" s="184">
        <f t="shared" si="3"/>
        <v>0.3913333997426337</v>
      </c>
    </row>
    <row r="38" spans="1:11" ht="12" customHeight="1" x14ac:dyDescent="0.2">
      <c r="A38" s="42">
        <v>2000</v>
      </c>
      <c r="B38" s="69">
        <v>282.38499999999999</v>
      </c>
      <c r="C38" s="43">
        <v>209.9</v>
      </c>
      <c r="D38" s="43">
        <v>10.35725834</v>
      </c>
      <c r="E38" s="45">
        <v>104.88907</v>
      </c>
      <c r="F38" s="45">
        <f t="shared" si="0"/>
        <v>325.14632833999997</v>
      </c>
      <c r="G38" s="44">
        <v>12.940652010000001</v>
      </c>
      <c r="H38" s="43">
        <v>72.593949999999992</v>
      </c>
      <c r="I38" s="43">
        <f t="shared" si="1"/>
        <v>239.61172632999998</v>
      </c>
      <c r="J38" s="183">
        <f t="shared" si="2"/>
        <v>0.84852852074295726</v>
      </c>
      <c r="K38" s="184">
        <f t="shared" si="3"/>
        <v>0.59337658793213799</v>
      </c>
    </row>
    <row r="39" spans="1:11" ht="12" customHeight="1" x14ac:dyDescent="0.2">
      <c r="A39" s="78">
        <v>2001</v>
      </c>
      <c r="B39" s="79">
        <v>285.30901899999998</v>
      </c>
      <c r="C39" s="80">
        <v>214.1</v>
      </c>
      <c r="D39" s="80">
        <v>17.438113550000001</v>
      </c>
      <c r="E39" s="82">
        <v>72.593949999999992</v>
      </c>
      <c r="F39" s="82">
        <f t="shared" si="0"/>
        <v>304.13206355</v>
      </c>
      <c r="G39" s="81">
        <v>11.934639860000001</v>
      </c>
      <c r="H39" s="80">
        <v>91.00233999999999</v>
      </c>
      <c r="I39" s="80">
        <f t="shared" si="1"/>
        <v>201.19508368999999</v>
      </c>
      <c r="J39" s="185">
        <f t="shared" si="2"/>
        <v>0.70518304817416233</v>
      </c>
      <c r="K39" s="186">
        <f t="shared" si="3"/>
        <v>0.49313499872319044</v>
      </c>
    </row>
    <row r="40" spans="1:11" ht="12" customHeight="1" x14ac:dyDescent="0.2">
      <c r="A40" s="78">
        <v>2002</v>
      </c>
      <c r="B40" s="79">
        <v>288.10481800000002</v>
      </c>
      <c r="C40" s="80">
        <v>192.36</v>
      </c>
      <c r="D40" s="80">
        <v>13.46711938</v>
      </c>
      <c r="E40" s="82">
        <v>91.00233999999999</v>
      </c>
      <c r="F40" s="82">
        <f t="shared" si="0"/>
        <v>296.82945938</v>
      </c>
      <c r="G40" s="81">
        <v>13.53081444</v>
      </c>
      <c r="H40" s="80">
        <v>80.355989999999991</v>
      </c>
      <c r="I40" s="80">
        <f t="shared" si="1"/>
        <v>202.94265494000001</v>
      </c>
      <c r="J40" s="185">
        <f t="shared" si="2"/>
        <v>0.7044056269131882</v>
      </c>
      <c r="K40" s="186">
        <f t="shared" si="3"/>
        <v>0.49259134749173999</v>
      </c>
    </row>
    <row r="41" spans="1:11" ht="12" customHeight="1" x14ac:dyDescent="0.2">
      <c r="A41" s="78">
        <v>2003</v>
      </c>
      <c r="B41" s="79">
        <v>290.81963400000001</v>
      </c>
      <c r="C41" s="80">
        <v>215.86</v>
      </c>
      <c r="D41" s="80">
        <v>17.923494160000001</v>
      </c>
      <c r="E41" s="82">
        <v>80.355989999999991</v>
      </c>
      <c r="F41" s="82">
        <f t="shared" si="0"/>
        <v>314.13948415999999</v>
      </c>
      <c r="G41" s="81">
        <v>12.542963289999999</v>
      </c>
      <c r="H41" s="80">
        <v>66.483559999999997</v>
      </c>
      <c r="I41" s="80">
        <f t="shared" si="1"/>
        <v>235.11296086999999</v>
      </c>
      <c r="J41" s="185">
        <f t="shared" si="2"/>
        <v>0.80844940775216023</v>
      </c>
      <c r="K41" s="186">
        <f t="shared" si="3"/>
        <v>0.56534923619032185</v>
      </c>
    </row>
    <row r="42" spans="1:11" ht="12" customHeight="1" x14ac:dyDescent="0.2">
      <c r="A42" s="78">
        <v>2004</v>
      </c>
      <c r="B42" s="79">
        <v>293.46318500000001</v>
      </c>
      <c r="C42" s="80">
        <v>238.84</v>
      </c>
      <c r="D42" s="80">
        <v>31.334425979999995</v>
      </c>
      <c r="E42" s="82">
        <v>66.483559999999997</v>
      </c>
      <c r="F42" s="82">
        <f t="shared" si="0"/>
        <v>336.65798598000003</v>
      </c>
      <c r="G42" s="81">
        <v>12.325102789999999</v>
      </c>
      <c r="H42" s="80">
        <v>49.655319999999996</v>
      </c>
      <c r="I42" s="80">
        <f t="shared" si="1"/>
        <v>274.67756319000006</v>
      </c>
      <c r="J42" s="185">
        <f t="shared" si="2"/>
        <v>0.93598644473922699</v>
      </c>
      <c r="K42" s="186">
        <f t="shared" si="3"/>
        <v>0.65453597534211683</v>
      </c>
    </row>
    <row r="43" spans="1:11" ht="12" customHeight="1" x14ac:dyDescent="0.2">
      <c r="A43" s="78">
        <v>2005</v>
      </c>
      <c r="B43" s="79">
        <v>296.186216</v>
      </c>
      <c r="C43" s="80">
        <v>178.78</v>
      </c>
      <c r="D43" s="80">
        <v>41.835997059999997</v>
      </c>
      <c r="E43" s="82">
        <v>49.655319999999996</v>
      </c>
      <c r="F43" s="82">
        <f t="shared" si="0"/>
        <v>270.27131706</v>
      </c>
      <c r="G43" s="81">
        <v>13.73474388</v>
      </c>
      <c r="H43" s="80">
        <v>60.723519999999994</v>
      </c>
      <c r="I43" s="80">
        <f t="shared" si="1"/>
        <v>195.81305318</v>
      </c>
      <c r="J43" s="185">
        <f t="shared" si="2"/>
        <v>0.6611146724667295</v>
      </c>
      <c r="K43" s="186">
        <f t="shared" si="3"/>
        <v>0.46231795277393672</v>
      </c>
    </row>
    <row r="44" spans="1:11" ht="12" customHeight="1" x14ac:dyDescent="0.2">
      <c r="A44" s="42">
        <v>2006</v>
      </c>
      <c r="B44" s="69">
        <v>298.99582500000002</v>
      </c>
      <c r="C44" s="43">
        <v>130.72</v>
      </c>
      <c r="D44" s="43">
        <v>46.405905259999997</v>
      </c>
      <c r="E44" s="45">
        <v>60.723519999999994</v>
      </c>
      <c r="F44" s="45">
        <f t="shared" si="0"/>
        <v>237.84942525999998</v>
      </c>
      <c r="G44" s="44">
        <v>14.627788889999998</v>
      </c>
      <c r="H44" s="43">
        <v>75.323819999999998</v>
      </c>
      <c r="I44" s="43">
        <f t="shared" si="1"/>
        <v>147.89781636999999</v>
      </c>
      <c r="J44" s="183">
        <f t="shared" si="2"/>
        <v>0.49464843320136653</v>
      </c>
      <c r="K44" s="184">
        <f t="shared" si="3"/>
        <v>0.34590799524571086</v>
      </c>
    </row>
    <row r="45" spans="1:11" ht="12" customHeight="1" x14ac:dyDescent="0.2">
      <c r="A45" s="42">
        <v>2007</v>
      </c>
      <c r="B45" s="69">
        <v>302.003917</v>
      </c>
      <c r="C45" s="43">
        <v>166.20000000000002</v>
      </c>
      <c r="D45" s="43">
        <v>54.833122629999998</v>
      </c>
      <c r="E45" s="45">
        <v>75.323819999999998</v>
      </c>
      <c r="F45" s="45">
        <f t="shared" si="0"/>
        <v>296.35694262999999</v>
      </c>
      <c r="G45" s="44">
        <v>13.49173111</v>
      </c>
      <c r="H45" s="43">
        <v>67.877809999999997</v>
      </c>
      <c r="I45" s="43">
        <f t="shared" si="1"/>
        <v>214.98740151999999</v>
      </c>
      <c r="J45" s="183">
        <f t="shared" si="2"/>
        <v>0.71186957989025024</v>
      </c>
      <c r="K45" s="184">
        <f t="shared" ref="K45:K50" si="4">J45/1.43</f>
        <v>0.49781089502814702</v>
      </c>
    </row>
    <row r="46" spans="1:11" ht="12" customHeight="1" x14ac:dyDescent="0.2">
      <c r="A46" s="42">
        <v>2008</v>
      </c>
      <c r="B46" s="69">
        <v>304.79776099999998</v>
      </c>
      <c r="C46" s="43">
        <v>180.08</v>
      </c>
      <c r="D46" s="43">
        <v>59.67952074370001</v>
      </c>
      <c r="E46" s="45">
        <v>67.877809999999997</v>
      </c>
      <c r="F46" s="45">
        <f t="shared" si="0"/>
        <v>307.63733074370003</v>
      </c>
      <c r="G46" s="44">
        <v>14.604484753172597</v>
      </c>
      <c r="H46" s="43">
        <v>60.782150000000001</v>
      </c>
      <c r="I46" s="43">
        <f t="shared" si="1"/>
        <v>232.25069599052745</v>
      </c>
      <c r="J46" s="183">
        <f t="shared" si="2"/>
        <v>0.76198294642501474</v>
      </c>
      <c r="K46" s="184">
        <f t="shared" si="4"/>
        <v>0.53285520729022007</v>
      </c>
    </row>
    <row r="47" spans="1:11" ht="12" customHeight="1" x14ac:dyDescent="0.2">
      <c r="A47" s="42">
        <v>2009</v>
      </c>
      <c r="B47" s="69">
        <v>307.43940600000002</v>
      </c>
      <c r="C47" s="43">
        <v>172.12</v>
      </c>
      <c r="D47" s="43">
        <v>69.252426457499993</v>
      </c>
      <c r="E47" s="45">
        <v>60.782150000000001</v>
      </c>
      <c r="F47" s="45">
        <f t="shared" si="0"/>
        <v>302.15457645750001</v>
      </c>
      <c r="G47" s="44">
        <v>13.518991859087</v>
      </c>
      <c r="H47" s="43">
        <v>68.629990000000006</v>
      </c>
      <c r="I47" s="43">
        <f t="shared" si="1"/>
        <v>220.00559459841301</v>
      </c>
      <c r="J47" s="183">
        <f t="shared" si="2"/>
        <v>0.7156063611390564</v>
      </c>
      <c r="K47" s="184">
        <f t="shared" si="4"/>
        <v>0.50042402876857095</v>
      </c>
    </row>
    <row r="48" spans="1:11" ht="12" customHeight="1" x14ac:dyDescent="0.2">
      <c r="A48" s="42">
        <v>2010</v>
      </c>
      <c r="B48" s="69">
        <v>309.74127900000002</v>
      </c>
      <c r="C48" s="43">
        <v>154.9</v>
      </c>
      <c r="D48" s="43">
        <v>78.332970667923391</v>
      </c>
      <c r="E48" s="45">
        <v>68.629990000000006</v>
      </c>
      <c r="F48" s="45">
        <f t="shared" si="0"/>
        <v>301.8629606679234</v>
      </c>
      <c r="G48" s="44">
        <v>14.975464582220997</v>
      </c>
      <c r="H48" s="43">
        <v>74.507289999999998</v>
      </c>
      <c r="I48" s="43">
        <f t="shared" si="1"/>
        <v>212.38020608570241</v>
      </c>
      <c r="J48" s="183">
        <f t="shared" si="2"/>
        <v>0.68566968784842652</v>
      </c>
      <c r="K48" s="184">
        <f t="shared" si="4"/>
        <v>0.47948929220169689</v>
      </c>
    </row>
    <row r="49" spans="1:12" ht="12" customHeight="1" x14ac:dyDescent="0.2">
      <c r="A49" s="86">
        <v>2011</v>
      </c>
      <c r="B49" s="87">
        <v>311.97391399999998</v>
      </c>
      <c r="C49" s="88">
        <v>125.16</v>
      </c>
      <c r="D49" s="88">
        <v>86.628490619242001</v>
      </c>
      <c r="E49" s="89">
        <v>74.507289999999998</v>
      </c>
      <c r="F49" s="89">
        <f t="shared" si="0"/>
        <v>286.29578061924201</v>
      </c>
      <c r="G49" s="90">
        <v>17.492149447115199</v>
      </c>
      <c r="H49" s="88">
        <v>70.158659999999998</v>
      </c>
      <c r="I49" s="88">
        <f t="shared" si="1"/>
        <v>198.64497117212682</v>
      </c>
      <c r="J49" s="187">
        <f t="shared" si="2"/>
        <v>0.63673583674091039</v>
      </c>
      <c r="K49" s="188">
        <f t="shared" si="4"/>
        <v>0.44526981590273457</v>
      </c>
    </row>
    <row r="50" spans="1:12" ht="12" customHeight="1" x14ac:dyDescent="0.2">
      <c r="A50" s="86">
        <v>2012</v>
      </c>
      <c r="B50" s="87">
        <v>314.16755799999999</v>
      </c>
      <c r="C50" s="88">
        <v>111.04</v>
      </c>
      <c r="D50" s="88">
        <v>97.755637682188194</v>
      </c>
      <c r="E50" s="89">
        <v>70.158659999999998</v>
      </c>
      <c r="F50" s="89">
        <f t="shared" si="0"/>
        <v>278.95429768218821</v>
      </c>
      <c r="G50" s="90">
        <v>19.186502101252199</v>
      </c>
      <c r="H50" s="88">
        <v>69.756829999999994</v>
      </c>
      <c r="I50" s="88">
        <f t="shared" si="1"/>
        <v>190.01096558093602</v>
      </c>
      <c r="J50" s="187">
        <f t="shared" si="2"/>
        <v>0.60480772359358637</v>
      </c>
      <c r="K50" s="188">
        <f t="shared" si="4"/>
        <v>0.42294246405145902</v>
      </c>
      <c r="L50"/>
    </row>
    <row r="51" spans="1:12" ht="12" customHeight="1" x14ac:dyDescent="0.2">
      <c r="A51" s="86">
        <v>2013</v>
      </c>
      <c r="B51" s="87">
        <v>316.29476599999998</v>
      </c>
      <c r="C51" s="88">
        <v>133.41999999999999</v>
      </c>
      <c r="D51" s="88">
        <v>97.493545732497196</v>
      </c>
      <c r="E51" s="89">
        <v>69.756829999999994</v>
      </c>
      <c r="F51" s="89">
        <f t="shared" si="0"/>
        <v>300.67037573249718</v>
      </c>
      <c r="G51" s="90">
        <v>15.487381689322397</v>
      </c>
      <c r="H51" s="88">
        <v>55.804319999999997</v>
      </c>
      <c r="I51" s="88">
        <f t="shared" ref="I51:I57" si="5">F51-SUM(G51,H51)</f>
        <v>229.37867404317478</v>
      </c>
      <c r="J51" s="187">
        <f t="shared" ref="J51:J57" si="6">IF(I51=0,0,IF(B51=0,0,I51/B51))</f>
        <v>0.72520540552724411</v>
      </c>
      <c r="K51" s="188">
        <f t="shared" ref="K51:K57" si="7">J51/1.43</f>
        <v>0.50713664722184904</v>
      </c>
      <c r="L51"/>
    </row>
    <row r="52" spans="1:12" ht="12" customHeight="1" x14ac:dyDescent="0.2">
      <c r="A52" s="86">
        <v>2014</v>
      </c>
      <c r="B52" s="87">
        <v>318.576955</v>
      </c>
      <c r="C52" s="88">
        <v>136.62</v>
      </c>
      <c r="D52" s="88">
        <v>122.19439498946677</v>
      </c>
      <c r="E52" s="89">
        <v>55.804319999999997</v>
      </c>
      <c r="F52" s="89">
        <f t="shared" si="0"/>
        <v>314.61871498946681</v>
      </c>
      <c r="G52" s="90">
        <v>8.1906138140969986</v>
      </c>
      <c r="H52" s="88">
        <v>54.374319999999997</v>
      </c>
      <c r="I52" s="88">
        <f t="shared" si="5"/>
        <v>252.05378117536981</v>
      </c>
      <c r="J52" s="187">
        <f t="shared" si="6"/>
        <v>0.7911864848333735</v>
      </c>
      <c r="K52" s="188">
        <f t="shared" si="7"/>
        <v>0.55327726212124029</v>
      </c>
      <c r="L52"/>
    </row>
    <row r="53" spans="1:12" ht="12" customHeight="1" x14ac:dyDescent="0.2">
      <c r="A53" s="86">
        <v>2015</v>
      </c>
      <c r="B53" s="87">
        <v>320.87070299999999</v>
      </c>
      <c r="C53" s="88">
        <v>102.4</v>
      </c>
      <c r="D53" s="88">
        <v>145.54377223872197</v>
      </c>
      <c r="E53" s="89">
        <v>54.374319999999997</v>
      </c>
      <c r="F53" s="89">
        <f t="shared" si="0"/>
        <v>302.31809223872199</v>
      </c>
      <c r="G53" s="90">
        <v>6.2558906697429988</v>
      </c>
      <c r="H53" s="88">
        <v>60.959469999999996</v>
      </c>
      <c r="I53" s="88">
        <f t="shared" si="5"/>
        <v>235.10273156897898</v>
      </c>
      <c r="J53" s="187">
        <f t="shared" si="6"/>
        <v>0.73270239186959674</v>
      </c>
      <c r="K53" s="188">
        <f t="shared" si="7"/>
        <v>0.51237929501370405</v>
      </c>
      <c r="L53"/>
    </row>
    <row r="54" spans="1:12" ht="12" customHeight="1" x14ac:dyDescent="0.2">
      <c r="A54" s="119">
        <v>2016</v>
      </c>
      <c r="B54" s="120">
        <v>323.16101099999997</v>
      </c>
      <c r="C54" s="121">
        <v>110.02417021276595</v>
      </c>
      <c r="D54" s="121">
        <v>138.693284201186</v>
      </c>
      <c r="E54" s="122">
        <v>60.959469999999996</v>
      </c>
      <c r="F54" s="122">
        <f t="shared" si="0"/>
        <v>309.67692441395195</v>
      </c>
      <c r="G54" s="128">
        <v>6.7061427917483991</v>
      </c>
      <c r="H54" s="121">
        <v>78.435500000000005</v>
      </c>
      <c r="I54" s="121">
        <f t="shared" si="5"/>
        <v>224.53528162220354</v>
      </c>
      <c r="J54" s="189">
        <f t="shared" si="6"/>
        <v>0.69480931789201372</v>
      </c>
      <c r="K54" s="190">
        <f t="shared" si="7"/>
        <v>0.48588064188252711</v>
      </c>
      <c r="L54"/>
    </row>
    <row r="55" spans="1:12" ht="12" customHeight="1" x14ac:dyDescent="0.2">
      <c r="A55" s="145">
        <v>2017</v>
      </c>
      <c r="B55" s="146">
        <v>325.20603</v>
      </c>
      <c r="C55" s="147">
        <v>99.2</v>
      </c>
      <c r="D55" s="147">
        <v>130.6134466777998</v>
      </c>
      <c r="E55" s="148">
        <v>78.435500000000005</v>
      </c>
      <c r="F55" s="148">
        <f t="shared" si="0"/>
        <v>308.24894667779978</v>
      </c>
      <c r="G55" s="151">
        <v>7.7743058073537981</v>
      </c>
      <c r="H55" s="147">
        <v>72.545329999999993</v>
      </c>
      <c r="I55" s="147">
        <f t="shared" si="5"/>
        <v>227.92931087044599</v>
      </c>
      <c r="J55" s="191">
        <f t="shared" si="6"/>
        <v>0.70087664386311033</v>
      </c>
      <c r="K55" s="192">
        <f t="shared" si="7"/>
        <v>0.49012352717700025</v>
      </c>
      <c r="L55"/>
    </row>
    <row r="56" spans="1:12" ht="12" customHeight="1" x14ac:dyDescent="0.2">
      <c r="A56" s="145">
        <v>2018</v>
      </c>
      <c r="B56" s="146">
        <v>326.92397599999998</v>
      </c>
      <c r="C56" s="147">
        <v>92.535829787234036</v>
      </c>
      <c r="D56" s="147">
        <v>136.41401588099998</v>
      </c>
      <c r="E56" s="148">
        <v>72.545329999999993</v>
      </c>
      <c r="F56" s="148">
        <f t="shared" si="0"/>
        <v>301.49517566823403</v>
      </c>
      <c r="G56" s="151">
        <v>6.6093987530141982</v>
      </c>
      <c r="H56" s="147">
        <v>44.321419999999996</v>
      </c>
      <c r="I56" s="147">
        <f t="shared" si="5"/>
        <v>250.56435691521983</v>
      </c>
      <c r="J56" s="191">
        <f t="shared" si="6"/>
        <v>0.76643004279141591</v>
      </c>
      <c r="K56" s="192">
        <f t="shared" si="7"/>
        <v>0.53596506488910201</v>
      </c>
      <c r="L56"/>
    </row>
    <row r="57" spans="1:12" ht="12" customHeight="1" x14ac:dyDescent="0.2">
      <c r="A57" s="145">
        <v>2019</v>
      </c>
      <c r="B57" s="146">
        <v>328.475998</v>
      </c>
      <c r="C57" s="210">
        <v>61.621106382978709</v>
      </c>
      <c r="D57" s="147">
        <v>152.802116181</v>
      </c>
      <c r="E57" s="211">
        <v>44.321419999999996</v>
      </c>
      <c r="F57" s="148">
        <f t="shared" si="0"/>
        <v>258.74464256397869</v>
      </c>
      <c r="G57" s="151">
        <v>6.2871361537555988</v>
      </c>
      <c r="H57" s="210">
        <v>47.89499</v>
      </c>
      <c r="I57" s="147">
        <f t="shared" si="5"/>
        <v>204.56251641022308</v>
      </c>
      <c r="J57" s="191">
        <f t="shared" si="6"/>
        <v>0.6227624473500285</v>
      </c>
      <c r="K57" s="192">
        <f t="shared" si="7"/>
        <v>0.43549821493008989</v>
      </c>
      <c r="L57"/>
    </row>
    <row r="58" spans="1:12" ht="12" customHeight="1" thickBot="1" x14ac:dyDescent="0.25">
      <c r="A58" s="207">
        <v>2020</v>
      </c>
      <c r="B58" s="208">
        <v>330.11398000000003</v>
      </c>
      <c r="C58" s="209" t="s">
        <v>2</v>
      </c>
      <c r="D58" s="209" t="s">
        <v>2</v>
      </c>
      <c r="E58" s="209" t="s">
        <v>2</v>
      </c>
      <c r="F58" s="209" t="s">
        <v>2</v>
      </c>
      <c r="G58" s="209" t="s">
        <v>2</v>
      </c>
      <c r="H58" s="209" t="s">
        <v>2</v>
      </c>
      <c r="I58" s="209" t="s">
        <v>2</v>
      </c>
      <c r="J58" s="209" t="s">
        <v>2</v>
      </c>
      <c r="K58" s="209" t="s">
        <v>2</v>
      </c>
      <c r="L58"/>
    </row>
    <row r="59" spans="1:12" ht="12" customHeight="1" thickTop="1" x14ac:dyDescent="0.2">
      <c r="A59" s="260" t="s">
        <v>4</v>
      </c>
      <c r="B59" s="261"/>
      <c r="C59" s="261"/>
      <c r="D59" s="261"/>
      <c r="E59" s="261"/>
      <c r="F59" s="261"/>
      <c r="G59" s="261"/>
      <c r="H59" s="261"/>
      <c r="I59" s="261"/>
      <c r="J59" s="261"/>
      <c r="K59" s="262"/>
      <c r="L59"/>
    </row>
    <row r="60" spans="1:12" ht="12" customHeight="1" x14ac:dyDescent="0.2">
      <c r="A60" s="315" t="s">
        <v>95</v>
      </c>
      <c r="B60" s="316"/>
      <c r="C60" s="316"/>
      <c r="D60" s="316"/>
      <c r="E60" s="316"/>
      <c r="F60" s="316"/>
      <c r="G60" s="316"/>
      <c r="H60" s="316"/>
      <c r="I60" s="316"/>
      <c r="J60" s="316"/>
      <c r="K60" s="317"/>
      <c r="L60"/>
    </row>
    <row r="61" spans="1:12" ht="12" customHeight="1" x14ac:dyDescent="0.2">
      <c r="A61" s="308"/>
      <c r="B61" s="309"/>
      <c r="C61" s="309"/>
      <c r="D61" s="309"/>
      <c r="E61" s="309"/>
      <c r="F61" s="309"/>
      <c r="G61" s="309"/>
      <c r="H61" s="309"/>
      <c r="I61" s="309"/>
      <c r="J61" s="309"/>
      <c r="K61" s="310"/>
    </row>
    <row r="62" spans="1:12" ht="12" customHeight="1" x14ac:dyDescent="0.2">
      <c r="A62" s="299" t="s">
        <v>86</v>
      </c>
      <c r="B62" s="300"/>
      <c r="C62" s="300"/>
      <c r="D62" s="300"/>
      <c r="E62" s="300"/>
      <c r="F62" s="300"/>
      <c r="G62" s="300"/>
      <c r="H62" s="300"/>
      <c r="I62" s="300"/>
      <c r="J62" s="300"/>
      <c r="K62" s="301"/>
    </row>
    <row r="63" spans="1:12" ht="12" customHeight="1" x14ac:dyDescent="0.2">
      <c r="A63" s="299"/>
      <c r="B63" s="300"/>
      <c r="C63" s="300"/>
      <c r="D63" s="300"/>
      <c r="E63" s="300"/>
      <c r="F63" s="300"/>
      <c r="G63" s="300"/>
      <c r="H63" s="300"/>
      <c r="I63" s="300"/>
      <c r="J63" s="300"/>
      <c r="K63" s="301"/>
    </row>
    <row r="64" spans="1:12" ht="12" customHeight="1" x14ac:dyDescent="0.2">
      <c r="A64" s="299"/>
      <c r="B64" s="300"/>
      <c r="C64" s="300"/>
      <c r="D64" s="300"/>
      <c r="E64" s="300"/>
      <c r="F64" s="300"/>
      <c r="G64" s="300"/>
      <c r="H64" s="300"/>
      <c r="I64" s="300"/>
      <c r="J64" s="300"/>
      <c r="K64" s="301"/>
    </row>
    <row r="65" spans="1:11" ht="12" customHeight="1" x14ac:dyDescent="0.2">
      <c r="A65" s="308"/>
      <c r="B65" s="309"/>
      <c r="C65" s="309"/>
      <c r="D65" s="309"/>
      <c r="E65" s="309"/>
      <c r="F65" s="309"/>
      <c r="G65" s="309"/>
      <c r="H65" s="309"/>
      <c r="I65" s="309"/>
      <c r="J65" s="309"/>
      <c r="K65" s="310"/>
    </row>
    <row r="66" spans="1:11" ht="12" customHeight="1" x14ac:dyDescent="0.2">
      <c r="A66" s="299" t="s">
        <v>63</v>
      </c>
      <c r="B66" s="300"/>
      <c r="C66" s="300"/>
      <c r="D66" s="300"/>
      <c r="E66" s="300"/>
      <c r="F66" s="300"/>
      <c r="G66" s="300"/>
      <c r="H66" s="300"/>
      <c r="I66" s="300"/>
      <c r="J66" s="300"/>
      <c r="K66" s="301"/>
    </row>
    <row r="67" spans="1:11" ht="12" customHeight="1" x14ac:dyDescent="0.2">
      <c r="A67" s="22"/>
      <c r="B67" s="23"/>
    </row>
    <row r="72" spans="1:11" ht="12" customHeight="1" x14ac:dyDescent="0.2">
      <c r="B72" s="25"/>
      <c r="C72" s="26"/>
      <c r="D72" s="26"/>
      <c r="E72" s="26"/>
      <c r="F72" s="26"/>
      <c r="G72" s="26"/>
      <c r="H72" s="26"/>
      <c r="I72" s="26"/>
    </row>
    <row r="73" spans="1:11" ht="12" customHeight="1" x14ac:dyDescent="0.2">
      <c r="B73" s="25"/>
      <c r="C73" s="26"/>
      <c r="D73" s="26"/>
      <c r="E73" s="26"/>
      <c r="F73" s="26"/>
      <c r="G73" s="26"/>
      <c r="H73" s="26"/>
      <c r="I73" s="26"/>
    </row>
  </sheetData>
  <mergeCells count="24">
    <mergeCell ref="J1:K1"/>
    <mergeCell ref="A1:I1"/>
    <mergeCell ref="A2:A6"/>
    <mergeCell ref="B2:B6"/>
    <mergeCell ref="C3:C6"/>
    <mergeCell ref="G2:H2"/>
    <mergeCell ref="I2:K2"/>
    <mergeCell ref="D3:D6"/>
    <mergeCell ref="H3:H6"/>
    <mergeCell ref="E3:E6"/>
    <mergeCell ref="G3:G6"/>
    <mergeCell ref="I3:I6"/>
    <mergeCell ref="J4:J6"/>
    <mergeCell ref="J3:K3"/>
    <mergeCell ref="K4:K6"/>
    <mergeCell ref="F3:F6"/>
    <mergeCell ref="A66:K66"/>
    <mergeCell ref="A61:K61"/>
    <mergeCell ref="A65:K65"/>
    <mergeCell ref="C7:I7"/>
    <mergeCell ref="J7:K7"/>
    <mergeCell ref="A62:K64"/>
    <mergeCell ref="A60:K60"/>
    <mergeCell ref="A59:K59"/>
  </mergeCells>
  <phoneticPr fontId="5" type="noConversion"/>
  <printOptions horizontalCentered="1" verticalCentered="1"/>
  <pageMargins left="0.75" right="0.75" top="0.75" bottom="0.75" header="0.5" footer="0.5"/>
  <pageSetup scale="80"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pageSetUpPr autoPageBreaks="0" fitToPage="1"/>
  </sheetPr>
  <dimension ref="A1:L66"/>
  <sheetViews>
    <sheetView showOutlineSymbols="0" zoomScaleNormal="100" workbookViewId="0">
      <pane ySplit="7" topLeftCell="A8" activePane="bottomLeft" state="frozen"/>
      <selection pane="bottomLeft" sqref="A1:I1"/>
    </sheetView>
  </sheetViews>
  <sheetFormatPr defaultColWidth="12.7109375" defaultRowHeight="12" customHeight="1" x14ac:dyDescent="0.2"/>
  <cols>
    <col min="1" max="1" width="12.7109375" style="24" customWidth="1"/>
    <col min="2" max="2" width="12.7109375" style="16" customWidth="1"/>
    <col min="3" max="9" width="12.7109375" style="17" customWidth="1"/>
    <col min="10" max="10" width="12.7109375" style="21" customWidth="1"/>
    <col min="11" max="12" width="12.7109375" style="18" customWidth="1"/>
    <col min="13" max="16384" width="12.7109375" style="19"/>
  </cols>
  <sheetData>
    <row r="1" spans="1:12" s="57" customFormat="1" ht="12" customHeight="1" thickBot="1" x14ac:dyDescent="0.25">
      <c r="A1" s="266" t="s">
        <v>55</v>
      </c>
      <c r="B1" s="266"/>
      <c r="C1" s="266"/>
      <c r="D1" s="266"/>
      <c r="E1" s="266"/>
      <c r="F1" s="266"/>
      <c r="G1" s="266"/>
      <c r="H1" s="266"/>
      <c r="I1" s="266"/>
      <c r="J1" s="227" t="s">
        <v>32</v>
      </c>
      <c r="K1" s="227"/>
      <c r="L1" s="56"/>
    </row>
    <row r="2" spans="1:12" ht="12" customHeight="1" thickTop="1" x14ac:dyDescent="0.2">
      <c r="A2" s="282" t="s">
        <v>0</v>
      </c>
      <c r="B2" s="274" t="s">
        <v>18</v>
      </c>
      <c r="C2" s="38" t="s">
        <v>1</v>
      </c>
      <c r="D2" s="39"/>
      <c r="E2" s="39"/>
      <c r="F2" s="39"/>
      <c r="G2" s="272" t="s">
        <v>44</v>
      </c>
      <c r="H2" s="273"/>
      <c r="I2" s="272" t="s">
        <v>43</v>
      </c>
      <c r="J2" s="273"/>
      <c r="K2" s="273"/>
    </row>
    <row r="3" spans="1:12" ht="12" customHeight="1" x14ac:dyDescent="0.2">
      <c r="A3" s="283"/>
      <c r="B3" s="275"/>
      <c r="C3" s="279" t="s">
        <v>19</v>
      </c>
      <c r="D3" s="279" t="s">
        <v>20</v>
      </c>
      <c r="E3" s="279" t="s">
        <v>21</v>
      </c>
      <c r="F3" s="279" t="s">
        <v>22</v>
      </c>
      <c r="G3" s="279" t="s">
        <v>23</v>
      </c>
      <c r="H3" s="279" t="s">
        <v>24</v>
      </c>
      <c r="I3" s="293" t="s">
        <v>37</v>
      </c>
      <c r="J3" s="288" t="s">
        <v>17</v>
      </c>
      <c r="K3" s="289"/>
      <c r="L3" s="20"/>
    </row>
    <row r="4" spans="1:12" ht="12" customHeight="1" x14ac:dyDescent="0.2">
      <c r="A4" s="283"/>
      <c r="B4" s="275"/>
      <c r="C4" s="280"/>
      <c r="D4" s="280"/>
      <c r="E4" s="280"/>
      <c r="F4" s="280"/>
      <c r="G4" s="280"/>
      <c r="H4" s="280"/>
      <c r="I4" s="294"/>
      <c r="J4" s="314" t="s">
        <v>3</v>
      </c>
      <c r="K4" s="311" t="s">
        <v>16</v>
      </c>
    </row>
    <row r="5" spans="1:12" ht="12" customHeight="1" x14ac:dyDescent="0.2">
      <c r="A5" s="283"/>
      <c r="B5" s="275"/>
      <c r="C5" s="280"/>
      <c r="D5" s="280"/>
      <c r="E5" s="280"/>
      <c r="F5" s="280"/>
      <c r="G5" s="280"/>
      <c r="H5" s="280"/>
      <c r="I5" s="294"/>
      <c r="J5" s="277"/>
      <c r="K5" s="312"/>
    </row>
    <row r="6" spans="1:12" ht="12" customHeight="1" x14ac:dyDescent="0.2">
      <c r="A6" s="284"/>
      <c r="B6" s="276"/>
      <c r="C6" s="281"/>
      <c r="D6" s="281"/>
      <c r="E6" s="281"/>
      <c r="F6" s="281"/>
      <c r="G6" s="281"/>
      <c r="H6" s="281"/>
      <c r="I6" s="295"/>
      <c r="J6" s="278"/>
      <c r="K6" s="313"/>
    </row>
    <row r="7" spans="1:12" ht="12" customHeight="1" x14ac:dyDescent="0.2">
      <c r="A7" s="73"/>
      <c r="B7" s="76" t="s">
        <v>33</v>
      </c>
      <c r="C7" s="267" t="s">
        <v>35</v>
      </c>
      <c r="D7" s="268"/>
      <c r="E7" s="268"/>
      <c r="F7" s="268"/>
      <c r="G7" s="268"/>
      <c r="H7" s="268"/>
      <c r="I7" s="268"/>
      <c r="J7" s="269" t="s">
        <v>36</v>
      </c>
      <c r="K7" s="269"/>
      <c r="L7" s="72"/>
    </row>
    <row r="8" spans="1:12" ht="12" customHeight="1" x14ac:dyDescent="0.2">
      <c r="A8" s="42">
        <v>1970</v>
      </c>
      <c r="B8" s="69">
        <v>205.05199999999999</v>
      </c>
      <c r="C8" s="43">
        <v>353.2</v>
      </c>
      <c r="D8" s="46" t="s">
        <v>2</v>
      </c>
      <c r="E8" s="45">
        <v>329.9</v>
      </c>
      <c r="F8" s="45">
        <f t="shared" ref="F8:F50" si="0">SUM(C8,D8,E8)</f>
        <v>683.09999999999991</v>
      </c>
      <c r="G8" s="46" t="s">
        <v>2</v>
      </c>
      <c r="H8" s="44">
        <v>369.9</v>
      </c>
      <c r="I8" s="43">
        <f t="shared" ref="I8:I50" si="1">F8-SUM(G8,H8)</f>
        <v>313.19999999999993</v>
      </c>
      <c r="J8" s="183">
        <f t="shared" ref="J8:J35" si="2">IF(I8=0,0,IF(B8=0,0,I8/B8))</f>
        <v>1.5274174355773167</v>
      </c>
      <c r="K8" s="184">
        <f>J8/1.5</f>
        <v>1.0182782903848777</v>
      </c>
    </row>
    <row r="9" spans="1:12" ht="12" customHeight="1" x14ac:dyDescent="0.2">
      <c r="A9" s="78">
        <v>1971</v>
      </c>
      <c r="B9" s="79">
        <v>207.661</v>
      </c>
      <c r="C9" s="80">
        <v>389.2</v>
      </c>
      <c r="D9" s="83" t="s">
        <v>2</v>
      </c>
      <c r="E9" s="82">
        <v>369.9</v>
      </c>
      <c r="F9" s="82">
        <f t="shared" si="0"/>
        <v>759.09999999999991</v>
      </c>
      <c r="G9" s="83" t="s">
        <v>2</v>
      </c>
      <c r="H9" s="81">
        <v>390.2</v>
      </c>
      <c r="I9" s="80">
        <f t="shared" si="1"/>
        <v>368.89999999999992</v>
      </c>
      <c r="J9" s="185">
        <f t="shared" si="2"/>
        <v>1.7764529690216262</v>
      </c>
      <c r="K9" s="186">
        <f t="shared" ref="K9:K44" si="3">J9/1.5</f>
        <v>1.1843019793477507</v>
      </c>
    </row>
    <row r="10" spans="1:12" ht="12" customHeight="1" x14ac:dyDescent="0.2">
      <c r="A10" s="78">
        <v>1972</v>
      </c>
      <c r="B10" s="79">
        <v>209.89599999999999</v>
      </c>
      <c r="C10" s="80">
        <v>371.7</v>
      </c>
      <c r="D10" s="83" t="s">
        <v>2</v>
      </c>
      <c r="E10" s="82">
        <v>390.2</v>
      </c>
      <c r="F10" s="82">
        <f t="shared" si="0"/>
        <v>761.9</v>
      </c>
      <c r="G10" s="83" t="s">
        <v>2</v>
      </c>
      <c r="H10" s="81">
        <v>411.3</v>
      </c>
      <c r="I10" s="80">
        <f t="shared" si="1"/>
        <v>350.59999999999997</v>
      </c>
      <c r="J10" s="185">
        <f t="shared" si="2"/>
        <v>1.6703510309867744</v>
      </c>
      <c r="K10" s="186">
        <f t="shared" si="3"/>
        <v>1.113567353991183</v>
      </c>
    </row>
    <row r="11" spans="1:12" ht="12" customHeight="1" x14ac:dyDescent="0.2">
      <c r="A11" s="78">
        <v>1973</v>
      </c>
      <c r="B11" s="79">
        <v>211.90899999999999</v>
      </c>
      <c r="C11" s="80">
        <v>388</v>
      </c>
      <c r="D11" s="83" t="s">
        <v>2</v>
      </c>
      <c r="E11" s="82">
        <v>411.3</v>
      </c>
      <c r="F11" s="82">
        <f t="shared" si="0"/>
        <v>799.3</v>
      </c>
      <c r="G11" s="83" t="s">
        <v>2</v>
      </c>
      <c r="H11" s="81">
        <v>391.9</v>
      </c>
      <c r="I11" s="80">
        <f t="shared" si="1"/>
        <v>407.4</v>
      </c>
      <c r="J11" s="185">
        <f t="shared" si="2"/>
        <v>1.9225233472858632</v>
      </c>
      <c r="K11" s="186">
        <f t="shared" si="3"/>
        <v>1.2816822315239087</v>
      </c>
    </row>
    <row r="12" spans="1:12" ht="12" customHeight="1" x14ac:dyDescent="0.2">
      <c r="A12" s="78">
        <v>1974</v>
      </c>
      <c r="B12" s="79">
        <v>213.85400000000001</v>
      </c>
      <c r="C12" s="80">
        <v>360.9</v>
      </c>
      <c r="D12" s="83" t="s">
        <v>2</v>
      </c>
      <c r="E12" s="82">
        <v>391.9</v>
      </c>
      <c r="F12" s="82">
        <f t="shared" si="0"/>
        <v>752.8</v>
      </c>
      <c r="G12" s="83" t="s">
        <v>2</v>
      </c>
      <c r="H12" s="81">
        <v>454.8</v>
      </c>
      <c r="I12" s="80">
        <f t="shared" si="1"/>
        <v>297.99999999999994</v>
      </c>
      <c r="J12" s="185">
        <f t="shared" si="2"/>
        <v>1.3934740523908831</v>
      </c>
      <c r="K12" s="186">
        <f t="shared" si="3"/>
        <v>0.92898270159392204</v>
      </c>
    </row>
    <row r="13" spans="1:12" ht="12" customHeight="1" x14ac:dyDescent="0.2">
      <c r="A13" s="78">
        <v>1975</v>
      </c>
      <c r="B13" s="79">
        <v>215.97300000000001</v>
      </c>
      <c r="C13" s="80">
        <v>299.10000000000002</v>
      </c>
      <c r="D13" s="83" t="s">
        <v>2</v>
      </c>
      <c r="E13" s="82">
        <v>454.8</v>
      </c>
      <c r="F13" s="82">
        <f t="shared" si="0"/>
        <v>753.90000000000009</v>
      </c>
      <c r="G13" s="83" t="s">
        <v>2</v>
      </c>
      <c r="H13" s="81">
        <v>411.5</v>
      </c>
      <c r="I13" s="80">
        <f t="shared" si="1"/>
        <v>342.40000000000009</v>
      </c>
      <c r="J13" s="185">
        <f t="shared" si="2"/>
        <v>1.5853833581049486</v>
      </c>
      <c r="K13" s="186">
        <f t="shared" si="3"/>
        <v>1.0569222387366324</v>
      </c>
    </row>
    <row r="14" spans="1:12" ht="12" customHeight="1" x14ac:dyDescent="0.2">
      <c r="A14" s="42">
        <v>1976</v>
      </c>
      <c r="B14" s="69">
        <v>218.035</v>
      </c>
      <c r="C14" s="43">
        <v>326</v>
      </c>
      <c r="D14" s="46" t="s">
        <v>2</v>
      </c>
      <c r="E14" s="45">
        <v>411.5</v>
      </c>
      <c r="F14" s="45">
        <f t="shared" si="0"/>
        <v>737.5</v>
      </c>
      <c r="G14" s="46" t="s">
        <v>2</v>
      </c>
      <c r="H14" s="43">
        <v>356.6</v>
      </c>
      <c r="I14" s="43">
        <f t="shared" si="1"/>
        <v>380.9</v>
      </c>
      <c r="J14" s="183">
        <f t="shared" si="2"/>
        <v>1.7469672300318755</v>
      </c>
      <c r="K14" s="184">
        <f t="shared" si="3"/>
        <v>1.1646448200212502</v>
      </c>
    </row>
    <row r="15" spans="1:12" ht="12" customHeight="1" x14ac:dyDescent="0.2">
      <c r="A15" s="42">
        <v>1977</v>
      </c>
      <c r="B15" s="69">
        <v>220.23899999999998</v>
      </c>
      <c r="C15" s="43">
        <v>389.7</v>
      </c>
      <c r="D15" s="46" t="s">
        <v>2</v>
      </c>
      <c r="E15" s="45">
        <v>356.6</v>
      </c>
      <c r="F15" s="45">
        <f t="shared" si="0"/>
        <v>746.3</v>
      </c>
      <c r="G15" s="46" t="s">
        <v>2</v>
      </c>
      <c r="H15" s="43">
        <v>411.1</v>
      </c>
      <c r="I15" s="43">
        <f t="shared" si="1"/>
        <v>335.19999999999993</v>
      </c>
      <c r="J15" s="183">
        <f t="shared" si="2"/>
        <v>1.5219829367187463</v>
      </c>
      <c r="K15" s="184">
        <f t="shared" si="3"/>
        <v>1.0146552911458309</v>
      </c>
    </row>
    <row r="16" spans="1:12" ht="12" customHeight="1" x14ac:dyDescent="0.2">
      <c r="A16" s="42">
        <v>1978</v>
      </c>
      <c r="B16" s="69">
        <v>222.58500000000001</v>
      </c>
      <c r="C16" s="43">
        <v>384.3</v>
      </c>
      <c r="D16" s="43">
        <v>63</v>
      </c>
      <c r="E16" s="45">
        <v>411.1</v>
      </c>
      <c r="F16" s="45">
        <f t="shared" si="0"/>
        <v>858.40000000000009</v>
      </c>
      <c r="G16" s="44">
        <v>58.4</v>
      </c>
      <c r="H16" s="43">
        <v>462.9</v>
      </c>
      <c r="I16" s="43">
        <f t="shared" si="1"/>
        <v>337.10000000000014</v>
      </c>
      <c r="J16" s="183">
        <f t="shared" si="2"/>
        <v>1.5144776152930346</v>
      </c>
      <c r="K16" s="184">
        <f t="shared" si="3"/>
        <v>1.0096517435286898</v>
      </c>
    </row>
    <row r="17" spans="1:11" ht="12" customHeight="1" x14ac:dyDescent="0.2">
      <c r="A17" s="42">
        <v>1979</v>
      </c>
      <c r="B17" s="69">
        <v>225.05500000000001</v>
      </c>
      <c r="C17" s="43">
        <v>320</v>
      </c>
      <c r="D17" s="43">
        <v>54</v>
      </c>
      <c r="E17" s="45">
        <v>462.9</v>
      </c>
      <c r="F17" s="45">
        <f t="shared" si="0"/>
        <v>836.9</v>
      </c>
      <c r="G17" s="44">
        <v>65.599999999999994</v>
      </c>
      <c r="H17" s="43">
        <v>452.9</v>
      </c>
      <c r="I17" s="43">
        <f t="shared" si="1"/>
        <v>318.39999999999998</v>
      </c>
      <c r="J17" s="183">
        <f t="shared" si="2"/>
        <v>1.4147652795983203</v>
      </c>
      <c r="K17" s="184">
        <f t="shared" si="3"/>
        <v>0.94317685306554688</v>
      </c>
    </row>
    <row r="18" spans="1:11" ht="12" customHeight="1" x14ac:dyDescent="0.2">
      <c r="A18" s="42">
        <v>1980</v>
      </c>
      <c r="B18" s="69">
        <v>227.726</v>
      </c>
      <c r="C18" s="43">
        <v>312.10000000000002</v>
      </c>
      <c r="D18" s="43">
        <v>38.1</v>
      </c>
      <c r="E18" s="45">
        <v>452.9</v>
      </c>
      <c r="F18" s="45">
        <f t="shared" si="0"/>
        <v>803.1</v>
      </c>
      <c r="G18" s="46">
        <v>81.7</v>
      </c>
      <c r="H18" s="43">
        <v>432.4</v>
      </c>
      <c r="I18" s="43">
        <f t="shared" si="1"/>
        <v>289</v>
      </c>
      <c r="J18" s="183">
        <f t="shared" si="2"/>
        <v>1.2690689688485286</v>
      </c>
      <c r="K18" s="184">
        <f t="shared" si="3"/>
        <v>0.84604597923235236</v>
      </c>
    </row>
    <row r="19" spans="1:11" ht="12" customHeight="1" x14ac:dyDescent="0.2">
      <c r="A19" s="78">
        <v>1981</v>
      </c>
      <c r="B19" s="79">
        <v>229.96600000000001</v>
      </c>
      <c r="C19" s="80">
        <v>390</v>
      </c>
      <c r="D19" s="80">
        <v>45</v>
      </c>
      <c r="E19" s="82">
        <v>432.4</v>
      </c>
      <c r="F19" s="82">
        <f t="shared" si="0"/>
        <v>867.4</v>
      </c>
      <c r="G19" s="81">
        <v>90.3</v>
      </c>
      <c r="H19" s="80">
        <v>462.3</v>
      </c>
      <c r="I19" s="80">
        <f t="shared" si="1"/>
        <v>314.79999999999995</v>
      </c>
      <c r="J19" s="185">
        <f t="shared" si="2"/>
        <v>1.368898011010323</v>
      </c>
      <c r="K19" s="186">
        <f t="shared" si="3"/>
        <v>0.91259867400688199</v>
      </c>
    </row>
    <row r="20" spans="1:11" ht="12" customHeight="1" x14ac:dyDescent="0.2">
      <c r="A20" s="78">
        <v>1982</v>
      </c>
      <c r="B20" s="79">
        <v>232.18799999999999</v>
      </c>
      <c r="C20" s="84">
        <v>397.1</v>
      </c>
      <c r="D20" s="80">
        <v>55.9</v>
      </c>
      <c r="E20" s="82">
        <v>462.3</v>
      </c>
      <c r="F20" s="82">
        <f t="shared" si="0"/>
        <v>915.3</v>
      </c>
      <c r="G20" s="81">
        <v>68</v>
      </c>
      <c r="H20" s="80">
        <v>498.5</v>
      </c>
      <c r="I20" s="80">
        <f t="shared" si="1"/>
        <v>348.79999999999995</v>
      </c>
      <c r="J20" s="185">
        <f t="shared" si="2"/>
        <v>1.5022309507812632</v>
      </c>
      <c r="K20" s="186">
        <f t="shared" si="3"/>
        <v>1.0014873005208422</v>
      </c>
    </row>
    <row r="21" spans="1:11" ht="12" customHeight="1" x14ac:dyDescent="0.2">
      <c r="A21" s="78">
        <v>1983</v>
      </c>
      <c r="B21" s="79">
        <v>234.30699999999999</v>
      </c>
      <c r="C21" s="84">
        <v>347.3</v>
      </c>
      <c r="D21" s="80">
        <v>56.2</v>
      </c>
      <c r="E21" s="82">
        <v>498.5</v>
      </c>
      <c r="F21" s="82">
        <f t="shared" si="0"/>
        <v>902</v>
      </c>
      <c r="G21" s="81">
        <v>66.3</v>
      </c>
      <c r="H21" s="80">
        <v>463</v>
      </c>
      <c r="I21" s="80">
        <f t="shared" si="1"/>
        <v>372.70000000000005</v>
      </c>
      <c r="J21" s="185">
        <f t="shared" si="2"/>
        <v>1.5906481667214385</v>
      </c>
      <c r="K21" s="186">
        <f t="shared" si="3"/>
        <v>1.0604321111476256</v>
      </c>
    </row>
    <row r="22" spans="1:11" ht="12" customHeight="1" x14ac:dyDescent="0.2">
      <c r="A22" s="78">
        <v>1984</v>
      </c>
      <c r="B22" s="79">
        <v>236.34800000000001</v>
      </c>
      <c r="C22" s="80">
        <v>367.6</v>
      </c>
      <c r="D22" s="80">
        <v>66.7</v>
      </c>
      <c r="E22" s="82">
        <v>463</v>
      </c>
      <c r="F22" s="82">
        <f t="shared" si="0"/>
        <v>897.3</v>
      </c>
      <c r="G22" s="81">
        <v>62.7</v>
      </c>
      <c r="H22" s="80">
        <v>506.2</v>
      </c>
      <c r="I22" s="80">
        <f t="shared" si="1"/>
        <v>328.4</v>
      </c>
      <c r="J22" s="185">
        <f t="shared" si="2"/>
        <v>1.3894765346015197</v>
      </c>
      <c r="K22" s="186">
        <f t="shared" si="3"/>
        <v>0.92631768973434647</v>
      </c>
    </row>
    <row r="23" spans="1:11" ht="12" customHeight="1" x14ac:dyDescent="0.2">
      <c r="A23" s="78">
        <v>1985</v>
      </c>
      <c r="B23" s="79">
        <v>238.46600000000001</v>
      </c>
      <c r="C23" s="80">
        <v>398</v>
      </c>
      <c r="D23" s="80">
        <v>86.6</v>
      </c>
      <c r="E23" s="82">
        <v>506.2</v>
      </c>
      <c r="F23" s="82">
        <f t="shared" si="0"/>
        <v>990.8</v>
      </c>
      <c r="G23" s="83">
        <v>55.5</v>
      </c>
      <c r="H23" s="80">
        <v>572.4</v>
      </c>
      <c r="I23" s="80">
        <f t="shared" si="1"/>
        <v>362.9</v>
      </c>
      <c r="J23" s="185">
        <f t="shared" si="2"/>
        <v>1.5218102370987896</v>
      </c>
      <c r="K23" s="186">
        <f t="shared" si="3"/>
        <v>1.0145401580658597</v>
      </c>
    </row>
    <row r="24" spans="1:11" ht="12" customHeight="1" x14ac:dyDescent="0.2">
      <c r="A24" s="42">
        <v>1986</v>
      </c>
      <c r="B24" s="69">
        <v>240.65100000000001</v>
      </c>
      <c r="C24" s="43">
        <v>429.7</v>
      </c>
      <c r="D24" s="43">
        <v>81.3</v>
      </c>
      <c r="E24" s="45">
        <v>572.4</v>
      </c>
      <c r="F24" s="45">
        <f t="shared" si="0"/>
        <v>1083.4000000000001</v>
      </c>
      <c r="G24" s="44">
        <v>71.7</v>
      </c>
      <c r="H24" s="43">
        <v>610.9</v>
      </c>
      <c r="I24" s="43">
        <f t="shared" si="1"/>
        <v>400.80000000000007</v>
      </c>
      <c r="J24" s="183">
        <f t="shared" si="2"/>
        <v>1.6654823790468356</v>
      </c>
      <c r="K24" s="184">
        <f t="shared" si="3"/>
        <v>1.1103215860312237</v>
      </c>
    </row>
    <row r="25" spans="1:11" ht="12" customHeight="1" x14ac:dyDescent="0.2">
      <c r="A25" s="42">
        <v>1987</v>
      </c>
      <c r="B25" s="69">
        <v>242.804</v>
      </c>
      <c r="C25" s="43">
        <v>444.9</v>
      </c>
      <c r="D25" s="43">
        <v>94.7</v>
      </c>
      <c r="E25" s="45">
        <v>610.9</v>
      </c>
      <c r="F25" s="45">
        <f t="shared" si="0"/>
        <v>1150.5</v>
      </c>
      <c r="G25" s="44">
        <v>76.3</v>
      </c>
      <c r="H25" s="43">
        <v>670.4</v>
      </c>
      <c r="I25" s="43">
        <f t="shared" si="1"/>
        <v>403.80000000000007</v>
      </c>
      <c r="J25" s="183">
        <f t="shared" si="2"/>
        <v>1.6630698011564886</v>
      </c>
      <c r="K25" s="184">
        <f t="shared" si="3"/>
        <v>1.1087132007709923</v>
      </c>
    </row>
    <row r="26" spans="1:11" ht="12" customHeight="1" x14ac:dyDescent="0.2">
      <c r="A26" s="42">
        <v>1988</v>
      </c>
      <c r="B26" s="69">
        <v>245.02099999999999</v>
      </c>
      <c r="C26" s="43">
        <v>437.1</v>
      </c>
      <c r="D26" s="43">
        <v>104.1</v>
      </c>
      <c r="E26" s="45">
        <v>670.4</v>
      </c>
      <c r="F26" s="45">
        <f t="shared" si="0"/>
        <v>1211.5999999999999</v>
      </c>
      <c r="G26" s="44">
        <v>116.7</v>
      </c>
      <c r="H26" s="43">
        <v>614.1</v>
      </c>
      <c r="I26" s="43">
        <f t="shared" si="1"/>
        <v>480.79999999999984</v>
      </c>
      <c r="J26" s="183">
        <f t="shared" si="2"/>
        <v>1.9622807840960566</v>
      </c>
      <c r="K26" s="184">
        <f t="shared" si="3"/>
        <v>1.3081871893973711</v>
      </c>
    </row>
    <row r="27" spans="1:11" ht="12" customHeight="1" x14ac:dyDescent="0.2">
      <c r="A27" s="42">
        <v>1989</v>
      </c>
      <c r="B27" s="69">
        <v>247.34200000000001</v>
      </c>
      <c r="C27" s="43">
        <v>454.8</v>
      </c>
      <c r="D27" s="43">
        <v>147.9</v>
      </c>
      <c r="E27" s="45">
        <v>614.1</v>
      </c>
      <c r="F27" s="45">
        <f t="shared" si="0"/>
        <v>1216.8000000000002</v>
      </c>
      <c r="G27" s="44">
        <v>87.8</v>
      </c>
      <c r="H27" s="43">
        <v>611.79999999999995</v>
      </c>
      <c r="I27" s="43">
        <f t="shared" si="1"/>
        <v>517.20000000000027</v>
      </c>
      <c r="J27" s="183">
        <f t="shared" si="2"/>
        <v>2.0910318506359626</v>
      </c>
      <c r="K27" s="184">
        <f t="shared" si="3"/>
        <v>1.3940212337573084</v>
      </c>
    </row>
    <row r="28" spans="1:11" ht="12" customHeight="1" x14ac:dyDescent="0.2">
      <c r="A28" s="42">
        <v>1990</v>
      </c>
      <c r="B28" s="69">
        <v>250.13200000000001</v>
      </c>
      <c r="C28" s="43">
        <v>447.5</v>
      </c>
      <c r="D28" s="43">
        <v>166.2</v>
      </c>
      <c r="E28" s="45">
        <v>611.79999999999995</v>
      </c>
      <c r="F28" s="45">
        <f t="shared" si="0"/>
        <v>1225.5</v>
      </c>
      <c r="G28" s="46">
        <v>161.5</v>
      </c>
      <c r="H28" s="43">
        <v>647.20000000000005</v>
      </c>
      <c r="I28" s="43">
        <f t="shared" si="1"/>
        <v>416.79999999999995</v>
      </c>
      <c r="J28" s="183">
        <f t="shared" si="2"/>
        <v>1.6663201829434056</v>
      </c>
      <c r="K28" s="184">
        <f t="shared" si="3"/>
        <v>1.1108801219622704</v>
      </c>
    </row>
    <row r="29" spans="1:11" ht="12" customHeight="1" x14ac:dyDescent="0.2">
      <c r="A29" s="78">
        <v>1991</v>
      </c>
      <c r="B29" s="79">
        <v>253.49299999999999</v>
      </c>
      <c r="C29" s="80">
        <v>394.2</v>
      </c>
      <c r="D29" s="80">
        <v>187</v>
      </c>
      <c r="E29" s="82">
        <v>647.20000000000005</v>
      </c>
      <c r="F29" s="82">
        <f t="shared" si="0"/>
        <v>1228.4000000000001</v>
      </c>
      <c r="G29" s="81">
        <v>173.6</v>
      </c>
      <c r="H29" s="80">
        <v>635.9</v>
      </c>
      <c r="I29" s="80">
        <f t="shared" si="1"/>
        <v>418.90000000000009</v>
      </c>
      <c r="J29" s="185">
        <f t="shared" si="2"/>
        <v>1.6525111147053375</v>
      </c>
      <c r="K29" s="186">
        <f t="shared" si="3"/>
        <v>1.1016740764702251</v>
      </c>
    </row>
    <row r="30" spans="1:11" ht="12" customHeight="1" x14ac:dyDescent="0.2">
      <c r="A30" s="78">
        <v>1992</v>
      </c>
      <c r="B30" s="79">
        <v>256.89400000000001</v>
      </c>
      <c r="C30" s="80">
        <v>392.8</v>
      </c>
      <c r="D30" s="80">
        <v>223.8</v>
      </c>
      <c r="E30" s="82">
        <v>635.9</v>
      </c>
      <c r="F30" s="82">
        <f t="shared" si="0"/>
        <v>1252.5</v>
      </c>
      <c r="G30" s="81">
        <v>187.8</v>
      </c>
      <c r="H30" s="80">
        <v>651.20000000000005</v>
      </c>
      <c r="I30" s="80">
        <f t="shared" si="1"/>
        <v>413.5</v>
      </c>
      <c r="J30" s="185">
        <f t="shared" si="2"/>
        <v>1.6096133035415385</v>
      </c>
      <c r="K30" s="186">
        <f t="shared" si="3"/>
        <v>1.0730755356943591</v>
      </c>
    </row>
    <row r="31" spans="1:11" ht="12" customHeight="1" x14ac:dyDescent="0.2">
      <c r="A31" s="78">
        <v>1993</v>
      </c>
      <c r="B31" s="79">
        <v>260.255</v>
      </c>
      <c r="C31" s="80">
        <v>363.7</v>
      </c>
      <c r="D31" s="80">
        <v>290.5</v>
      </c>
      <c r="E31" s="82">
        <v>651.20000000000005</v>
      </c>
      <c r="F31" s="82">
        <f t="shared" si="0"/>
        <v>1305.4000000000001</v>
      </c>
      <c r="G31" s="81">
        <v>172.2</v>
      </c>
      <c r="H31" s="80">
        <v>640.67831999999999</v>
      </c>
      <c r="I31" s="80">
        <f t="shared" si="1"/>
        <v>492.52168000000006</v>
      </c>
      <c r="J31" s="185">
        <f t="shared" si="2"/>
        <v>1.8924580891817644</v>
      </c>
      <c r="K31" s="186">
        <f t="shared" si="3"/>
        <v>1.2616387261211763</v>
      </c>
    </row>
    <row r="32" spans="1:11" ht="12" customHeight="1" x14ac:dyDescent="0.2">
      <c r="A32" s="78">
        <v>1994</v>
      </c>
      <c r="B32" s="79">
        <v>263.43599999999998</v>
      </c>
      <c r="C32" s="80">
        <v>478.72686999999996</v>
      </c>
      <c r="D32" s="80">
        <v>292.8</v>
      </c>
      <c r="E32" s="82">
        <v>640.67831999999999</v>
      </c>
      <c r="F32" s="82">
        <f t="shared" si="0"/>
        <v>1412.2051899999999</v>
      </c>
      <c r="G32" s="81">
        <v>181.860996</v>
      </c>
      <c r="H32" s="80">
        <v>696.77388999999994</v>
      </c>
      <c r="I32" s="80">
        <f t="shared" si="1"/>
        <v>533.57030399999996</v>
      </c>
      <c r="J32" s="185">
        <f t="shared" si="2"/>
        <v>2.025426684280053</v>
      </c>
      <c r="K32" s="186">
        <f t="shared" si="3"/>
        <v>1.350284456186702</v>
      </c>
    </row>
    <row r="33" spans="1:11" ht="12" customHeight="1" x14ac:dyDescent="0.2">
      <c r="A33" s="78">
        <v>1995</v>
      </c>
      <c r="B33" s="79">
        <v>266.55700000000002</v>
      </c>
      <c r="C33" s="80">
        <v>456.05722000000003</v>
      </c>
      <c r="D33" s="80">
        <v>289.99391549999996</v>
      </c>
      <c r="E33" s="82">
        <v>696.77388999999994</v>
      </c>
      <c r="F33" s="82">
        <f t="shared" si="0"/>
        <v>1442.8250254999998</v>
      </c>
      <c r="G33" s="83">
        <v>204.87299999999999</v>
      </c>
      <c r="H33" s="80">
        <v>760.84175000000005</v>
      </c>
      <c r="I33" s="80">
        <f t="shared" si="1"/>
        <v>477.11027549999972</v>
      </c>
      <c r="J33" s="185">
        <f t="shared" si="2"/>
        <v>1.789899629347568</v>
      </c>
      <c r="K33" s="186">
        <f t="shared" si="3"/>
        <v>1.1932664195650453</v>
      </c>
    </row>
    <row r="34" spans="1:11" ht="12" customHeight="1" x14ac:dyDescent="0.2">
      <c r="A34" s="42">
        <v>1996</v>
      </c>
      <c r="B34" s="69">
        <v>269.66699999999997</v>
      </c>
      <c r="C34" s="43">
        <v>398.67330000000004</v>
      </c>
      <c r="D34" s="43">
        <v>319.9475865</v>
      </c>
      <c r="E34" s="45">
        <v>760.84175000000005</v>
      </c>
      <c r="F34" s="45">
        <f t="shared" si="0"/>
        <v>1479.4626365000001</v>
      </c>
      <c r="G34" s="44">
        <v>237.2954325</v>
      </c>
      <c r="H34" s="43">
        <v>740.1143800000001</v>
      </c>
      <c r="I34" s="43">
        <f t="shared" si="1"/>
        <v>502.0528240000001</v>
      </c>
      <c r="J34" s="183">
        <f t="shared" si="2"/>
        <v>1.8617510633485008</v>
      </c>
      <c r="K34" s="184">
        <f t="shared" si="3"/>
        <v>1.2411673755656671</v>
      </c>
    </row>
    <row r="35" spans="1:11" ht="12" customHeight="1" x14ac:dyDescent="0.2">
      <c r="A35" s="42">
        <v>1997</v>
      </c>
      <c r="B35" s="69">
        <v>272.91199999999998</v>
      </c>
      <c r="C35" s="43">
        <v>453.48978999999997</v>
      </c>
      <c r="D35" s="43">
        <v>335.43900000000002</v>
      </c>
      <c r="E35" s="45">
        <v>740.1143800000001</v>
      </c>
      <c r="F35" s="45">
        <f t="shared" si="0"/>
        <v>1529.0431699999999</v>
      </c>
      <c r="G35" s="44">
        <v>248.23320000000001</v>
      </c>
      <c r="H35" s="43">
        <v>734.51188999999999</v>
      </c>
      <c r="I35" s="43">
        <f t="shared" si="1"/>
        <v>546.29807999999991</v>
      </c>
      <c r="J35" s="183">
        <f t="shared" si="2"/>
        <v>2.0017371167262707</v>
      </c>
      <c r="K35" s="184">
        <f t="shared" si="3"/>
        <v>1.3344914111508472</v>
      </c>
    </row>
    <row r="36" spans="1:11" ht="12" customHeight="1" x14ac:dyDescent="0.2">
      <c r="A36" s="42">
        <v>1998</v>
      </c>
      <c r="B36" s="69">
        <v>276.11500000000001</v>
      </c>
      <c r="C36" s="43">
        <v>458.96222999999998</v>
      </c>
      <c r="D36" s="43">
        <v>367.97700000000003</v>
      </c>
      <c r="E36" s="45">
        <v>734.51188999999999</v>
      </c>
      <c r="F36" s="45">
        <f t="shared" si="0"/>
        <v>1561.4511199999999</v>
      </c>
      <c r="G36" s="44">
        <v>290.59950000000003</v>
      </c>
      <c r="H36" s="43">
        <v>715.40865000000008</v>
      </c>
      <c r="I36" s="43">
        <f t="shared" si="1"/>
        <v>555.44296999999983</v>
      </c>
      <c r="J36" s="183">
        <v>1.8370714014088325</v>
      </c>
      <c r="K36" s="184">
        <f t="shared" si="3"/>
        <v>1.2247142676058884</v>
      </c>
    </row>
    <row r="37" spans="1:11" ht="12" customHeight="1" x14ac:dyDescent="0.2">
      <c r="A37" s="42">
        <v>1999</v>
      </c>
      <c r="B37" s="69">
        <v>279.29500000000002</v>
      </c>
      <c r="C37" s="43">
        <v>411.79829333333339</v>
      </c>
      <c r="D37" s="43">
        <v>452.31049949999999</v>
      </c>
      <c r="E37" s="45">
        <v>715.40865000000008</v>
      </c>
      <c r="F37" s="45">
        <f t="shared" si="0"/>
        <v>1579.5174428333335</v>
      </c>
      <c r="G37" s="44">
        <v>290.43401849999998</v>
      </c>
      <c r="H37" s="43">
        <v>679.74267000000009</v>
      </c>
      <c r="I37" s="43">
        <f t="shared" si="1"/>
        <v>609.34075433333339</v>
      </c>
      <c r="J37" s="183">
        <v>2.3607323952571053</v>
      </c>
      <c r="K37" s="184">
        <f t="shared" si="3"/>
        <v>1.5738215968380702</v>
      </c>
    </row>
    <row r="38" spans="1:11" ht="12" customHeight="1" x14ac:dyDescent="0.2">
      <c r="A38" s="42">
        <v>2000</v>
      </c>
      <c r="B38" s="69">
        <v>282.38499999999999</v>
      </c>
      <c r="C38" s="43">
        <v>417.13866999999999</v>
      </c>
      <c r="D38" s="43">
        <v>475</v>
      </c>
      <c r="E38" s="45">
        <v>679.74267000000009</v>
      </c>
      <c r="F38" s="45">
        <f t="shared" si="0"/>
        <v>1571.8813400000001</v>
      </c>
      <c r="G38" s="44">
        <v>279.73834599999998</v>
      </c>
      <c r="H38" s="43">
        <v>765.51477999999997</v>
      </c>
      <c r="I38" s="43">
        <f t="shared" si="1"/>
        <v>526.62821400000007</v>
      </c>
      <c r="J38" s="183">
        <v>1.8649326243838562</v>
      </c>
      <c r="K38" s="184">
        <f t="shared" si="3"/>
        <v>1.2432884162559041</v>
      </c>
    </row>
    <row r="39" spans="1:11" ht="12" customHeight="1" x14ac:dyDescent="0.2">
      <c r="A39" s="78">
        <v>2001</v>
      </c>
      <c r="B39" s="79">
        <v>285.30901899999998</v>
      </c>
      <c r="C39" s="80">
        <v>412.49205444444442</v>
      </c>
      <c r="D39" s="80">
        <v>464.24851476000015</v>
      </c>
      <c r="E39" s="82">
        <v>765.51477999999997</v>
      </c>
      <c r="F39" s="82">
        <f t="shared" si="0"/>
        <v>1642.2553492044444</v>
      </c>
      <c r="G39" s="81">
        <v>272.27617050000003</v>
      </c>
      <c r="H39" s="80">
        <v>750.93450000000007</v>
      </c>
      <c r="I39" s="80">
        <f t="shared" si="1"/>
        <v>619.04467870444432</v>
      </c>
      <c r="J39" s="185">
        <v>2.154668745695854</v>
      </c>
      <c r="K39" s="186">
        <f t="shared" si="3"/>
        <v>1.4364458304639027</v>
      </c>
    </row>
    <row r="40" spans="1:11" ht="12" customHeight="1" x14ac:dyDescent="0.2">
      <c r="A40" s="78">
        <v>2002</v>
      </c>
      <c r="B40" s="79">
        <v>288.10481800000002</v>
      </c>
      <c r="C40" s="80">
        <v>581.69887999999992</v>
      </c>
      <c r="D40" s="80">
        <v>537.96711040999992</v>
      </c>
      <c r="E40" s="82">
        <v>750.93450000000007</v>
      </c>
      <c r="F40" s="82">
        <f t="shared" si="0"/>
        <v>1870.6004904099998</v>
      </c>
      <c r="G40" s="81">
        <v>253.05063549999997</v>
      </c>
      <c r="H40" s="80">
        <v>704.61537999999996</v>
      </c>
      <c r="I40" s="80">
        <f t="shared" si="1"/>
        <v>912.93447490999984</v>
      </c>
      <c r="J40" s="185">
        <v>3.1428596560644815</v>
      </c>
      <c r="K40" s="186">
        <f t="shared" si="3"/>
        <v>2.0952397707096542</v>
      </c>
    </row>
    <row r="41" spans="1:11" ht="12" customHeight="1" x14ac:dyDescent="0.2">
      <c r="A41" s="78">
        <v>2003</v>
      </c>
      <c r="B41" s="79">
        <v>290.81963400000001</v>
      </c>
      <c r="C41" s="80">
        <v>382.61723999999992</v>
      </c>
      <c r="D41" s="80">
        <v>599.07497792000004</v>
      </c>
      <c r="E41" s="82">
        <v>704.61537999999996</v>
      </c>
      <c r="F41" s="82">
        <f t="shared" si="0"/>
        <v>1686.3075979199998</v>
      </c>
      <c r="G41" s="81">
        <v>208.51894799999999</v>
      </c>
      <c r="H41" s="80">
        <v>707.41363999999999</v>
      </c>
      <c r="I41" s="80">
        <f t="shared" si="1"/>
        <v>770.3750099199998</v>
      </c>
      <c r="J41" s="185">
        <v>2.624101018296447</v>
      </c>
      <c r="K41" s="186">
        <f t="shared" si="3"/>
        <v>1.749400678864298</v>
      </c>
    </row>
    <row r="42" spans="1:11" ht="12" customHeight="1" x14ac:dyDescent="0.2">
      <c r="A42" s="78">
        <v>2004</v>
      </c>
      <c r="B42" s="79">
        <v>293.46318500000001</v>
      </c>
      <c r="C42" s="80">
        <v>338.15585333333337</v>
      </c>
      <c r="D42" s="80">
        <v>664.94589719999988</v>
      </c>
      <c r="E42" s="82">
        <v>707.41363999999999</v>
      </c>
      <c r="F42" s="82">
        <f t="shared" si="0"/>
        <v>1710.5153905333332</v>
      </c>
      <c r="G42" s="81">
        <v>182.3941585</v>
      </c>
      <c r="H42" s="80">
        <v>759.35728000000006</v>
      </c>
      <c r="I42" s="80">
        <f t="shared" si="1"/>
        <v>768.76395203333311</v>
      </c>
      <c r="J42" s="185">
        <v>2.6013106909247692</v>
      </c>
      <c r="K42" s="186">
        <f t="shared" si="3"/>
        <v>1.7342071272831794</v>
      </c>
    </row>
    <row r="43" spans="1:11" ht="12" customHeight="1" x14ac:dyDescent="0.2">
      <c r="A43" s="78">
        <v>2005</v>
      </c>
      <c r="B43" s="79">
        <v>296.186216</v>
      </c>
      <c r="C43" s="80">
        <v>413.50917164141998</v>
      </c>
      <c r="D43" s="80">
        <v>761.46967278000011</v>
      </c>
      <c r="E43" s="82">
        <v>759.35728000000006</v>
      </c>
      <c r="F43" s="82">
        <f t="shared" si="0"/>
        <v>1934.3361244214202</v>
      </c>
      <c r="G43" s="81">
        <v>225.88747699999999</v>
      </c>
      <c r="H43" s="80">
        <v>775.82875999999999</v>
      </c>
      <c r="I43" s="80">
        <f t="shared" si="1"/>
        <v>932.61988742142023</v>
      </c>
      <c r="J43" s="185">
        <v>3.1286179881784917</v>
      </c>
      <c r="K43" s="186">
        <f t="shared" si="3"/>
        <v>2.0857453254523279</v>
      </c>
    </row>
    <row r="44" spans="1:11" ht="12" customHeight="1" x14ac:dyDescent="0.2">
      <c r="A44" s="42">
        <v>2006</v>
      </c>
      <c r="B44" s="69">
        <v>298.99582500000002</v>
      </c>
      <c r="C44" s="43">
        <v>395.27622387371997</v>
      </c>
      <c r="D44" s="43">
        <v>784.61487348000014</v>
      </c>
      <c r="E44" s="45">
        <v>775.82875999999999</v>
      </c>
      <c r="F44" s="45">
        <f t="shared" si="0"/>
        <v>1955.7198573537203</v>
      </c>
      <c r="G44" s="44">
        <v>247.19362100000001</v>
      </c>
      <c r="H44" s="43">
        <v>737.34269000000006</v>
      </c>
      <c r="I44" s="43">
        <f t="shared" si="1"/>
        <v>971.1835463537202</v>
      </c>
      <c r="J44" s="183">
        <v>3.2234385633355256</v>
      </c>
      <c r="K44" s="184">
        <f t="shared" si="3"/>
        <v>2.1489590422236837</v>
      </c>
    </row>
    <row r="45" spans="1:11" ht="12" customHeight="1" x14ac:dyDescent="0.2">
      <c r="A45" s="42">
        <v>2007</v>
      </c>
      <c r="B45" s="69">
        <v>302.003917</v>
      </c>
      <c r="C45" s="43">
        <v>403.29747682223001</v>
      </c>
      <c r="D45" s="43">
        <v>890.96977340333342</v>
      </c>
      <c r="E45" s="45">
        <v>737.34269000000006</v>
      </c>
      <c r="F45" s="45">
        <f t="shared" si="0"/>
        <v>2031.6099402255636</v>
      </c>
      <c r="G45" s="44">
        <v>333.14360750000003</v>
      </c>
      <c r="H45" s="43">
        <v>786.05681000000004</v>
      </c>
      <c r="I45" s="43">
        <f t="shared" si="1"/>
        <v>912.40952272556342</v>
      </c>
      <c r="J45" s="183">
        <v>3.0073549020647965</v>
      </c>
      <c r="K45" s="184">
        <f t="shared" ref="K45:K50" si="4">J45/1.5</f>
        <v>2.0049032680431975</v>
      </c>
    </row>
    <row r="46" spans="1:11" ht="12" customHeight="1" x14ac:dyDescent="0.2">
      <c r="A46" s="42">
        <v>2008</v>
      </c>
      <c r="B46" s="69">
        <v>304.79776099999998</v>
      </c>
      <c r="C46" s="43">
        <v>422.12540505635667</v>
      </c>
      <c r="D46" s="43">
        <v>965.46211832111123</v>
      </c>
      <c r="E46" s="45">
        <v>786.05681000000004</v>
      </c>
      <c r="F46" s="45">
        <f t="shared" si="0"/>
        <v>2173.6443333774678</v>
      </c>
      <c r="G46" s="44">
        <v>421.40744050000006</v>
      </c>
      <c r="H46" s="43">
        <v>852.63317000000006</v>
      </c>
      <c r="I46" s="43">
        <f t="shared" si="1"/>
        <v>899.60372287746759</v>
      </c>
      <c r="J46" s="183">
        <v>2.9318004435596881</v>
      </c>
      <c r="K46" s="184">
        <f t="shared" si="4"/>
        <v>1.9545336290397921</v>
      </c>
    </row>
    <row r="47" spans="1:11" ht="12" customHeight="1" x14ac:dyDescent="0.2">
      <c r="A47" s="42">
        <v>2009</v>
      </c>
      <c r="B47" s="69">
        <v>307.43940600000002</v>
      </c>
      <c r="C47" s="43">
        <v>420.41089196728001</v>
      </c>
      <c r="D47" s="43">
        <v>905.52052551999986</v>
      </c>
      <c r="E47" s="45">
        <v>852.63317000000006</v>
      </c>
      <c r="F47" s="45">
        <f t="shared" si="0"/>
        <v>2178.5645874872798</v>
      </c>
      <c r="G47" s="44">
        <v>318.74306929999995</v>
      </c>
      <c r="H47" s="43">
        <v>832.0729</v>
      </c>
      <c r="I47" s="43">
        <f t="shared" si="1"/>
        <v>1027.7486181872798</v>
      </c>
      <c r="J47" s="183">
        <v>3.3311844458104369</v>
      </c>
      <c r="K47" s="184">
        <f t="shared" si="4"/>
        <v>2.2207896305402914</v>
      </c>
    </row>
    <row r="48" spans="1:11" ht="12" customHeight="1" x14ac:dyDescent="0.2">
      <c r="A48" s="42">
        <v>2010</v>
      </c>
      <c r="B48" s="69">
        <v>309.74127900000002</v>
      </c>
      <c r="C48" s="43">
        <v>387.96353470125558</v>
      </c>
      <c r="D48" s="43">
        <v>924.75701944814818</v>
      </c>
      <c r="E48" s="45">
        <v>832.0729</v>
      </c>
      <c r="F48" s="45">
        <f t="shared" si="0"/>
        <v>2144.7934541494037</v>
      </c>
      <c r="G48" s="44">
        <v>332.36738328000007</v>
      </c>
      <c r="H48" s="43">
        <v>757.59598000000005</v>
      </c>
      <c r="I48" s="43">
        <f t="shared" si="1"/>
        <v>1054.8300908694036</v>
      </c>
      <c r="J48" s="183">
        <v>3.3984582938492158</v>
      </c>
      <c r="K48" s="184">
        <f t="shared" si="4"/>
        <v>2.2656388625661439</v>
      </c>
    </row>
    <row r="49" spans="1:12" ht="12" customHeight="1" x14ac:dyDescent="0.2">
      <c r="A49" s="86">
        <v>2011</v>
      </c>
      <c r="B49" s="87">
        <v>311.97391399999998</v>
      </c>
      <c r="C49" s="88">
        <v>402.96706921508041</v>
      </c>
      <c r="D49" s="88">
        <v>1026.3551051794557</v>
      </c>
      <c r="E49" s="89">
        <v>757.59598000000005</v>
      </c>
      <c r="F49" s="89">
        <f t="shared" si="0"/>
        <v>2186.918154394536</v>
      </c>
      <c r="G49" s="90">
        <v>316.66769433000002</v>
      </c>
      <c r="H49" s="88">
        <v>822.16827000000001</v>
      </c>
      <c r="I49" s="88">
        <f t="shared" si="1"/>
        <v>1048.082190064536</v>
      </c>
      <c r="J49" s="187">
        <v>3.3472254422717702</v>
      </c>
      <c r="K49" s="188">
        <f t="shared" si="4"/>
        <v>2.2314836281811803</v>
      </c>
    </row>
    <row r="50" spans="1:12" ht="12" customHeight="1" x14ac:dyDescent="0.2">
      <c r="A50" s="86">
        <v>2012</v>
      </c>
      <c r="B50" s="87">
        <v>314.16755799999999</v>
      </c>
      <c r="C50" s="88">
        <v>396.87201432257137</v>
      </c>
      <c r="D50" s="88">
        <v>1013.646419616474</v>
      </c>
      <c r="E50" s="89">
        <v>822.16827000000001</v>
      </c>
      <c r="F50" s="89">
        <f t="shared" si="0"/>
        <v>2232.6867039390454</v>
      </c>
      <c r="G50" s="90">
        <v>317.84593082999999</v>
      </c>
      <c r="H50" s="88">
        <v>803.72669999999994</v>
      </c>
      <c r="I50" s="88">
        <f t="shared" si="1"/>
        <v>1111.1140731090454</v>
      </c>
      <c r="J50" s="187">
        <v>3.5328727091929513</v>
      </c>
      <c r="K50" s="188">
        <f t="shared" si="4"/>
        <v>2.3552484727953007</v>
      </c>
      <c r="L50"/>
    </row>
    <row r="51" spans="1:12" ht="12" customHeight="1" x14ac:dyDescent="0.2">
      <c r="A51" s="86">
        <v>2013</v>
      </c>
      <c r="B51" s="87">
        <v>316.29476599999998</v>
      </c>
      <c r="C51" s="90" t="s">
        <v>2</v>
      </c>
      <c r="D51" s="90" t="s">
        <v>2</v>
      </c>
      <c r="E51" s="90" t="s">
        <v>2</v>
      </c>
      <c r="F51" s="90" t="s">
        <v>2</v>
      </c>
      <c r="G51" s="90" t="s">
        <v>2</v>
      </c>
      <c r="H51" s="90" t="s">
        <v>2</v>
      </c>
      <c r="I51" s="90" t="s">
        <v>2</v>
      </c>
      <c r="J51" s="187">
        <v>3.32</v>
      </c>
      <c r="K51" s="188">
        <f t="shared" ref="K51:K58" si="5">J51/1.5</f>
        <v>2.2133333333333334</v>
      </c>
      <c r="L51"/>
    </row>
    <row r="52" spans="1:12" ht="12" customHeight="1" x14ac:dyDescent="0.2">
      <c r="A52" s="86">
        <v>2014</v>
      </c>
      <c r="B52" s="87">
        <v>318.576955</v>
      </c>
      <c r="C52" s="90" t="s">
        <v>2</v>
      </c>
      <c r="D52" s="90" t="s">
        <v>2</v>
      </c>
      <c r="E52" s="90" t="s">
        <v>2</v>
      </c>
      <c r="F52" s="90" t="s">
        <v>2</v>
      </c>
      <c r="G52" s="90" t="s">
        <v>2</v>
      </c>
      <c r="H52" s="90" t="s">
        <v>2</v>
      </c>
      <c r="I52" s="90" t="s">
        <v>2</v>
      </c>
      <c r="J52" s="187">
        <v>3.51</v>
      </c>
      <c r="K52" s="188">
        <f t="shared" si="5"/>
        <v>2.34</v>
      </c>
      <c r="L52"/>
    </row>
    <row r="53" spans="1:12" ht="12" customHeight="1" x14ac:dyDescent="0.2">
      <c r="A53" s="86">
        <v>2015</v>
      </c>
      <c r="B53" s="87">
        <v>320.87070299999999</v>
      </c>
      <c r="C53" s="90" t="s">
        <v>2</v>
      </c>
      <c r="D53" s="90" t="s">
        <v>2</v>
      </c>
      <c r="E53" s="90" t="s">
        <v>2</v>
      </c>
      <c r="F53" s="90" t="s">
        <v>2</v>
      </c>
      <c r="G53" s="90" t="s">
        <v>2</v>
      </c>
      <c r="H53" s="90" t="s">
        <v>2</v>
      </c>
      <c r="I53" s="90" t="s">
        <v>2</v>
      </c>
      <c r="J53" s="187">
        <v>3.61</v>
      </c>
      <c r="K53" s="188">
        <f t="shared" si="5"/>
        <v>2.4066666666666667</v>
      </c>
      <c r="L53"/>
    </row>
    <row r="54" spans="1:12" ht="12" customHeight="1" x14ac:dyDescent="0.2">
      <c r="A54" s="119">
        <v>2016</v>
      </c>
      <c r="B54" s="120">
        <v>323.16101099999997</v>
      </c>
      <c r="C54" s="128" t="s">
        <v>2</v>
      </c>
      <c r="D54" s="128" t="s">
        <v>2</v>
      </c>
      <c r="E54" s="128" t="s">
        <v>2</v>
      </c>
      <c r="F54" s="128" t="s">
        <v>2</v>
      </c>
      <c r="G54" s="128" t="s">
        <v>2</v>
      </c>
      <c r="H54" s="128" t="s">
        <v>2</v>
      </c>
      <c r="I54" s="128" t="s">
        <v>2</v>
      </c>
      <c r="J54" s="189">
        <v>3.69</v>
      </c>
      <c r="K54" s="190">
        <f t="shared" si="5"/>
        <v>2.46</v>
      </c>
      <c r="L54"/>
    </row>
    <row r="55" spans="1:12" ht="12" customHeight="1" x14ac:dyDescent="0.2">
      <c r="A55" s="145">
        <v>2017</v>
      </c>
      <c r="B55" s="146">
        <v>325.20603</v>
      </c>
      <c r="C55" s="151" t="s">
        <v>2</v>
      </c>
      <c r="D55" s="151" t="s">
        <v>2</v>
      </c>
      <c r="E55" s="151" t="s">
        <v>2</v>
      </c>
      <c r="F55" s="151" t="s">
        <v>2</v>
      </c>
      <c r="G55" s="151" t="s">
        <v>2</v>
      </c>
      <c r="H55" s="151" t="s">
        <v>2</v>
      </c>
      <c r="I55" s="151" t="s">
        <v>2</v>
      </c>
      <c r="J55" s="191">
        <v>3.44</v>
      </c>
      <c r="K55" s="192">
        <f t="shared" si="5"/>
        <v>2.2933333333333334</v>
      </c>
      <c r="L55"/>
    </row>
    <row r="56" spans="1:12" ht="12" customHeight="1" x14ac:dyDescent="0.2">
      <c r="A56" s="119">
        <v>2018</v>
      </c>
      <c r="B56" s="120">
        <v>326.92397599999998</v>
      </c>
      <c r="C56" s="128" t="s">
        <v>2</v>
      </c>
      <c r="D56" s="128" t="s">
        <v>2</v>
      </c>
      <c r="E56" s="128" t="s">
        <v>2</v>
      </c>
      <c r="F56" s="128" t="s">
        <v>2</v>
      </c>
      <c r="G56" s="128" t="s">
        <v>2</v>
      </c>
      <c r="H56" s="128" t="s">
        <v>2</v>
      </c>
      <c r="I56" s="128" t="s">
        <v>2</v>
      </c>
      <c r="J56" s="189">
        <v>4.67</v>
      </c>
      <c r="K56" s="190">
        <f t="shared" si="5"/>
        <v>3.1133333333333333</v>
      </c>
      <c r="L56"/>
    </row>
    <row r="57" spans="1:12" ht="12" customHeight="1" x14ac:dyDescent="0.2">
      <c r="A57" s="178">
        <v>2019</v>
      </c>
      <c r="B57" s="179">
        <v>328.475998</v>
      </c>
      <c r="C57" s="180" t="s">
        <v>2</v>
      </c>
      <c r="D57" s="180" t="s">
        <v>2</v>
      </c>
      <c r="E57" s="180" t="s">
        <v>2</v>
      </c>
      <c r="F57" s="180" t="s">
        <v>2</v>
      </c>
      <c r="G57" s="180" t="s">
        <v>2</v>
      </c>
      <c r="H57" s="180" t="s">
        <v>2</v>
      </c>
      <c r="I57" s="180" t="s">
        <v>2</v>
      </c>
      <c r="J57" s="189">
        <v>4.99</v>
      </c>
      <c r="K57" s="190">
        <f t="shared" si="5"/>
        <v>3.3266666666666667</v>
      </c>
      <c r="L57"/>
    </row>
    <row r="58" spans="1:12" ht="12" customHeight="1" thickBot="1" x14ac:dyDescent="0.25">
      <c r="A58" s="123">
        <v>2020</v>
      </c>
      <c r="B58" s="124">
        <v>330.11398000000003</v>
      </c>
      <c r="C58" s="181" t="s">
        <v>2</v>
      </c>
      <c r="D58" s="181" t="s">
        <v>2</v>
      </c>
      <c r="E58" s="181" t="s">
        <v>2</v>
      </c>
      <c r="F58" s="181" t="s">
        <v>2</v>
      </c>
      <c r="G58" s="181" t="s">
        <v>2</v>
      </c>
      <c r="H58" s="181" t="s">
        <v>2</v>
      </c>
      <c r="I58" s="181" t="s">
        <v>2</v>
      </c>
      <c r="J58" s="190">
        <v>4.1900000000000004</v>
      </c>
      <c r="K58" s="201">
        <f t="shared" si="5"/>
        <v>2.7933333333333334</v>
      </c>
      <c r="L58"/>
    </row>
    <row r="59" spans="1:12" ht="12" customHeight="1" thickTop="1" x14ac:dyDescent="0.2">
      <c r="A59" s="260" t="s">
        <v>4</v>
      </c>
      <c r="B59" s="261"/>
      <c r="C59" s="261"/>
      <c r="D59" s="261"/>
      <c r="E59" s="261"/>
      <c r="F59" s="261"/>
      <c r="G59" s="261"/>
      <c r="H59" s="261"/>
      <c r="I59" s="261"/>
      <c r="J59" s="261"/>
      <c r="K59" s="262"/>
    </row>
    <row r="60" spans="1:12" ht="12" customHeight="1" x14ac:dyDescent="0.2">
      <c r="A60" s="308"/>
      <c r="B60" s="309"/>
      <c r="C60" s="309"/>
      <c r="D60" s="309"/>
      <c r="E60" s="309"/>
      <c r="F60" s="309"/>
      <c r="G60" s="309"/>
      <c r="H60" s="309"/>
      <c r="I60" s="309"/>
      <c r="J60" s="309"/>
      <c r="K60" s="310"/>
    </row>
    <row r="61" spans="1:12" ht="12" customHeight="1" x14ac:dyDescent="0.2">
      <c r="A61" s="299" t="s">
        <v>87</v>
      </c>
      <c r="B61" s="300"/>
      <c r="C61" s="300"/>
      <c r="D61" s="300"/>
      <c r="E61" s="300"/>
      <c r="F61" s="300"/>
      <c r="G61" s="300"/>
      <c r="H61" s="300"/>
      <c r="I61" s="300"/>
      <c r="J61" s="300"/>
      <c r="K61" s="301"/>
    </row>
    <row r="62" spans="1:12" ht="12" customHeight="1" x14ac:dyDescent="0.2">
      <c r="A62" s="299"/>
      <c r="B62" s="300"/>
      <c r="C62" s="300"/>
      <c r="D62" s="300"/>
      <c r="E62" s="300"/>
      <c r="F62" s="300"/>
      <c r="G62" s="300"/>
      <c r="H62" s="300"/>
      <c r="I62" s="300"/>
      <c r="J62" s="300"/>
      <c r="K62" s="301"/>
    </row>
    <row r="63" spans="1:12" ht="12" customHeight="1" x14ac:dyDescent="0.2">
      <c r="A63" s="299"/>
      <c r="B63" s="300"/>
      <c r="C63" s="300"/>
      <c r="D63" s="300"/>
      <c r="E63" s="300"/>
      <c r="F63" s="300"/>
      <c r="G63" s="300"/>
      <c r="H63" s="300"/>
      <c r="I63" s="300"/>
      <c r="J63" s="300"/>
      <c r="K63" s="301"/>
    </row>
    <row r="64" spans="1:12" ht="12" customHeight="1" x14ac:dyDescent="0.2">
      <c r="A64" s="299"/>
      <c r="B64" s="300"/>
      <c r="C64" s="300"/>
      <c r="D64" s="300"/>
      <c r="E64" s="300"/>
      <c r="F64" s="300"/>
      <c r="G64" s="300"/>
      <c r="H64" s="300"/>
      <c r="I64" s="300"/>
      <c r="J64" s="300"/>
      <c r="K64" s="301"/>
    </row>
    <row r="65" spans="1:11" ht="12" customHeight="1" x14ac:dyDescent="0.2">
      <c r="A65" s="308"/>
      <c r="B65" s="309"/>
      <c r="C65" s="309"/>
      <c r="D65" s="309"/>
      <c r="E65" s="309"/>
      <c r="F65" s="309"/>
      <c r="G65" s="309"/>
      <c r="H65" s="309"/>
      <c r="I65" s="309"/>
      <c r="J65" s="309"/>
      <c r="K65" s="310"/>
    </row>
    <row r="66" spans="1:11" ht="12" customHeight="1" x14ac:dyDescent="0.2">
      <c r="A66" s="290" t="s">
        <v>63</v>
      </c>
      <c r="B66" s="291"/>
      <c r="C66" s="291"/>
      <c r="D66" s="291"/>
      <c r="E66" s="291"/>
      <c r="F66" s="291"/>
      <c r="G66" s="291"/>
      <c r="H66" s="291"/>
      <c r="I66" s="291"/>
      <c r="J66" s="291"/>
      <c r="K66" s="292"/>
    </row>
  </sheetData>
  <mergeCells count="23">
    <mergeCell ref="A65:K65"/>
    <mergeCell ref="E3:E6"/>
    <mergeCell ref="G3:G6"/>
    <mergeCell ref="J3:K3"/>
    <mergeCell ref="A66:K66"/>
    <mergeCell ref="D3:D6"/>
    <mergeCell ref="H3:H6"/>
    <mergeCell ref="A59:K59"/>
    <mergeCell ref="A60:K60"/>
    <mergeCell ref="A61:K64"/>
    <mergeCell ref="J7:K7"/>
    <mergeCell ref="J1:K1"/>
    <mergeCell ref="A1:I1"/>
    <mergeCell ref="C7:I7"/>
    <mergeCell ref="F3:F6"/>
    <mergeCell ref="I3:I6"/>
    <mergeCell ref="A2:A6"/>
    <mergeCell ref="B2:B6"/>
    <mergeCell ref="K4:K6"/>
    <mergeCell ref="C3:C6"/>
    <mergeCell ref="G2:H2"/>
    <mergeCell ref="I2:K2"/>
    <mergeCell ref="J4:J6"/>
  </mergeCells>
  <phoneticPr fontId="5" type="noConversion"/>
  <printOptions horizontalCentered="1" verticalCentered="1"/>
  <pageMargins left="0.75" right="0.75" top="0.75" bottom="0.75" header="0.5" footer="0.5"/>
  <pageSetup scale="78"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autoPageBreaks="0" fitToPage="1"/>
  </sheetPr>
  <dimension ref="A1:R62"/>
  <sheetViews>
    <sheetView showZeros="0" showOutlineSymbols="0" zoomScaleNormal="100" workbookViewId="0">
      <pane ySplit="5" topLeftCell="A6" activePane="bottomLeft" state="frozen"/>
      <selection pane="bottomLeft" sqref="A1:K1"/>
    </sheetView>
  </sheetViews>
  <sheetFormatPr defaultColWidth="12.7109375" defaultRowHeight="12" customHeight="1" x14ac:dyDescent="0.2"/>
  <cols>
    <col min="1" max="1" width="12.7109375" style="5" customWidth="1"/>
    <col min="2" max="2" width="12.7109375" style="12" customWidth="1"/>
    <col min="3" max="12" width="12.7109375" style="6" customWidth="1"/>
    <col min="13" max="13" width="13.7109375" style="6" customWidth="1"/>
    <col min="14" max="16" width="12.7109375" style="7" customWidth="1"/>
    <col min="17" max="16384" width="12.7109375" style="8"/>
  </cols>
  <sheetData>
    <row r="1" spans="1:18" s="55" customFormat="1" ht="12" customHeight="1" thickBot="1" x14ac:dyDescent="0.25">
      <c r="A1" s="228" t="s">
        <v>71</v>
      </c>
      <c r="B1" s="228"/>
      <c r="C1" s="228"/>
      <c r="D1" s="228"/>
      <c r="E1" s="228"/>
      <c r="F1" s="228"/>
      <c r="G1" s="228"/>
      <c r="H1" s="228"/>
      <c r="I1" s="228"/>
      <c r="J1" s="228"/>
      <c r="K1" s="228"/>
      <c r="L1" s="227" t="s">
        <v>32</v>
      </c>
      <c r="M1" s="227"/>
      <c r="N1" s="54"/>
      <c r="O1" s="54"/>
      <c r="P1" s="54"/>
    </row>
    <row r="2" spans="1:18" ht="12" customHeight="1" thickTop="1" x14ac:dyDescent="0.2">
      <c r="A2" s="235" t="s">
        <v>0</v>
      </c>
      <c r="B2" s="238" t="s">
        <v>5</v>
      </c>
      <c r="C2" s="241" t="s">
        <v>6</v>
      </c>
      <c r="D2" s="241" t="s">
        <v>7</v>
      </c>
      <c r="E2" s="241" t="s">
        <v>8</v>
      </c>
      <c r="F2" s="241" t="s">
        <v>9</v>
      </c>
      <c r="G2" s="241" t="s">
        <v>10</v>
      </c>
      <c r="H2" s="241" t="s">
        <v>11</v>
      </c>
      <c r="I2" s="241" t="s">
        <v>12</v>
      </c>
      <c r="J2" s="241" t="s">
        <v>15</v>
      </c>
      <c r="K2" s="241" t="s">
        <v>13</v>
      </c>
      <c r="L2" s="244" t="s">
        <v>14</v>
      </c>
      <c r="M2" s="225" t="s">
        <v>57</v>
      </c>
      <c r="N2" s="9"/>
      <c r="O2" s="9"/>
      <c r="P2" s="9"/>
      <c r="Q2" s="10"/>
    </row>
    <row r="3" spans="1:18" ht="12" customHeight="1" x14ac:dyDescent="0.2">
      <c r="A3" s="236"/>
      <c r="B3" s="239"/>
      <c r="C3" s="242"/>
      <c r="D3" s="242"/>
      <c r="E3" s="242"/>
      <c r="F3" s="242"/>
      <c r="G3" s="242"/>
      <c r="H3" s="242"/>
      <c r="I3" s="242"/>
      <c r="J3" s="242"/>
      <c r="K3" s="242"/>
      <c r="L3" s="245"/>
      <c r="M3" s="225"/>
      <c r="N3" s="9"/>
      <c r="O3" s="9"/>
      <c r="P3" s="9"/>
      <c r="Q3" s="10"/>
    </row>
    <row r="4" spans="1:18" ht="21" customHeight="1" x14ac:dyDescent="0.2">
      <c r="A4" s="237"/>
      <c r="B4" s="240"/>
      <c r="C4" s="243"/>
      <c r="D4" s="243"/>
      <c r="E4" s="243"/>
      <c r="F4" s="243"/>
      <c r="G4" s="243"/>
      <c r="H4" s="243"/>
      <c r="I4" s="243"/>
      <c r="J4" s="243"/>
      <c r="K4" s="243"/>
      <c r="L4" s="246"/>
      <c r="M4" s="226"/>
      <c r="N4" s="9"/>
      <c r="O4" s="9"/>
      <c r="P4" s="9"/>
      <c r="Q4" s="10"/>
      <c r="R4" s="11"/>
    </row>
    <row r="5" spans="1:18" ht="12" customHeight="1" x14ac:dyDescent="0.2">
      <c r="A5" s="77"/>
      <c r="B5" s="229" t="s">
        <v>64</v>
      </c>
      <c r="C5" s="230"/>
      <c r="D5" s="230"/>
      <c r="E5" s="230"/>
      <c r="F5" s="230"/>
      <c r="G5" s="230"/>
      <c r="H5" s="230"/>
      <c r="I5" s="230"/>
      <c r="J5" s="230"/>
      <c r="K5" s="230"/>
      <c r="L5" s="230"/>
      <c r="M5" s="231"/>
      <c r="N5" s="72"/>
      <c r="O5" s="72"/>
      <c r="P5" s="72"/>
      <c r="Q5" s="72"/>
      <c r="R5" s="72"/>
    </row>
    <row r="6" spans="1:18" ht="12" customHeight="1" x14ac:dyDescent="0.2">
      <c r="A6" s="37">
        <v>1970</v>
      </c>
      <c r="B6" s="53">
        <f>Asparagus!J8</f>
        <v>0.29462887462692394</v>
      </c>
      <c r="C6" s="64">
        <f>LimaBeans!J8</f>
        <v>0.71016620174394807</v>
      </c>
      <c r="D6" s="64">
        <f>SnapBeans!J8</f>
        <v>1.3926714199325045</v>
      </c>
      <c r="E6" s="64">
        <f>Broccoli!J8</f>
        <v>0.96501214326122164</v>
      </c>
      <c r="F6" s="64">
        <f>Carrots!J8</f>
        <v>1.4008759729239415</v>
      </c>
      <c r="G6" s="64">
        <f>Cauliflower!J8</f>
        <v>0.49715106412032073</v>
      </c>
      <c r="H6" s="64">
        <f>SweetCorn!J8</f>
        <v>5.7498407896533568</v>
      </c>
      <c r="I6" s="64">
        <f>GreenPeas!J8</f>
        <v>1.919151971207304</v>
      </c>
      <c r="J6" s="65">
        <f>Potatoes!$J8</f>
        <v>28.526910247156817</v>
      </c>
      <c r="K6" s="64">
        <f>Spinach!J8</f>
        <v>0.71813032791682119</v>
      </c>
      <c r="L6" s="64">
        <f>MiscFrozen!J8</f>
        <v>1.5274174355773167</v>
      </c>
      <c r="M6" s="66">
        <f>SUM(B6:L6)</f>
        <v>43.701956448120484</v>
      </c>
      <c r="O6" s="13"/>
      <c r="P6" s="13"/>
      <c r="Q6" s="14"/>
      <c r="R6" s="14"/>
    </row>
    <row r="7" spans="1:18" ht="12" customHeight="1" x14ac:dyDescent="0.2">
      <c r="A7" s="105">
        <v>1971</v>
      </c>
      <c r="B7" s="101">
        <f>Asparagus!J9</f>
        <v>0.2699707696678722</v>
      </c>
      <c r="C7" s="107">
        <f>LimaBeans!J9</f>
        <v>0.62989198742180752</v>
      </c>
      <c r="D7" s="115">
        <f>SnapBeans!J9</f>
        <v>1.3898325636494098</v>
      </c>
      <c r="E7" s="116">
        <f>Broccoli!J9</f>
        <v>0.90048574359171918</v>
      </c>
      <c r="F7" s="109">
        <f>Carrots!J9</f>
        <v>1.3435121664636116</v>
      </c>
      <c r="G7" s="109">
        <f>Cauliflower!J9</f>
        <v>0.6189016714741814</v>
      </c>
      <c r="H7" s="109">
        <f>SweetCorn!J9</f>
        <v>5.4658715232999935</v>
      </c>
      <c r="I7" s="109">
        <f>GreenPeas!J9</f>
        <v>2.0482665016541381</v>
      </c>
      <c r="J7" s="108">
        <f>Potatoes!$J9</f>
        <v>30.121688713817232</v>
      </c>
      <c r="K7" s="109">
        <f>Spinach!J9</f>
        <v>0.75644483075782165</v>
      </c>
      <c r="L7" s="109">
        <f>MiscFrozen!J9</f>
        <v>1.7764529690216262</v>
      </c>
      <c r="M7" s="109">
        <f t="shared" ref="M7:M35" si="0">SUM(B7:L7)</f>
        <v>45.321319440819416</v>
      </c>
      <c r="O7" s="15"/>
      <c r="P7" s="15"/>
      <c r="Q7" s="11"/>
      <c r="R7" s="11"/>
    </row>
    <row r="8" spans="1:18" ht="12" customHeight="1" x14ac:dyDescent="0.2">
      <c r="A8" s="105">
        <v>1972</v>
      </c>
      <c r="B8" s="101">
        <f>Asparagus!J10</f>
        <v>0.24990890726836146</v>
      </c>
      <c r="C8" s="107">
        <f>LimaBeans!J10</f>
        <v>0.65446220985630987</v>
      </c>
      <c r="D8" s="115">
        <f>SnapBeans!J10</f>
        <v>1.350935606204978</v>
      </c>
      <c r="E8" s="116">
        <f>Broccoli!J10</f>
        <v>0.92749151960971155</v>
      </c>
      <c r="F8" s="109">
        <f>Carrots!J10</f>
        <v>1.4540594389602473</v>
      </c>
      <c r="G8" s="109">
        <f>Cauliflower!J10</f>
        <v>0.53735802492663054</v>
      </c>
      <c r="H8" s="109">
        <f>SweetCorn!J10</f>
        <v>5.3277227769943218</v>
      </c>
      <c r="I8" s="109">
        <f>GreenPeas!J10</f>
        <v>1.9969443915081759</v>
      </c>
      <c r="J8" s="108">
        <f>Potatoes!$J10</f>
        <v>30.326923809886804</v>
      </c>
      <c r="K8" s="109">
        <f>Spinach!J10</f>
        <v>0.76914591035560476</v>
      </c>
      <c r="L8" s="109">
        <f>MiscFrozen!J10</f>
        <v>1.6703510309867744</v>
      </c>
      <c r="M8" s="109">
        <f t="shared" si="0"/>
        <v>45.265303626557916</v>
      </c>
      <c r="O8" s="15"/>
      <c r="P8" s="15"/>
      <c r="Q8" s="11"/>
      <c r="R8" s="11"/>
    </row>
    <row r="9" spans="1:18" ht="12" customHeight="1" x14ac:dyDescent="0.2">
      <c r="A9" s="105">
        <v>1973</v>
      </c>
      <c r="B9" s="101">
        <f>Asparagus!J11</f>
        <v>0.24744583760010194</v>
      </c>
      <c r="C9" s="107">
        <f>LimaBeans!J11</f>
        <v>0.67229801471386308</v>
      </c>
      <c r="D9" s="115">
        <f>SnapBeans!J11</f>
        <v>1.682098447918682</v>
      </c>
      <c r="E9" s="116">
        <f>Broccoli!J11</f>
        <v>1.0114718110132181</v>
      </c>
      <c r="F9" s="109">
        <f>Carrots!J11</f>
        <v>1.7709769759660989</v>
      </c>
      <c r="G9" s="109">
        <f>Cauliflower!J11</f>
        <v>0.59485368719591891</v>
      </c>
      <c r="H9" s="109">
        <f>SweetCorn!J11</f>
        <v>5.9233378752200236</v>
      </c>
      <c r="I9" s="109">
        <f>GreenPeas!J11</f>
        <v>1.9309541359734603</v>
      </c>
      <c r="J9" s="108">
        <f>Potatoes!$J11</f>
        <v>34.19958567120792</v>
      </c>
      <c r="K9" s="109">
        <f>Spinach!J11</f>
        <v>0.64212742262008693</v>
      </c>
      <c r="L9" s="109">
        <f>MiscFrozen!J11</f>
        <v>1.9225233472858632</v>
      </c>
      <c r="M9" s="109">
        <f t="shared" si="0"/>
        <v>50.59767322671523</v>
      </c>
      <c r="O9" s="15"/>
      <c r="P9" s="15"/>
      <c r="Q9" s="11"/>
      <c r="R9" s="11"/>
    </row>
    <row r="10" spans="1:18" ht="12" customHeight="1" x14ac:dyDescent="0.2">
      <c r="A10" s="105">
        <v>1974</v>
      </c>
      <c r="B10" s="101">
        <f>Asparagus!J12</f>
        <v>0.18427375686215827</v>
      </c>
      <c r="C10" s="107">
        <f>LimaBeans!J12</f>
        <v>0.62807803454693389</v>
      </c>
      <c r="D10" s="115">
        <f>SnapBeans!J12</f>
        <v>1.4714520186669406</v>
      </c>
      <c r="E10" s="116">
        <f>Broccoli!J12</f>
        <v>0.99846965686870481</v>
      </c>
      <c r="F10" s="109">
        <f>Carrots!J12</f>
        <v>1.7804239340858714</v>
      </c>
      <c r="G10" s="109">
        <f>Cauliflower!J12</f>
        <v>0.65710232214501474</v>
      </c>
      <c r="H10" s="109">
        <f>SweetCorn!J12</f>
        <v>5.7908329097421607</v>
      </c>
      <c r="I10" s="109">
        <f>GreenPeas!J12</f>
        <v>1.9414319114910172</v>
      </c>
      <c r="J10" s="108">
        <f>Potatoes!$J12</f>
        <v>35.323632010624067</v>
      </c>
      <c r="K10" s="109">
        <f>Spinach!J12</f>
        <v>0.87930288888681074</v>
      </c>
      <c r="L10" s="109">
        <f>MiscFrozen!J12</f>
        <v>1.3934740523908831</v>
      </c>
      <c r="M10" s="109">
        <f t="shared" si="0"/>
        <v>51.048473496310564</v>
      </c>
      <c r="O10" s="15"/>
      <c r="P10" s="15"/>
      <c r="Q10" s="11"/>
      <c r="R10" s="11"/>
    </row>
    <row r="11" spans="1:18" ht="12" customHeight="1" x14ac:dyDescent="0.2">
      <c r="A11" s="105">
        <v>1975</v>
      </c>
      <c r="B11" s="101">
        <f>Asparagus!J13</f>
        <v>0.20691104906631849</v>
      </c>
      <c r="C11" s="107">
        <f>LimaBeans!J13</f>
        <v>0.53721530006065576</v>
      </c>
      <c r="D11" s="115">
        <f>SnapBeans!J13</f>
        <v>1.1407578725118417</v>
      </c>
      <c r="E11" s="116">
        <f>Broccoli!J13</f>
        <v>1.0139129752330152</v>
      </c>
      <c r="F11" s="109">
        <f>Carrots!J13</f>
        <v>1.596658934218629</v>
      </c>
      <c r="G11" s="109">
        <f>Cauliflower!J13</f>
        <v>0.58779736355933376</v>
      </c>
      <c r="H11" s="109">
        <f>SweetCorn!J13</f>
        <v>6.2270772379880821</v>
      </c>
      <c r="I11" s="109">
        <f>GreenPeas!J13</f>
        <v>1.8912142258523053</v>
      </c>
      <c r="J11" s="108">
        <f>Potatoes!$J13</f>
        <v>37.13427141355632</v>
      </c>
      <c r="K11" s="109">
        <f>Spinach!J13</f>
        <v>0.7165539673940724</v>
      </c>
      <c r="L11" s="109">
        <f>MiscFrozen!J13</f>
        <v>1.5853833581049486</v>
      </c>
      <c r="M11" s="109">
        <f t="shared" si="0"/>
        <v>52.63775369754552</v>
      </c>
      <c r="O11" s="15"/>
      <c r="P11" s="15"/>
      <c r="Q11" s="11"/>
      <c r="R11" s="11"/>
    </row>
    <row r="12" spans="1:18" ht="12" customHeight="1" x14ac:dyDescent="0.2">
      <c r="A12" s="37">
        <v>1976</v>
      </c>
      <c r="B12" s="53">
        <f>Asparagus!J14</f>
        <v>0.25980562753686337</v>
      </c>
      <c r="C12" s="64">
        <f>LimaBeans!J14</f>
        <v>0.50071777466920442</v>
      </c>
      <c r="D12" s="67">
        <f>SnapBeans!J14</f>
        <v>1.503636021739629</v>
      </c>
      <c r="E12" s="68">
        <f>Broccoli!J14</f>
        <v>1.1204621138807991</v>
      </c>
      <c r="F12" s="66">
        <f>Carrots!J14</f>
        <v>1.6366658563992014</v>
      </c>
      <c r="G12" s="66">
        <f>Cauliflower!J14</f>
        <v>0.61185213383172432</v>
      </c>
      <c r="H12" s="66">
        <f>SweetCorn!J14</f>
        <v>5.6997672491113818</v>
      </c>
      <c r="I12" s="66">
        <f>GreenPeas!J14</f>
        <v>1.87193092852065</v>
      </c>
      <c r="J12" s="65">
        <f>Potatoes!$J14</f>
        <v>41.810718462632153</v>
      </c>
      <c r="K12" s="66">
        <f>Spinach!J14</f>
        <v>0.72039039603733368</v>
      </c>
      <c r="L12" s="66">
        <f>MiscFrozen!J14</f>
        <v>1.7469672300318755</v>
      </c>
      <c r="M12" s="66">
        <f t="shared" si="0"/>
        <v>57.482913794390811</v>
      </c>
      <c r="O12" s="15"/>
      <c r="P12" s="15"/>
      <c r="Q12" s="11"/>
      <c r="R12" s="11"/>
    </row>
    <row r="13" spans="1:18" ht="12" customHeight="1" x14ac:dyDescent="0.2">
      <c r="A13" s="37">
        <v>1977</v>
      </c>
      <c r="B13" s="53">
        <f>Asparagus!J15</f>
        <v>0.20599730292999879</v>
      </c>
      <c r="C13" s="64">
        <f>LimaBeans!J15</f>
        <v>0.41577558924622798</v>
      </c>
      <c r="D13" s="67">
        <f>SnapBeans!J15</f>
        <v>1.3617263064216605</v>
      </c>
      <c r="E13" s="68">
        <f>Broccoli!J15</f>
        <v>1.0938595661985391</v>
      </c>
      <c r="F13" s="66">
        <f>Carrots!J15</f>
        <v>1.7665519730837862</v>
      </c>
      <c r="G13" s="66">
        <f>Cauliflower!J15</f>
        <v>0.66566230322513287</v>
      </c>
      <c r="H13" s="66">
        <f>SweetCorn!J15</f>
        <v>7.2420041593904818</v>
      </c>
      <c r="I13" s="66">
        <f>GreenPeas!J15</f>
        <v>1.7543720685255568</v>
      </c>
      <c r="J13" s="65">
        <f>Potatoes!$J15</f>
        <v>42.208237414808458</v>
      </c>
      <c r="K13" s="66">
        <f>Spinach!J15</f>
        <v>0.77341733298825377</v>
      </c>
      <c r="L13" s="66">
        <f>MiscFrozen!J15</f>
        <v>1.5219829367187463</v>
      </c>
      <c r="M13" s="66">
        <f t="shared" si="0"/>
        <v>59.009586953536839</v>
      </c>
      <c r="O13" s="15"/>
      <c r="P13" s="15"/>
      <c r="Q13" s="11"/>
      <c r="R13" s="11"/>
    </row>
    <row r="14" spans="1:18" ht="12" customHeight="1" x14ac:dyDescent="0.2">
      <c r="A14" s="37">
        <v>1978</v>
      </c>
      <c r="B14" s="53">
        <f>Asparagus!J16</f>
        <v>0.17868603904126512</v>
      </c>
      <c r="C14" s="64">
        <f>LimaBeans!J16</f>
        <v>0.47760181503695209</v>
      </c>
      <c r="D14" s="67">
        <f>SnapBeans!J16</f>
        <v>1.3711163825055595</v>
      </c>
      <c r="E14" s="68">
        <f>Broccoli!J16</f>
        <v>1.4173479737375831</v>
      </c>
      <c r="F14" s="66">
        <f>Carrots!J16</f>
        <v>1.7718949614753914</v>
      </c>
      <c r="G14" s="66">
        <f>Cauliflower!J16</f>
        <v>0.76384729429206832</v>
      </c>
      <c r="H14" s="66">
        <f>SweetCorn!J16</f>
        <v>6.324968425904709</v>
      </c>
      <c r="I14" s="66">
        <f>GreenPeas!J16</f>
        <v>1.7777252195790374</v>
      </c>
      <c r="J14" s="65">
        <f>Potatoes!$J16</f>
        <v>42.565240245299542</v>
      </c>
      <c r="K14" s="66">
        <f>Spinach!J16</f>
        <v>0.75571233644434976</v>
      </c>
      <c r="L14" s="66">
        <f>MiscFrozen!J16</f>
        <v>1.5144776152930346</v>
      </c>
      <c r="M14" s="66">
        <f t="shared" si="0"/>
        <v>58.918618308609489</v>
      </c>
      <c r="O14" s="15"/>
      <c r="P14" s="15"/>
      <c r="Q14" s="11"/>
      <c r="R14" s="11"/>
    </row>
    <row r="15" spans="1:18" ht="12" customHeight="1" x14ac:dyDescent="0.2">
      <c r="A15" s="37">
        <v>1979</v>
      </c>
      <c r="B15" s="53">
        <f>Asparagus!J17</f>
        <v>0.16726474284988113</v>
      </c>
      <c r="C15" s="64">
        <f>LimaBeans!J17</f>
        <v>0.52275665948323735</v>
      </c>
      <c r="D15" s="67">
        <f>SnapBeans!J17</f>
        <v>1.4036356446202041</v>
      </c>
      <c r="E15" s="68">
        <f>Broccoli!J17</f>
        <v>1.3926941865114753</v>
      </c>
      <c r="F15" s="66">
        <f>Carrots!J17</f>
        <v>1.8810183288529467</v>
      </c>
      <c r="G15" s="66">
        <f>Cauliflower!J17</f>
        <v>0.67489862478060925</v>
      </c>
      <c r="H15" s="66">
        <f>SweetCorn!J17</f>
        <v>6.8482825900335484</v>
      </c>
      <c r="I15" s="66">
        <f>GreenPeas!J17</f>
        <v>1.8847001932860854</v>
      </c>
      <c r="J15" s="65">
        <f>Potatoes!$J17</f>
        <v>38.50387683010819</v>
      </c>
      <c r="K15" s="66">
        <f>Spinach!J17</f>
        <v>0.75115834008047988</v>
      </c>
      <c r="L15" s="66">
        <f>MiscFrozen!J17</f>
        <v>1.4147652795983203</v>
      </c>
      <c r="M15" s="66">
        <f t="shared" si="0"/>
        <v>55.445051420204983</v>
      </c>
      <c r="O15" s="15"/>
      <c r="P15" s="15"/>
      <c r="Q15" s="11"/>
      <c r="R15" s="11"/>
    </row>
    <row r="16" spans="1:18" ht="12" customHeight="1" x14ac:dyDescent="0.2">
      <c r="A16" s="37">
        <v>1980</v>
      </c>
      <c r="B16" s="53">
        <f>Asparagus!J18</f>
        <v>0.12717081734224464</v>
      </c>
      <c r="C16" s="64">
        <f>LimaBeans!J18</f>
        <v>0.49352291789255509</v>
      </c>
      <c r="D16" s="67">
        <f>SnapBeans!J18</f>
        <v>1.3633607054091319</v>
      </c>
      <c r="E16" s="68">
        <f>Broccoli!J18</f>
        <v>1.4553716818628526</v>
      </c>
      <c r="F16" s="66">
        <f>Carrots!J18</f>
        <v>1.6866760931997222</v>
      </c>
      <c r="G16" s="66">
        <f>Cauliflower!J18</f>
        <v>0.78199757603435693</v>
      </c>
      <c r="H16" s="66">
        <f>SweetCorn!J18</f>
        <v>6.3918350544074887</v>
      </c>
      <c r="I16" s="66">
        <f>GreenPeas!J18</f>
        <v>1.7816362646338146</v>
      </c>
      <c r="J16" s="65">
        <f>Potatoes!$J18</f>
        <v>35.404749567462652</v>
      </c>
      <c r="K16" s="66">
        <f>Spinach!J18</f>
        <v>0.80254951004961494</v>
      </c>
      <c r="L16" s="66">
        <f>MiscFrozen!J18</f>
        <v>1.2690689688485286</v>
      </c>
      <c r="M16" s="66">
        <f t="shared" si="0"/>
        <v>51.557939157142961</v>
      </c>
      <c r="O16" s="15"/>
      <c r="P16" s="15"/>
      <c r="Q16" s="11"/>
      <c r="R16" s="11"/>
    </row>
    <row r="17" spans="1:18" ht="12" customHeight="1" x14ac:dyDescent="0.2">
      <c r="A17" s="105">
        <v>1981</v>
      </c>
      <c r="B17" s="101">
        <f>Asparagus!J19</f>
        <v>0.10771647158971326</v>
      </c>
      <c r="C17" s="107">
        <f>LimaBeans!J19</f>
        <v>0.5223728725115887</v>
      </c>
      <c r="D17" s="115">
        <f>SnapBeans!J19</f>
        <v>1.6692737187236375</v>
      </c>
      <c r="E17" s="116">
        <f>Broccoli!J19</f>
        <v>1.5640541065083533</v>
      </c>
      <c r="F17" s="109">
        <f>Carrots!J19</f>
        <v>1.8859309637076787</v>
      </c>
      <c r="G17" s="109">
        <f>Cauliflower!J19</f>
        <v>0.90973196037675141</v>
      </c>
      <c r="H17" s="109">
        <f>SweetCorn!J19</f>
        <v>6.275523094979258</v>
      </c>
      <c r="I17" s="109">
        <f>GreenPeas!J19</f>
        <v>1.7069812407051477</v>
      </c>
      <c r="J17" s="108">
        <f>Potatoes!$J19</f>
        <v>41.485515250080446</v>
      </c>
      <c r="K17" s="109">
        <f>Spinach!J19</f>
        <v>0.74958675802373309</v>
      </c>
      <c r="L17" s="109">
        <f>MiscFrozen!J19</f>
        <v>1.368898011010323</v>
      </c>
      <c r="M17" s="109">
        <f t="shared" si="0"/>
        <v>58.245584448216633</v>
      </c>
      <c r="O17" s="15"/>
      <c r="P17" s="15"/>
      <c r="Q17" s="11"/>
      <c r="R17" s="11"/>
    </row>
    <row r="18" spans="1:18" ht="12" customHeight="1" x14ac:dyDescent="0.2">
      <c r="A18" s="105">
        <v>1982</v>
      </c>
      <c r="B18" s="101">
        <f>Asparagus!J20</f>
        <v>5.8482314394886901E-2</v>
      </c>
      <c r="C18" s="107">
        <f>LimaBeans!J20</f>
        <v>0.34517718400606406</v>
      </c>
      <c r="D18" s="115">
        <f>SnapBeans!J20</f>
        <v>1.535057711854187</v>
      </c>
      <c r="E18" s="116">
        <f>Broccoli!J20</f>
        <v>1.516525500619412</v>
      </c>
      <c r="F18" s="109">
        <f>Carrots!J20</f>
        <v>1.7455682464210038</v>
      </c>
      <c r="G18" s="109">
        <f>Cauliflower!J20</f>
        <v>0.89464976656847051</v>
      </c>
      <c r="H18" s="109">
        <f>SweetCorn!J20</f>
        <v>5.7582447437421411</v>
      </c>
      <c r="I18" s="109">
        <f>GreenPeas!J20</f>
        <v>1.6565572725549986</v>
      </c>
      <c r="J18" s="108">
        <f>Potatoes!$J20</f>
        <v>38.627525970334389</v>
      </c>
      <c r="K18" s="109">
        <f>Spinach!J20</f>
        <v>0.71448842443113003</v>
      </c>
      <c r="L18" s="109">
        <f>MiscFrozen!J20</f>
        <v>1.5022309507812632</v>
      </c>
      <c r="M18" s="109">
        <f t="shared" si="0"/>
        <v>54.354508085707948</v>
      </c>
      <c r="O18" s="15"/>
      <c r="P18" s="15"/>
      <c r="Q18" s="11"/>
      <c r="R18" s="11"/>
    </row>
    <row r="19" spans="1:18" ht="12" customHeight="1" x14ac:dyDescent="0.2">
      <c r="A19" s="105">
        <v>1983</v>
      </c>
      <c r="B19" s="101">
        <f>Asparagus!J21</f>
        <v>0.11014333206536724</v>
      </c>
      <c r="C19" s="107">
        <f>LimaBeans!J21</f>
        <v>0.31061812067074396</v>
      </c>
      <c r="D19" s="115">
        <f>SnapBeans!J21</f>
        <v>1.483993649357467</v>
      </c>
      <c r="E19" s="116">
        <f>Broccoli!J21</f>
        <v>1.5681621571737079</v>
      </c>
      <c r="F19" s="109">
        <f>Carrots!J21</f>
        <v>1.7997755082007794</v>
      </c>
      <c r="G19" s="109">
        <f>Cauliflower!J21</f>
        <v>0.84788841135774851</v>
      </c>
      <c r="H19" s="109">
        <f>SweetCorn!J21</f>
        <v>6.6489598975702835</v>
      </c>
      <c r="I19" s="109">
        <f>GreenPeas!J21</f>
        <v>1.8315528601364881</v>
      </c>
      <c r="J19" s="108">
        <f>Potatoes!$J21</f>
        <v>39.187877442842087</v>
      </c>
      <c r="K19" s="109">
        <f>Spinach!J21</f>
        <v>0.51124621031014872</v>
      </c>
      <c r="L19" s="109">
        <f>MiscFrozen!J21</f>
        <v>1.5906481667214385</v>
      </c>
      <c r="M19" s="109">
        <f t="shared" si="0"/>
        <v>55.890865756406257</v>
      </c>
      <c r="O19" s="15"/>
      <c r="P19" s="15"/>
      <c r="Q19" s="11"/>
      <c r="R19" s="11"/>
    </row>
    <row r="20" spans="1:18" ht="12" customHeight="1" x14ac:dyDescent="0.2">
      <c r="A20" s="105">
        <v>1984</v>
      </c>
      <c r="B20" s="101">
        <f>Asparagus!J22</f>
        <v>8.7948490436136548E-2</v>
      </c>
      <c r="C20" s="107">
        <f>LimaBeans!J22</f>
        <v>0.4689906409193223</v>
      </c>
      <c r="D20" s="115">
        <f>SnapBeans!J22</f>
        <v>1.8168559920117793</v>
      </c>
      <c r="E20" s="116">
        <f>Broccoli!J22</f>
        <v>1.7432498986957365</v>
      </c>
      <c r="F20" s="109">
        <f>Carrots!J22</f>
        <v>2.0795606478582429</v>
      </c>
      <c r="G20" s="109">
        <f>Cauliflower!J22</f>
        <v>0.94979272090307498</v>
      </c>
      <c r="H20" s="109">
        <f>SweetCorn!J22</f>
        <v>7.9860354080423779</v>
      </c>
      <c r="I20" s="109">
        <f>GreenPeas!J22</f>
        <v>1.9839856059708565</v>
      </c>
      <c r="J20" s="108">
        <f>Potatoes!$J22</f>
        <v>43.689178668742706</v>
      </c>
      <c r="K20" s="109">
        <f>Spinach!J22</f>
        <v>0.49691275903860233</v>
      </c>
      <c r="L20" s="109">
        <f>MiscFrozen!J22</f>
        <v>1.3894765346015197</v>
      </c>
      <c r="M20" s="109">
        <f t="shared" si="0"/>
        <v>62.691987367220349</v>
      </c>
      <c r="O20" s="15"/>
      <c r="P20" s="15"/>
      <c r="Q20" s="11"/>
      <c r="R20" s="11"/>
    </row>
    <row r="21" spans="1:18" ht="12" customHeight="1" x14ac:dyDescent="0.2">
      <c r="A21" s="105">
        <v>1985</v>
      </c>
      <c r="B21" s="101">
        <f>Asparagus!J23</f>
        <v>0.10684692996066525</v>
      </c>
      <c r="C21" s="107">
        <f>LimaBeans!J23</f>
        <v>0.3631586892890391</v>
      </c>
      <c r="D21" s="115">
        <f>SnapBeans!J23</f>
        <v>1.8731920693096711</v>
      </c>
      <c r="E21" s="116">
        <f>Broccoli!J23</f>
        <v>1.9610832802620077</v>
      </c>
      <c r="F21" s="109">
        <f>Carrots!J23</f>
        <v>1.7700636568735162</v>
      </c>
      <c r="G21" s="109">
        <f>Cauliflower!J23</f>
        <v>0.92812132547197512</v>
      </c>
      <c r="H21" s="109">
        <f>SweetCorn!J23</f>
        <v>7.9030326051512585</v>
      </c>
      <c r="I21" s="109">
        <f>GreenPeas!J23</f>
        <v>2.0914261613814968</v>
      </c>
      <c r="J21" s="108">
        <f>Potatoes!$J23</f>
        <v>45.41132069141932</v>
      </c>
      <c r="K21" s="109">
        <f>Spinach!J23</f>
        <v>0.61583114366444613</v>
      </c>
      <c r="L21" s="109">
        <f>MiscFrozen!J23</f>
        <v>1.5218102370987896</v>
      </c>
      <c r="M21" s="109">
        <f t="shared" si="0"/>
        <v>64.545886789882175</v>
      </c>
      <c r="O21" s="15"/>
      <c r="P21" s="15"/>
      <c r="Q21" s="11"/>
      <c r="R21" s="11"/>
    </row>
    <row r="22" spans="1:18" ht="12" customHeight="1" x14ac:dyDescent="0.2">
      <c r="A22" s="37">
        <v>1986</v>
      </c>
      <c r="B22" s="53">
        <f>Asparagus!J24</f>
        <v>9.4849055270911004E-2</v>
      </c>
      <c r="C22" s="64">
        <f>LimaBeans!J24</f>
        <v>0.45802843121366626</v>
      </c>
      <c r="D22" s="67">
        <f>SnapBeans!J24</f>
        <v>1.5206253038632709</v>
      </c>
      <c r="E22" s="68">
        <f>Broccoli!J24</f>
        <v>1.7847888718823524</v>
      </c>
      <c r="F22" s="66">
        <f>Carrots!J24</f>
        <v>1.788066536187259</v>
      </c>
      <c r="G22" s="66">
        <f>Cauliflower!J24</f>
        <v>0.92583421635480434</v>
      </c>
      <c r="H22" s="66">
        <f>SweetCorn!J24</f>
        <v>7.5600928249622905</v>
      </c>
      <c r="I22" s="66">
        <f>GreenPeas!J24</f>
        <v>1.9049223564414857</v>
      </c>
      <c r="J22" s="65">
        <f>Potatoes!$J24</f>
        <v>46.279458635118907</v>
      </c>
      <c r="K22" s="66">
        <f>Spinach!J24</f>
        <v>0.55251933387810981</v>
      </c>
      <c r="L22" s="66">
        <f>MiscFrozen!J24</f>
        <v>1.6654823790468356</v>
      </c>
      <c r="M22" s="66">
        <f t="shared" si="0"/>
        <v>64.534667944219891</v>
      </c>
      <c r="O22" s="15"/>
      <c r="P22" s="15"/>
      <c r="Q22" s="11"/>
      <c r="R22" s="11"/>
    </row>
    <row r="23" spans="1:18" ht="12" customHeight="1" x14ac:dyDescent="0.2">
      <c r="A23" s="37">
        <v>1987</v>
      </c>
      <c r="B23" s="53">
        <f>Asparagus!J25</f>
        <v>0.11669297046177163</v>
      </c>
      <c r="C23" s="64">
        <f>LimaBeans!J25</f>
        <v>0.38686347836114721</v>
      </c>
      <c r="D23" s="67">
        <f>SnapBeans!J25</f>
        <v>1.6751083178201347</v>
      </c>
      <c r="E23" s="68">
        <f>Broccoli!J25</f>
        <v>2.2159437241561091</v>
      </c>
      <c r="F23" s="66">
        <f>Carrots!J25</f>
        <v>2.1033426137954896</v>
      </c>
      <c r="G23" s="66">
        <f>Cauliflower!J25</f>
        <v>0.94533038994415264</v>
      </c>
      <c r="H23" s="66">
        <f>SweetCorn!J25</f>
        <v>7.8429515164494816</v>
      </c>
      <c r="I23" s="66">
        <f>GreenPeas!J25</f>
        <v>1.7183971021894195</v>
      </c>
      <c r="J23" s="65">
        <f>Potatoes!$J25</f>
        <v>47.857901846757066</v>
      </c>
      <c r="K23" s="66">
        <f>Spinach!J25</f>
        <v>0.44540831112156892</v>
      </c>
      <c r="L23" s="66">
        <f>MiscFrozen!J25</f>
        <v>1.6630698011564886</v>
      </c>
      <c r="M23" s="66">
        <f t="shared" si="0"/>
        <v>66.97101007221282</v>
      </c>
      <c r="O23" s="15"/>
      <c r="P23" s="15"/>
      <c r="Q23" s="11"/>
      <c r="R23" s="11"/>
    </row>
    <row r="24" spans="1:18" ht="12" customHeight="1" x14ac:dyDescent="0.2">
      <c r="A24" s="37">
        <v>1988</v>
      </c>
      <c r="B24" s="53">
        <f>Asparagus!J26</f>
        <v>0.1241118108243783</v>
      </c>
      <c r="C24" s="64">
        <f>LimaBeans!J26</f>
        <v>0.31336089559670399</v>
      </c>
      <c r="D24" s="67">
        <f>SnapBeans!J26</f>
        <v>1.7196240322258094</v>
      </c>
      <c r="E24" s="68">
        <f>Broccoli!J26</f>
        <v>2.4155480550646677</v>
      </c>
      <c r="F24" s="66">
        <f>Carrots!J26</f>
        <v>2.286742768987148</v>
      </c>
      <c r="G24" s="66">
        <f>Cauliflower!J26</f>
        <v>0.94391909264920171</v>
      </c>
      <c r="H24" s="66">
        <f>SweetCorn!J26</f>
        <v>8.7106819415478682</v>
      </c>
      <c r="I24" s="66">
        <f>GreenPeas!J26</f>
        <v>1.9062996232975953</v>
      </c>
      <c r="J24" s="65">
        <f>Potatoes!$J26</f>
        <v>43.308491925181933</v>
      </c>
      <c r="K24" s="66">
        <f>Spinach!J26</f>
        <v>0.58426603108140529</v>
      </c>
      <c r="L24" s="66">
        <f>MiscFrozen!J26</f>
        <v>1.9622807840960566</v>
      </c>
      <c r="M24" s="66">
        <f t="shared" si="0"/>
        <v>64.275326960552775</v>
      </c>
      <c r="O24" s="15"/>
      <c r="P24" s="15"/>
      <c r="Q24" s="11"/>
      <c r="R24" s="11"/>
    </row>
    <row r="25" spans="1:18" ht="12" customHeight="1" x14ac:dyDescent="0.2">
      <c r="A25" s="37">
        <v>1989</v>
      </c>
      <c r="B25" s="53">
        <f>Asparagus!J27</f>
        <v>7.7745146396487497E-2</v>
      </c>
      <c r="C25" s="64">
        <f>LimaBeans!J27</f>
        <v>0.2538275120278804</v>
      </c>
      <c r="D25" s="67">
        <f>SnapBeans!J27</f>
        <v>2.0126216724907215</v>
      </c>
      <c r="E25" s="68">
        <f>Broccoli!J27</f>
        <v>2.1686571629565545</v>
      </c>
      <c r="F25" s="66">
        <f>Carrots!J27</f>
        <v>2.4718810392088688</v>
      </c>
      <c r="G25" s="66">
        <f>Cauliflower!J27</f>
        <v>0.75102489670173278</v>
      </c>
      <c r="H25" s="66">
        <f>SweetCorn!J27</f>
        <v>8.3648983997865294</v>
      </c>
      <c r="I25" s="66">
        <f>GreenPeas!J27</f>
        <v>1.9772980909024755</v>
      </c>
      <c r="J25" s="65">
        <f>Potatoes!$J27</f>
        <v>46.825326875338604</v>
      </c>
      <c r="K25" s="66">
        <f>Spinach!J27</f>
        <v>0.43733774614097082</v>
      </c>
      <c r="L25" s="66">
        <f>MiscFrozen!J27</f>
        <v>2.0910318506359626</v>
      </c>
      <c r="M25" s="66">
        <f t="shared" si="0"/>
        <v>67.431650392586775</v>
      </c>
      <c r="O25" s="15"/>
      <c r="P25" s="15"/>
      <c r="Q25" s="11"/>
      <c r="R25" s="11"/>
    </row>
    <row r="26" spans="1:18" ht="12" customHeight="1" x14ac:dyDescent="0.2">
      <c r="A26" s="37">
        <v>1990</v>
      </c>
      <c r="B26" s="53">
        <f>Asparagus!J28</f>
        <v>0.12063326563574431</v>
      </c>
      <c r="C26" s="64">
        <f>LimaBeans!J28</f>
        <v>0.2192530659811619</v>
      </c>
      <c r="D26" s="67">
        <f>SnapBeans!J28</f>
        <v>1.9409671142436797</v>
      </c>
      <c r="E26" s="68">
        <f>Broccoli!J28</f>
        <v>2.2327632609981927</v>
      </c>
      <c r="F26" s="66">
        <f>Carrots!J28</f>
        <v>2.2799961620264497</v>
      </c>
      <c r="G26" s="66">
        <f>Cauliflower!J28</f>
        <v>0.75777565445444817</v>
      </c>
      <c r="H26" s="66">
        <f>SweetCorn!J28</f>
        <v>8.5990262525386605</v>
      </c>
      <c r="I26" s="66">
        <f>GreenPeas!J28</f>
        <v>2.2136754510018704</v>
      </c>
      <c r="J26" s="65">
        <f>Potatoes!$J28</f>
        <v>46.417615268306342</v>
      </c>
      <c r="K26" s="66">
        <f>Spinach!J28</f>
        <v>0.20552780778948709</v>
      </c>
      <c r="L26" s="66">
        <f>MiscFrozen!J28</f>
        <v>1.6663201829434056</v>
      </c>
      <c r="M26" s="66">
        <f t="shared" si="0"/>
        <v>66.653553485919446</v>
      </c>
      <c r="O26" s="15"/>
      <c r="P26" s="15"/>
      <c r="Q26" s="11"/>
      <c r="R26" s="11"/>
    </row>
    <row r="27" spans="1:18" ht="12" customHeight="1" x14ac:dyDescent="0.2">
      <c r="A27" s="105">
        <v>1991</v>
      </c>
      <c r="B27" s="101">
        <f>Asparagus!J29</f>
        <v>8.9233054009380933E-2</v>
      </c>
      <c r="C27" s="107">
        <f>LimaBeans!J29</f>
        <v>0.31811036734742187</v>
      </c>
      <c r="D27" s="115">
        <f>SnapBeans!J29</f>
        <v>1.8177256451262949</v>
      </c>
      <c r="E27" s="116">
        <f>Broccoli!J29</f>
        <v>2.2521101037898483</v>
      </c>
      <c r="F27" s="109">
        <f>Carrots!J29</f>
        <v>2.4178182435017925</v>
      </c>
      <c r="G27" s="109">
        <f>Cauliflower!J29</f>
        <v>0.58182711948653421</v>
      </c>
      <c r="H27" s="109">
        <f>SweetCorn!J29</f>
        <v>9.3532671960172458</v>
      </c>
      <c r="I27" s="109">
        <f>GreenPeas!J29</f>
        <v>2.2467745530251326</v>
      </c>
      <c r="J27" s="108">
        <f>Potatoes!$J29</f>
        <v>51.06869467901678</v>
      </c>
      <c r="K27" s="109">
        <f>Spinach!J29</f>
        <v>0.65724560789449815</v>
      </c>
      <c r="L27" s="109">
        <f>MiscFrozen!J29</f>
        <v>1.6525111147053375</v>
      </c>
      <c r="M27" s="109">
        <f t="shared" si="0"/>
        <v>72.455317683920256</v>
      </c>
      <c r="O27" s="15"/>
      <c r="P27" s="15"/>
      <c r="Q27" s="11"/>
      <c r="R27" s="11"/>
    </row>
    <row r="28" spans="1:18" ht="12" customHeight="1" x14ac:dyDescent="0.2">
      <c r="A28" s="105">
        <v>1992</v>
      </c>
      <c r="B28" s="101">
        <f>Asparagus!J30</f>
        <v>0.10614344967184909</v>
      </c>
      <c r="C28" s="107">
        <f>LimaBeans!J30</f>
        <v>0.38807337306437678</v>
      </c>
      <c r="D28" s="115">
        <f>SnapBeans!J30</f>
        <v>1.7365144378615309</v>
      </c>
      <c r="E28" s="116">
        <f>Broccoli!J30</f>
        <v>2.3829639327504726</v>
      </c>
      <c r="F28" s="109">
        <f>Carrots!J30</f>
        <v>2.306788013733291</v>
      </c>
      <c r="G28" s="109">
        <f>Cauliflower!J30</f>
        <v>0.65611147613412535</v>
      </c>
      <c r="H28" s="109">
        <f>SweetCorn!J30</f>
        <v>8.9412931057167562</v>
      </c>
      <c r="I28" s="109">
        <f>GreenPeas!J30</f>
        <v>1.9896230932991819</v>
      </c>
      <c r="J28" s="108">
        <f>Potatoes!$J30</f>
        <v>49.877402728580655</v>
      </c>
      <c r="K28" s="109">
        <f>Spinach!J30</f>
        <v>0.46026030759768621</v>
      </c>
      <c r="L28" s="109">
        <f>MiscFrozen!J30</f>
        <v>1.6096133035415385</v>
      </c>
      <c r="M28" s="109">
        <f t="shared" si="0"/>
        <v>70.454787221951477</v>
      </c>
      <c r="O28" s="15"/>
      <c r="P28" s="15"/>
      <c r="Q28" s="11"/>
      <c r="R28" s="11"/>
    </row>
    <row r="29" spans="1:18" ht="12" customHeight="1" x14ac:dyDescent="0.2">
      <c r="A29" s="105">
        <v>1993</v>
      </c>
      <c r="B29" s="101">
        <f>Asparagus!J31</f>
        <v>6.2764035580488348E-2</v>
      </c>
      <c r="C29" s="107">
        <f>LimaBeans!J31</f>
        <v>0.36363486330714101</v>
      </c>
      <c r="D29" s="115">
        <f>SnapBeans!J31</f>
        <v>1.7372688191965571</v>
      </c>
      <c r="E29" s="116">
        <f>Broccoli!J31</f>
        <v>2.2713746235807193</v>
      </c>
      <c r="F29" s="109">
        <f>Carrots!J31</f>
        <v>2.7861136193348837</v>
      </c>
      <c r="G29" s="109">
        <f>Cauliflower!J31</f>
        <v>0.68775743301761738</v>
      </c>
      <c r="H29" s="109">
        <f>SweetCorn!J31</f>
        <v>9.7163638844978983</v>
      </c>
      <c r="I29" s="109">
        <f>GreenPeas!J31</f>
        <v>1.8601766787189489</v>
      </c>
      <c r="J29" s="108">
        <f>Potatoes!$J31</f>
        <v>53.479636669558701</v>
      </c>
      <c r="K29" s="109">
        <f>Spinach!J31</f>
        <v>0.55910527882269312</v>
      </c>
      <c r="L29" s="109">
        <f>MiscFrozen!J31</f>
        <v>1.8924580891817644</v>
      </c>
      <c r="M29" s="109">
        <f t="shared" si="0"/>
        <v>75.416653994797414</v>
      </c>
      <c r="O29" s="15"/>
      <c r="P29" s="15"/>
      <c r="Q29" s="11"/>
      <c r="R29" s="11"/>
    </row>
    <row r="30" spans="1:18" ht="12" customHeight="1" x14ac:dyDescent="0.2">
      <c r="A30" s="105">
        <v>1994</v>
      </c>
      <c r="B30" s="101">
        <f>Asparagus!J32</f>
        <v>0.12869689974035439</v>
      </c>
      <c r="C30" s="107">
        <f>LimaBeans!J32</f>
        <v>0.36076827445755322</v>
      </c>
      <c r="D30" s="115">
        <f>SnapBeans!J32</f>
        <v>1.9348678918598825</v>
      </c>
      <c r="E30" s="116">
        <f>Broccoli!J32</f>
        <v>2.3089907297408105</v>
      </c>
      <c r="F30" s="109">
        <f>Carrots!J32</f>
        <v>2.7856101671753288</v>
      </c>
      <c r="G30" s="109">
        <f>Cauliflower!J32</f>
        <v>0.58723636860565764</v>
      </c>
      <c r="H30" s="109">
        <f>SweetCorn!J32</f>
        <v>9.1025618950333325</v>
      </c>
      <c r="I30" s="109">
        <f>GreenPeas!J32</f>
        <v>2.1342114200792603</v>
      </c>
      <c r="J30" s="108">
        <f>Potatoes!$J32</f>
        <v>55.695361670811891</v>
      </c>
      <c r="K30" s="109">
        <f>Spinach!J32</f>
        <v>0.47110904709303203</v>
      </c>
      <c r="L30" s="109">
        <f>MiscFrozen!J32</f>
        <v>2.025426684280053</v>
      </c>
      <c r="M30" s="109">
        <f t="shared" si="0"/>
        <v>77.534841048877155</v>
      </c>
      <c r="O30" s="15"/>
      <c r="P30" s="15"/>
      <c r="Q30" s="11"/>
      <c r="R30" s="11"/>
    </row>
    <row r="31" spans="1:18" ht="12" customHeight="1" x14ac:dyDescent="0.2">
      <c r="A31" s="105">
        <v>1995</v>
      </c>
      <c r="B31" s="101">
        <f>Asparagus!J33</f>
        <v>8.2181162603120542E-2</v>
      </c>
      <c r="C31" s="107">
        <f>LimaBeans!J33</f>
        <v>0.4649231822837141</v>
      </c>
      <c r="D31" s="115">
        <f>SnapBeans!J33</f>
        <v>1.6661370545136684</v>
      </c>
      <c r="E31" s="116">
        <f>Broccoli!J33</f>
        <v>2.5498772957753881</v>
      </c>
      <c r="F31" s="109">
        <f>Carrots!J33</f>
        <v>2.5826792018217479</v>
      </c>
      <c r="G31" s="109">
        <f>Cauliflower!J33</f>
        <v>0.60673807215717457</v>
      </c>
      <c r="H31" s="109">
        <f>SweetCorn!J33</f>
        <v>10.340082020505932</v>
      </c>
      <c r="I31" s="109">
        <f>GreenPeas!J33</f>
        <v>2.0759179179312497</v>
      </c>
      <c r="J31" s="108">
        <f>Potatoes!$J33</f>
        <v>56.144626740126881</v>
      </c>
      <c r="K31" s="109">
        <f>Spinach!J33</f>
        <v>0.53713855588110604</v>
      </c>
      <c r="L31" s="109">
        <f>MiscFrozen!J33</f>
        <v>1.789899629347568</v>
      </c>
      <c r="M31" s="109">
        <f t="shared" si="0"/>
        <v>78.840200832947545</v>
      </c>
      <c r="O31" s="15"/>
      <c r="P31" s="15"/>
      <c r="Q31" s="11"/>
      <c r="R31" s="11"/>
    </row>
    <row r="32" spans="1:18" ht="12" customHeight="1" x14ac:dyDescent="0.2">
      <c r="A32" s="37">
        <v>1996</v>
      </c>
      <c r="B32" s="53">
        <f>Asparagus!J34</f>
        <v>9.0425699199988149E-2</v>
      </c>
      <c r="C32" s="64">
        <f>LimaBeans!J34</f>
        <v>0.48676065221180193</v>
      </c>
      <c r="D32" s="67">
        <f>SnapBeans!J34</f>
        <v>1.9071822053866432</v>
      </c>
      <c r="E32" s="68">
        <f>Broccoli!J34</f>
        <v>2.518894583727338</v>
      </c>
      <c r="F32" s="66">
        <f>Carrots!J34</f>
        <v>2.8345601506302218</v>
      </c>
      <c r="G32" s="66">
        <f>Cauliflower!J34</f>
        <v>0.47919678069619204</v>
      </c>
      <c r="H32" s="66">
        <f>SweetCorn!J34</f>
        <v>10.350401803631891</v>
      </c>
      <c r="I32" s="66">
        <f>GreenPeas!J34</f>
        <v>1.9131944295371699</v>
      </c>
      <c r="J32" s="65">
        <f>Potatoes!$J34</f>
        <v>60.295873477273837</v>
      </c>
      <c r="K32" s="66">
        <f>Spinach!J34</f>
        <v>0.70061319920494536</v>
      </c>
      <c r="L32" s="66">
        <f>MiscFrozen!J34</f>
        <v>1.8617510633485008</v>
      </c>
      <c r="M32" s="66">
        <f t="shared" si="0"/>
        <v>83.43885404484854</v>
      </c>
      <c r="O32" s="15"/>
      <c r="P32" s="15"/>
      <c r="Q32" s="11"/>
      <c r="R32" s="11"/>
    </row>
    <row r="33" spans="1:18" ht="12" customHeight="1" x14ac:dyDescent="0.2">
      <c r="A33" s="37">
        <v>1997</v>
      </c>
      <c r="B33" s="53">
        <f>Asparagus!J35</f>
        <v>8.8370051288362575E-2</v>
      </c>
      <c r="C33" s="64">
        <f>LimaBeans!J35</f>
        <v>0.43522555292548515</v>
      </c>
      <c r="D33" s="67">
        <f>SnapBeans!J35</f>
        <v>1.7514985053057397</v>
      </c>
      <c r="E33" s="68">
        <f>Broccoli!J35</f>
        <v>2.2834568858093451</v>
      </c>
      <c r="F33" s="66">
        <f>Carrots!J35</f>
        <v>2.572143522527409</v>
      </c>
      <c r="G33" s="66">
        <f>Cauliflower!J35</f>
        <v>0.43528613029108282</v>
      </c>
      <c r="H33" s="66">
        <f>SweetCorn!J35</f>
        <v>10.058817292020869</v>
      </c>
      <c r="I33" s="66">
        <f>GreenPeas!J35</f>
        <v>2.0231691146596709</v>
      </c>
      <c r="J33" s="65">
        <f>Potatoes!$J35</f>
        <v>57.972555463314187</v>
      </c>
      <c r="K33" s="66">
        <f>Spinach!J35</f>
        <v>0.51601550939496998</v>
      </c>
      <c r="L33" s="66">
        <f>MiscFrozen!J35</f>
        <v>2.0017371167262707</v>
      </c>
      <c r="M33" s="66">
        <f t="shared" si="0"/>
        <v>80.138275144263403</v>
      </c>
      <c r="O33" s="15"/>
      <c r="P33" s="15"/>
      <c r="Q33" s="11"/>
      <c r="R33" s="11"/>
    </row>
    <row r="34" spans="1:18" ht="12" customHeight="1" x14ac:dyDescent="0.2">
      <c r="A34" s="37">
        <v>1998</v>
      </c>
      <c r="B34" s="53">
        <f>Asparagus!J36</f>
        <v>5.8556275053324905E-2</v>
      </c>
      <c r="C34" s="64">
        <f>LimaBeans!J36</f>
        <v>0.42300491208373325</v>
      </c>
      <c r="D34" s="67">
        <f>SnapBeans!J36</f>
        <v>1.9483455454430216</v>
      </c>
      <c r="E34" s="68">
        <f>Broccoli!J36</f>
        <v>2.0791533564275757</v>
      </c>
      <c r="F34" s="66">
        <f>Carrots!J36</f>
        <v>2.7592133877551017</v>
      </c>
      <c r="G34" s="66">
        <f>Cauliflower!J36</f>
        <v>0.77455710823388813</v>
      </c>
      <c r="H34" s="66">
        <f>SweetCorn!J36</f>
        <v>9.8174592349564502</v>
      </c>
      <c r="I34" s="66">
        <f>GreenPeas!J36</f>
        <v>1.8937748182822371</v>
      </c>
      <c r="J34" s="65">
        <f>Potatoes!$J36</f>
        <v>58.365298298578494</v>
      </c>
      <c r="K34" s="66">
        <f>Spinach!J36</f>
        <v>0.47238580736287422</v>
      </c>
      <c r="L34" s="66">
        <f>MiscFrozen!J36</f>
        <v>1.8370714014088325</v>
      </c>
      <c r="M34" s="66">
        <f t="shared" si="0"/>
        <v>80.428820145585533</v>
      </c>
      <c r="O34" s="15"/>
      <c r="P34" s="15"/>
      <c r="Q34" s="11"/>
      <c r="R34" s="11"/>
    </row>
    <row r="35" spans="1:18" ht="12" customHeight="1" x14ac:dyDescent="0.2">
      <c r="A35" s="37">
        <v>1999</v>
      </c>
      <c r="B35" s="53">
        <f>Asparagus!J37</f>
        <v>1.862623253049573E-2</v>
      </c>
      <c r="C35" s="64">
        <f>LimaBeans!J37</f>
        <v>0.43890957070481035</v>
      </c>
      <c r="D35" s="67">
        <f>SnapBeans!J37</f>
        <v>1.9659533036395209</v>
      </c>
      <c r="E35" s="68">
        <f>Broccoli!J37</f>
        <v>2.1110304499185455</v>
      </c>
      <c r="F35" s="66">
        <f>Carrots!J37</f>
        <v>2.4353100598292126</v>
      </c>
      <c r="G35" s="66">
        <f>Cauliflower!J37</f>
        <v>0.50295493055729612</v>
      </c>
      <c r="H35" s="66">
        <f>SweetCorn!J37</f>
        <v>10.075919938487978</v>
      </c>
      <c r="I35" s="66">
        <f>GreenPeas!J37</f>
        <v>2.0356136695250542</v>
      </c>
      <c r="J35" s="65">
        <f>Potatoes!$J37</f>
        <v>58.885358272249789</v>
      </c>
      <c r="K35" s="66">
        <f>Spinach!J37</f>
        <v>0.55960676163196621</v>
      </c>
      <c r="L35" s="66">
        <f>MiscFrozen!J37</f>
        <v>2.3607323952571053</v>
      </c>
      <c r="M35" s="66">
        <f t="shared" si="0"/>
        <v>81.390015584331778</v>
      </c>
      <c r="O35" s="15"/>
      <c r="P35" s="15"/>
      <c r="Q35" s="11"/>
      <c r="R35" s="11"/>
    </row>
    <row r="36" spans="1:18" ht="12" customHeight="1" x14ac:dyDescent="0.2">
      <c r="A36" s="37">
        <v>2000</v>
      </c>
      <c r="B36" s="53">
        <f>Asparagus!J38</f>
        <v>7.5315657083768625E-2</v>
      </c>
      <c r="C36" s="64">
        <f>LimaBeans!J38</f>
        <v>0.45645730917010463</v>
      </c>
      <c r="D36" s="67">
        <f>SnapBeans!J38</f>
        <v>1.8334577493847055</v>
      </c>
      <c r="E36" s="68">
        <f>Broccoli!J38</f>
        <v>2.2533716291233596</v>
      </c>
      <c r="F36" s="66">
        <f>Carrots!J38</f>
        <v>2.7318201675726415</v>
      </c>
      <c r="G36" s="66">
        <f>Cauliflower!J38</f>
        <v>0.56347315091099037</v>
      </c>
      <c r="H36" s="66">
        <f>SweetCorn!J38</f>
        <v>9.0673511753103018</v>
      </c>
      <c r="I36" s="66">
        <f>GreenPeas!J38</f>
        <v>2.1323146341696622</v>
      </c>
      <c r="J36" s="65">
        <f>Potatoes!$J38</f>
        <v>57.832699444687208</v>
      </c>
      <c r="K36" s="66">
        <f>Spinach!J38</f>
        <v>0.84852852074295726</v>
      </c>
      <c r="L36" s="66">
        <f>MiscFrozen!J38</f>
        <v>1.8649326243838562</v>
      </c>
      <c r="M36" s="66">
        <f t="shared" ref="M36:M41" si="1">SUM(B36:L36)</f>
        <v>79.659722062539558</v>
      </c>
      <c r="O36" s="15"/>
      <c r="P36" s="15"/>
      <c r="Q36" s="11"/>
      <c r="R36" s="11"/>
    </row>
    <row r="37" spans="1:18" ht="12" customHeight="1" x14ac:dyDescent="0.2">
      <c r="A37" s="105">
        <v>2001</v>
      </c>
      <c r="B37" s="101">
        <f>Asparagus!J39</f>
        <v>6.6770666396645528E-2</v>
      </c>
      <c r="C37" s="107">
        <f>LimaBeans!J39</f>
        <v>0.34967683636387248</v>
      </c>
      <c r="D37" s="115">
        <f>SnapBeans!J39</f>
        <v>1.8846180088684823</v>
      </c>
      <c r="E37" s="116">
        <f>Broccoli!J39</f>
        <v>2.0379308628165034</v>
      </c>
      <c r="F37" s="109">
        <f>Carrots!J39</f>
        <v>2.2335716730356854</v>
      </c>
      <c r="G37" s="109">
        <f>Cauliflower!J39</f>
        <v>0.5017643370047129</v>
      </c>
      <c r="H37" s="109">
        <f>SweetCorn!J39</f>
        <v>9.2839107541847472</v>
      </c>
      <c r="I37" s="109">
        <f>GreenPeas!J39</f>
        <v>1.9766209367885426</v>
      </c>
      <c r="J37" s="108">
        <f>Potatoes!$J39</f>
        <v>58.442236069095323</v>
      </c>
      <c r="K37" s="109">
        <f>Spinach!J39</f>
        <v>0.70518304817416233</v>
      </c>
      <c r="L37" s="109">
        <f>MiscFrozen!J39</f>
        <v>2.154668745695854</v>
      </c>
      <c r="M37" s="109">
        <f t="shared" si="1"/>
        <v>79.636951938424531</v>
      </c>
      <c r="O37" s="15"/>
      <c r="P37" s="15"/>
      <c r="Q37" s="11"/>
      <c r="R37" s="11"/>
    </row>
    <row r="38" spans="1:18" ht="12" customHeight="1" x14ac:dyDescent="0.2">
      <c r="A38" s="105">
        <v>2002</v>
      </c>
      <c r="B38" s="101">
        <f>Asparagus!J40</f>
        <v>8.0742101261837271E-2</v>
      </c>
      <c r="C38" s="107">
        <f>LimaBeans!J40</f>
        <v>0.42259912588480208</v>
      </c>
      <c r="D38" s="115">
        <f>SnapBeans!J40</f>
        <v>1.7591772048046759</v>
      </c>
      <c r="E38" s="116">
        <f>Broccoli!J40</f>
        <v>2.0973744149256119</v>
      </c>
      <c r="F38" s="109">
        <f>Carrots!J40</f>
        <v>2.1038995255539259</v>
      </c>
      <c r="G38" s="109">
        <f>Cauliflower!J40</f>
        <v>0.30268465347219559</v>
      </c>
      <c r="H38" s="109">
        <f>SweetCorn!J40</f>
        <v>9.3273716949086207</v>
      </c>
      <c r="I38" s="109">
        <f>GreenPeas!J40</f>
        <v>1.701579968600178</v>
      </c>
      <c r="J38" s="108">
        <f>Potatoes!$J40</f>
        <v>55.165580926758395</v>
      </c>
      <c r="K38" s="109">
        <f>Spinach!J40</f>
        <v>0.7044056269131882</v>
      </c>
      <c r="L38" s="109">
        <f>MiscFrozen!J40</f>
        <v>3.1428596560644815</v>
      </c>
      <c r="M38" s="109">
        <f t="shared" si="1"/>
        <v>76.808274899147918</v>
      </c>
      <c r="O38" s="15"/>
      <c r="P38" s="15"/>
      <c r="Q38" s="11"/>
      <c r="R38" s="11"/>
    </row>
    <row r="39" spans="1:18" ht="12" customHeight="1" x14ac:dyDescent="0.2">
      <c r="A39" s="105">
        <v>2003</v>
      </c>
      <c r="B39" s="101">
        <f>Asparagus!J41</f>
        <v>7.0249105094542547E-2</v>
      </c>
      <c r="C39" s="107">
        <f>LimaBeans!J41</f>
        <v>0.39963238400196865</v>
      </c>
      <c r="D39" s="115">
        <f>SnapBeans!J41</f>
        <v>1.860256665201635</v>
      </c>
      <c r="E39" s="116">
        <f>Broccoli!J41</f>
        <v>2.5924482502443418</v>
      </c>
      <c r="F39" s="109">
        <f>Carrots!J41</f>
        <v>2.0257028284410805</v>
      </c>
      <c r="G39" s="109">
        <f>Cauliflower!J41</f>
        <v>0.36072652983257653</v>
      </c>
      <c r="H39" s="109">
        <f>SweetCorn!J41</f>
        <v>9.0042610696635403</v>
      </c>
      <c r="I39" s="109">
        <f>GreenPeas!J41</f>
        <v>1.8196519550327197</v>
      </c>
      <c r="J39" s="108">
        <f>Potatoes!$J41</f>
        <v>57.055789855316313</v>
      </c>
      <c r="K39" s="109">
        <f>Spinach!J41</f>
        <v>0.80844940775216023</v>
      </c>
      <c r="L39" s="109">
        <f>MiscFrozen!J41</f>
        <v>2.624101018296447</v>
      </c>
      <c r="M39" s="109">
        <f t="shared" si="1"/>
        <v>78.621269068877325</v>
      </c>
      <c r="O39" s="15"/>
      <c r="P39" s="15"/>
      <c r="Q39" s="11"/>
      <c r="R39" s="11"/>
    </row>
    <row r="40" spans="1:18" ht="12" customHeight="1" x14ac:dyDescent="0.2">
      <c r="A40" s="105">
        <v>2004</v>
      </c>
      <c r="B40" s="101">
        <f>Asparagus!J42</f>
        <v>6.7708155066322231E-2</v>
      </c>
      <c r="C40" s="107">
        <f>LimaBeans!J42</f>
        <v>0.26027150867322596</v>
      </c>
      <c r="D40" s="115">
        <f>SnapBeans!J42</f>
        <v>1.9437448225745928</v>
      </c>
      <c r="E40" s="116">
        <f>Broccoli!J42</f>
        <v>2.6668173976916392</v>
      </c>
      <c r="F40" s="109">
        <f>Carrots!J42</f>
        <v>1.991136416651377</v>
      </c>
      <c r="G40" s="109">
        <f>Cauliflower!J42</f>
        <v>0.38237546208734835</v>
      </c>
      <c r="H40" s="109">
        <f>SweetCorn!J42</f>
        <v>9.066737414166619</v>
      </c>
      <c r="I40" s="109">
        <f>GreenPeas!J42</f>
        <v>1.58983210970739</v>
      </c>
      <c r="J40" s="108">
        <f>Potatoes!$J42</f>
        <v>57.338705060343429</v>
      </c>
      <c r="K40" s="109">
        <f>Spinach!J42</f>
        <v>0.93598644473922699</v>
      </c>
      <c r="L40" s="109">
        <f>MiscFrozen!J42</f>
        <v>2.6013106909247692</v>
      </c>
      <c r="M40" s="109">
        <f t="shared" si="1"/>
        <v>78.844625482625943</v>
      </c>
      <c r="O40" s="15"/>
      <c r="P40" s="15"/>
      <c r="Q40" s="11"/>
      <c r="R40" s="11"/>
    </row>
    <row r="41" spans="1:18" ht="12" customHeight="1" x14ac:dyDescent="0.2">
      <c r="A41" s="105">
        <v>2005</v>
      </c>
      <c r="B41" s="101">
        <f>Asparagus!J43</f>
        <v>5.8738092099497277E-2</v>
      </c>
      <c r="C41" s="107">
        <f>LimaBeans!J43</f>
        <v>0.28909219917918128</v>
      </c>
      <c r="D41" s="115">
        <f>SnapBeans!J43</f>
        <v>1.7974984661001239</v>
      </c>
      <c r="E41" s="116">
        <f>Broccoli!J43</f>
        <v>2.7104100063859828</v>
      </c>
      <c r="F41" s="109">
        <f>Carrots!J43</f>
        <v>1.9833656854578265</v>
      </c>
      <c r="G41" s="109">
        <f>Cauliflower!J43</f>
        <v>0.36494268534765295</v>
      </c>
      <c r="H41" s="109">
        <f>SweetCorn!J43</f>
        <v>9.4469292128030702</v>
      </c>
      <c r="I41" s="109">
        <f>GreenPeas!J43</f>
        <v>1.6052643700677818</v>
      </c>
      <c r="J41" s="108">
        <f>Potatoes!$J43</f>
        <v>54.336954265866304</v>
      </c>
      <c r="K41" s="109">
        <f>Spinach!J43</f>
        <v>0.6611146724667295</v>
      </c>
      <c r="L41" s="109">
        <f>MiscFrozen!J43</f>
        <v>3.1286179881784917</v>
      </c>
      <c r="M41" s="109">
        <f t="shared" si="1"/>
        <v>76.382927643952641</v>
      </c>
      <c r="O41" s="15"/>
      <c r="P41" s="15"/>
      <c r="Q41" s="11"/>
      <c r="R41" s="11"/>
    </row>
    <row r="42" spans="1:18" ht="12" customHeight="1" x14ac:dyDescent="0.2">
      <c r="A42" s="37">
        <v>2006</v>
      </c>
      <c r="B42" s="53">
        <f>Asparagus!J44</f>
        <v>0.1018174024052463</v>
      </c>
      <c r="C42" s="64">
        <f>LimaBeans!J44</f>
        <v>0.35907377887299929</v>
      </c>
      <c r="D42" s="67">
        <f>SnapBeans!J44</f>
        <v>1.9049042502182092</v>
      </c>
      <c r="E42" s="68">
        <f>Broccoli!J44</f>
        <v>2.2530209694734031</v>
      </c>
      <c r="F42" s="66">
        <f>Carrots!J44</f>
        <v>2.0653597405248054</v>
      </c>
      <c r="G42" s="66">
        <f>Cauliflower!J44</f>
        <v>0.35765656002052865</v>
      </c>
      <c r="H42" s="66">
        <f>SweetCorn!J44</f>
        <v>9.4360972504549174</v>
      </c>
      <c r="I42" s="66">
        <f>GreenPeas!J44</f>
        <v>1.5879002515837806</v>
      </c>
      <c r="J42" s="65">
        <f>Potatoes!$J44</f>
        <v>53.247931210103005</v>
      </c>
      <c r="K42" s="66">
        <f>Spinach!J44</f>
        <v>0.49464843320136653</v>
      </c>
      <c r="L42" s="66">
        <f>MiscFrozen!J44</f>
        <v>3.2234385633355256</v>
      </c>
      <c r="M42" s="66">
        <f t="shared" ref="M42:M47" si="2">SUM(B42:L42)</f>
        <v>75.031848410193774</v>
      </c>
      <c r="O42" s="15"/>
      <c r="P42" s="15"/>
      <c r="Q42" s="11"/>
      <c r="R42" s="11"/>
    </row>
    <row r="43" spans="1:18" ht="12" customHeight="1" x14ac:dyDescent="0.2">
      <c r="A43" s="37">
        <v>2007</v>
      </c>
      <c r="B43" s="53">
        <f>Asparagus!J45</f>
        <v>9.1515985402512517E-2</v>
      </c>
      <c r="C43" s="64">
        <f>LimaBeans!J45</f>
        <v>0.34418985913351585</v>
      </c>
      <c r="D43" s="67">
        <f>SnapBeans!J45</f>
        <v>2.098544494772232</v>
      </c>
      <c r="E43" s="68">
        <f>Broccoli!J45</f>
        <v>2.6762213033150828</v>
      </c>
      <c r="F43" s="66">
        <f>Carrots!J45</f>
        <v>1.5104798063927105</v>
      </c>
      <c r="G43" s="66">
        <f>Cauliflower!J45</f>
        <v>0.36466994393321062</v>
      </c>
      <c r="H43" s="66">
        <f>SweetCorn!J45</f>
        <v>9.9820526701976533</v>
      </c>
      <c r="I43" s="66">
        <f>GreenPeas!J45</f>
        <v>1.8350148447577919</v>
      </c>
      <c r="J43" s="65">
        <f>Potatoes!$J45</f>
        <v>53.149686373504878</v>
      </c>
      <c r="K43" s="66">
        <f>Spinach!J45</f>
        <v>0.71186957989025024</v>
      </c>
      <c r="L43" s="66">
        <f>MiscFrozen!J45</f>
        <v>3.0073549020647965</v>
      </c>
      <c r="M43" s="66">
        <f t="shared" si="2"/>
        <v>75.77159976336462</v>
      </c>
      <c r="O43" s="15"/>
      <c r="P43" s="15"/>
      <c r="Q43" s="11"/>
      <c r="R43" s="11"/>
    </row>
    <row r="44" spans="1:18" ht="12" customHeight="1" x14ac:dyDescent="0.2">
      <c r="A44" s="37">
        <v>2008</v>
      </c>
      <c r="B44" s="53">
        <f>Asparagus!J46</f>
        <v>9.0639746222545253E-2</v>
      </c>
      <c r="C44" s="64">
        <f>LimaBeans!J46</f>
        <v>0.3247912079478727</v>
      </c>
      <c r="D44" s="67">
        <f>SnapBeans!J46</f>
        <v>2.0681936328731956</v>
      </c>
      <c r="E44" s="68">
        <f>Broccoli!J46</f>
        <v>2.6959160907914952</v>
      </c>
      <c r="F44" s="66">
        <f>Carrots!J46</f>
        <v>1.5411078786013379</v>
      </c>
      <c r="G44" s="66">
        <f>Cauliflower!J46</f>
        <v>0.44250173717552937</v>
      </c>
      <c r="H44" s="66">
        <f>SweetCorn!J46</f>
        <v>9.2454370483098831</v>
      </c>
      <c r="I44" s="66">
        <f>GreenPeas!J46</f>
        <v>1.7977388366432778</v>
      </c>
      <c r="J44" s="65">
        <f>Potatoes!$J46</f>
        <v>51.45308381901139</v>
      </c>
      <c r="K44" s="66">
        <f>Spinach!J46</f>
        <v>0.76198294642501474</v>
      </c>
      <c r="L44" s="66">
        <f>MiscFrozen!J46</f>
        <v>2.9318004435596881</v>
      </c>
      <c r="M44" s="66">
        <f t="shared" si="2"/>
        <v>73.353193387561234</v>
      </c>
      <c r="O44" s="15"/>
      <c r="P44" s="15"/>
      <c r="Q44" s="11"/>
      <c r="R44" s="11"/>
    </row>
    <row r="45" spans="1:18" ht="12" customHeight="1" x14ac:dyDescent="0.2">
      <c r="A45" s="37">
        <v>2009</v>
      </c>
      <c r="B45" s="53">
        <f>Asparagus!J47</f>
        <v>6.9429601729875848E-2</v>
      </c>
      <c r="C45" s="64">
        <f>LimaBeans!J47</f>
        <v>0.24872840400903257</v>
      </c>
      <c r="D45" s="67">
        <f>SnapBeans!J47</f>
        <v>1.8723334435065626</v>
      </c>
      <c r="E45" s="68">
        <f>Broccoli!J47</f>
        <v>2.5005191740528105</v>
      </c>
      <c r="F45" s="66">
        <f>Carrots!J47</f>
        <v>1.5171633855918314</v>
      </c>
      <c r="G45" s="66">
        <f>Cauliflower!J47</f>
        <v>0.3561135283918932</v>
      </c>
      <c r="H45" s="66">
        <f>SweetCorn!J47</f>
        <v>9.0646258482066528</v>
      </c>
      <c r="I45" s="66">
        <f>GreenPeas!J47</f>
        <v>1.6860539484475741</v>
      </c>
      <c r="J45" s="65">
        <f>Potatoes!$J47</f>
        <v>50.361963301828645</v>
      </c>
      <c r="K45" s="66">
        <f>Spinach!J47</f>
        <v>0.7156063611390564</v>
      </c>
      <c r="L45" s="66">
        <f>MiscFrozen!J47</f>
        <v>3.3311844458104369</v>
      </c>
      <c r="M45" s="66">
        <f t="shared" si="2"/>
        <v>71.723721442714364</v>
      </c>
      <c r="O45" s="15"/>
      <c r="P45" s="15"/>
      <c r="Q45" s="11"/>
      <c r="R45" s="11"/>
    </row>
    <row r="46" spans="1:18" ht="12" customHeight="1" x14ac:dyDescent="0.2">
      <c r="A46" s="37">
        <v>2010</v>
      </c>
      <c r="B46" s="53">
        <f>Asparagus!J48</f>
        <v>0.10817622193478706</v>
      </c>
      <c r="C46" s="64">
        <f>LimaBeans!J48</f>
        <v>0.39268441831494788</v>
      </c>
      <c r="D46" s="67">
        <f>SnapBeans!J48</f>
        <v>1.9777433990651261</v>
      </c>
      <c r="E46" s="68">
        <f>Broccoli!J48</f>
        <v>2.4505449739846776</v>
      </c>
      <c r="F46" s="66">
        <f>Carrots!J48</f>
        <v>1.4686769323011786</v>
      </c>
      <c r="G46" s="66">
        <f>Cauliflower!J48</f>
        <v>0.37047026741457595</v>
      </c>
      <c r="H46" s="66">
        <f>SweetCorn!J48</f>
        <v>8.5485345327826749</v>
      </c>
      <c r="I46" s="66">
        <f>GreenPeas!J48</f>
        <v>1.5080776207074678</v>
      </c>
      <c r="J46" s="65">
        <f>Potatoes!$J48</f>
        <v>50.080524751224907</v>
      </c>
      <c r="K46" s="66">
        <f>Spinach!J48</f>
        <v>0.68566968784842652</v>
      </c>
      <c r="L46" s="66">
        <f>MiscFrozen!J48</f>
        <v>3.3984582938492158</v>
      </c>
      <c r="M46" s="66">
        <f t="shared" si="2"/>
        <v>70.989561099427988</v>
      </c>
      <c r="O46" s="15"/>
      <c r="P46" s="15"/>
      <c r="Q46" s="11"/>
      <c r="R46" s="11"/>
    </row>
    <row r="47" spans="1:18" ht="12" customHeight="1" x14ac:dyDescent="0.2">
      <c r="A47" s="105">
        <v>2011</v>
      </c>
      <c r="B47" s="104">
        <f>Asparagus!J49</f>
        <v>0.12804879375422137</v>
      </c>
      <c r="C47" s="112">
        <f>LimaBeans!J49</f>
        <v>0.28980671278134812</v>
      </c>
      <c r="D47" s="168">
        <f>SnapBeans!J49</f>
        <v>1.5432009405016471</v>
      </c>
      <c r="E47" s="169">
        <f>Broccoli!J49</f>
        <v>2.6546246051076801</v>
      </c>
      <c r="F47" s="114">
        <f>Carrots!J49</f>
        <v>1.5705859281037646</v>
      </c>
      <c r="G47" s="114">
        <f>Cauliflower!J49</f>
        <v>0.44275753225881698</v>
      </c>
      <c r="H47" s="114">
        <f>SweetCorn!J49</f>
        <v>9.7568687595217707</v>
      </c>
      <c r="I47" s="114">
        <f>GreenPeas!J49</f>
        <v>1.5762178429815004</v>
      </c>
      <c r="J47" s="113">
        <f>Potatoes!$J49</f>
        <v>48.285682417662144</v>
      </c>
      <c r="K47" s="114">
        <f>Spinach!J49</f>
        <v>0.63673583674091039</v>
      </c>
      <c r="L47" s="114">
        <f>MiscFrozen!J49</f>
        <v>3.3472254422717702</v>
      </c>
      <c r="M47" s="114">
        <f t="shared" si="2"/>
        <v>70.231754811685562</v>
      </c>
      <c r="O47" s="15"/>
      <c r="P47" s="15"/>
      <c r="Q47" s="11"/>
      <c r="R47" s="11"/>
    </row>
    <row r="48" spans="1:18" ht="12" customHeight="1" x14ac:dyDescent="0.2">
      <c r="A48" s="105">
        <v>2012</v>
      </c>
      <c r="B48" s="101">
        <f>Asparagus!J50</f>
        <v>9.4863095819277432E-2</v>
      </c>
      <c r="C48" s="107">
        <f>LimaBeans!J50</f>
        <v>0.38118614189317096</v>
      </c>
      <c r="D48" s="115">
        <f>SnapBeans!J50</f>
        <v>1.8981757747018013</v>
      </c>
      <c r="E48" s="116">
        <f>Broccoli!J50</f>
        <v>2.5607686729330408</v>
      </c>
      <c r="F48" s="109">
        <f>Carrots!J50</f>
        <v>1.2107234263956816</v>
      </c>
      <c r="G48" s="109">
        <f>Cauliflower!J50</f>
        <v>0.33793701142846455</v>
      </c>
      <c r="H48" s="109">
        <f>SweetCorn!J50</f>
        <v>9.7870333218755228</v>
      </c>
      <c r="I48" s="109">
        <f>GreenPeas!J50</f>
        <v>1.8892870609142463</v>
      </c>
      <c r="J48" s="108">
        <f>Potatoes!$J50</f>
        <v>48.042415985468502</v>
      </c>
      <c r="K48" s="109">
        <f>Spinach!J50</f>
        <v>0.60480772359358637</v>
      </c>
      <c r="L48" s="109">
        <f>MiscFrozen!J50</f>
        <v>3.5328727091929513</v>
      </c>
      <c r="M48" s="109">
        <f t="shared" ref="M48:M53" si="3">SUM(B48:L48)</f>
        <v>70.340070924216249</v>
      </c>
      <c r="N48"/>
      <c r="O48" s="15"/>
      <c r="P48" s="15"/>
      <c r="Q48" s="11"/>
      <c r="R48" s="11"/>
    </row>
    <row r="49" spans="1:18" ht="12" customHeight="1" x14ac:dyDescent="0.2">
      <c r="A49" s="105">
        <v>2013</v>
      </c>
      <c r="B49" s="101">
        <f>Asparagus!J51</f>
        <v>0.1069111843513212</v>
      </c>
      <c r="C49" s="107">
        <f>LimaBeans!J51</f>
        <v>0.29894151308507899</v>
      </c>
      <c r="D49" s="115">
        <f>SnapBeans!J51</f>
        <v>2.0967098971354878</v>
      </c>
      <c r="E49" s="116">
        <f>Broccoli!J51</f>
        <v>2.4828052031974952</v>
      </c>
      <c r="F49" s="109">
        <f>Carrots!J51</f>
        <v>1.6548659081232773</v>
      </c>
      <c r="G49" s="109">
        <f>Cauliflower!J51</f>
        <v>0.336253957557966</v>
      </c>
      <c r="H49" s="109">
        <f>SweetCorn!J51</f>
        <v>7.0202670209496336</v>
      </c>
      <c r="I49" s="109">
        <f>GreenPeas!J51</f>
        <v>1.5124378926114512</v>
      </c>
      <c r="J49" s="108">
        <f>Potatoes!$J51</f>
        <v>47.614349567825727</v>
      </c>
      <c r="K49" s="109">
        <f>Spinach!J51</f>
        <v>0.72520540552724411</v>
      </c>
      <c r="L49" s="109">
        <f>MiscFrozen!J51</f>
        <v>3.32</v>
      </c>
      <c r="M49" s="109">
        <f t="shared" si="3"/>
        <v>67.168747550364671</v>
      </c>
      <c r="N49"/>
      <c r="O49" s="15"/>
      <c r="P49" s="15"/>
      <c r="Q49" s="11"/>
      <c r="R49" s="11"/>
    </row>
    <row r="50" spans="1:18" ht="12" customHeight="1" x14ac:dyDescent="0.2">
      <c r="A50" s="105">
        <v>2014</v>
      </c>
      <c r="B50" s="101">
        <f>Asparagus!J52</f>
        <v>9.916863781692184E-2</v>
      </c>
      <c r="C50" s="107">
        <f>LimaBeans!J52</f>
        <v>0.29540451554778657</v>
      </c>
      <c r="D50" s="115">
        <f>SnapBeans!J52</f>
        <v>1.7632011985010536</v>
      </c>
      <c r="E50" s="116">
        <f>Broccoli!J52</f>
        <v>2.584673568586449</v>
      </c>
      <c r="F50" s="109">
        <f>Carrots!J52</f>
        <v>1.1959062323381466</v>
      </c>
      <c r="G50" s="109">
        <f>Cauliflower!J52</f>
        <v>0.35681368726609358</v>
      </c>
      <c r="H50" s="109">
        <f>SweetCorn!J52</f>
        <v>7.6770612286165996</v>
      </c>
      <c r="I50" s="109">
        <f>GreenPeas!J52</f>
        <v>1.5689646059357369</v>
      </c>
      <c r="J50" s="108">
        <f>Potatoes!$J52</f>
        <v>47.052614832021099</v>
      </c>
      <c r="K50" s="109">
        <f>Spinach!J52</f>
        <v>0.7911864848333735</v>
      </c>
      <c r="L50" s="109">
        <f>MiscFrozen!J52</f>
        <v>3.51</v>
      </c>
      <c r="M50" s="109">
        <f t="shared" si="3"/>
        <v>66.894994991463264</v>
      </c>
      <c r="N50"/>
      <c r="O50" s="15"/>
      <c r="P50" s="15"/>
      <c r="Q50" s="11"/>
      <c r="R50" s="11"/>
    </row>
    <row r="51" spans="1:18" ht="12" customHeight="1" x14ac:dyDescent="0.2">
      <c r="A51" s="105">
        <v>2015</v>
      </c>
      <c r="B51" s="104">
        <f>Asparagus!J53</f>
        <v>0.11937495576288369</v>
      </c>
      <c r="C51" s="112">
        <f>LimaBeans!J53</f>
        <v>0.31602789137525594</v>
      </c>
      <c r="D51" s="168">
        <f>SnapBeans!J53</f>
        <v>1.8964251535179786</v>
      </c>
      <c r="E51" s="169">
        <f>Broccoli!J53</f>
        <v>2.5874512802600407</v>
      </c>
      <c r="F51" s="114">
        <f>Carrots!J53</f>
        <v>1.3626772343606852</v>
      </c>
      <c r="G51" s="114">
        <f>Cauliflower!J53</f>
        <v>0.3421926119190089</v>
      </c>
      <c r="H51" s="114">
        <f>SweetCorn!J53</f>
        <v>8.0123747968432752</v>
      </c>
      <c r="I51" s="114">
        <f>GreenPeas!J53</f>
        <v>1.477782391940208</v>
      </c>
      <c r="J51" s="113">
        <f>Potatoes!$J53</f>
        <v>49.702637224942549</v>
      </c>
      <c r="K51" s="114">
        <f>Spinach!J53</f>
        <v>0.73270239186959674</v>
      </c>
      <c r="L51" s="114">
        <f>MiscFrozen!J53</f>
        <v>3.61</v>
      </c>
      <c r="M51" s="114">
        <f t="shared" si="3"/>
        <v>70.159645932791477</v>
      </c>
      <c r="N51"/>
      <c r="O51" s="15"/>
      <c r="P51" s="15"/>
      <c r="Q51" s="11"/>
      <c r="R51" s="11"/>
    </row>
    <row r="52" spans="1:18" ht="12" customHeight="1" x14ac:dyDescent="0.2">
      <c r="A52" s="138">
        <v>2016</v>
      </c>
      <c r="B52" s="137">
        <f>Asparagus!J54</f>
        <v>0.16041161696404319</v>
      </c>
      <c r="C52" s="140">
        <f>LimaBeans!J54</f>
        <v>0.22925866735898945</v>
      </c>
      <c r="D52" s="143">
        <f>SnapBeans!J54</f>
        <v>1.9854545801421877</v>
      </c>
      <c r="E52" s="144">
        <f>Broccoli!J54</f>
        <v>2.6362068156488156</v>
      </c>
      <c r="F52" s="142">
        <f>Carrots!J54</f>
        <v>1.9004582646579344</v>
      </c>
      <c r="G52" s="142">
        <f>Cauliflower!J54</f>
        <v>0.40788019100508816</v>
      </c>
      <c r="H52" s="142">
        <f>SweetCorn!J54</f>
        <v>7.4519594647491365</v>
      </c>
      <c r="I52" s="142">
        <f>GreenPeas!J54</f>
        <v>0.99816541265823588</v>
      </c>
      <c r="J52" s="141">
        <f>Potatoes!$J54</f>
        <v>47.419743387834629</v>
      </c>
      <c r="K52" s="142">
        <f>Spinach!J54</f>
        <v>0.69480931789201372</v>
      </c>
      <c r="L52" s="142">
        <f>MiscFrozen!J54</f>
        <v>3.69</v>
      </c>
      <c r="M52" s="142">
        <f t="shared" si="3"/>
        <v>67.574347718911085</v>
      </c>
      <c r="N52"/>
      <c r="O52" s="15"/>
      <c r="P52" s="15"/>
      <c r="Q52" s="11"/>
      <c r="R52" s="11"/>
    </row>
    <row r="53" spans="1:18" ht="12" customHeight="1" x14ac:dyDescent="0.2">
      <c r="A53" s="138">
        <v>2017</v>
      </c>
      <c r="B53" s="137">
        <f>Asparagus!J55</f>
        <v>0.13772160624692203</v>
      </c>
      <c r="C53" s="140">
        <f>LimaBeans!J55</f>
        <v>0.21333777058546302</v>
      </c>
      <c r="D53" s="143">
        <f>SnapBeans!J55</f>
        <v>1.8976802967886761</v>
      </c>
      <c r="E53" s="144">
        <f>Broccoli!J55</f>
        <v>2.3658849224566962</v>
      </c>
      <c r="F53" s="142">
        <f>Carrots!J55</f>
        <v>2.4291511425764414</v>
      </c>
      <c r="G53" s="142">
        <f>Cauliflower!J55</f>
        <v>0.52859699672254967</v>
      </c>
      <c r="H53" s="142">
        <f>SweetCorn!J55</f>
        <v>8.058434498517947</v>
      </c>
      <c r="I53" s="142">
        <f>GreenPeas!J55</f>
        <v>1.2982928409609151</v>
      </c>
      <c r="J53" s="141">
        <f>Potatoes!$J55</f>
        <v>51.807052197241497</v>
      </c>
      <c r="K53" s="142">
        <f>Spinach!J55</f>
        <v>0.70087664386311033</v>
      </c>
      <c r="L53" s="142">
        <f>MiscFrozen!J55</f>
        <v>3.44</v>
      </c>
      <c r="M53" s="142">
        <f t="shared" si="3"/>
        <v>72.877028915960224</v>
      </c>
      <c r="N53"/>
      <c r="O53" s="15"/>
      <c r="P53" s="15"/>
      <c r="Q53" s="11"/>
      <c r="R53" s="11"/>
    </row>
    <row r="54" spans="1:18" ht="12" customHeight="1" x14ac:dyDescent="0.2">
      <c r="A54" s="162">
        <v>2018</v>
      </c>
      <c r="B54" s="157">
        <f>Asparagus!J56</f>
        <v>8.6173077517998048E-2</v>
      </c>
      <c r="C54" s="163">
        <f>LimaBeans!J56</f>
        <v>0.25294972416266898</v>
      </c>
      <c r="D54" s="164">
        <f>SnapBeans!J56</f>
        <v>1.8494904859860029</v>
      </c>
      <c r="E54" s="165">
        <f>Broccoli!J56</f>
        <v>2.5013679956651456</v>
      </c>
      <c r="F54" s="166">
        <f>Carrots!J56</f>
        <v>2.3531809696153867</v>
      </c>
      <c r="G54" s="166">
        <f>Cauliflower!J56</f>
        <v>0.58257646461818391</v>
      </c>
      <c r="H54" s="166">
        <f>SweetCorn!J56</f>
        <v>7.927225772319864</v>
      </c>
      <c r="I54" s="166">
        <f>GreenPeas!J56</f>
        <v>1.2754040742130901</v>
      </c>
      <c r="J54" s="167">
        <f>Potatoes!$J56</f>
        <v>53.356217539497109</v>
      </c>
      <c r="K54" s="166">
        <f>Spinach!J56</f>
        <v>0.76643004279141591</v>
      </c>
      <c r="L54" s="166">
        <f>MiscFrozen!J56</f>
        <v>4.67</v>
      </c>
      <c r="M54" s="166">
        <f>SUM(B54:L54)</f>
        <v>75.621016146386864</v>
      </c>
      <c r="N54"/>
      <c r="O54" s="15"/>
      <c r="P54" s="15"/>
      <c r="Q54" s="11"/>
      <c r="R54" s="11"/>
    </row>
    <row r="55" spans="1:18" ht="12" customHeight="1" x14ac:dyDescent="0.2">
      <c r="A55" s="162">
        <v>2019</v>
      </c>
      <c r="B55" s="157">
        <f>Asparagus!J57</f>
        <v>9.9089656123109479E-2</v>
      </c>
      <c r="C55" s="163">
        <f>LimaBeans!J57</f>
        <v>0.21136009024992747</v>
      </c>
      <c r="D55" s="164">
        <f>SnapBeans!J57</f>
        <v>1.6757144370530233</v>
      </c>
      <c r="E55" s="165">
        <f>Broccoli!J57</f>
        <v>2.6366033132350815</v>
      </c>
      <c r="F55" s="166">
        <f>Carrots!J57</f>
        <v>1.7685293355693223</v>
      </c>
      <c r="G55" s="166">
        <f>Cauliflower!J57</f>
        <v>0.67812162915781737</v>
      </c>
      <c r="H55" s="166">
        <f>SweetCorn!J57</f>
        <v>5.9824755308757762</v>
      </c>
      <c r="I55" s="166">
        <f>GreenPeas!J57</f>
        <v>1.0302438388956565</v>
      </c>
      <c r="J55" s="167">
        <f>Potatoes!$J57</f>
        <v>52.380493951883132</v>
      </c>
      <c r="K55" s="166">
        <f>Spinach!J57</f>
        <v>0.6227624473500285</v>
      </c>
      <c r="L55" s="218">
        <f>MiscFrozen!J57</f>
        <v>4.99</v>
      </c>
      <c r="M55" s="166">
        <f>SUM(B55:L55)</f>
        <v>72.075394230392874</v>
      </c>
      <c r="N55"/>
      <c r="O55" s="15"/>
      <c r="P55" s="15"/>
      <c r="Q55" s="11"/>
      <c r="R55" s="11"/>
    </row>
    <row r="56" spans="1:18" ht="12" customHeight="1" thickBot="1" x14ac:dyDescent="0.25">
      <c r="A56" s="207">
        <v>2020</v>
      </c>
      <c r="B56" s="209" t="s">
        <v>2</v>
      </c>
      <c r="C56" s="209" t="s">
        <v>2</v>
      </c>
      <c r="D56" s="209" t="s">
        <v>2</v>
      </c>
      <c r="E56" s="209">
        <f>Broccoli!J58</f>
        <v>2.6365816987756778</v>
      </c>
      <c r="F56" s="209" t="s">
        <v>2</v>
      </c>
      <c r="G56" s="209">
        <f>Cauliflower!J58</f>
        <v>0.71518164826887975</v>
      </c>
      <c r="H56" s="209" t="s">
        <v>2</v>
      </c>
      <c r="I56" s="209" t="s">
        <v>2</v>
      </c>
      <c r="J56" s="209">
        <f>Potatoes!$J58</f>
        <v>50.926592531825293</v>
      </c>
      <c r="K56" s="209" t="s">
        <v>2</v>
      </c>
      <c r="L56" s="209">
        <f>MiscFrozen!J58</f>
        <v>4.1900000000000004</v>
      </c>
      <c r="M56" s="209" t="s">
        <v>2</v>
      </c>
      <c r="N56"/>
      <c r="O56" s="15"/>
      <c r="P56" s="15"/>
      <c r="Q56" s="11"/>
      <c r="R56" s="11"/>
    </row>
    <row r="57" spans="1:18" ht="12" customHeight="1" thickTop="1" x14ac:dyDescent="0.2">
      <c r="A57" s="247" t="s">
        <v>4</v>
      </c>
      <c r="B57" s="248"/>
      <c r="C57" s="248"/>
      <c r="D57" s="248"/>
      <c r="E57" s="249"/>
      <c r="F57" s="248"/>
      <c r="G57" s="248"/>
      <c r="H57" s="248"/>
      <c r="I57" s="248"/>
      <c r="J57" s="248"/>
      <c r="K57" s="248"/>
      <c r="L57" s="248"/>
      <c r="M57" s="250"/>
      <c r="N57"/>
      <c r="O57" s="15"/>
      <c r="P57" s="15"/>
      <c r="Q57" s="11"/>
      <c r="R57" s="11"/>
    </row>
    <row r="58" spans="1:18" ht="26.25" customHeight="1" x14ac:dyDescent="0.2">
      <c r="A58" s="254" t="s">
        <v>88</v>
      </c>
      <c r="B58" s="255"/>
      <c r="C58" s="255"/>
      <c r="D58" s="255"/>
      <c r="E58" s="255"/>
      <c r="F58" s="255"/>
      <c r="G58" s="255"/>
      <c r="H58" s="255"/>
      <c r="I58" s="255"/>
      <c r="J58" s="255"/>
      <c r="K58" s="255"/>
      <c r="L58" s="255"/>
      <c r="M58" s="256"/>
      <c r="N58"/>
      <c r="O58" s="15"/>
      <c r="P58" s="15"/>
      <c r="Q58" s="11"/>
      <c r="R58" s="11"/>
    </row>
    <row r="59" spans="1:18" ht="12" customHeight="1" x14ac:dyDescent="0.2">
      <c r="A59" s="251"/>
      <c r="B59" s="252"/>
      <c r="C59" s="252"/>
      <c r="D59" s="252"/>
      <c r="E59" s="252"/>
      <c r="F59" s="252"/>
      <c r="G59" s="252"/>
      <c r="H59" s="252"/>
      <c r="I59" s="252"/>
      <c r="J59" s="252"/>
      <c r="K59" s="252"/>
      <c r="L59" s="252"/>
      <c r="M59" s="253"/>
      <c r="N59"/>
      <c r="O59" s="15"/>
      <c r="P59" s="15"/>
      <c r="Q59" s="11"/>
      <c r="R59" s="11"/>
    </row>
    <row r="60" spans="1:18" ht="12" customHeight="1" x14ac:dyDescent="0.2">
      <c r="A60" s="222" t="s">
        <v>42</v>
      </c>
      <c r="B60" s="223"/>
      <c r="C60" s="223"/>
      <c r="D60" s="223"/>
      <c r="E60" s="223"/>
      <c r="F60" s="223"/>
      <c r="G60" s="223"/>
      <c r="H60" s="223"/>
      <c r="I60" s="223"/>
      <c r="J60" s="223"/>
      <c r="K60" s="223"/>
      <c r="L60" s="223"/>
      <c r="M60" s="224"/>
      <c r="N60" s="72"/>
      <c r="O60" s="72"/>
      <c r="P60" s="72"/>
      <c r="Q60" s="72"/>
      <c r="R60" s="72"/>
    </row>
    <row r="61" spans="1:18" ht="12" customHeight="1" x14ac:dyDescent="0.2">
      <c r="A61" s="232"/>
      <c r="B61" s="233"/>
      <c r="C61" s="233"/>
      <c r="D61" s="233"/>
      <c r="E61" s="233"/>
      <c r="F61" s="233"/>
      <c r="G61" s="233"/>
      <c r="H61" s="233"/>
      <c r="I61" s="233"/>
      <c r="J61" s="233"/>
      <c r="K61" s="233"/>
      <c r="L61" s="233"/>
      <c r="M61" s="234"/>
    </row>
    <row r="62" spans="1:18" ht="12" customHeight="1" x14ac:dyDescent="0.2">
      <c r="A62" s="219" t="s">
        <v>63</v>
      </c>
      <c r="B62" s="220"/>
      <c r="C62" s="220"/>
      <c r="D62" s="220"/>
      <c r="E62" s="220"/>
      <c r="F62" s="220"/>
      <c r="G62" s="220"/>
      <c r="H62" s="220"/>
      <c r="I62" s="220"/>
      <c r="J62" s="220"/>
      <c r="K62" s="220"/>
      <c r="L62" s="220"/>
      <c r="M62" s="221"/>
    </row>
  </sheetData>
  <mergeCells count="22">
    <mergeCell ref="G2:G4"/>
    <mergeCell ref="H2:H4"/>
    <mergeCell ref="I2:I4"/>
    <mergeCell ref="A57:M57"/>
    <mergeCell ref="A59:M59"/>
    <mergeCell ref="A58:M58"/>
    <mergeCell ref="A62:M62"/>
    <mergeCell ref="A60:M60"/>
    <mergeCell ref="M2:M4"/>
    <mergeCell ref="L1:M1"/>
    <mergeCell ref="A1:K1"/>
    <mergeCell ref="B5:M5"/>
    <mergeCell ref="A61:M61"/>
    <mergeCell ref="A2:A4"/>
    <mergeCell ref="B2:B4"/>
    <mergeCell ref="C2:C4"/>
    <mergeCell ref="J2:J4"/>
    <mergeCell ref="K2:K4"/>
    <mergeCell ref="L2:L4"/>
    <mergeCell ref="D2:D4"/>
    <mergeCell ref="E2:E4"/>
    <mergeCell ref="F2:F4"/>
  </mergeCells>
  <phoneticPr fontId="5" type="noConversion"/>
  <printOptions horizontalCentered="1" verticalCentered="1"/>
  <pageMargins left="0.75" right="0.75" top="0.75" bottom="0.75" header="0.5" footer="0.5"/>
  <pageSetup scale="86" orientation="landscape" r:id="rId1"/>
  <headerFooter alignWithMargins="0"/>
  <rowBreaks count="1" manualBreakCount="1">
    <brk id="5" max="26"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R64"/>
  <sheetViews>
    <sheetView workbookViewId="0">
      <pane ySplit="5" topLeftCell="A6" activePane="bottomLeft" state="frozen"/>
      <selection pane="bottomLeft" sqref="A1:K1"/>
    </sheetView>
  </sheetViews>
  <sheetFormatPr defaultColWidth="12.7109375" defaultRowHeight="12" customHeight="1" x14ac:dyDescent="0.2"/>
  <cols>
    <col min="1" max="1" width="12.7109375" style="5" customWidth="1"/>
    <col min="2" max="2" width="12.7109375" style="12" customWidth="1"/>
    <col min="3" max="12" width="12.7109375" style="6" customWidth="1"/>
    <col min="13" max="13" width="13.7109375" style="6" customWidth="1"/>
    <col min="14" max="16" width="12.7109375" style="7" customWidth="1"/>
    <col min="17" max="16384" width="12.7109375" style="8"/>
  </cols>
  <sheetData>
    <row r="1" spans="1:18" s="55" customFormat="1" ht="12" customHeight="1" thickBot="1" x14ac:dyDescent="0.25">
      <c r="A1" s="228" t="s">
        <v>72</v>
      </c>
      <c r="B1" s="228"/>
      <c r="C1" s="228"/>
      <c r="D1" s="228"/>
      <c r="E1" s="228"/>
      <c r="F1" s="228"/>
      <c r="G1" s="228"/>
      <c r="H1" s="228"/>
      <c r="I1" s="228"/>
      <c r="J1" s="228"/>
      <c r="K1" s="228"/>
      <c r="L1" s="227" t="s">
        <v>32</v>
      </c>
      <c r="M1" s="227"/>
      <c r="N1" s="54"/>
      <c r="O1" s="54"/>
      <c r="P1" s="54"/>
    </row>
    <row r="2" spans="1:18" ht="12" customHeight="1" thickTop="1" x14ac:dyDescent="0.2">
      <c r="A2" s="235" t="s">
        <v>0</v>
      </c>
      <c r="B2" s="238" t="s">
        <v>5</v>
      </c>
      <c r="C2" s="241" t="s">
        <v>6</v>
      </c>
      <c r="D2" s="241" t="s">
        <v>7</v>
      </c>
      <c r="E2" s="241" t="s">
        <v>8</v>
      </c>
      <c r="F2" s="241" t="s">
        <v>9</v>
      </c>
      <c r="G2" s="241" t="s">
        <v>10</v>
      </c>
      <c r="H2" s="241" t="s">
        <v>11</v>
      </c>
      <c r="I2" s="241" t="s">
        <v>12</v>
      </c>
      <c r="J2" s="241" t="s">
        <v>15</v>
      </c>
      <c r="K2" s="241" t="s">
        <v>13</v>
      </c>
      <c r="L2" s="244" t="s">
        <v>14</v>
      </c>
      <c r="M2" s="225" t="s">
        <v>58</v>
      </c>
      <c r="N2" s="9"/>
      <c r="O2" s="9"/>
      <c r="P2" s="9"/>
      <c r="Q2" s="10"/>
    </row>
    <row r="3" spans="1:18" ht="12" customHeight="1" x14ac:dyDescent="0.2">
      <c r="A3" s="236"/>
      <c r="B3" s="239"/>
      <c r="C3" s="242"/>
      <c r="D3" s="242"/>
      <c r="E3" s="242"/>
      <c r="F3" s="242"/>
      <c r="G3" s="242"/>
      <c r="H3" s="242"/>
      <c r="I3" s="242"/>
      <c r="J3" s="242"/>
      <c r="K3" s="242"/>
      <c r="L3" s="245"/>
      <c r="M3" s="225"/>
      <c r="N3" s="9"/>
      <c r="O3" s="9"/>
      <c r="P3" s="9"/>
      <c r="Q3" s="10"/>
    </row>
    <row r="4" spans="1:18" ht="21" customHeight="1" x14ac:dyDescent="0.2">
      <c r="A4" s="237"/>
      <c r="B4" s="240"/>
      <c r="C4" s="243"/>
      <c r="D4" s="243"/>
      <c r="E4" s="243"/>
      <c r="F4" s="243"/>
      <c r="G4" s="243"/>
      <c r="H4" s="243"/>
      <c r="I4" s="243"/>
      <c r="J4" s="243"/>
      <c r="K4" s="243"/>
      <c r="L4" s="246"/>
      <c r="M4" s="226"/>
      <c r="N4" s="9"/>
      <c r="O4" s="9"/>
      <c r="P4" s="9"/>
      <c r="Q4" s="10"/>
      <c r="R4" s="11"/>
    </row>
    <row r="5" spans="1:18" ht="12" customHeight="1" x14ac:dyDescent="0.2">
      <c r="A5" s="77"/>
      <c r="B5" s="229" t="s">
        <v>64</v>
      </c>
      <c r="C5" s="230"/>
      <c r="D5" s="230"/>
      <c r="E5" s="230"/>
      <c r="F5" s="230"/>
      <c r="G5" s="230"/>
      <c r="H5" s="230"/>
      <c r="I5" s="230"/>
      <c r="J5" s="230"/>
      <c r="K5" s="230"/>
      <c r="L5" s="230"/>
      <c r="M5" s="231"/>
      <c r="N5" s="72"/>
      <c r="O5" s="72"/>
      <c r="P5" s="72"/>
      <c r="Q5" s="72"/>
      <c r="R5" s="72"/>
    </row>
    <row r="6" spans="1:18" ht="12" customHeight="1" x14ac:dyDescent="0.2">
      <c r="A6" s="37">
        <v>1970</v>
      </c>
      <c r="B6" s="71">
        <f>Asparagus!K8</f>
        <v>0.15345253886818955</v>
      </c>
      <c r="C6" s="64">
        <f>LimaBeans!K8</f>
        <v>0.67634876356566476</v>
      </c>
      <c r="D6" s="64">
        <f>SnapBeans!K8</f>
        <v>1.1802300168919531</v>
      </c>
      <c r="E6" s="64">
        <f>Broccoli!K8</f>
        <v>0.72557304004603129</v>
      </c>
      <c r="F6" s="64">
        <f>Carrots!K8</f>
        <v>0.76971207303513267</v>
      </c>
      <c r="G6" s="64">
        <f>Cauliflower!K8</f>
        <v>0.3476580867974271</v>
      </c>
      <c r="H6" s="64">
        <f>SweetCorn!K8</f>
        <v>1.5540110242306369</v>
      </c>
      <c r="I6" s="64">
        <f>GreenPeas!K8</f>
        <v>1.7606898818415631</v>
      </c>
      <c r="J6" s="65">
        <f>Potatoes!$K8</f>
        <v>12.837109611220567</v>
      </c>
      <c r="K6" s="64">
        <f>Spinach!K8</f>
        <v>0.50218904050127355</v>
      </c>
      <c r="L6" s="64">
        <f>MiscFrozen!K8</f>
        <v>1.0182782903848777</v>
      </c>
      <c r="M6" s="66">
        <f>SUM(B6:L6)</f>
        <v>21.52525236738332</v>
      </c>
      <c r="O6" s="13"/>
      <c r="P6" s="13"/>
      <c r="Q6" s="14"/>
      <c r="R6" s="14"/>
    </row>
    <row r="7" spans="1:18" ht="12" customHeight="1" x14ac:dyDescent="0.2">
      <c r="A7" s="105">
        <v>1971</v>
      </c>
      <c r="B7" s="106">
        <f>Asparagus!K9</f>
        <v>0.14060977586868345</v>
      </c>
      <c r="C7" s="107">
        <f>LimaBeans!K9</f>
        <v>0.59989713087791185</v>
      </c>
      <c r="D7" s="107">
        <f>SnapBeans!K9</f>
        <v>1.1778242064825508</v>
      </c>
      <c r="E7" s="107">
        <f>Broccoli!K9</f>
        <v>0.67705695006896172</v>
      </c>
      <c r="F7" s="107">
        <f>Carrots!K9</f>
        <v>0.73819349805692946</v>
      </c>
      <c r="G7" s="107">
        <f>Cauliflower!K9</f>
        <v>0.43279837166026675</v>
      </c>
      <c r="H7" s="107">
        <f>SweetCorn!K9</f>
        <v>1.477262573864863</v>
      </c>
      <c r="I7" s="107">
        <f>GreenPeas!K9</f>
        <v>1.8791435794992091</v>
      </c>
      <c r="J7" s="108">
        <f>Potatoes!$K9</f>
        <v>13.855976808355928</v>
      </c>
      <c r="K7" s="107">
        <f>Spinach!K9</f>
        <v>0.52898239913134382</v>
      </c>
      <c r="L7" s="107">
        <f>MiscFrozen!K9</f>
        <v>1.1843019793477507</v>
      </c>
      <c r="M7" s="109">
        <f t="shared" ref="M7:M41" si="0">SUM(B7:L7)</f>
        <v>22.692047273214399</v>
      </c>
      <c r="O7" s="15"/>
      <c r="P7" s="15"/>
      <c r="Q7" s="11"/>
      <c r="R7" s="11"/>
    </row>
    <row r="8" spans="1:18" ht="12" customHeight="1" x14ac:dyDescent="0.2">
      <c r="A8" s="105">
        <v>1972</v>
      </c>
      <c r="B8" s="106">
        <f>Asparagus!K10</f>
        <v>0.13016088920227159</v>
      </c>
      <c r="C8" s="107">
        <f>LimaBeans!K10</f>
        <v>0.62329734272029513</v>
      </c>
      <c r="D8" s="107">
        <f>SnapBeans!K10</f>
        <v>1.1448606832245576</v>
      </c>
      <c r="E8" s="107">
        <f>Broccoli!K10</f>
        <v>0.69736204481933195</v>
      </c>
      <c r="F8" s="107">
        <f>Carrots!K10</f>
        <v>0.79893375767046548</v>
      </c>
      <c r="G8" s="107">
        <f>Cauliflower!K10</f>
        <v>0.37577484260603539</v>
      </c>
      <c r="H8" s="107">
        <f>SweetCorn!K10</f>
        <v>1.4399250748633301</v>
      </c>
      <c r="I8" s="107">
        <f>GreenPeas!K10</f>
        <v>1.8320590747781429</v>
      </c>
      <c r="J8" s="108">
        <f>Potatoes!$K10</f>
        <v>14.253654190646797</v>
      </c>
      <c r="K8" s="107">
        <f>Spinach!K10</f>
        <v>0.53786427297594741</v>
      </c>
      <c r="L8" s="107">
        <f>MiscFrozen!K10</f>
        <v>1.113567353991183</v>
      </c>
      <c r="M8" s="109">
        <f t="shared" si="0"/>
        <v>22.94745952749836</v>
      </c>
      <c r="O8" s="15"/>
      <c r="P8" s="15"/>
      <c r="Q8" s="11"/>
      <c r="R8" s="11"/>
    </row>
    <row r="9" spans="1:18" ht="12" customHeight="1" x14ac:dyDescent="0.2">
      <c r="A9" s="105">
        <v>1973</v>
      </c>
      <c r="B9" s="106">
        <f>Asparagus!K11</f>
        <v>0.12887804041671977</v>
      </c>
      <c r="C9" s="107">
        <f>LimaBeans!K11</f>
        <v>0.64028382353701241</v>
      </c>
      <c r="D9" s="107">
        <f>SnapBeans!K11</f>
        <v>1.4255071592531203</v>
      </c>
      <c r="E9" s="107">
        <f>Broccoli!K11</f>
        <v>0.76050512106256996</v>
      </c>
      <c r="F9" s="107">
        <f>Carrots!K11</f>
        <v>0.97306427250884553</v>
      </c>
      <c r="G9" s="107">
        <f>Cauliflower!K11</f>
        <v>0.41598159943770557</v>
      </c>
      <c r="H9" s="107">
        <f>SweetCorn!K11</f>
        <v>1.6009021284378442</v>
      </c>
      <c r="I9" s="107">
        <f>GreenPeas!K11</f>
        <v>1.7715175559389542</v>
      </c>
      <c r="J9" s="108">
        <f>Potatoes!$K11</f>
        <v>16.415801122179801</v>
      </c>
      <c r="K9" s="107">
        <f>Spinach!K11</f>
        <v>0.44904015567838251</v>
      </c>
      <c r="L9" s="107">
        <f>MiscFrozen!K11</f>
        <v>1.2816822315239087</v>
      </c>
      <c r="M9" s="109">
        <f t="shared" si="0"/>
        <v>25.863163209974864</v>
      </c>
      <c r="O9" s="15"/>
      <c r="P9" s="15"/>
      <c r="Q9" s="11"/>
      <c r="R9" s="11"/>
    </row>
    <row r="10" spans="1:18" ht="12" customHeight="1" x14ac:dyDescent="0.2">
      <c r="A10" s="105">
        <v>1974</v>
      </c>
      <c r="B10" s="106">
        <f>Asparagus!K12</f>
        <v>9.5975915032374098E-2</v>
      </c>
      <c r="C10" s="107">
        <f>LimaBeans!K12</f>
        <v>0.59816955671136562</v>
      </c>
      <c r="D10" s="107">
        <f>SnapBeans!K12</f>
        <v>1.2469932361584244</v>
      </c>
      <c r="E10" s="107">
        <f>Broccoli!K12</f>
        <v>0.75072906531481565</v>
      </c>
      <c r="F10" s="107">
        <f>Carrots!K12</f>
        <v>0.97825490883839084</v>
      </c>
      <c r="G10" s="107">
        <f>Cauliflower!K12</f>
        <v>0.4595121133881222</v>
      </c>
      <c r="H10" s="107">
        <f>SweetCorn!K12</f>
        <v>1.5650899756059893</v>
      </c>
      <c r="I10" s="107">
        <f>GreenPeas!K12</f>
        <v>1.7811301940284561</v>
      </c>
      <c r="J10" s="108">
        <f>Potatoes!$K12</f>
        <v>17.308579685205792</v>
      </c>
      <c r="K10" s="107">
        <f>Spinach!K12</f>
        <v>0.61489712509567185</v>
      </c>
      <c r="L10" s="107">
        <f>MiscFrozen!K12</f>
        <v>0.92898270159392204</v>
      </c>
      <c r="M10" s="109">
        <f t="shared" si="0"/>
        <v>26.328314476973325</v>
      </c>
      <c r="O10" s="15"/>
      <c r="P10" s="15"/>
      <c r="Q10" s="11"/>
      <c r="R10" s="11"/>
    </row>
    <row r="11" spans="1:18" ht="12" customHeight="1" x14ac:dyDescent="0.2">
      <c r="A11" s="105">
        <v>1975</v>
      </c>
      <c r="B11" s="106">
        <f>Asparagus!K13</f>
        <v>0.10776617138870755</v>
      </c>
      <c r="C11" s="107">
        <f>LimaBeans!K13</f>
        <v>0.51163361910538641</v>
      </c>
      <c r="D11" s="107">
        <f>SnapBeans!K13</f>
        <v>0.96674395975579808</v>
      </c>
      <c r="E11" s="107">
        <f>Broccoli!K13</f>
        <v>0.76234058288196627</v>
      </c>
      <c r="F11" s="107">
        <f>Carrots!K13</f>
        <v>0.87728512869155439</v>
      </c>
      <c r="G11" s="107">
        <f>Cauliflower!K13</f>
        <v>0.41104710738414951</v>
      </c>
      <c r="H11" s="107">
        <f>SweetCorn!K13</f>
        <v>1.6829938481048869</v>
      </c>
      <c r="I11" s="107">
        <f>GreenPeas!K13</f>
        <v>1.73505892280028</v>
      </c>
      <c r="J11" s="108">
        <f>Potatoes!$K13</f>
        <v>18.56713570677816</v>
      </c>
      <c r="K11" s="107">
        <f>Spinach!K13</f>
        <v>0.50108669048536536</v>
      </c>
      <c r="L11" s="107">
        <f>MiscFrozen!K13</f>
        <v>1.0569222387366324</v>
      </c>
      <c r="M11" s="109">
        <f t="shared" si="0"/>
        <v>27.180013976112889</v>
      </c>
      <c r="O11" s="15"/>
      <c r="P11" s="15"/>
      <c r="Q11" s="11"/>
      <c r="R11" s="11"/>
    </row>
    <row r="12" spans="1:18" ht="12" customHeight="1" x14ac:dyDescent="0.2">
      <c r="A12" s="37">
        <v>1976</v>
      </c>
      <c r="B12" s="71">
        <f>Asparagus!K14</f>
        <v>0.13531543100878302</v>
      </c>
      <c r="C12" s="64">
        <f>LimaBeans!K14</f>
        <v>0.47687407111352798</v>
      </c>
      <c r="D12" s="64">
        <f>SnapBeans!K14</f>
        <v>1.274267815033584</v>
      </c>
      <c r="E12" s="64">
        <f>Broccoli!K14</f>
        <v>0.84245271720360826</v>
      </c>
      <c r="F12" s="64">
        <f>Carrots!K14</f>
        <v>0.89926695406549517</v>
      </c>
      <c r="G12" s="64">
        <f>Cauliflower!K14</f>
        <v>0.4278686250571499</v>
      </c>
      <c r="H12" s="64">
        <f>SweetCorn!K14</f>
        <v>1.540477634894968</v>
      </c>
      <c r="I12" s="64">
        <f>GreenPeas!K14</f>
        <v>1.7173678243308714</v>
      </c>
      <c r="J12" s="65">
        <f>Potatoes!$K14</f>
        <v>20.905359231316076</v>
      </c>
      <c r="K12" s="64">
        <f>Spinach!K14</f>
        <v>0.50376950771841522</v>
      </c>
      <c r="L12" s="64">
        <f>MiscFrozen!K14</f>
        <v>1.1646448200212502</v>
      </c>
      <c r="M12" s="66">
        <f t="shared" si="0"/>
        <v>29.887664631763734</v>
      </c>
      <c r="O12" s="15"/>
      <c r="P12" s="15"/>
      <c r="Q12" s="11"/>
      <c r="R12" s="11"/>
    </row>
    <row r="13" spans="1:18" ht="12" customHeight="1" x14ac:dyDescent="0.2">
      <c r="A13" s="37">
        <v>1977</v>
      </c>
      <c r="B13" s="71">
        <f>Asparagus!K15</f>
        <v>0.10729026194270772</v>
      </c>
      <c r="C13" s="64">
        <f>LimaBeans!K15</f>
        <v>0.39597675166307428</v>
      </c>
      <c r="D13" s="64">
        <f>SnapBeans!K15</f>
        <v>1.1540053444251361</v>
      </c>
      <c r="E13" s="64">
        <f>Broccoli!K15</f>
        <v>0.82245080165303686</v>
      </c>
      <c r="F13" s="64">
        <f>Carrots!K15</f>
        <v>0.9706329522438385</v>
      </c>
      <c r="G13" s="64">
        <f>Cauliflower!K15</f>
        <v>0.4654981141434496</v>
      </c>
      <c r="H13" s="64">
        <f>SweetCorn!K15</f>
        <v>1.9572984214568869</v>
      </c>
      <c r="I13" s="64">
        <f>GreenPeas!K15</f>
        <v>1.6095156591977584</v>
      </c>
      <c r="J13" s="65">
        <f>Potatoes!$K15</f>
        <v>21.104118707404229</v>
      </c>
      <c r="K13" s="64">
        <f>Spinach!K15</f>
        <v>0.54085128180996767</v>
      </c>
      <c r="L13" s="64">
        <f>MiscFrozen!K15</f>
        <v>1.0146552911458309</v>
      </c>
      <c r="M13" s="66">
        <f t="shared" si="0"/>
        <v>30.142293587085916</v>
      </c>
      <c r="O13" s="15"/>
      <c r="P13" s="15"/>
      <c r="Q13" s="11"/>
      <c r="R13" s="11"/>
    </row>
    <row r="14" spans="1:18" ht="12" customHeight="1" x14ac:dyDescent="0.2">
      <c r="A14" s="37">
        <v>1978</v>
      </c>
      <c r="B14" s="71">
        <f>Asparagus!K16</f>
        <v>9.3065645333992253E-2</v>
      </c>
      <c r="C14" s="64">
        <f>LimaBeans!K16</f>
        <v>0.45485887146376386</v>
      </c>
      <c r="D14" s="64">
        <f>SnapBeans!K16</f>
        <v>1.1619630360216606</v>
      </c>
      <c r="E14" s="64">
        <f>Broccoli!K16</f>
        <v>1.0656751682237466</v>
      </c>
      <c r="F14" s="64">
        <f>Carrots!K16</f>
        <v>0.97356866015131394</v>
      </c>
      <c r="G14" s="64">
        <f>Cauliflower!K16</f>
        <v>0.53415894705739042</v>
      </c>
      <c r="H14" s="64">
        <f>SweetCorn!K16</f>
        <v>1.7094509259201915</v>
      </c>
      <c r="I14" s="64">
        <f>GreenPeas!K16</f>
        <v>1.6309405684211351</v>
      </c>
      <c r="J14" s="65">
        <f>Potatoes!$K16</f>
        <v>21.282620122649771</v>
      </c>
      <c r="K14" s="64">
        <f>Spinach!K16</f>
        <v>0.52847016534569913</v>
      </c>
      <c r="L14" s="64">
        <f>MiscFrozen!K16</f>
        <v>1.0096517435286898</v>
      </c>
      <c r="M14" s="66">
        <f t="shared" si="0"/>
        <v>30.444423854117353</v>
      </c>
      <c r="O14" s="15"/>
      <c r="P14" s="15"/>
      <c r="Q14" s="11"/>
      <c r="R14" s="11"/>
    </row>
    <row r="15" spans="1:18" ht="12" customHeight="1" x14ac:dyDescent="0.2">
      <c r="A15" s="37">
        <v>1979</v>
      </c>
      <c r="B15" s="71">
        <f>Asparagus!K17</f>
        <v>8.711705356764643E-2</v>
      </c>
      <c r="C15" s="64">
        <f>LimaBeans!K17</f>
        <v>0.49786348522213081</v>
      </c>
      <c r="D15" s="64">
        <f>SnapBeans!K17</f>
        <v>1.1895217327289866</v>
      </c>
      <c r="E15" s="64">
        <f>Broccoli!K17</f>
        <v>1.0471384860988535</v>
      </c>
      <c r="F15" s="64">
        <f>Carrots!K17</f>
        <v>1.0335265543148058</v>
      </c>
      <c r="G15" s="64">
        <f>Cauliflower!K17</f>
        <v>0.47195708026616034</v>
      </c>
      <c r="H15" s="64">
        <f>SweetCorn!K17</f>
        <v>1.8508871864955536</v>
      </c>
      <c r="I15" s="64">
        <f>GreenPeas!K17</f>
        <v>1.7290827461340232</v>
      </c>
      <c r="J15" s="65">
        <f>Potatoes!$K17</f>
        <v>19.251938415054095</v>
      </c>
      <c r="K15" s="64">
        <f>Spinach!K17</f>
        <v>0.52528555250383213</v>
      </c>
      <c r="L15" s="64">
        <f>MiscFrozen!K17</f>
        <v>0.94317685306554688</v>
      </c>
      <c r="M15" s="66">
        <f t="shared" si="0"/>
        <v>28.627495145451636</v>
      </c>
      <c r="O15" s="15"/>
      <c r="P15" s="15"/>
      <c r="Q15" s="11"/>
      <c r="R15" s="11"/>
    </row>
    <row r="16" spans="1:18" ht="12" customHeight="1" x14ac:dyDescent="0.2">
      <c r="A16" s="37">
        <v>1980</v>
      </c>
      <c r="B16" s="71">
        <f>Asparagus!K18</f>
        <v>6.6234800699085758E-2</v>
      </c>
      <c r="C16" s="64">
        <f>LimaBeans!K18</f>
        <v>0.47002182656433816</v>
      </c>
      <c r="D16" s="64">
        <f>SnapBeans!K18</f>
        <v>1.1553904283128238</v>
      </c>
      <c r="E16" s="64">
        <f>Broccoli!K18</f>
        <v>1.0942644224532725</v>
      </c>
      <c r="F16" s="64">
        <f>Carrots!K18</f>
        <v>0.92674510615369354</v>
      </c>
      <c r="G16" s="64">
        <f>Cauliflower!K18</f>
        <v>0.54685145177227756</v>
      </c>
      <c r="H16" s="64">
        <f>SweetCorn!K18</f>
        <v>1.7275229876776996</v>
      </c>
      <c r="I16" s="64">
        <f>GreenPeas!K18</f>
        <v>1.6345286831502885</v>
      </c>
      <c r="J16" s="65">
        <f>Potatoes!$K18</f>
        <v>17.702374783731326</v>
      </c>
      <c r="K16" s="64">
        <f>Spinach!K18</f>
        <v>0.56122343360112936</v>
      </c>
      <c r="L16" s="64">
        <f>MiscFrozen!K18</f>
        <v>0.84604597923235236</v>
      </c>
      <c r="M16" s="66">
        <f t="shared" si="0"/>
        <v>26.731203903348288</v>
      </c>
      <c r="O16" s="15"/>
      <c r="P16" s="15"/>
      <c r="Q16" s="11"/>
      <c r="R16" s="11"/>
    </row>
    <row r="17" spans="1:18" ht="12" customHeight="1" x14ac:dyDescent="0.2">
      <c r="A17" s="105">
        <v>1981</v>
      </c>
      <c r="B17" s="106">
        <f>Asparagus!K19</f>
        <v>5.6102328952975657E-2</v>
      </c>
      <c r="C17" s="107">
        <f>LimaBeans!K19</f>
        <v>0.49749797382056066</v>
      </c>
      <c r="D17" s="107">
        <f>SnapBeans!K19</f>
        <v>1.4146387446810489</v>
      </c>
      <c r="E17" s="107">
        <f>Broccoli!K19</f>
        <v>1.1759805312092881</v>
      </c>
      <c r="F17" s="107">
        <f>Carrots!K19</f>
        <v>1.0362258042349883</v>
      </c>
      <c r="G17" s="107">
        <f>Cauliflower!K19</f>
        <v>0.63617619606765841</v>
      </c>
      <c r="H17" s="107">
        <f>SweetCorn!K19</f>
        <v>1.696087322967367</v>
      </c>
      <c r="I17" s="107">
        <f>GreenPeas!K19</f>
        <v>1.5660378355093096</v>
      </c>
      <c r="J17" s="108">
        <f>Potatoes!$K19</f>
        <v>20.742757625040223</v>
      </c>
      <c r="K17" s="107">
        <f>Spinach!K19</f>
        <v>0.52418654407254062</v>
      </c>
      <c r="L17" s="107">
        <f>MiscFrozen!K19</f>
        <v>0.91259867400688199</v>
      </c>
      <c r="M17" s="109">
        <f t="shared" si="0"/>
        <v>30.258289580562845</v>
      </c>
      <c r="O17" s="15"/>
      <c r="P17" s="15"/>
      <c r="Q17" s="11"/>
      <c r="R17" s="11"/>
    </row>
    <row r="18" spans="1:18" ht="12" customHeight="1" x14ac:dyDescent="0.2">
      <c r="A18" s="105">
        <v>1982</v>
      </c>
      <c r="B18" s="106">
        <f>Asparagus!K20</f>
        <v>3.045953874733693E-2</v>
      </c>
      <c r="C18" s="107">
        <f>LimaBeans!K20</f>
        <v>0.3287401752438705</v>
      </c>
      <c r="D18" s="107">
        <f>SnapBeans!K20</f>
        <v>1.3008963659781247</v>
      </c>
      <c r="E18" s="107">
        <f>Broccoli!K20</f>
        <v>1.1402447373078286</v>
      </c>
      <c r="F18" s="107">
        <f>Carrots!K20</f>
        <v>0.95910343209945259</v>
      </c>
      <c r="G18" s="107">
        <f>Cauliflower!K20</f>
        <v>0.62562920739053884</v>
      </c>
      <c r="H18" s="107">
        <f>SweetCorn!K20</f>
        <v>1.5562823631735516</v>
      </c>
      <c r="I18" s="107">
        <f>GreenPeas!K20</f>
        <v>1.5197773142706408</v>
      </c>
      <c r="J18" s="108">
        <f>Potatoes!$K20</f>
        <v>19.313762985167195</v>
      </c>
      <c r="K18" s="107">
        <f>Spinach!K20</f>
        <v>0.49964225484694408</v>
      </c>
      <c r="L18" s="107">
        <f>MiscFrozen!K20</f>
        <v>1.0014873005208422</v>
      </c>
      <c r="M18" s="109">
        <f t="shared" si="0"/>
        <v>28.276025674746325</v>
      </c>
      <c r="O18" s="15"/>
      <c r="P18" s="15"/>
      <c r="Q18" s="11"/>
      <c r="R18" s="11"/>
    </row>
    <row r="19" spans="1:18" ht="12" customHeight="1" x14ac:dyDescent="0.2">
      <c r="A19" s="105">
        <v>1983</v>
      </c>
      <c r="B19" s="106">
        <f>Asparagus!K21</f>
        <v>5.7366318784045439E-2</v>
      </c>
      <c r="C19" s="107">
        <f>LimaBeans!K21</f>
        <v>0.2958267815911847</v>
      </c>
      <c r="D19" s="107">
        <f>SnapBeans!K21</f>
        <v>1.2576217367436162</v>
      </c>
      <c r="E19" s="107">
        <f>Broccoli!K21</f>
        <v>1.1790692911080509</v>
      </c>
      <c r="F19" s="107">
        <f>Carrots!K21</f>
        <v>0.98888764186856004</v>
      </c>
      <c r="G19" s="107">
        <f>Cauliflower!K21</f>
        <v>0.5929289589914325</v>
      </c>
      <c r="H19" s="107">
        <f>SweetCorn!K21</f>
        <v>1.7970161885325089</v>
      </c>
      <c r="I19" s="107">
        <f>GreenPeas!K21</f>
        <v>1.6803237248958605</v>
      </c>
      <c r="J19" s="108">
        <f>Potatoes!$K21</f>
        <v>19.593938721421043</v>
      </c>
      <c r="K19" s="107">
        <f>Spinach!K21</f>
        <v>0.35751483238471937</v>
      </c>
      <c r="L19" s="107">
        <f>MiscFrozen!K21</f>
        <v>1.0604321111476256</v>
      </c>
      <c r="M19" s="109">
        <f t="shared" si="0"/>
        <v>28.860926307468649</v>
      </c>
      <c r="O19" s="15"/>
      <c r="P19" s="15"/>
      <c r="Q19" s="11"/>
      <c r="R19" s="11"/>
    </row>
    <row r="20" spans="1:18" ht="12" customHeight="1" x14ac:dyDescent="0.2">
      <c r="A20" s="105">
        <v>1984</v>
      </c>
      <c r="B20" s="106">
        <f>Asparagus!K22</f>
        <v>4.5806505435487789E-2</v>
      </c>
      <c r="C20" s="107">
        <f>LimaBeans!K22</f>
        <v>0.44665775325649743</v>
      </c>
      <c r="D20" s="107">
        <f>SnapBeans!K22</f>
        <v>1.5397084678065927</v>
      </c>
      <c r="E20" s="107">
        <f>Broccoli!K22</f>
        <v>1.3107142095456665</v>
      </c>
      <c r="F20" s="107">
        <f>Carrots!K22</f>
        <v>1.1426157405814521</v>
      </c>
      <c r="G20" s="107">
        <f>Cauliflower!K22</f>
        <v>0.66419071391823425</v>
      </c>
      <c r="H20" s="107">
        <f>SweetCorn!K22</f>
        <v>2.1583879481195614</v>
      </c>
      <c r="I20" s="107">
        <f>GreenPeas!K22</f>
        <v>1.8201702807072078</v>
      </c>
      <c r="J20" s="108">
        <f>Potatoes!$K22</f>
        <v>21.844589334371353</v>
      </c>
      <c r="K20" s="107">
        <f>Spinach!K22</f>
        <v>0.34749143988713449</v>
      </c>
      <c r="L20" s="107">
        <f>MiscFrozen!K22</f>
        <v>0.92631768973434647</v>
      </c>
      <c r="M20" s="109">
        <f t="shared" si="0"/>
        <v>32.246650083363534</v>
      </c>
      <c r="O20" s="15"/>
      <c r="P20" s="15"/>
      <c r="Q20" s="11"/>
      <c r="R20" s="11"/>
    </row>
    <row r="21" spans="1:18" ht="12" customHeight="1" x14ac:dyDescent="0.2">
      <c r="A21" s="105">
        <v>1985</v>
      </c>
      <c r="B21" s="106">
        <f>Asparagus!K23</f>
        <v>5.5649442687846488E-2</v>
      </c>
      <c r="C21" s="107">
        <f>LimaBeans!K23</f>
        <v>0.34586541837051343</v>
      </c>
      <c r="D21" s="107">
        <f>SnapBeans!K23</f>
        <v>1.5874509061946367</v>
      </c>
      <c r="E21" s="107">
        <f>Broccoli!K23</f>
        <v>1.4744987069639155</v>
      </c>
      <c r="F21" s="107">
        <f>Carrots!K23</f>
        <v>0.97256244883160226</v>
      </c>
      <c r="G21" s="107">
        <f>Cauliflower!K23</f>
        <v>0.64903589193844413</v>
      </c>
      <c r="H21" s="107">
        <f>SweetCorn!K23</f>
        <v>2.1359547581489888</v>
      </c>
      <c r="I21" s="107">
        <f>GreenPeas!K23</f>
        <v>1.9187395975977033</v>
      </c>
      <c r="J21" s="108">
        <f>Potatoes!$K23</f>
        <v>22.70566034570966</v>
      </c>
      <c r="K21" s="107">
        <f>Spinach!K23</f>
        <v>0.4306511494156966</v>
      </c>
      <c r="L21" s="107">
        <f>MiscFrozen!K23</f>
        <v>1.0145401580658597</v>
      </c>
      <c r="M21" s="109">
        <f t="shared" si="0"/>
        <v>33.29060882392487</v>
      </c>
      <c r="O21" s="15"/>
      <c r="P21" s="15"/>
      <c r="Q21" s="11"/>
      <c r="R21" s="11"/>
    </row>
    <row r="22" spans="1:18" ht="12" customHeight="1" x14ac:dyDescent="0.2">
      <c r="A22" s="37">
        <v>1986</v>
      </c>
      <c r="B22" s="71">
        <f>Asparagus!K24</f>
        <v>4.9400549620266153E-2</v>
      </c>
      <c r="C22" s="64">
        <f>LimaBeans!K24</f>
        <v>0.43621755353682501</v>
      </c>
      <c r="D22" s="64">
        <f>SnapBeans!K24</f>
        <v>1.2886655117485346</v>
      </c>
      <c r="E22" s="64">
        <f>Broccoli!K24</f>
        <v>1.3419465202122949</v>
      </c>
      <c r="F22" s="64">
        <f>Carrots!K24</f>
        <v>0.98245414076223014</v>
      </c>
      <c r="G22" s="64">
        <f>Cauliflower!K24</f>
        <v>0.64743651493342969</v>
      </c>
      <c r="H22" s="64">
        <f>SweetCorn!K24</f>
        <v>2.0432683310708892</v>
      </c>
      <c r="I22" s="64">
        <f>GreenPeas!K24</f>
        <v>1.7476351893958584</v>
      </c>
      <c r="J22" s="65">
        <f>Potatoes!$K24</f>
        <v>23.139729317559453</v>
      </c>
      <c r="K22" s="64">
        <f>Spinach!K24</f>
        <v>0.38637715655811877</v>
      </c>
      <c r="L22" s="64">
        <f>MiscFrozen!K24</f>
        <v>1.1103215860312237</v>
      </c>
      <c r="M22" s="66">
        <f t="shared" si="0"/>
        <v>33.173452371429129</v>
      </c>
      <c r="O22" s="15"/>
      <c r="P22" s="15"/>
      <c r="Q22" s="11"/>
      <c r="R22" s="11"/>
    </row>
    <row r="23" spans="1:18" ht="12" customHeight="1" x14ac:dyDescent="0.2">
      <c r="A23" s="37">
        <v>1987</v>
      </c>
      <c r="B23" s="71">
        <f>Asparagus!K25</f>
        <v>6.0777588782172723E-2</v>
      </c>
      <c r="C23" s="64">
        <f>LimaBeans!K25</f>
        <v>0.36844140796299735</v>
      </c>
      <c r="D23" s="64">
        <f>SnapBeans!K25</f>
        <v>1.4195833201865549</v>
      </c>
      <c r="E23" s="64">
        <f>Broccoli!K25</f>
        <v>1.6661231008692547</v>
      </c>
      <c r="F23" s="64">
        <f>Carrots!K25</f>
        <v>1.1556827548326865</v>
      </c>
      <c r="G23" s="64">
        <f>Cauliflower!K25</f>
        <v>0.66107020275814876</v>
      </c>
      <c r="H23" s="64">
        <f>SweetCorn!K25</f>
        <v>2.1197166260674272</v>
      </c>
      <c r="I23" s="64">
        <f>GreenPeas!K25</f>
        <v>1.5765111029260728</v>
      </c>
      <c r="J23" s="65">
        <f>Potatoes!$K25</f>
        <v>23.928950923378533</v>
      </c>
      <c r="K23" s="64">
        <f>Spinach!K25</f>
        <v>0.31147434344165659</v>
      </c>
      <c r="L23" s="64">
        <f>MiscFrozen!K25</f>
        <v>1.1087132007709923</v>
      </c>
      <c r="M23" s="66">
        <f t="shared" si="0"/>
        <v>34.377044571976498</v>
      </c>
      <c r="O23" s="15"/>
      <c r="P23" s="15"/>
      <c r="Q23" s="11"/>
      <c r="R23" s="11"/>
    </row>
    <row r="24" spans="1:18" ht="12" customHeight="1" x14ac:dyDescent="0.2">
      <c r="A24" s="37">
        <v>1988</v>
      </c>
      <c r="B24" s="71">
        <f>Asparagus!K26</f>
        <v>6.4641568137697031E-2</v>
      </c>
      <c r="C24" s="64">
        <f>LimaBeans!K26</f>
        <v>0.29843894818733713</v>
      </c>
      <c r="D24" s="64">
        <f>SnapBeans!K26</f>
        <v>1.4573085018862793</v>
      </c>
      <c r="E24" s="64">
        <f>Broccoli!K26</f>
        <v>1.8162015451614042</v>
      </c>
      <c r="F24" s="64">
        <f>Carrots!K26</f>
        <v>1.2564520708720592</v>
      </c>
      <c r="G24" s="64">
        <f>Cauliflower!K26</f>
        <v>0.66008328157286833</v>
      </c>
      <c r="H24" s="64">
        <f>SweetCorn!K26</f>
        <v>2.3542383625805048</v>
      </c>
      <c r="I24" s="64">
        <f>GreenPeas!K26</f>
        <v>1.7488987369702709</v>
      </c>
      <c r="J24" s="65">
        <f>Potatoes!$K26</f>
        <v>21.654245962590966</v>
      </c>
      <c r="K24" s="64">
        <f>Spinach!K26</f>
        <v>0.40857764411287084</v>
      </c>
      <c r="L24" s="64">
        <f>MiscFrozen!K26</f>
        <v>1.3081871893973711</v>
      </c>
      <c r="M24" s="66">
        <f t="shared" si="0"/>
        <v>33.027273811469627</v>
      </c>
      <c r="O24" s="15"/>
      <c r="P24" s="15"/>
      <c r="Q24" s="11"/>
      <c r="R24" s="11"/>
    </row>
    <row r="25" spans="1:18" ht="12" customHeight="1" x14ac:dyDescent="0.2">
      <c r="A25" s="37">
        <v>1989</v>
      </c>
      <c r="B25" s="71">
        <f>Asparagus!K27</f>
        <v>4.0492263748170575E-2</v>
      </c>
      <c r="C25" s="64">
        <f>LimaBeans!K27</f>
        <v>0.24174048764560035</v>
      </c>
      <c r="D25" s="64">
        <f>SnapBeans!K27</f>
        <v>1.7056115868565438</v>
      </c>
      <c r="E25" s="64">
        <f>Broccoli!K27</f>
        <v>1.630569295456056</v>
      </c>
      <c r="F25" s="64">
        <f>Carrots!K27</f>
        <v>1.3581763951697081</v>
      </c>
      <c r="G25" s="64">
        <f>Cauliflower!K27</f>
        <v>0.52519223545575722</v>
      </c>
      <c r="H25" s="64">
        <f>SweetCorn!K27</f>
        <v>2.2607833512936564</v>
      </c>
      <c r="I25" s="64">
        <f>GreenPeas!K27</f>
        <v>1.8140349457820875</v>
      </c>
      <c r="J25" s="65">
        <f>Potatoes!$K27</f>
        <v>23.412663437669302</v>
      </c>
      <c r="K25" s="64">
        <f>Spinach!K27</f>
        <v>0.30583059170697263</v>
      </c>
      <c r="L25" s="64">
        <f>MiscFrozen!K27</f>
        <v>1.3940212337573084</v>
      </c>
      <c r="M25" s="66">
        <f t="shared" si="0"/>
        <v>34.689115824541162</v>
      </c>
      <c r="O25" s="15"/>
      <c r="P25" s="15"/>
      <c r="Q25" s="11"/>
      <c r="R25" s="11"/>
    </row>
    <row r="26" spans="1:18" ht="12" customHeight="1" x14ac:dyDescent="0.2">
      <c r="A26" s="37">
        <v>1990</v>
      </c>
      <c r="B26" s="71">
        <f>Asparagus!K28</f>
        <v>6.2829825851950169E-2</v>
      </c>
      <c r="C26" s="64">
        <f>LimaBeans!K28</f>
        <v>0.20881244379158276</v>
      </c>
      <c r="D26" s="64">
        <f>SnapBeans!K28</f>
        <v>1.6448873849522712</v>
      </c>
      <c r="E26" s="64">
        <f>Broccoli!K28</f>
        <v>1.6787693691715733</v>
      </c>
      <c r="F26" s="64">
        <f>Carrots!K28</f>
        <v>1.2527451439705768</v>
      </c>
      <c r="G26" s="64">
        <f>Cauliflower!K28</f>
        <v>0.52991304507304071</v>
      </c>
      <c r="H26" s="64">
        <f>SweetCorn!K28</f>
        <v>2.3240611493347729</v>
      </c>
      <c r="I26" s="64">
        <f>GreenPeas!K28</f>
        <v>2.0308949091760278</v>
      </c>
      <c r="J26" s="65">
        <f>Potatoes!$K28</f>
        <v>23.208807634153171</v>
      </c>
      <c r="K26" s="64">
        <f>Spinach!K28</f>
        <v>0.14372573971292804</v>
      </c>
      <c r="L26" s="64">
        <f>MiscFrozen!K28</f>
        <v>1.1108801219622704</v>
      </c>
      <c r="M26" s="66">
        <f t="shared" si="0"/>
        <v>34.196326767150161</v>
      </c>
      <c r="O26" s="15"/>
      <c r="P26" s="15"/>
      <c r="Q26" s="11"/>
      <c r="R26" s="11"/>
    </row>
    <row r="27" spans="1:18" ht="12" customHeight="1" x14ac:dyDescent="0.2">
      <c r="A27" s="105">
        <v>1991</v>
      </c>
      <c r="B27" s="106">
        <f>Asparagus!K29</f>
        <v>4.6475548963219239E-2</v>
      </c>
      <c r="C27" s="107">
        <f>LimaBeans!K29</f>
        <v>0.30296225461659226</v>
      </c>
      <c r="D27" s="107">
        <f>SnapBeans!K29</f>
        <v>1.5404454619714365</v>
      </c>
      <c r="E27" s="107">
        <f>Broccoli!K29</f>
        <v>1.6933158675111641</v>
      </c>
      <c r="F27" s="107">
        <f>Carrots!K29</f>
        <v>1.3284715623636223</v>
      </c>
      <c r="G27" s="107">
        <f>Cauliflower!K29</f>
        <v>0.4068721115290449</v>
      </c>
      <c r="H27" s="107">
        <f>SweetCorn!K29</f>
        <v>2.5279100529776337</v>
      </c>
      <c r="I27" s="107">
        <f>GreenPeas!K29</f>
        <v>2.0612610578212225</v>
      </c>
      <c r="J27" s="108">
        <f>Potatoes!$K29</f>
        <v>25.53434733950839</v>
      </c>
      <c r="K27" s="107">
        <f>Spinach!K29</f>
        <v>0.45961231321293577</v>
      </c>
      <c r="L27" s="107">
        <f>MiscFrozen!K29</f>
        <v>1.1016740764702251</v>
      </c>
      <c r="M27" s="109">
        <f t="shared" si="0"/>
        <v>37.003347646945485</v>
      </c>
      <c r="O27" s="15"/>
      <c r="P27" s="15"/>
      <c r="Q27" s="11"/>
      <c r="R27" s="11"/>
    </row>
    <row r="28" spans="1:18" ht="12" customHeight="1" x14ac:dyDescent="0.2">
      <c r="A28" s="105">
        <v>1992</v>
      </c>
      <c r="B28" s="106">
        <f>Asparagus!K30</f>
        <v>5.5283046704088068E-2</v>
      </c>
      <c r="C28" s="107">
        <f>LimaBeans!K30</f>
        <v>0.36959368863273978</v>
      </c>
      <c r="D28" s="107">
        <f>SnapBeans!K30</f>
        <v>1.4716224049673992</v>
      </c>
      <c r="E28" s="107">
        <f>Broccoli!K30</f>
        <v>1.7917022050755431</v>
      </c>
      <c r="F28" s="107">
        <f>Carrots!K30</f>
        <v>1.2674659416116982</v>
      </c>
      <c r="G28" s="107">
        <f>Cauliflower!K30</f>
        <v>0.45881921407980797</v>
      </c>
      <c r="H28" s="107">
        <f>SweetCorn!K30</f>
        <v>2.416565704247772</v>
      </c>
      <c r="I28" s="107">
        <f>GreenPeas!K30</f>
        <v>1.8253422874304419</v>
      </c>
      <c r="J28" s="108">
        <f>Potatoes!$K30</f>
        <v>24.938701364290328</v>
      </c>
      <c r="K28" s="107">
        <f>Spinach!K30</f>
        <v>0.32186035496341697</v>
      </c>
      <c r="L28" s="107">
        <f>MiscFrozen!K30</f>
        <v>1.0730755356943591</v>
      </c>
      <c r="M28" s="109">
        <f t="shared" si="0"/>
        <v>35.990031747697593</v>
      </c>
      <c r="O28" s="15"/>
      <c r="P28" s="15"/>
      <c r="Q28" s="11"/>
      <c r="R28" s="11"/>
    </row>
    <row r="29" spans="1:18" ht="12" customHeight="1" x14ac:dyDescent="0.2">
      <c r="A29" s="105">
        <v>1993</v>
      </c>
      <c r="B29" s="106">
        <f>Asparagus!K31</f>
        <v>3.2689601864837679E-2</v>
      </c>
      <c r="C29" s="107">
        <f>LimaBeans!K31</f>
        <v>0.34631891743537235</v>
      </c>
      <c r="D29" s="107">
        <f>SnapBeans!K31</f>
        <v>1.472261711183523</v>
      </c>
      <c r="E29" s="107">
        <f>Broccoli!K31</f>
        <v>1.7078004688576836</v>
      </c>
      <c r="F29" s="107">
        <f>Carrots!K31</f>
        <v>1.5308316589752107</v>
      </c>
      <c r="G29" s="107">
        <f>Cauliflower!K31</f>
        <v>0.4809492538584737</v>
      </c>
      <c r="H29" s="107">
        <f>SweetCorn!K31</f>
        <v>2.6260442931075398</v>
      </c>
      <c r="I29" s="107">
        <f>GreenPeas!K31</f>
        <v>1.7065841089164668</v>
      </c>
      <c r="J29" s="108">
        <f>Potatoes!$K31</f>
        <v>26.739818334779351</v>
      </c>
      <c r="K29" s="107">
        <f>Spinach!K31</f>
        <v>0.39098271246342176</v>
      </c>
      <c r="L29" s="107">
        <f>MiscFrozen!K31</f>
        <v>1.2616387261211763</v>
      </c>
      <c r="M29" s="109">
        <f t="shared" si="0"/>
        <v>38.295919787563058</v>
      </c>
      <c r="O29" s="15"/>
      <c r="P29" s="15"/>
      <c r="Q29" s="11"/>
      <c r="R29" s="11"/>
    </row>
    <row r="30" spans="1:18" ht="12" customHeight="1" x14ac:dyDescent="0.2">
      <c r="A30" s="105">
        <v>1994</v>
      </c>
      <c r="B30" s="106">
        <f>Asparagus!K32</f>
        <v>6.7029635281434588E-2</v>
      </c>
      <c r="C30" s="107">
        <f>LimaBeans!K32</f>
        <v>0.34358883281671732</v>
      </c>
      <c r="D30" s="107">
        <f>SnapBeans!K32</f>
        <v>1.6397185524236293</v>
      </c>
      <c r="E30" s="107">
        <f>Broccoli!K32</f>
        <v>1.7360832554442183</v>
      </c>
      <c r="F30" s="107">
        <f>Carrots!K32</f>
        <v>1.5305550369095213</v>
      </c>
      <c r="G30" s="107">
        <f>Cauliflower!K32</f>
        <v>0.41065480322073961</v>
      </c>
      <c r="H30" s="107">
        <f>SweetCorn!K32</f>
        <v>2.4601518635225221</v>
      </c>
      <c r="I30" s="107">
        <f>GreenPeas!K32</f>
        <v>1.9579921285130828</v>
      </c>
      <c r="J30" s="108">
        <f>Potatoes!$K32</f>
        <v>27.847680835405946</v>
      </c>
      <c r="K30" s="107">
        <f>Spinach!K32</f>
        <v>0.32944688607904338</v>
      </c>
      <c r="L30" s="107">
        <f>MiscFrozen!K32</f>
        <v>1.350284456186702</v>
      </c>
      <c r="M30" s="109">
        <f t="shared" si="0"/>
        <v>39.673186285803553</v>
      </c>
      <c r="O30" s="15"/>
      <c r="P30" s="15"/>
      <c r="Q30" s="11"/>
      <c r="R30" s="11"/>
    </row>
    <row r="31" spans="1:18" ht="12" customHeight="1" x14ac:dyDescent="0.2">
      <c r="A31" s="105">
        <v>1995</v>
      </c>
      <c r="B31" s="106">
        <f>Asparagus!K33</f>
        <v>4.280268885579195E-2</v>
      </c>
      <c r="C31" s="107">
        <f>LimaBeans!K33</f>
        <v>0.44278398312734674</v>
      </c>
      <c r="D31" s="107">
        <f>SnapBeans!K33</f>
        <v>1.4119805546726005</v>
      </c>
      <c r="E31" s="107">
        <f>Broccoli!K33</f>
        <v>1.9172009742672089</v>
      </c>
      <c r="F31" s="107">
        <f>Carrots!K33</f>
        <v>1.4190545064954658</v>
      </c>
      <c r="G31" s="107">
        <f>Cauliflower!K33</f>
        <v>0.42429235815187033</v>
      </c>
      <c r="H31" s="107">
        <f>SweetCorn!K33</f>
        <v>2.7946167622989004</v>
      </c>
      <c r="I31" s="107">
        <f>GreenPeas!K33</f>
        <v>1.904511851313073</v>
      </c>
      <c r="J31" s="108">
        <f>Potatoes!$K33</f>
        <v>28.072313370063441</v>
      </c>
      <c r="K31" s="107">
        <f>Spinach!K33</f>
        <v>0.37562136774902521</v>
      </c>
      <c r="L31" s="107">
        <f>MiscFrozen!K33</f>
        <v>1.1932664195650453</v>
      </c>
      <c r="M31" s="109">
        <f t="shared" si="0"/>
        <v>39.99844483655977</v>
      </c>
      <c r="O31" s="15"/>
      <c r="P31" s="15"/>
      <c r="Q31" s="11"/>
      <c r="R31" s="11"/>
    </row>
    <row r="32" spans="1:18" ht="12" customHeight="1" x14ac:dyDescent="0.2">
      <c r="A32" s="37">
        <v>1996</v>
      </c>
      <c r="B32" s="71">
        <f>Asparagus!K34</f>
        <v>4.709671833332716E-2</v>
      </c>
      <c r="C32" s="64">
        <f>LimaBeans!K34</f>
        <v>0.46358157353504942</v>
      </c>
      <c r="D32" s="64">
        <f>SnapBeans!K34</f>
        <v>1.6162561062598673</v>
      </c>
      <c r="E32" s="64">
        <f>Broccoli!K34</f>
        <v>1.89390570205063</v>
      </c>
      <c r="F32" s="64">
        <f>Carrots!K34</f>
        <v>1.5574506322144075</v>
      </c>
      <c r="G32" s="64">
        <f>Cauliflower!K34</f>
        <v>0.33510264384349098</v>
      </c>
      <c r="H32" s="64">
        <f>SweetCorn!K34</f>
        <v>2.797405892873484</v>
      </c>
      <c r="I32" s="64">
        <f>GreenPeas!K34</f>
        <v>1.7552242472818071</v>
      </c>
      <c r="J32" s="65">
        <f>Potatoes!$K34</f>
        <v>30.147936738636918</v>
      </c>
      <c r="K32" s="64">
        <f>Spinach!K34</f>
        <v>0.48993930014331843</v>
      </c>
      <c r="L32" s="64">
        <f>MiscFrozen!K34</f>
        <v>1.2411673755656671</v>
      </c>
      <c r="M32" s="66">
        <f t="shared" si="0"/>
        <v>42.345066930737971</v>
      </c>
      <c r="O32" s="15"/>
      <c r="P32" s="15"/>
      <c r="Q32" s="11"/>
      <c r="R32" s="11"/>
    </row>
    <row r="33" spans="1:18" ht="12" customHeight="1" x14ac:dyDescent="0.2">
      <c r="A33" s="37">
        <v>1997</v>
      </c>
      <c r="B33" s="71">
        <f>Asparagus!K35</f>
        <v>4.6026068379355509E-2</v>
      </c>
      <c r="C33" s="64">
        <f>LimaBeans!K35</f>
        <v>0.41450052659570014</v>
      </c>
      <c r="D33" s="64">
        <f>SnapBeans!K35</f>
        <v>1.4843207672082541</v>
      </c>
      <c r="E33" s="64">
        <f>Broccoli!K35</f>
        <v>1.7168848765483797</v>
      </c>
      <c r="F33" s="64">
        <f>Carrots!K35</f>
        <v>1.4132656717183565</v>
      </c>
      <c r="G33" s="64">
        <f>Cauliflower!K35</f>
        <v>0.30439589530844952</v>
      </c>
      <c r="H33" s="64">
        <f>SweetCorn!K35</f>
        <v>2.7185992681137483</v>
      </c>
      <c r="I33" s="64">
        <f>GreenPeas!K35</f>
        <v>1.8561184538162117</v>
      </c>
      <c r="J33" s="65">
        <f>Potatoes!$K35</f>
        <v>28.986277731657093</v>
      </c>
      <c r="K33" s="64">
        <f>Spinach!K35</f>
        <v>0.36085000656990912</v>
      </c>
      <c r="L33" s="64">
        <f>MiscFrozen!K35</f>
        <v>1.3344914111508472</v>
      </c>
      <c r="M33" s="66">
        <f t="shared" si="0"/>
        <v>40.635730677066313</v>
      </c>
      <c r="O33" s="15"/>
      <c r="P33" s="15"/>
      <c r="Q33" s="11"/>
      <c r="R33" s="11"/>
    </row>
    <row r="34" spans="1:18" ht="12" customHeight="1" x14ac:dyDescent="0.2">
      <c r="A34" s="37">
        <v>1998</v>
      </c>
      <c r="B34" s="71">
        <f>Asparagus!K36</f>
        <v>3.0498059923606723E-2</v>
      </c>
      <c r="C34" s="64">
        <f>LimaBeans!K36</f>
        <v>0.40286182103212687</v>
      </c>
      <c r="D34" s="64">
        <f>SnapBeans!K36</f>
        <v>1.6511402927483234</v>
      </c>
      <c r="E34" s="64">
        <f>Broccoli!K36</f>
        <v>1.5632732003214853</v>
      </c>
      <c r="F34" s="64">
        <f>Carrots!K36</f>
        <v>1.5160513119533525</v>
      </c>
      <c r="G34" s="64">
        <f>Cauliflower!K36</f>
        <v>0.54164832743628544</v>
      </c>
      <c r="H34" s="64">
        <f>SweetCorn!K36</f>
        <v>2.6533673607990407</v>
      </c>
      <c r="I34" s="64">
        <f>GreenPeas!K36</f>
        <v>1.73740809016719</v>
      </c>
      <c r="J34" s="65">
        <f>Potatoes!$K36</f>
        <v>29.182649149289247</v>
      </c>
      <c r="K34" s="64">
        <f>Spinach!K36</f>
        <v>0.33033972542858336</v>
      </c>
      <c r="L34" s="64">
        <f>MiscFrozen!K36</f>
        <v>1.2247142676058884</v>
      </c>
      <c r="M34" s="66">
        <f t="shared" si="0"/>
        <v>40.833951606705128</v>
      </c>
      <c r="O34" s="15"/>
      <c r="P34" s="15"/>
      <c r="Q34" s="11"/>
      <c r="R34" s="11"/>
    </row>
    <row r="35" spans="1:18" ht="12" customHeight="1" x14ac:dyDescent="0.2">
      <c r="A35" s="37">
        <v>1999</v>
      </c>
      <c r="B35" s="71">
        <f>Asparagus!K37</f>
        <v>9.7011627762998605E-3</v>
      </c>
      <c r="C35" s="64">
        <f>LimaBeans!K37</f>
        <v>0.41800911495696219</v>
      </c>
      <c r="D35" s="64">
        <f>SnapBeans!K37</f>
        <v>1.6660621217284077</v>
      </c>
      <c r="E35" s="64">
        <f>Broccoli!K37</f>
        <v>1.58724093978838</v>
      </c>
      <c r="F35" s="64">
        <f>Carrots!K37</f>
        <v>1.3380824504556112</v>
      </c>
      <c r="G35" s="64">
        <f>Cauliflower!K37</f>
        <v>0.35171673465545183</v>
      </c>
      <c r="H35" s="64">
        <f>SweetCorn!K37</f>
        <v>2.7232216049967506</v>
      </c>
      <c r="I35" s="64">
        <f>GreenPeas!K37</f>
        <v>1.86753547662849</v>
      </c>
      <c r="J35" s="65">
        <f>Potatoes!$K37</f>
        <v>29.442679136124895</v>
      </c>
      <c r="K35" s="64">
        <f>Spinach!K37</f>
        <v>0.3913333997426337</v>
      </c>
      <c r="L35" s="64">
        <f>MiscFrozen!K37</f>
        <v>1.5738215968380702</v>
      </c>
      <c r="M35" s="66">
        <f t="shared" si="0"/>
        <v>41.369403738691958</v>
      </c>
      <c r="O35" s="15"/>
      <c r="P35" s="15"/>
      <c r="Q35" s="11"/>
      <c r="R35" s="11"/>
    </row>
    <row r="36" spans="1:18" ht="12" customHeight="1" x14ac:dyDescent="0.2">
      <c r="A36" s="37">
        <v>2000</v>
      </c>
      <c r="B36" s="71">
        <f>Asparagus!K38</f>
        <v>3.9226904731129497E-2</v>
      </c>
      <c r="C36" s="64">
        <f>LimaBeans!K38</f>
        <v>0.43472124682867108</v>
      </c>
      <c r="D36" s="64">
        <f>SnapBeans!K38</f>
        <v>1.5537777537158521</v>
      </c>
      <c r="E36" s="64">
        <f>Broccoli!K38</f>
        <v>1.6942643827995185</v>
      </c>
      <c r="F36" s="64">
        <f>Carrots!K38</f>
        <v>1.5010000920728799</v>
      </c>
      <c r="G36" s="64">
        <f>Cauliflower!K38</f>
        <v>0.39403716846922404</v>
      </c>
      <c r="H36" s="64">
        <f>SweetCorn!K38</f>
        <v>2.4506354527865679</v>
      </c>
      <c r="I36" s="64">
        <f>GreenPeas!K38</f>
        <v>1.9562519579538185</v>
      </c>
      <c r="J36" s="65">
        <f>Potatoes!$K38</f>
        <v>28.916349722343604</v>
      </c>
      <c r="K36" s="64">
        <f>Spinach!K38</f>
        <v>0.59337658793213799</v>
      </c>
      <c r="L36" s="64">
        <f>MiscFrozen!K38</f>
        <v>1.2432884162559041</v>
      </c>
      <c r="M36" s="66">
        <f t="shared" si="0"/>
        <v>40.776929685889314</v>
      </c>
      <c r="O36" s="15"/>
      <c r="P36" s="15"/>
      <c r="Q36" s="11"/>
      <c r="R36" s="11"/>
    </row>
    <row r="37" spans="1:18" ht="12" customHeight="1" x14ac:dyDescent="0.2">
      <c r="A37" s="105">
        <v>2001</v>
      </c>
      <c r="B37" s="106">
        <f>Asparagus!K39</f>
        <v>3.4776388748252882E-2</v>
      </c>
      <c r="C37" s="107">
        <f>LimaBeans!K39</f>
        <v>0.33302555844178328</v>
      </c>
      <c r="D37" s="107">
        <f>SnapBeans!K39</f>
        <v>1.5971339058207479</v>
      </c>
      <c r="E37" s="107">
        <f>Broccoli!K39</f>
        <v>1.5322788442229347</v>
      </c>
      <c r="F37" s="107">
        <f>Carrots!K39</f>
        <v>1.2272371829866402</v>
      </c>
      <c r="G37" s="107">
        <f>Cauliflower!K39</f>
        <v>0.35088415175154752</v>
      </c>
      <c r="H37" s="107">
        <f>SweetCorn!K39</f>
        <v>2.50916506869858</v>
      </c>
      <c r="I37" s="107">
        <f>GreenPeas!K39</f>
        <v>1.8134137034757269</v>
      </c>
      <c r="J37" s="108">
        <f>Potatoes!$K39</f>
        <v>29.221118034547661</v>
      </c>
      <c r="K37" s="107">
        <f>Spinach!K39</f>
        <v>0.49313499872319044</v>
      </c>
      <c r="L37" s="107">
        <f>MiscFrozen!K39</f>
        <v>1.4364458304639027</v>
      </c>
      <c r="M37" s="109">
        <f t="shared" si="0"/>
        <v>40.548613667880971</v>
      </c>
      <c r="O37" s="15"/>
      <c r="P37" s="15"/>
      <c r="Q37" s="11"/>
      <c r="R37" s="11"/>
    </row>
    <row r="38" spans="1:18" ht="12" customHeight="1" x14ac:dyDescent="0.2">
      <c r="A38" s="105">
        <v>2002</v>
      </c>
      <c r="B38" s="106">
        <f>Asparagus!K40</f>
        <v>4.2053177740540244E-2</v>
      </c>
      <c r="C38" s="107">
        <f>LimaBeans!K40</f>
        <v>0.40247535798552581</v>
      </c>
      <c r="D38" s="107">
        <f>SnapBeans!K40</f>
        <v>1.4908281396649796</v>
      </c>
      <c r="E38" s="107">
        <f>Broccoli!K40</f>
        <v>1.5769732443049713</v>
      </c>
      <c r="F38" s="107">
        <f>Carrots!K40</f>
        <v>1.1559887503043549</v>
      </c>
      <c r="G38" s="107">
        <f>Cauliflower!K40</f>
        <v>0.21166758984069622</v>
      </c>
      <c r="H38" s="107">
        <f>SweetCorn!K40</f>
        <v>2.5209112688942219</v>
      </c>
      <c r="I38" s="107">
        <f>GreenPeas!K40</f>
        <v>1.5610825400001631</v>
      </c>
      <c r="J38" s="108">
        <f>Potatoes!$K40</f>
        <v>27.582790463379197</v>
      </c>
      <c r="K38" s="107">
        <f>Spinach!K40</f>
        <v>0.49259134749173999</v>
      </c>
      <c r="L38" s="107">
        <f>MiscFrozen!K40</f>
        <v>2.0952397707096542</v>
      </c>
      <c r="M38" s="109">
        <f t="shared" si="0"/>
        <v>39.132601650316047</v>
      </c>
      <c r="O38" s="15"/>
      <c r="P38" s="15"/>
      <c r="Q38" s="11"/>
      <c r="R38" s="11"/>
    </row>
    <row r="39" spans="1:18" ht="12" customHeight="1" x14ac:dyDescent="0.2">
      <c r="A39" s="105">
        <v>2003</v>
      </c>
      <c r="B39" s="106">
        <f>Asparagus!K41</f>
        <v>3.6588075570074242E-2</v>
      </c>
      <c r="C39" s="107">
        <f>LimaBeans!K41</f>
        <v>0.38060227047806539</v>
      </c>
      <c r="D39" s="107">
        <f>SnapBeans!K41</f>
        <v>1.5764886993234195</v>
      </c>
      <c r="E39" s="107">
        <f>Broccoli!K41</f>
        <v>1.9492092107100314</v>
      </c>
      <c r="F39" s="107">
        <f>Carrots!K41</f>
        <v>1.1130235321104838</v>
      </c>
      <c r="G39" s="107">
        <f>Cauliflower!K41</f>
        <v>0.25225631456823533</v>
      </c>
      <c r="H39" s="107">
        <f>SweetCorn!K41</f>
        <v>2.4335840728820379</v>
      </c>
      <c r="I39" s="107">
        <f>GreenPeas!K41</f>
        <v>1.6694054633327702</v>
      </c>
      <c r="J39" s="108">
        <f>Potatoes!$K41</f>
        <v>28.527894927658156</v>
      </c>
      <c r="K39" s="107">
        <f>Spinach!K41</f>
        <v>0.56534923619032185</v>
      </c>
      <c r="L39" s="107">
        <f>MiscFrozen!K41</f>
        <v>1.749400678864298</v>
      </c>
      <c r="M39" s="109">
        <f t="shared" si="0"/>
        <v>40.253802481687892</v>
      </c>
      <c r="O39" s="15"/>
      <c r="P39" s="15"/>
      <c r="Q39" s="11"/>
      <c r="R39" s="11"/>
    </row>
    <row r="40" spans="1:18" ht="12" customHeight="1" x14ac:dyDescent="0.2">
      <c r="A40" s="105">
        <v>2004</v>
      </c>
      <c r="B40" s="106">
        <f>Asparagus!K42</f>
        <v>3.5264664097042833E-2</v>
      </c>
      <c r="C40" s="107">
        <f>LimaBeans!K42</f>
        <v>0.24787762730783425</v>
      </c>
      <c r="D40" s="107">
        <f>SnapBeans!K42</f>
        <v>1.6472413750632142</v>
      </c>
      <c r="E40" s="107">
        <f>Broccoli!K42</f>
        <v>2.0051258629260444</v>
      </c>
      <c r="F40" s="107">
        <f>Carrots!K42</f>
        <v>1.0940309981600973</v>
      </c>
      <c r="G40" s="107">
        <f>Cauliflower!K42</f>
        <v>0.26739542803311073</v>
      </c>
      <c r="H40" s="107">
        <f>SweetCorn!K42</f>
        <v>2.4504695713963836</v>
      </c>
      <c r="I40" s="107">
        <f>GreenPeas!K42</f>
        <v>1.4585615685388897</v>
      </c>
      <c r="J40" s="108">
        <f>Potatoes!$K42</f>
        <v>28.669352530171714</v>
      </c>
      <c r="K40" s="107">
        <f>Spinach!K42</f>
        <v>0.65453597534211683</v>
      </c>
      <c r="L40" s="107">
        <f>MiscFrozen!K42</f>
        <v>1.7342071272831794</v>
      </c>
      <c r="M40" s="109">
        <f t="shared" si="0"/>
        <v>40.264062728319622</v>
      </c>
      <c r="O40" s="15"/>
      <c r="P40" s="15"/>
      <c r="Q40" s="11"/>
      <c r="R40" s="11"/>
    </row>
    <row r="41" spans="1:18" ht="12" customHeight="1" x14ac:dyDescent="0.2">
      <c r="A41" s="105">
        <v>2005</v>
      </c>
      <c r="B41" s="106">
        <f>Asparagus!K43</f>
        <v>3.0592756301821501E-2</v>
      </c>
      <c r="C41" s="107">
        <f>LimaBeans!K43</f>
        <v>0.27532590398017265</v>
      </c>
      <c r="D41" s="107">
        <f>SnapBeans!K43</f>
        <v>1.5233037848306135</v>
      </c>
      <c r="E41" s="107">
        <f>Broccoli!K43</f>
        <v>2.0379022604405885</v>
      </c>
      <c r="F41" s="107">
        <f>Carrots!K43</f>
        <v>1.0897613656361684</v>
      </c>
      <c r="G41" s="107">
        <f>Cauliflower!K43</f>
        <v>0.25520467506828881</v>
      </c>
      <c r="H41" s="107">
        <f>SweetCorn!K43</f>
        <v>2.5532241115683973</v>
      </c>
      <c r="I41" s="107">
        <f>GreenPeas!K43</f>
        <v>1.4461841171781817</v>
      </c>
      <c r="J41" s="108">
        <f>Potatoes!$K43</f>
        <v>27.168477132933152</v>
      </c>
      <c r="K41" s="107">
        <f>Spinach!K43</f>
        <v>0.46231795277393672</v>
      </c>
      <c r="L41" s="107">
        <f>MiscFrozen!K43</f>
        <v>2.0857453254523279</v>
      </c>
      <c r="M41" s="109">
        <f t="shared" si="0"/>
        <v>38.928039386163647</v>
      </c>
      <c r="O41" s="15"/>
      <c r="P41" s="15"/>
      <c r="Q41" s="11"/>
      <c r="R41" s="11"/>
    </row>
    <row r="42" spans="1:18" ht="12" customHeight="1" x14ac:dyDescent="0.2">
      <c r="A42" s="37">
        <v>2006</v>
      </c>
      <c r="B42" s="71">
        <f>Asparagus!K44</f>
        <v>5.3029897086065779E-2</v>
      </c>
      <c r="C42" s="64">
        <f>LimaBeans!K44</f>
        <v>0.34197502749809455</v>
      </c>
      <c r="D42" s="64">
        <f>SnapBeans!K44</f>
        <v>1.7161299551515397</v>
      </c>
      <c r="E42" s="64">
        <f>Broccoli!K44</f>
        <v>1.6940007289273706</v>
      </c>
      <c r="F42" s="64">
        <f>Carrots!K44</f>
        <v>1.1348130442443984</v>
      </c>
      <c r="G42" s="64">
        <f>Cauliflower!K44</f>
        <v>0.25010948253183823</v>
      </c>
      <c r="H42" s="64">
        <f>SweetCorn!K44</f>
        <v>2.5502965541770046</v>
      </c>
      <c r="I42" s="64">
        <f>GreenPeas!K44</f>
        <v>1.4305407671925949</v>
      </c>
      <c r="J42" s="65">
        <f>Potatoes!$K44</f>
        <v>26.623965605051502</v>
      </c>
      <c r="K42" s="64">
        <f>Spinach!K44</f>
        <v>0.34590799524571086</v>
      </c>
      <c r="L42" s="64">
        <f>MiscFrozen!K44</f>
        <v>2.1489590422236837</v>
      </c>
      <c r="M42" s="66">
        <f t="shared" ref="M42:M47" si="1">SUM(B42:L42)</f>
        <v>38.289728099329807</v>
      </c>
      <c r="O42" s="15"/>
      <c r="P42" s="15"/>
      <c r="Q42" s="11"/>
      <c r="R42" s="11"/>
    </row>
    <row r="43" spans="1:18" ht="12" customHeight="1" x14ac:dyDescent="0.2">
      <c r="A43" s="37">
        <v>2007</v>
      </c>
      <c r="B43" s="71">
        <f>Asparagus!K45</f>
        <v>4.7664575730475271E-2</v>
      </c>
      <c r="C43" s="64">
        <f>LimaBeans!K45</f>
        <v>0.32779986584144366</v>
      </c>
      <c r="D43" s="64">
        <f>SnapBeans!K45</f>
        <v>1.8905806259209297</v>
      </c>
      <c r="E43" s="64">
        <f>Broccoli!K45</f>
        <v>2.0121964686579568</v>
      </c>
      <c r="F43" s="64">
        <f>Carrots!K45</f>
        <v>0.82993395955643434</v>
      </c>
      <c r="G43" s="64">
        <f>Cauliflower!K45</f>
        <v>0.25501394680644102</v>
      </c>
      <c r="H43" s="64">
        <f>SweetCorn!K45</f>
        <v>2.6978520730263926</v>
      </c>
      <c r="I43" s="64">
        <f>GreenPeas!K45</f>
        <v>1.6531665268088214</v>
      </c>
      <c r="J43" s="65">
        <f>Potatoes!$K45</f>
        <v>26.574843186752439</v>
      </c>
      <c r="K43" s="64">
        <f>Spinach!K45</f>
        <v>0.49781089502814702</v>
      </c>
      <c r="L43" s="64">
        <f>MiscFrozen!K45</f>
        <v>2.0049032680431975</v>
      </c>
      <c r="M43" s="66">
        <f t="shared" si="1"/>
        <v>38.791765392172678</v>
      </c>
      <c r="O43" s="15"/>
      <c r="P43" s="15"/>
      <c r="Q43" s="11"/>
      <c r="R43" s="11"/>
    </row>
    <row r="44" spans="1:18" ht="12" customHeight="1" x14ac:dyDescent="0.2">
      <c r="A44" s="37">
        <v>2008</v>
      </c>
      <c r="B44" s="71">
        <f>Asparagus!K46</f>
        <v>4.7208201157575652E-2</v>
      </c>
      <c r="C44" s="64">
        <f>LimaBeans!K46</f>
        <v>0.30932495995035492</v>
      </c>
      <c r="D44" s="64">
        <f>SnapBeans!K46</f>
        <v>1.8632375070929688</v>
      </c>
      <c r="E44" s="64">
        <f>Broccoli!K46</f>
        <v>2.0270045795424774</v>
      </c>
      <c r="F44" s="64">
        <f>Carrots!K46</f>
        <v>0.84676257066007576</v>
      </c>
      <c r="G44" s="64">
        <f>Cauliflower!K46</f>
        <v>0.30944177424862196</v>
      </c>
      <c r="H44" s="64">
        <f>SweetCorn!K46</f>
        <v>2.77640752201498</v>
      </c>
      <c r="I44" s="64">
        <f>GreenPeas!K46</f>
        <v>1.6195845375164664</v>
      </c>
      <c r="J44" s="65">
        <f>Potatoes!$K46</f>
        <v>25.726541909505695</v>
      </c>
      <c r="K44" s="64">
        <f>Spinach!K46</f>
        <v>0.53285520729022007</v>
      </c>
      <c r="L44" s="64">
        <f>MiscFrozen!K46</f>
        <v>1.9545336290397921</v>
      </c>
      <c r="M44" s="66">
        <f t="shared" si="1"/>
        <v>38.012902398019229</v>
      </c>
      <c r="O44" s="15"/>
      <c r="P44" s="15"/>
      <c r="Q44" s="11"/>
      <c r="R44" s="11"/>
    </row>
    <row r="45" spans="1:18" ht="12" customHeight="1" x14ac:dyDescent="0.2">
      <c r="A45" s="37">
        <v>2009</v>
      </c>
      <c r="B45" s="71">
        <f>Asparagus!K47</f>
        <v>3.6161250900977007E-2</v>
      </c>
      <c r="C45" s="64">
        <f>LimaBeans!K47</f>
        <v>0.23688419429431673</v>
      </c>
      <c r="D45" s="64">
        <f>SnapBeans!K47</f>
        <v>1.6867868860419482</v>
      </c>
      <c r="E45" s="64">
        <f>Broccoli!K47</f>
        <v>1.8800896045509852</v>
      </c>
      <c r="F45" s="64">
        <f>Carrots!K47</f>
        <v>0.8336062558196875</v>
      </c>
      <c r="G45" s="64">
        <f>Cauliflower!K47</f>
        <v>0.24903043943489037</v>
      </c>
      <c r="H45" s="64">
        <f>SweetCorn!K47</f>
        <v>2.7221098643263222</v>
      </c>
      <c r="I45" s="64">
        <f>GreenPeas!K47</f>
        <v>1.5189675211239404</v>
      </c>
      <c r="J45" s="65">
        <f>Potatoes!$K47</f>
        <v>25.180981650914323</v>
      </c>
      <c r="K45" s="64">
        <f>Spinach!K47</f>
        <v>0.50042402876857095</v>
      </c>
      <c r="L45" s="64">
        <f>MiscFrozen!K47</f>
        <v>2.2207896305402914</v>
      </c>
      <c r="M45" s="66">
        <f t="shared" si="1"/>
        <v>37.06583132671625</v>
      </c>
      <c r="O45" s="15"/>
      <c r="P45" s="15"/>
      <c r="Q45" s="11"/>
      <c r="R45" s="11"/>
    </row>
    <row r="46" spans="1:18" ht="12" customHeight="1" x14ac:dyDescent="0.2">
      <c r="A46" s="37">
        <v>2010</v>
      </c>
      <c r="B46" s="71">
        <f>Asparagus!K48</f>
        <v>5.6341782257701596E-2</v>
      </c>
      <c r="C46" s="64">
        <f>LimaBeans!K48</f>
        <v>0.37398516029995033</v>
      </c>
      <c r="D46" s="64">
        <f>SnapBeans!K48</f>
        <v>1.7817508099685819</v>
      </c>
      <c r="E46" s="64">
        <f>Broccoli!K48</f>
        <v>1.8425150180335921</v>
      </c>
      <c r="F46" s="64">
        <f>Carrots!K48</f>
        <v>0.80696534741823001</v>
      </c>
      <c r="G46" s="64">
        <f>Cauliflower!K48</f>
        <v>0.25907011707313005</v>
      </c>
      <c r="H46" s="64">
        <f>SweetCorn!K48</f>
        <v>2.5671274873221246</v>
      </c>
      <c r="I46" s="64">
        <f>GreenPeas!K48</f>
        <v>1.3586284871238448</v>
      </c>
      <c r="J46" s="65">
        <f>Potatoes!$K48</f>
        <v>25.040262375612453</v>
      </c>
      <c r="K46" s="64">
        <f>Spinach!K48</f>
        <v>0.47948929220169689</v>
      </c>
      <c r="L46" s="64">
        <f>MiscFrozen!K48</f>
        <v>2.2656388625661439</v>
      </c>
      <c r="M46" s="66">
        <f t="shared" si="1"/>
        <v>36.831774739877446</v>
      </c>
      <c r="O46" s="15"/>
      <c r="P46" s="15"/>
      <c r="Q46" s="11"/>
      <c r="R46" s="11"/>
    </row>
    <row r="47" spans="1:18" ht="12" customHeight="1" x14ac:dyDescent="0.2">
      <c r="A47" s="110">
        <v>2011</v>
      </c>
      <c r="B47" s="111">
        <f>Asparagus!K49</f>
        <v>6.6692080080323637E-2</v>
      </c>
      <c r="C47" s="112">
        <f>LimaBeans!K49</f>
        <v>0.27600639312509345</v>
      </c>
      <c r="D47" s="112">
        <f>SnapBeans!K49</f>
        <v>1.3902711175690514</v>
      </c>
      <c r="E47" s="112">
        <f>Broccoli!K49</f>
        <v>1.9959583497050224</v>
      </c>
      <c r="F47" s="112">
        <f>Carrots!K49</f>
        <v>0.86295930115591457</v>
      </c>
      <c r="G47" s="112">
        <f>Cauliflower!K49</f>
        <v>0.30962065192924265</v>
      </c>
      <c r="H47" s="112">
        <f>SweetCorn!K49</f>
        <v>2.929990618475006</v>
      </c>
      <c r="I47" s="112">
        <f>GreenPeas!K49</f>
        <v>1.4200160747581083</v>
      </c>
      <c r="J47" s="113">
        <f>Potatoes!$K49</f>
        <v>24.142841208831072</v>
      </c>
      <c r="K47" s="112">
        <f>Spinach!K49</f>
        <v>0.44526981590273457</v>
      </c>
      <c r="L47" s="112">
        <f>MiscFrozen!K49</f>
        <v>2.2314836281811803</v>
      </c>
      <c r="M47" s="114">
        <f t="shared" si="1"/>
        <v>36.071109239712747</v>
      </c>
      <c r="O47" s="15"/>
      <c r="P47" s="15"/>
      <c r="Q47" s="11"/>
      <c r="R47" s="11"/>
    </row>
    <row r="48" spans="1:18" ht="12" customHeight="1" x14ac:dyDescent="0.2">
      <c r="A48" s="105">
        <v>2012</v>
      </c>
      <c r="B48" s="106">
        <f>Asparagus!K50</f>
        <v>4.9407862405873665E-2</v>
      </c>
      <c r="C48" s="107">
        <f>LimaBeans!K50</f>
        <v>0.36303442085063897</v>
      </c>
      <c r="D48" s="107">
        <f>SnapBeans!K50</f>
        <v>1.7100682654971182</v>
      </c>
      <c r="E48" s="107">
        <f>Broccoli!K50</f>
        <v>1.9253899796489027</v>
      </c>
      <c r="F48" s="107">
        <f>Carrots!K50</f>
        <v>0.66523265186575908</v>
      </c>
      <c r="G48" s="107">
        <f>Cauliflower!K50</f>
        <v>0.23631958841151368</v>
      </c>
      <c r="H48" s="107">
        <f>SweetCorn!K50</f>
        <v>2.939049045608265</v>
      </c>
      <c r="I48" s="107">
        <f>GreenPeas!K50</f>
        <v>1.7020604152380596</v>
      </c>
      <c r="J48" s="108">
        <f>Potatoes!$K50</f>
        <v>24.021207992734251</v>
      </c>
      <c r="K48" s="107">
        <f>Spinach!K50</f>
        <v>0.42294246405145902</v>
      </c>
      <c r="L48" s="107">
        <f>MiscFrozen!K50</f>
        <v>2.3552484727953007</v>
      </c>
      <c r="M48" s="109">
        <f t="shared" ref="M48:M53" si="2">SUM(B48:L48)</f>
        <v>36.389961159107145</v>
      </c>
      <c r="N48"/>
      <c r="O48" s="15"/>
      <c r="P48" s="15"/>
      <c r="Q48" s="11"/>
      <c r="R48" s="11"/>
    </row>
    <row r="49" spans="1:18" ht="12" customHeight="1" x14ac:dyDescent="0.2">
      <c r="A49" s="105">
        <v>2013</v>
      </c>
      <c r="B49" s="106">
        <f>Asparagus!K51</f>
        <v>5.5682908516313127E-2</v>
      </c>
      <c r="C49" s="107">
        <f>LimaBeans!K51</f>
        <v>0.28470620293817045</v>
      </c>
      <c r="D49" s="107">
        <f>SnapBeans!K51</f>
        <v>1.8889278352571961</v>
      </c>
      <c r="E49" s="107">
        <f>Broccoli!K51</f>
        <v>1.8667708294718008</v>
      </c>
      <c r="F49" s="107">
        <f>Carrots!K51</f>
        <v>0.90926698248531712</v>
      </c>
      <c r="G49" s="107">
        <f>Cauliflower!K51</f>
        <v>0.2351426276629133</v>
      </c>
      <c r="H49" s="107">
        <f>SweetCorn!K51</f>
        <v>2.1081882945794694</v>
      </c>
      <c r="I49" s="107">
        <f>GreenPeas!K51</f>
        <v>1.3625566600103163</v>
      </c>
      <c r="J49" s="108">
        <f>Potatoes!$K51</f>
        <v>23.807174783912863</v>
      </c>
      <c r="K49" s="107">
        <f>Spinach!K51</f>
        <v>0.50713664722184904</v>
      </c>
      <c r="L49" s="107">
        <f>MiscFrozen!K51</f>
        <v>2.2133333333333334</v>
      </c>
      <c r="M49" s="109">
        <f t="shared" si="2"/>
        <v>35.238887105389537</v>
      </c>
      <c r="N49"/>
      <c r="O49" s="15"/>
      <c r="P49" s="15"/>
      <c r="Q49" s="11"/>
      <c r="R49" s="11"/>
    </row>
    <row r="50" spans="1:18" ht="12" customHeight="1" x14ac:dyDescent="0.2">
      <c r="A50" s="105">
        <v>2014</v>
      </c>
      <c r="B50" s="106">
        <f>Asparagus!K52</f>
        <v>5.1650332196313459E-2</v>
      </c>
      <c r="C50" s="107">
        <f>LimaBeans!K52</f>
        <v>0.2813376338550348</v>
      </c>
      <c r="D50" s="107">
        <f>SnapBeans!K52</f>
        <v>1.5884695481991473</v>
      </c>
      <c r="E50" s="107">
        <f>Broccoli!K52</f>
        <v>1.9433635854033451</v>
      </c>
      <c r="F50" s="107">
        <f>Carrots!K52</f>
        <v>0.6570913364495311</v>
      </c>
      <c r="G50" s="107">
        <f>Cauliflower!K52</f>
        <v>0.24952006102524027</v>
      </c>
      <c r="H50" s="107">
        <f>SweetCorn!K52</f>
        <v>2.3054237923773573</v>
      </c>
      <c r="I50" s="107">
        <f>GreenPeas!K52</f>
        <v>1.4134816269691322</v>
      </c>
      <c r="J50" s="108">
        <f>Potatoes!$K52</f>
        <v>23.52630741601055</v>
      </c>
      <c r="K50" s="107">
        <f>Spinach!K52</f>
        <v>0.55327726212124029</v>
      </c>
      <c r="L50" s="107">
        <f>MiscFrozen!K52</f>
        <v>2.34</v>
      </c>
      <c r="M50" s="109">
        <f t="shared" si="2"/>
        <v>34.909922594606897</v>
      </c>
      <c r="N50"/>
      <c r="O50" s="15"/>
      <c r="P50" s="15"/>
      <c r="Q50" s="11"/>
      <c r="R50" s="11"/>
    </row>
    <row r="51" spans="1:18" ht="12" customHeight="1" x14ac:dyDescent="0.2">
      <c r="A51" s="110">
        <v>2015</v>
      </c>
      <c r="B51" s="111">
        <f>Asparagus!K53</f>
        <v>6.2174456126501923E-2</v>
      </c>
      <c r="C51" s="112">
        <f>LimaBeans!K53</f>
        <v>0.3009789441669104</v>
      </c>
      <c r="D51" s="112">
        <f>SnapBeans!K53</f>
        <v>1.7084911292954761</v>
      </c>
      <c r="E51" s="112">
        <f>Broccoli!K53</f>
        <v>1.945452090421083</v>
      </c>
      <c r="F51" s="112">
        <f>Carrots!K53</f>
        <v>0.74872375514323364</v>
      </c>
      <c r="G51" s="112">
        <f>Cauliflower!K53</f>
        <v>0.23929553281049576</v>
      </c>
      <c r="H51" s="112">
        <f>SweetCorn!K53</f>
        <v>2.406118557610593</v>
      </c>
      <c r="I51" s="112">
        <f>GreenPeas!K53</f>
        <v>1.3313354882344215</v>
      </c>
      <c r="J51" s="113">
        <f>Potatoes!$K53</f>
        <v>24.851318612471275</v>
      </c>
      <c r="K51" s="112">
        <f>Spinach!K53</f>
        <v>0.51237929501370405</v>
      </c>
      <c r="L51" s="112">
        <f>MiscFrozen!K53</f>
        <v>2.4066666666666667</v>
      </c>
      <c r="M51" s="114">
        <f t="shared" si="2"/>
        <v>36.512934527960354</v>
      </c>
      <c r="N51"/>
      <c r="O51" s="15"/>
      <c r="P51" s="15"/>
      <c r="Q51" s="11"/>
      <c r="R51" s="11"/>
    </row>
    <row r="52" spans="1:18" ht="12" customHeight="1" x14ac:dyDescent="0.2">
      <c r="A52" s="138">
        <v>2016</v>
      </c>
      <c r="B52" s="139">
        <f>Asparagus!K54</f>
        <v>8.354771716877249E-2</v>
      </c>
      <c r="C52" s="140">
        <f>LimaBeans!K54</f>
        <v>0.21834158796094233</v>
      </c>
      <c r="D52" s="140">
        <f>SnapBeans!K54</f>
        <v>1.7886978199479167</v>
      </c>
      <c r="E52" s="140">
        <f>Broccoli!K54</f>
        <v>1.9821103877058763</v>
      </c>
      <c r="F52" s="140">
        <f>Carrots!K54</f>
        <v>1.0442078377241397</v>
      </c>
      <c r="G52" s="140">
        <f>Cauliflower!K54</f>
        <v>0.28523090280076097</v>
      </c>
      <c r="H52" s="140">
        <f>SweetCorn!K54</f>
        <v>2.2378256650898307</v>
      </c>
      <c r="I52" s="140">
        <f>GreenPeas!K54</f>
        <v>0.89924811951192418</v>
      </c>
      <c r="J52" s="141">
        <f>Potatoes!$K54</f>
        <v>23.709871693917314</v>
      </c>
      <c r="K52" s="140">
        <f>Spinach!K54</f>
        <v>0.48588064188252711</v>
      </c>
      <c r="L52" s="140">
        <f>MiscFrozen!K54</f>
        <v>2.46</v>
      </c>
      <c r="M52" s="142">
        <f t="shared" si="2"/>
        <v>35.194962373709998</v>
      </c>
      <c r="N52"/>
      <c r="O52" s="15"/>
      <c r="P52" s="15"/>
      <c r="Q52" s="11"/>
      <c r="R52" s="11"/>
    </row>
    <row r="53" spans="1:18" ht="12" customHeight="1" x14ac:dyDescent="0.2">
      <c r="A53" s="138">
        <v>2017</v>
      </c>
      <c r="B53" s="139">
        <f>Asparagus!K55</f>
        <v>7.1730003253605235E-2</v>
      </c>
      <c r="C53" s="140">
        <f>LimaBeans!K55</f>
        <v>0.20317882912901239</v>
      </c>
      <c r="D53" s="140">
        <f>SnapBeans!K55</f>
        <v>1.7096218889988071</v>
      </c>
      <c r="E53" s="140">
        <f>Broccoli!K55</f>
        <v>1.7788608439524032</v>
      </c>
      <c r="F53" s="140">
        <f>Carrots!K55</f>
        <v>1.3346984299870557</v>
      </c>
      <c r="G53" s="140">
        <f>Cauliflower!K55</f>
        <v>0.36964824945632846</v>
      </c>
      <c r="H53" s="140">
        <f>SweetCorn!K55</f>
        <v>2.4199502998552394</v>
      </c>
      <c r="I53" s="140">
        <f>GreenPeas!K55</f>
        <v>1.1696331900548784</v>
      </c>
      <c r="J53" s="141">
        <f>Potatoes!$K55</f>
        <v>25.903526098620748</v>
      </c>
      <c r="K53" s="140">
        <f>Spinach!K55</f>
        <v>0.49012352717700025</v>
      </c>
      <c r="L53" s="140">
        <f>MiscFrozen!K55</f>
        <v>2.2933333333333334</v>
      </c>
      <c r="M53" s="142">
        <f t="shared" si="2"/>
        <v>37.744304693818414</v>
      </c>
      <c r="N53"/>
      <c r="O53" s="15"/>
      <c r="P53" s="15"/>
      <c r="Q53" s="11"/>
      <c r="R53" s="11"/>
    </row>
    <row r="54" spans="1:18" ht="12" customHeight="1" x14ac:dyDescent="0.2">
      <c r="A54" s="138">
        <v>2018</v>
      </c>
      <c r="B54" s="139">
        <f>Asparagus!K56</f>
        <v>4.4881811207290651E-2</v>
      </c>
      <c r="C54" s="140">
        <f>LimaBeans!K56</f>
        <v>0.24090449920254187</v>
      </c>
      <c r="D54" s="140">
        <f>SnapBeans!K56</f>
        <v>1.6662076450324348</v>
      </c>
      <c r="E54" s="140">
        <f>Broccoli!K56</f>
        <v>1.8807278162895831</v>
      </c>
      <c r="F54" s="140">
        <f>Carrots!K56</f>
        <v>1.2929565767117508</v>
      </c>
      <c r="G54" s="140">
        <f>Cauliflower!K56</f>
        <v>0.4073961291036251</v>
      </c>
      <c r="H54" s="140">
        <f>SweetCorn!K56</f>
        <v>2.380548279975935</v>
      </c>
      <c r="I54" s="140">
        <f>GreenPeas!K56</f>
        <v>1.1490126794712523</v>
      </c>
      <c r="J54" s="141">
        <f>Potatoes!$K56</f>
        <v>26.678108769748555</v>
      </c>
      <c r="K54" s="140">
        <f>Spinach!K56</f>
        <v>0.53596506488910201</v>
      </c>
      <c r="L54" s="140">
        <f>MiscFrozen!K56</f>
        <v>3.1133333333333333</v>
      </c>
      <c r="M54" s="142">
        <f>SUM(B54:L54)</f>
        <v>39.390042604965402</v>
      </c>
      <c r="N54"/>
      <c r="O54" s="15"/>
      <c r="P54" s="15"/>
      <c r="Q54" s="11"/>
      <c r="R54" s="11"/>
    </row>
    <row r="55" spans="1:18" ht="12" customHeight="1" x14ac:dyDescent="0.2">
      <c r="A55" s="214">
        <v>2019</v>
      </c>
      <c r="B55" s="215">
        <f>Asparagus!K57</f>
        <v>5.1609195897452859E-2</v>
      </c>
      <c r="C55" s="216">
        <f>LimaBeans!K57</f>
        <v>0.20129532404754996</v>
      </c>
      <c r="D55" s="216">
        <f>SnapBeans!K57</f>
        <v>1.5096526459937145</v>
      </c>
      <c r="E55" s="140">
        <f>Broccoli!K57</f>
        <v>1.9824085061917904</v>
      </c>
      <c r="F55" s="216">
        <f>Carrots!K57</f>
        <v>0.97171941514797933</v>
      </c>
      <c r="G55" s="140">
        <f>Cauliflower!K57</f>
        <v>0.47421092948099119</v>
      </c>
      <c r="H55" s="216">
        <f>SweetCorn!K57</f>
        <v>1.796539198461194</v>
      </c>
      <c r="I55" s="216">
        <f>GreenPeas!K57</f>
        <v>0.92814760260869944</v>
      </c>
      <c r="J55" s="140">
        <f>Potatoes!$K57</f>
        <v>26.190246975941566</v>
      </c>
      <c r="K55" s="216">
        <f>Spinach!K57</f>
        <v>0.43549821493008989</v>
      </c>
      <c r="L55" s="140">
        <f>MiscFrozen!K57</f>
        <v>3.3266666666666667</v>
      </c>
      <c r="M55" s="217">
        <f>SUM(B55:L55)</f>
        <v>37.867994675367697</v>
      </c>
      <c r="N55"/>
      <c r="O55" s="15"/>
      <c r="P55" s="15"/>
      <c r="Q55" s="11"/>
      <c r="R55" s="11"/>
    </row>
    <row r="56" spans="1:18" ht="12" customHeight="1" thickBot="1" x14ac:dyDescent="0.25">
      <c r="A56" s="207">
        <v>2020</v>
      </c>
      <c r="B56" s="209" t="s">
        <v>2</v>
      </c>
      <c r="C56" s="209" t="s">
        <v>2</v>
      </c>
      <c r="D56" s="209" t="s">
        <v>2</v>
      </c>
      <c r="E56" s="209">
        <f>Broccoli!K58</f>
        <v>1.9823922547185546</v>
      </c>
      <c r="F56" s="209" t="s">
        <v>2</v>
      </c>
      <c r="G56" s="209">
        <f>Cauliflower!K58</f>
        <v>0.50012702676145437</v>
      </c>
      <c r="H56" s="209" t="s">
        <v>2</v>
      </c>
      <c r="I56" s="209" t="s">
        <v>2</v>
      </c>
      <c r="J56" s="209">
        <f>Potatoes!$K58</f>
        <v>25.463296265912646</v>
      </c>
      <c r="K56" s="209" t="s">
        <v>2</v>
      </c>
      <c r="L56" s="209">
        <f>MiscFrozen!K58</f>
        <v>2.7933333333333334</v>
      </c>
      <c r="M56" s="209" t="s">
        <v>2</v>
      </c>
      <c r="N56"/>
      <c r="O56" s="15"/>
      <c r="P56" s="15"/>
      <c r="Q56" s="11"/>
      <c r="R56" s="11"/>
    </row>
    <row r="57" spans="1:18" ht="12" customHeight="1" thickTop="1" x14ac:dyDescent="0.2">
      <c r="A57" s="260" t="s">
        <v>4</v>
      </c>
      <c r="B57" s="261"/>
      <c r="C57" s="261"/>
      <c r="D57" s="261"/>
      <c r="E57" s="261"/>
      <c r="F57" s="261"/>
      <c r="G57" s="261"/>
      <c r="H57" s="261"/>
      <c r="I57" s="261"/>
      <c r="J57" s="261"/>
      <c r="K57" s="261"/>
      <c r="L57" s="261"/>
      <c r="M57" s="262"/>
      <c r="N57"/>
      <c r="O57" s="15"/>
      <c r="P57" s="15"/>
      <c r="Q57" s="11"/>
      <c r="R57" s="11"/>
    </row>
    <row r="58" spans="1:18" ht="23.25" customHeight="1" x14ac:dyDescent="0.2">
      <c r="A58" s="263" t="s">
        <v>88</v>
      </c>
      <c r="B58" s="264"/>
      <c r="C58" s="264"/>
      <c r="D58" s="264"/>
      <c r="E58" s="264"/>
      <c r="F58" s="264"/>
      <c r="G58" s="264"/>
      <c r="H58" s="264"/>
      <c r="I58" s="264"/>
      <c r="J58" s="264"/>
      <c r="K58" s="264"/>
      <c r="L58" s="264"/>
      <c r="M58" s="265"/>
      <c r="N58"/>
      <c r="O58" s="15"/>
      <c r="P58" s="15"/>
      <c r="Q58" s="11"/>
      <c r="R58" s="11"/>
    </row>
    <row r="59" spans="1:18" ht="12" customHeight="1" x14ac:dyDescent="0.2">
      <c r="A59" s="257"/>
      <c r="B59" s="258"/>
      <c r="C59" s="258"/>
      <c r="D59" s="258"/>
      <c r="E59" s="258"/>
      <c r="F59" s="258"/>
      <c r="G59" s="258"/>
      <c r="H59" s="258"/>
      <c r="I59" s="258"/>
      <c r="J59" s="258"/>
      <c r="K59" s="258"/>
      <c r="L59" s="258"/>
      <c r="M59" s="259"/>
      <c r="N59"/>
      <c r="O59" s="15"/>
      <c r="P59" s="15"/>
      <c r="Q59" s="11"/>
      <c r="R59" s="11"/>
    </row>
    <row r="60" spans="1:18" ht="12" customHeight="1" x14ac:dyDescent="0.2">
      <c r="A60" s="222" t="s">
        <v>65</v>
      </c>
      <c r="B60" s="223"/>
      <c r="C60" s="223"/>
      <c r="D60" s="223"/>
      <c r="E60" s="223"/>
      <c r="F60" s="223"/>
      <c r="G60" s="223"/>
      <c r="H60" s="223"/>
      <c r="I60" s="223"/>
      <c r="J60" s="223"/>
      <c r="K60" s="223"/>
      <c r="L60" s="223"/>
      <c r="M60" s="224"/>
      <c r="N60" s="72"/>
      <c r="O60" s="72"/>
      <c r="P60" s="72"/>
      <c r="Q60" s="72"/>
      <c r="R60" s="72"/>
    </row>
    <row r="61" spans="1:18" ht="12" customHeight="1" x14ac:dyDescent="0.2">
      <c r="A61" s="257"/>
      <c r="B61" s="258"/>
      <c r="C61" s="258"/>
      <c r="D61" s="258"/>
      <c r="E61" s="258"/>
      <c r="F61" s="258"/>
      <c r="G61" s="258"/>
      <c r="H61" s="258"/>
      <c r="I61" s="258"/>
      <c r="J61" s="258"/>
      <c r="K61" s="258"/>
      <c r="L61" s="258"/>
      <c r="M61" s="259"/>
    </row>
    <row r="62" spans="1:18" ht="12" customHeight="1" x14ac:dyDescent="0.2">
      <c r="A62" s="219" t="s">
        <v>63</v>
      </c>
      <c r="B62" s="220"/>
      <c r="C62" s="220"/>
      <c r="D62" s="220"/>
      <c r="E62" s="220"/>
      <c r="F62" s="220"/>
      <c r="G62" s="220"/>
      <c r="H62" s="220"/>
      <c r="I62" s="220"/>
      <c r="J62" s="220"/>
      <c r="K62" s="220"/>
      <c r="L62" s="220"/>
      <c r="M62" s="221"/>
    </row>
    <row r="63" spans="1:18" ht="12" customHeight="1" x14ac:dyDescent="0.2">
      <c r="A63" s="36"/>
      <c r="B63" s="35"/>
    </row>
    <row r="64" spans="1:18" ht="12" customHeight="1" x14ac:dyDescent="0.2">
      <c r="B64" s="60"/>
      <c r="C64" s="61"/>
      <c r="E64" s="61"/>
      <c r="F64" s="62"/>
      <c r="G64" s="61"/>
      <c r="H64" s="61"/>
      <c r="I64" s="61"/>
      <c r="J64" s="61"/>
      <c r="K64" s="61"/>
      <c r="L64" s="61"/>
      <c r="M64" s="63"/>
    </row>
  </sheetData>
  <mergeCells count="22">
    <mergeCell ref="H2:H4"/>
    <mergeCell ref="I2:I4"/>
    <mergeCell ref="J2:J4"/>
    <mergeCell ref="A57:M57"/>
    <mergeCell ref="A59:M59"/>
    <mergeCell ref="A58:M58"/>
    <mergeCell ref="L1:M1"/>
    <mergeCell ref="A1:K1"/>
    <mergeCell ref="B5:M5"/>
    <mergeCell ref="A62:M62"/>
    <mergeCell ref="A60:M60"/>
    <mergeCell ref="A61:M61"/>
    <mergeCell ref="A2:A4"/>
    <mergeCell ref="B2:B4"/>
    <mergeCell ref="C2:C4"/>
    <mergeCell ref="D2:D4"/>
    <mergeCell ref="K2:K4"/>
    <mergeCell ref="L2:L4"/>
    <mergeCell ref="M2:M4"/>
    <mergeCell ref="E2:E4"/>
    <mergeCell ref="F2:F4"/>
    <mergeCell ref="G2:G4"/>
  </mergeCells>
  <phoneticPr fontId="5" type="noConversion"/>
  <printOptions horizontalCentered="1" verticalCentered="1"/>
  <pageMargins left="0.75" right="0.75" top="0.75" bottom="0.75" header="0.5" footer="0.5"/>
  <pageSetup scale="1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autoPageBreaks="0" fitToPage="1"/>
  </sheetPr>
  <dimension ref="A1:L66"/>
  <sheetViews>
    <sheetView showZeros="0" showOutlineSymbols="0" zoomScaleNormal="100" workbookViewId="0">
      <pane ySplit="7" topLeftCell="A8" activePane="bottomLeft" state="frozen"/>
      <selection pane="bottomLeft" sqref="A1:I1"/>
    </sheetView>
  </sheetViews>
  <sheetFormatPr defaultColWidth="12.7109375" defaultRowHeight="12" customHeight="1" x14ac:dyDescent="0.2"/>
  <cols>
    <col min="1" max="1" width="12.7109375" style="34" customWidth="1"/>
    <col min="2" max="2" width="12.7109375" style="31" customWidth="1"/>
    <col min="3" max="9" width="12.7109375" style="32" customWidth="1"/>
    <col min="10" max="10" width="12.7109375" style="33" customWidth="1"/>
    <col min="11" max="11" width="12.7109375" style="18" customWidth="1"/>
    <col min="12" max="16384" width="12.7109375" style="19"/>
  </cols>
  <sheetData>
    <row r="1" spans="1:11" s="57" customFormat="1" ht="12" customHeight="1" thickBot="1" x14ac:dyDescent="0.25">
      <c r="A1" s="266" t="s">
        <v>56</v>
      </c>
      <c r="B1" s="266"/>
      <c r="C1" s="266"/>
      <c r="D1" s="266"/>
      <c r="E1" s="266"/>
      <c r="F1" s="266"/>
      <c r="G1" s="266"/>
      <c r="H1" s="266"/>
      <c r="I1" s="266"/>
      <c r="J1" s="227" t="s">
        <v>32</v>
      </c>
      <c r="K1" s="227"/>
    </row>
    <row r="2" spans="1:11" ht="12" customHeight="1" thickTop="1" x14ac:dyDescent="0.2">
      <c r="A2" s="282" t="s">
        <v>0</v>
      </c>
      <c r="B2" s="274" t="s">
        <v>18</v>
      </c>
      <c r="C2" s="38" t="s">
        <v>1</v>
      </c>
      <c r="D2" s="39"/>
      <c r="E2" s="39"/>
      <c r="F2" s="39"/>
      <c r="G2" s="272" t="s">
        <v>44</v>
      </c>
      <c r="H2" s="273"/>
      <c r="I2" s="272" t="s">
        <v>43</v>
      </c>
      <c r="J2" s="273"/>
      <c r="K2" s="273"/>
    </row>
    <row r="3" spans="1:11" ht="12" customHeight="1" x14ac:dyDescent="0.2">
      <c r="A3" s="283"/>
      <c r="B3" s="275"/>
      <c r="C3" s="279" t="s">
        <v>19</v>
      </c>
      <c r="D3" s="279" t="s">
        <v>20</v>
      </c>
      <c r="E3" s="279" t="s">
        <v>29</v>
      </c>
      <c r="F3" s="279" t="s">
        <v>30</v>
      </c>
      <c r="G3" s="279" t="s">
        <v>23</v>
      </c>
      <c r="H3" s="279" t="s">
        <v>31</v>
      </c>
      <c r="I3" s="293" t="s">
        <v>41</v>
      </c>
      <c r="J3" s="288" t="s">
        <v>17</v>
      </c>
      <c r="K3" s="289"/>
    </row>
    <row r="4" spans="1:11" ht="12" customHeight="1" x14ac:dyDescent="0.2">
      <c r="A4" s="283"/>
      <c r="B4" s="275"/>
      <c r="C4" s="280"/>
      <c r="D4" s="280"/>
      <c r="E4" s="280"/>
      <c r="F4" s="280"/>
      <c r="G4" s="280"/>
      <c r="H4" s="280"/>
      <c r="I4" s="294"/>
      <c r="J4" s="277" t="s">
        <v>3</v>
      </c>
      <c r="K4" s="270" t="s">
        <v>16</v>
      </c>
    </row>
    <row r="5" spans="1:11" ht="12" customHeight="1" x14ac:dyDescent="0.2">
      <c r="A5" s="283"/>
      <c r="B5" s="275"/>
      <c r="C5" s="280"/>
      <c r="D5" s="280"/>
      <c r="E5" s="280"/>
      <c r="F5" s="280"/>
      <c r="G5" s="280"/>
      <c r="H5" s="280"/>
      <c r="I5" s="294"/>
      <c r="J5" s="277"/>
      <c r="K5" s="270"/>
    </row>
    <row r="6" spans="1:11" ht="12" customHeight="1" x14ac:dyDescent="0.2">
      <c r="A6" s="284"/>
      <c r="B6" s="276"/>
      <c r="C6" s="281"/>
      <c r="D6" s="281"/>
      <c r="E6" s="281"/>
      <c r="F6" s="281"/>
      <c r="G6" s="281"/>
      <c r="H6" s="281"/>
      <c r="I6" s="295"/>
      <c r="J6" s="278"/>
      <c r="K6" s="271"/>
    </row>
    <row r="7" spans="1:11" ht="12" customHeight="1" x14ac:dyDescent="0.2">
      <c r="A7" s="75"/>
      <c r="B7" s="76" t="s">
        <v>33</v>
      </c>
      <c r="C7" s="267" t="s">
        <v>35</v>
      </c>
      <c r="D7" s="268"/>
      <c r="E7" s="268"/>
      <c r="F7" s="268"/>
      <c r="G7" s="268"/>
      <c r="H7" s="268"/>
      <c r="I7" s="268"/>
      <c r="J7" s="269" t="s">
        <v>36</v>
      </c>
      <c r="K7" s="269"/>
    </row>
    <row r="8" spans="1:11" ht="12" customHeight="1" x14ac:dyDescent="0.2">
      <c r="A8" s="40">
        <v>1970</v>
      </c>
      <c r="B8" s="69">
        <v>205.05199999999999</v>
      </c>
      <c r="C8" s="202">
        <f>SUM(Asparagus:MiscFrozen!C8)</f>
        <v>9060.2582800000018</v>
      </c>
      <c r="D8" s="202">
        <f>SUM(Asparagus:MiscFrozen!D8)</f>
        <v>0.24307000000000001</v>
      </c>
      <c r="E8" s="202">
        <f>SUM(Asparagus:MiscFrozen!E8)</f>
        <v>3241.36474</v>
      </c>
      <c r="F8" s="64">
        <f t="shared" ref="F8:F49" si="0">SUM(C8,D8,E8)</f>
        <v>12301.866090000003</v>
      </c>
      <c r="G8" s="202">
        <f>SUM(Asparagus:MiscFrozen!G8)</f>
        <v>15.670020000000001</v>
      </c>
      <c r="H8" s="202">
        <f>SUM(Asparagus:MiscFrozen!H8)</f>
        <v>3325.0224964000004</v>
      </c>
      <c r="I8" s="202">
        <f>SUM(Asparagus:MiscFrozen!I8)</f>
        <v>8961.1735735999991</v>
      </c>
      <c r="J8" s="41">
        <f>SUM(Asparagus:MiscFrozen!J8)</f>
        <v>43.701956448120484</v>
      </c>
      <c r="K8" s="41">
        <f>SUM(Asparagus:MiscFrozen!K8)</f>
        <v>21.52525236738332</v>
      </c>
    </row>
    <row r="9" spans="1:11" ht="12" customHeight="1" x14ac:dyDescent="0.2">
      <c r="A9" s="99">
        <v>1971</v>
      </c>
      <c r="B9" s="79">
        <v>207.661</v>
      </c>
      <c r="C9" s="203">
        <f>SUM(Asparagus:MiscFrozen!C9)</f>
        <v>9346.9994200000019</v>
      </c>
      <c r="D9" s="203">
        <f>SUM(Asparagus:MiscFrozen!D9)</f>
        <v>0.21364000000000002</v>
      </c>
      <c r="E9" s="203">
        <f>SUM(Asparagus:MiscFrozen!E9)</f>
        <v>3325.0224964000004</v>
      </c>
      <c r="F9" s="107">
        <f t="shared" si="0"/>
        <v>12672.235556400003</v>
      </c>
      <c r="G9" s="203">
        <f>SUM(Asparagus:MiscFrozen!G9)</f>
        <v>10.11468</v>
      </c>
      <c r="H9" s="203">
        <f>SUM(Asparagus:MiscFrozen!H9)</f>
        <v>3250.6503599999996</v>
      </c>
      <c r="I9" s="203">
        <f>SUM(Asparagus:MiscFrozen!I9)</f>
        <v>9411.4705164000006</v>
      </c>
      <c r="J9" s="100">
        <f>SUM(Asparagus:MiscFrozen!J9)</f>
        <v>45.321319440819416</v>
      </c>
      <c r="K9" s="100">
        <f>SUM(Asparagus:MiscFrozen!K9)</f>
        <v>22.692047273214399</v>
      </c>
    </row>
    <row r="10" spans="1:11" ht="12" customHeight="1" x14ac:dyDescent="0.2">
      <c r="A10" s="99">
        <v>1972</v>
      </c>
      <c r="B10" s="79">
        <v>209.89599999999999</v>
      </c>
      <c r="C10" s="203">
        <f>SUM(Asparagus:MiscFrozen!C10)</f>
        <v>9716.699779999999</v>
      </c>
      <c r="D10" s="203">
        <f>SUM(Asparagus:MiscFrozen!D10)</f>
        <v>0.28558000000000006</v>
      </c>
      <c r="E10" s="203">
        <f>SUM(Asparagus:MiscFrozen!E10)</f>
        <v>3250.6503599999996</v>
      </c>
      <c r="F10" s="107">
        <f t="shared" si="0"/>
        <v>12967.635719999998</v>
      </c>
      <c r="G10" s="203">
        <f>SUM(Asparagus:MiscFrozen!G10)</f>
        <v>15.323830000000001</v>
      </c>
      <c r="H10" s="203">
        <f>SUM(Asparagus:MiscFrozen!H10)</f>
        <v>3451.3057200000003</v>
      </c>
      <c r="I10" s="203">
        <f>SUM(Asparagus:MiscFrozen!I10)</f>
        <v>9501.0061700000006</v>
      </c>
      <c r="J10" s="100">
        <f>SUM(Asparagus:MiscFrozen!J10)</f>
        <v>45.265303626557916</v>
      </c>
      <c r="K10" s="100">
        <f>SUM(Asparagus:MiscFrozen!K10)</f>
        <v>22.94745952749836</v>
      </c>
    </row>
    <row r="11" spans="1:11" ht="12" customHeight="1" x14ac:dyDescent="0.2">
      <c r="A11" s="99">
        <v>1973</v>
      </c>
      <c r="B11" s="79">
        <v>211.90899999999999</v>
      </c>
      <c r="C11" s="203">
        <f>SUM(Asparagus:MiscFrozen!C11)</f>
        <v>10695.27216</v>
      </c>
      <c r="D11" s="203">
        <f>SUM(Asparagus:MiscFrozen!D11)</f>
        <v>1.1935500000000001</v>
      </c>
      <c r="E11" s="203">
        <f>SUM(Asparagus:MiscFrozen!E11)</f>
        <v>3451.3131400000002</v>
      </c>
      <c r="F11" s="107">
        <f t="shared" si="0"/>
        <v>14147.778850000001</v>
      </c>
      <c r="G11" s="203">
        <f>SUM(Asparagus:MiscFrozen!G11)</f>
        <v>27.70796</v>
      </c>
      <c r="H11" s="203">
        <f>SUM(Asparagus:MiscFrozen!H11)</f>
        <v>3397.9685542000002</v>
      </c>
      <c r="I11" s="203">
        <f>SUM(Asparagus:MiscFrozen!I11)</f>
        <v>10722.102335799998</v>
      </c>
      <c r="J11" s="100">
        <f>SUM(Asparagus:MiscFrozen!J11)</f>
        <v>50.59767322671523</v>
      </c>
      <c r="K11" s="100">
        <f>SUM(Asparagus:MiscFrozen!K11)</f>
        <v>25.863163209974864</v>
      </c>
    </row>
    <row r="12" spans="1:11" ht="12" customHeight="1" x14ac:dyDescent="0.2">
      <c r="A12" s="99">
        <v>1974</v>
      </c>
      <c r="B12" s="79">
        <v>213.85400000000001</v>
      </c>
      <c r="C12" s="203">
        <f>SUM(Asparagus:MiscFrozen!C12)</f>
        <v>11562.90742</v>
      </c>
      <c r="D12" s="203">
        <f>SUM(Asparagus:MiscFrozen!D12)</f>
        <v>12.6752</v>
      </c>
      <c r="E12" s="203">
        <f>SUM(Asparagus:MiscFrozen!E12)</f>
        <v>3397.9189142</v>
      </c>
      <c r="F12" s="107">
        <f t="shared" si="0"/>
        <v>14973.501534199999</v>
      </c>
      <c r="G12" s="203">
        <f>SUM(Asparagus:MiscFrozen!G12)</f>
        <v>40.390250000000002</v>
      </c>
      <c r="H12" s="203">
        <f>SUM(Asparagus:MiscFrozen!H12)</f>
        <v>4016.1910331200006</v>
      </c>
      <c r="I12" s="203">
        <f>SUM(Asparagus:MiscFrozen!I12)</f>
        <v>10916.920251080001</v>
      </c>
      <c r="J12" s="100">
        <f>SUM(Asparagus:MiscFrozen!J12)</f>
        <v>51.048473496310564</v>
      </c>
      <c r="K12" s="100">
        <f>SUM(Asparagus:MiscFrozen!K12)</f>
        <v>26.328314476973325</v>
      </c>
    </row>
    <row r="13" spans="1:11" ht="12" customHeight="1" x14ac:dyDescent="0.2">
      <c r="A13" s="99">
        <v>1975</v>
      </c>
      <c r="B13" s="79">
        <v>215.97300000000001</v>
      </c>
      <c r="C13" s="203">
        <f>SUM(Asparagus:MiscFrozen!C13)</f>
        <v>11434.781580000001</v>
      </c>
      <c r="D13" s="203">
        <f>SUM(Asparagus:MiscFrozen!D13)</f>
        <v>11.745706999999999</v>
      </c>
      <c r="E13" s="203">
        <f>SUM(Asparagus:MiscFrozen!E13)</f>
        <v>4016.1817531200004</v>
      </c>
      <c r="F13" s="107">
        <f t="shared" si="0"/>
        <v>15462.70904012</v>
      </c>
      <c r="G13" s="203">
        <f>SUM(Asparagus:MiscFrozen!G13)</f>
        <v>39.187120000000007</v>
      </c>
      <c r="H13" s="203">
        <f>SUM(Asparagus:MiscFrozen!H13)</f>
        <v>4055.1883407999999</v>
      </c>
      <c r="I13" s="203">
        <f>SUM(Asparagus:MiscFrozen!I13)</f>
        <v>11368.33357932</v>
      </c>
      <c r="J13" s="100">
        <f>SUM(Asparagus:MiscFrozen!J13)</f>
        <v>52.63775369754552</v>
      </c>
      <c r="K13" s="100">
        <f>SUM(Asparagus:MiscFrozen!K13)</f>
        <v>27.180013976112889</v>
      </c>
    </row>
    <row r="14" spans="1:11" ht="12" customHeight="1" x14ac:dyDescent="0.2">
      <c r="A14" s="40">
        <v>1976</v>
      </c>
      <c r="B14" s="69">
        <v>218.035</v>
      </c>
      <c r="C14" s="202">
        <f>SUM(Asparagus:MiscFrozen!C14)</f>
        <v>12513.62414</v>
      </c>
      <c r="D14" s="202">
        <f>SUM(Asparagus:MiscFrozen!D14)</f>
        <v>8.645187</v>
      </c>
      <c r="E14" s="202">
        <f>SUM(Asparagus:MiscFrozen!E14)</f>
        <v>4055.2059408</v>
      </c>
      <c r="F14" s="64">
        <f t="shared" si="0"/>
        <v>16577.4752678</v>
      </c>
      <c r="G14" s="202">
        <f>SUM(Asparagus:MiscFrozen!G14)</f>
        <v>75.551069999999996</v>
      </c>
      <c r="H14" s="202">
        <f>SUM(Asparagus:MiscFrozen!H14)</f>
        <v>3968.63708864</v>
      </c>
      <c r="I14" s="202">
        <f>SUM(Asparagus:MiscFrozen!I14)</f>
        <v>12533.287109160001</v>
      </c>
      <c r="J14" s="41">
        <f>SUM(Asparagus:MiscFrozen!J14)</f>
        <v>57.482913794390811</v>
      </c>
      <c r="K14" s="41">
        <f>SUM(Asparagus:MiscFrozen!K14)</f>
        <v>29.887664631763734</v>
      </c>
    </row>
    <row r="15" spans="1:11" ht="12" customHeight="1" x14ac:dyDescent="0.2">
      <c r="A15" s="40">
        <v>1977</v>
      </c>
      <c r="B15" s="69">
        <v>220.23899999999998</v>
      </c>
      <c r="C15" s="202">
        <f>SUM(Asparagus:MiscFrozen!C15)</f>
        <v>13419.659580000001</v>
      </c>
      <c r="D15" s="202">
        <f>SUM(Asparagus:MiscFrozen!D15)</f>
        <v>19.510866999999998</v>
      </c>
      <c r="E15" s="202">
        <f>SUM(Asparagus:MiscFrozen!E15)</f>
        <v>3968.6338686399999</v>
      </c>
      <c r="F15" s="64">
        <f t="shared" si="0"/>
        <v>17407.804315640002</v>
      </c>
      <c r="G15" s="202">
        <f>SUM(Asparagus:MiscFrozen!G15)</f>
        <v>70.855879999999999</v>
      </c>
      <c r="H15" s="202">
        <f>SUM(Asparagus:MiscFrozen!H15)</f>
        <v>4340.7360145800003</v>
      </c>
      <c r="I15" s="202">
        <f>SUM(Asparagus:MiscFrozen!I15)</f>
        <v>12996.212421060001</v>
      </c>
      <c r="J15" s="41">
        <f>SUM(Asparagus:MiscFrozen!J15)</f>
        <v>59.009586953536839</v>
      </c>
      <c r="K15" s="41">
        <f>SUM(Asparagus:MiscFrozen!K15)</f>
        <v>30.142293587085916</v>
      </c>
    </row>
    <row r="16" spans="1:11" ht="12" customHeight="1" x14ac:dyDescent="0.2">
      <c r="A16" s="40">
        <v>1978</v>
      </c>
      <c r="B16" s="69">
        <v>222.58500000000001</v>
      </c>
      <c r="C16" s="202">
        <f>SUM(Asparagus:MiscFrozen!C16)</f>
        <v>13559.0353</v>
      </c>
      <c r="D16" s="202">
        <f>SUM(Asparagus:MiscFrozen!D16)</f>
        <v>127.82191073438</v>
      </c>
      <c r="E16" s="202">
        <f>SUM(Asparagus:MiscFrozen!E16)</f>
        <v>4340.7101345800002</v>
      </c>
      <c r="F16" s="64">
        <f t="shared" si="0"/>
        <v>18027.567345314379</v>
      </c>
      <c r="G16" s="202">
        <f>SUM(Asparagus:MiscFrozen!G16)</f>
        <v>391.1008115925344</v>
      </c>
      <c r="H16" s="202">
        <f>SUM(Asparagus:MiscFrozen!H16)</f>
        <v>4490.9658774999998</v>
      </c>
      <c r="I16" s="202">
        <f>SUM(Asparagus:MiscFrozen!I16)</f>
        <v>13114.400656221844</v>
      </c>
      <c r="J16" s="41">
        <f>SUM(Asparagus:MiscFrozen!J16)</f>
        <v>58.918618308609489</v>
      </c>
      <c r="K16" s="41">
        <f>SUM(Asparagus:MiscFrozen!K16)</f>
        <v>30.444423854117353</v>
      </c>
    </row>
    <row r="17" spans="1:11" ht="12" customHeight="1" x14ac:dyDescent="0.2">
      <c r="A17" s="40">
        <v>1979</v>
      </c>
      <c r="B17" s="69">
        <v>225.05500000000001</v>
      </c>
      <c r="C17" s="202">
        <f>SUM(Asparagus:MiscFrozen!C17)</f>
        <v>12979.579599999999</v>
      </c>
      <c r="D17" s="202">
        <f>SUM(Asparagus:MiscFrozen!D17)</f>
        <v>132.97954184741999</v>
      </c>
      <c r="E17" s="202">
        <f>SUM(Asparagus:MiscFrozen!E17)</f>
        <v>4490.9555374999991</v>
      </c>
      <c r="F17" s="64">
        <f t="shared" si="0"/>
        <v>17603.51467934742</v>
      </c>
      <c r="G17" s="202">
        <f>SUM(Asparagus:MiscFrozen!G17)</f>
        <v>490.58835277318758</v>
      </c>
      <c r="H17" s="202">
        <f>SUM(Asparagus:MiscFrozen!H17)</f>
        <v>4596.3402791999997</v>
      </c>
      <c r="I17" s="202">
        <f>SUM(Asparagus:MiscFrozen!I17)</f>
        <v>12478.186047374233</v>
      </c>
      <c r="J17" s="41">
        <f>SUM(Asparagus:MiscFrozen!J17)</f>
        <v>55.445051420204983</v>
      </c>
      <c r="K17" s="41">
        <f>SUM(Asparagus:MiscFrozen!K17)</f>
        <v>28.627495145451636</v>
      </c>
    </row>
    <row r="18" spans="1:11" ht="12" customHeight="1" x14ac:dyDescent="0.2">
      <c r="A18" s="40">
        <v>1980</v>
      </c>
      <c r="B18" s="69">
        <v>227.726</v>
      </c>
      <c r="C18" s="202">
        <f>SUM(Asparagus:MiscFrozen!C18)</f>
        <v>11703.020000000002</v>
      </c>
      <c r="D18" s="202">
        <f>SUM(Asparagus:MiscFrozen!D18)</f>
        <v>115.93157217397999</v>
      </c>
      <c r="E18" s="202">
        <f>SUM(Asparagus:MiscFrozen!E18)</f>
        <v>4596.3651791999991</v>
      </c>
      <c r="F18" s="64">
        <f t="shared" si="0"/>
        <v>16415.316751373983</v>
      </c>
      <c r="G18" s="202">
        <f>SUM(Asparagus:MiscFrozen!G18)</f>
        <v>602.07372927444135</v>
      </c>
      <c r="H18" s="202">
        <f>SUM(Asparagus:MiscFrozen!H18)</f>
        <v>4028.9597696000001</v>
      </c>
      <c r="I18" s="202">
        <f>SUM(Asparagus:MiscFrozen!I18)</f>
        <v>11741.083252499537</v>
      </c>
      <c r="J18" s="41">
        <f>SUM(Asparagus:MiscFrozen!J18)</f>
        <v>51.557939157142961</v>
      </c>
      <c r="K18" s="41">
        <f>SUM(Asparagus:MiscFrozen!K18)</f>
        <v>26.731203903348288</v>
      </c>
    </row>
    <row r="19" spans="1:11" ht="12" customHeight="1" x14ac:dyDescent="0.2">
      <c r="A19" s="99">
        <v>1981</v>
      </c>
      <c r="B19" s="79">
        <v>229.96600000000001</v>
      </c>
      <c r="C19" s="203">
        <f>SUM(Asparagus:MiscFrozen!C19)</f>
        <v>13721.76</v>
      </c>
      <c r="D19" s="203">
        <f>SUM(Asparagus:MiscFrozen!D19)</f>
        <v>145.17890076290001</v>
      </c>
      <c r="E19" s="203">
        <f>SUM(Asparagus:MiscFrozen!E19)</f>
        <v>4028.9597696000001</v>
      </c>
      <c r="F19" s="107">
        <f t="shared" si="0"/>
        <v>17895.898670362898</v>
      </c>
      <c r="G19" s="203">
        <f>SUM(Asparagus:MiscFrozen!G19)</f>
        <v>649.77050160431418</v>
      </c>
      <c r="H19" s="203">
        <f>SUM(Asparagus:MiscFrozen!H19)</f>
        <v>3808.1240955400003</v>
      </c>
      <c r="I19" s="203">
        <f>SUM(Asparagus:MiscFrozen!I19)</f>
        <v>13394.504073218584</v>
      </c>
      <c r="J19" s="100">
        <f>SUM(Asparagus:MiscFrozen!J19)</f>
        <v>58.245584448216633</v>
      </c>
      <c r="K19" s="100">
        <f>SUM(Asparagus:MiscFrozen!K19)</f>
        <v>30.258289580562845</v>
      </c>
    </row>
    <row r="20" spans="1:11" ht="12" customHeight="1" x14ac:dyDescent="0.2">
      <c r="A20" s="99">
        <v>1982</v>
      </c>
      <c r="B20" s="79">
        <v>232.18799999999999</v>
      </c>
      <c r="C20" s="203">
        <f>SUM(Asparagus:MiscFrozen!C20)</f>
        <v>14173.987698733999</v>
      </c>
      <c r="D20" s="203">
        <f>SUM(Asparagus:MiscFrozen!D20)</f>
        <v>190.60247455254003</v>
      </c>
      <c r="E20" s="203">
        <f>SUM(Asparagus:MiscFrozen!E20)</f>
        <v>3808.1240955400003</v>
      </c>
      <c r="F20" s="107">
        <f t="shared" si="0"/>
        <v>18172.714268826538</v>
      </c>
      <c r="G20" s="203">
        <f>SUM(Asparagus:MiscFrozen!G20)</f>
        <v>608.28696044218486</v>
      </c>
      <c r="H20" s="203">
        <f>SUM(Asparagus:MiscFrozen!H20)</f>
        <v>4914.8627849799996</v>
      </c>
      <c r="I20" s="203">
        <f>SUM(Asparagus:MiscFrozen!I20)</f>
        <v>12620.464523404355</v>
      </c>
      <c r="J20" s="100">
        <f>SUM(Asparagus:MiscFrozen!J20)</f>
        <v>54.354508085707948</v>
      </c>
      <c r="K20" s="100">
        <f>SUM(Asparagus:MiscFrozen!K20)</f>
        <v>28.276025674746325</v>
      </c>
    </row>
    <row r="21" spans="1:11" ht="12" customHeight="1" x14ac:dyDescent="0.2">
      <c r="A21" s="99">
        <v>1983</v>
      </c>
      <c r="B21" s="79">
        <v>234.30699999999999</v>
      </c>
      <c r="C21" s="203">
        <f>SUM(Asparagus:MiscFrozen!C21)</f>
        <v>13362.688206261999</v>
      </c>
      <c r="D21" s="203">
        <f>SUM(Asparagus:MiscFrozen!D21)</f>
        <v>207.65528426714002</v>
      </c>
      <c r="E21" s="203">
        <f>SUM(Asparagus:MiscFrozen!E21)</f>
        <v>4914.8627849799996</v>
      </c>
      <c r="F21" s="107">
        <f t="shared" si="0"/>
        <v>18485.206275509139</v>
      </c>
      <c r="G21" s="203">
        <f>SUM(Asparagus:MiscFrozen!G21)</f>
        <v>652.54638446285992</v>
      </c>
      <c r="H21" s="203">
        <f>SUM(Asparagus:MiscFrozen!H21)</f>
        <v>4719.4388082599999</v>
      </c>
      <c r="I21" s="203">
        <f>SUM(Asparagus:MiscFrozen!I21)</f>
        <v>13095.621082786281</v>
      </c>
      <c r="J21" s="100">
        <f>SUM(Asparagus:MiscFrozen!J21)</f>
        <v>55.890865756406257</v>
      </c>
      <c r="K21" s="100">
        <f>SUM(Asparagus:MiscFrozen!K21)</f>
        <v>28.860926307468649</v>
      </c>
    </row>
    <row r="22" spans="1:11" ht="12" customHeight="1" x14ac:dyDescent="0.2">
      <c r="A22" s="99">
        <v>1984</v>
      </c>
      <c r="B22" s="79">
        <v>236.34800000000001</v>
      </c>
      <c r="C22" s="203">
        <f>SUM(Asparagus:MiscFrozen!C22)</f>
        <v>15229.347595414003</v>
      </c>
      <c r="D22" s="203">
        <f>SUM(Asparagus:MiscFrozen!D22)</f>
        <v>322.53830687454001</v>
      </c>
      <c r="E22" s="203">
        <f>SUM(Asparagus:MiscFrozen!E22)</f>
        <v>4719.4388082599999</v>
      </c>
      <c r="F22" s="107">
        <f t="shared" si="0"/>
        <v>20271.324710548542</v>
      </c>
      <c r="G22" s="203">
        <f>SUM(Asparagus:MiscFrozen!G22)</f>
        <v>672.64734864074444</v>
      </c>
      <c r="H22" s="203">
        <f>SUM(Asparagus:MiscFrozen!H22)</f>
        <v>4760.2515316399995</v>
      </c>
      <c r="I22" s="203">
        <f>SUM(Asparagus:MiscFrozen!I22)</f>
        <v>14817.125830267796</v>
      </c>
      <c r="J22" s="100">
        <f>SUM(Asparagus:MiscFrozen!J22)</f>
        <v>62.691987367220349</v>
      </c>
      <c r="K22" s="100">
        <f>SUM(Asparagus:MiscFrozen!K22)</f>
        <v>32.246650083363534</v>
      </c>
    </row>
    <row r="23" spans="1:11" ht="12" customHeight="1" x14ac:dyDescent="0.2">
      <c r="A23" s="99">
        <v>1985</v>
      </c>
      <c r="B23" s="79">
        <v>238.46600000000001</v>
      </c>
      <c r="C23" s="203">
        <f>SUM(Asparagus:MiscFrozen!C23)</f>
        <v>16156.579813716</v>
      </c>
      <c r="D23" s="203">
        <f>SUM(Asparagus:MiscFrozen!D23)</f>
        <v>400.46036551095995</v>
      </c>
      <c r="E23" s="203">
        <f>SUM(Asparagus:MiscFrozen!E23)</f>
        <v>4760.2515316399995</v>
      </c>
      <c r="F23" s="107">
        <f t="shared" si="0"/>
        <v>21317.291710866957</v>
      </c>
      <c r="G23" s="203">
        <f>SUM(Asparagus:MiscFrozen!G23)</f>
        <v>661.74990321091434</v>
      </c>
      <c r="H23" s="203">
        <f>SUM(Asparagus:MiscFrozen!H23)</f>
        <v>5226.4423684199992</v>
      </c>
      <c r="I23" s="203">
        <f>SUM(Asparagus:MiscFrozen!I23)</f>
        <v>15391.999439236046</v>
      </c>
      <c r="J23" s="100">
        <f>SUM(Asparagus:MiscFrozen!J23)</f>
        <v>64.545886789882175</v>
      </c>
      <c r="K23" s="100">
        <f>SUM(Asparagus:MiscFrozen!K23)</f>
        <v>33.29060882392487</v>
      </c>
    </row>
    <row r="24" spans="1:11" ht="12" customHeight="1" x14ac:dyDescent="0.2">
      <c r="A24" s="40">
        <v>1986</v>
      </c>
      <c r="B24" s="69">
        <v>240.65100000000001</v>
      </c>
      <c r="C24" s="202">
        <f>SUM(Asparagus:MiscFrozen!C24)</f>
        <v>15763.376812460003</v>
      </c>
      <c r="D24" s="202">
        <f>SUM(Asparagus:MiscFrozen!D24)</f>
        <v>465.33649680735999</v>
      </c>
      <c r="E24" s="202">
        <f>SUM(Asparagus:MiscFrozen!E24)</f>
        <v>5226.4423684199992</v>
      </c>
      <c r="F24" s="64">
        <f t="shared" si="0"/>
        <v>21455.155677687362</v>
      </c>
      <c r="G24" s="202">
        <f>SUM(Asparagus:MiscFrozen!G24)</f>
        <v>876.91530224289897</v>
      </c>
      <c r="H24" s="202">
        <f>SUM(Asparagus:MiscFrozen!H24)</f>
        <v>4999.4079999999994</v>
      </c>
      <c r="I24" s="202">
        <f>SUM(Asparagus:MiscFrozen!I24)</f>
        <v>15530.332375444461</v>
      </c>
      <c r="J24" s="41">
        <f>SUM(Asparagus:MiscFrozen!J24)</f>
        <v>64.534667944219891</v>
      </c>
      <c r="K24" s="41">
        <f>SUM(Asparagus:MiscFrozen!K24)</f>
        <v>33.173452371429129</v>
      </c>
    </row>
    <row r="25" spans="1:11" ht="12" customHeight="1" x14ac:dyDescent="0.2">
      <c r="A25" s="40">
        <v>1987</v>
      </c>
      <c r="B25" s="69">
        <v>242.804</v>
      </c>
      <c r="C25" s="202">
        <f>SUM(Asparagus:MiscFrozen!C25)</f>
        <v>16909.007891622001</v>
      </c>
      <c r="D25" s="202">
        <f>SUM(Asparagus:MiscFrozen!D25)</f>
        <v>647.6056900000001</v>
      </c>
      <c r="E25" s="202">
        <f>SUM(Asparagus:MiscFrozen!E25)</f>
        <v>4999.4079999999994</v>
      </c>
      <c r="F25" s="64">
        <f t="shared" si="0"/>
        <v>22556.021581622001</v>
      </c>
      <c r="G25" s="202">
        <f>SUM(Asparagus:MiscFrozen!G25)</f>
        <v>949.14372204843858</v>
      </c>
      <c r="H25" s="202">
        <f>SUM(Asparagus:MiscFrozen!H25)</f>
        <v>5279.1487299999999</v>
      </c>
      <c r="I25" s="202">
        <f>SUM(Asparagus:MiscFrozen!I25)</f>
        <v>16260.829129573562</v>
      </c>
      <c r="J25" s="41">
        <f>SUM(Asparagus:MiscFrozen!J25)</f>
        <v>66.97101007221282</v>
      </c>
      <c r="K25" s="41">
        <f>SUM(Asparagus:MiscFrozen!K25)</f>
        <v>34.377044571976498</v>
      </c>
    </row>
    <row r="26" spans="1:11" ht="12" customHeight="1" x14ac:dyDescent="0.2">
      <c r="A26" s="40">
        <v>1988</v>
      </c>
      <c r="B26" s="69">
        <v>245.02099999999999</v>
      </c>
      <c r="C26" s="202">
        <f>SUM(Asparagus:MiscFrozen!C26)</f>
        <v>15839.050690188002</v>
      </c>
      <c r="D26" s="202">
        <f>SUM(Asparagus:MiscFrozen!D26)</f>
        <v>658.40344000000005</v>
      </c>
      <c r="E26" s="202">
        <f>SUM(Asparagus:MiscFrozen!E26)</f>
        <v>5279.1487299999999</v>
      </c>
      <c r="F26" s="64">
        <f t="shared" si="0"/>
        <v>21776.602860188003</v>
      </c>
      <c r="G26" s="202">
        <f>SUM(Asparagus:MiscFrozen!G26)</f>
        <v>1233.7806229864029</v>
      </c>
      <c r="H26" s="202">
        <f>SUM(Asparagus:MiscFrozen!H26)</f>
        <v>4729.8173500000003</v>
      </c>
      <c r="I26" s="202">
        <f>SUM(Asparagus:MiscFrozen!I26)</f>
        <v>15748.804887201597</v>
      </c>
      <c r="J26" s="41">
        <f>SUM(Asparagus:MiscFrozen!J26)</f>
        <v>64.275326960552775</v>
      </c>
      <c r="K26" s="41">
        <f>SUM(Asparagus:MiscFrozen!K26)</f>
        <v>33.027273811469627</v>
      </c>
    </row>
    <row r="27" spans="1:11" ht="12" customHeight="1" x14ac:dyDescent="0.2">
      <c r="A27" s="40">
        <v>1989</v>
      </c>
      <c r="B27" s="69">
        <v>247.34200000000001</v>
      </c>
      <c r="C27" s="202">
        <f>SUM(Asparagus:MiscFrozen!C27)</f>
        <v>17270.652110446001</v>
      </c>
      <c r="D27" s="202">
        <f>SUM(Asparagus:MiscFrozen!D27)</f>
        <v>979.3474553428</v>
      </c>
      <c r="E27" s="202">
        <f>SUM(Asparagus:MiscFrozen!E27)</f>
        <v>4729.8173500000003</v>
      </c>
      <c r="F27" s="64">
        <f t="shared" si="0"/>
        <v>22979.816915788801</v>
      </c>
      <c r="G27" s="202">
        <f>SUM(Asparagus:MiscFrozen!G27)</f>
        <v>1294.6549443855999</v>
      </c>
      <c r="H27" s="202">
        <f>SUM(Asparagus:MiscFrozen!H27)</f>
        <v>5006.4827000000005</v>
      </c>
      <c r="I27" s="202">
        <f>SUM(Asparagus:MiscFrozen!I27)</f>
        <v>16678.679271403198</v>
      </c>
      <c r="J27" s="41">
        <f>SUM(Asparagus:MiscFrozen!J27)</f>
        <v>67.431650392586775</v>
      </c>
      <c r="K27" s="41">
        <f>SUM(Asparagus:MiscFrozen!K27)</f>
        <v>34.689115824541162</v>
      </c>
    </row>
    <row r="28" spans="1:11" ht="12" customHeight="1" x14ac:dyDescent="0.2">
      <c r="A28" s="40">
        <v>1990</v>
      </c>
      <c r="B28" s="69">
        <v>250.13200000000001</v>
      </c>
      <c r="C28" s="202">
        <f>SUM(Asparagus:MiscFrozen!C28)</f>
        <v>17963.252632688</v>
      </c>
      <c r="D28" s="202">
        <f>SUM(Asparagus:MiscFrozen!D28)</f>
        <v>988.82247372199981</v>
      </c>
      <c r="E28" s="202">
        <f>SUM(Asparagus:MiscFrozen!E28)</f>
        <v>5006.4827000000005</v>
      </c>
      <c r="F28" s="64">
        <f t="shared" si="0"/>
        <v>23958.557806410001</v>
      </c>
      <c r="G28" s="202">
        <f>SUM(Asparagus:MiscFrozen!G28)</f>
        <v>1532.2060444700001</v>
      </c>
      <c r="H28" s="202">
        <f>SUM(Asparagus:MiscFrozen!H28)</f>
        <v>5754.1651213999994</v>
      </c>
      <c r="I28" s="202">
        <f>SUM(Asparagus:MiscFrozen!I28)</f>
        <v>16672.18664054</v>
      </c>
      <c r="J28" s="41">
        <f>SUM(Asparagus:MiscFrozen!J28)</f>
        <v>66.653553485919446</v>
      </c>
      <c r="K28" s="41">
        <f>SUM(Asparagus:MiscFrozen!K28)</f>
        <v>34.196326767150161</v>
      </c>
    </row>
    <row r="29" spans="1:11" ht="12" customHeight="1" x14ac:dyDescent="0.2">
      <c r="A29" s="99">
        <v>1991</v>
      </c>
      <c r="B29" s="79">
        <v>253.49299999999999</v>
      </c>
      <c r="C29" s="203">
        <f>SUM(Asparagus:MiscFrozen!C29)</f>
        <v>18790.782712542004</v>
      </c>
      <c r="D29" s="203">
        <f>SUM(Asparagus:MiscFrozen!D29)</f>
        <v>1053.9910513279999</v>
      </c>
      <c r="E29" s="203">
        <f>SUM(Asparagus:MiscFrozen!E29)</f>
        <v>5754.1651213999994</v>
      </c>
      <c r="F29" s="107">
        <f t="shared" si="0"/>
        <v>25598.938885270007</v>
      </c>
      <c r="G29" s="203">
        <f>SUM(Asparagus:MiscFrozen!G29)</f>
        <v>1513.96630734</v>
      </c>
      <c r="H29" s="203">
        <f>SUM(Asparagus:MiscFrozen!H29)</f>
        <v>5718.0567322799989</v>
      </c>
      <c r="I29" s="203">
        <f>SUM(Asparagus:MiscFrozen!I29)</f>
        <v>18366.915845650001</v>
      </c>
      <c r="J29" s="100">
        <f>SUM(Asparagus:MiscFrozen!J29)</f>
        <v>72.455317683920256</v>
      </c>
      <c r="K29" s="100">
        <f>SUM(Asparagus:MiscFrozen!K29)</f>
        <v>37.003347646945485</v>
      </c>
    </row>
    <row r="30" spans="1:11" ht="12" customHeight="1" x14ac:dyDescent="0.2">
      <c r="A30" s="99">
        <v>1992</v>
      </c>
      <c r="B30" s="79">
        <v>256.89400000000001</v>
      </c>
      <c r="C30" s="203">
        <f>SUM(Asparagus:MiscFrozen!C30)</f>
        <v>18628.967299999997</v>
      </c>
      <c r="D30" s="203">
        <f>SUM(Asparagus:MiscFrozen!D30)</f>
        <v>1289.8312644759999</v>
      </c>
      <c r="E30" s="203">
        <f>SUM(Asparagus:MiscFrozen!E30)</f>
        <v>5718.0567322799989</v>
      </c>
      <c r="F30" s="107">
        <f t="shared" si="0"/>
        <v>25636.855296755995</v>
      </c>
      <c r="G30" s="203">
        <f>SUM(Asparagus:MiscFrozen!G30)</f>
        <v>1672.62498048</v>
      </c>
      <c r="H30" s="203">
        <f>SUM(Asparagus:MiscFrozen!H30)</f>
        <v>5864.8182076800003</v>
      </c>
      <c r="I30" s="203">
        <f>SUM(Asparagus:MiscFrozen!I30)</f>
        <v>18099.412108596</v>
      </c>
      <c r="J30" s="100">
        <f>SUM(Asparagus:MiscFrozen!J30)</f>
        <v>70.454787221951477</v>
      </c>
      <c r="K30" s="100">
        <f>SUM(Asparagus:MiscFrozen!K30)</f>
        <v>35.990031747697593</v>
      </c>
    </row>
    <row r="31" spans="1:11" ht="12" customHeight="1" x14ac:dyDescent="0.2">
      <c r="A31" s="99">
        <v>1993</v>
      </c>
      <c r="B31" s="79">
        <v>260.255</v>
      </c>
      <c r="C31" s="203">
        <f>SUM(Asparagus:MiscFrozen!C31)</f>
        <v>19443.515199999998</v>
      </c>
      <c r="D31" s="203">
        <f>SUM(Asparagus:MiscFrozen!D31)</f>
        <v>1530.3148513260001</v>
      </c>
      <c r="E31" s="203">
        <f>SUM(Asparagus:MiscFrozen!E31)</f>
        <v>5864.8182076800003</v>
      </c>
      <c r="F31" s="107">
        <f t="shared" si="0"/>
        <v>26838.648259005997</v>
      </c>
      <c r="G31" s="203">
        <f>SUM(Asparagus:MiscFrozen!G31)</f>
        <v>1791.4423455699998</v>
      </c>
      <c r="H31" s="203">
        <f>SUM(Asparagus:MiscFrozen!H31)</f>
        <v>5419.6446280199998</v>
      </c>
      <c r="I31" s="203">
        <f>SUM(Asparagus:MiscFrozen!I31)</f>
        <v>19627.561285415999</v>
      </c>
      <c r="J31" s="100">
        <f>SUM(Asparagus:MiscFrozen!J31)</f>
        <v>75.416653994797414</v>
      </c>
      <c r="K31" s="100">
        <f>SUM(Asparagus:MiscFrozen!K31)</f>
        <v>38.295919787563058</v>
      </c>
    </row>
    <row r="32" spans="1:11" ht="12" customHeight="1" x14ac:dyDescent="0.2">
      <c r="A32" s="99">
        <v>1994</v>
      </c>
      <c r="B32" s="79">
        <v>263.43599999999998</v>
      </c>
      <c r="C32" s="203">
        <f>SUM(Asparagus:MiscFrozen!C32)</f>
        <v>21602.391769999995</v>
      </c>
      <c r="D32" s="203">
        <f>SUM(Asparagus:MiscFrozen!D32)</f>
        <v>1609.1371494219998</v>
      </c>
      <c r="E32" s="203">
        <f>SUM(Asparagus:MiscFrozen!E32)</f>
        <v>5419.6446280199998</v>
      </c>
      <c r="F32" s="107">
        <f t="shared" si="0"/>
        <v>28631.173547441995</v>
      </c>
      <c r="G32" s="203">
        <f>SUM(Asparagus:MiscFrozen!G32)</f>
        <v>2040.50169435</v>
      </c>
      <c r="H32" s="203">
        <f>SUM(Asparagus:MiscFrozen!H32)</f>
        <v>6165.2034665400006</v>
      </c>
      <c r="I32" s="203">
        <f>SUM(Asparagus:MiscFrozen!I32)</f>
        <v>20425.468386552002</v>
      </c>
      <c r="J32" s="100">
        <f>SUM(Asparagus:MiscFrozen!J32)</f>
        <v>77.534841048877155</v>
      </c>
      <c r="K32" s="100">
        <f>SUM(Asparagus:MiscFrozen!K32)</f>
        <v>39.673186285803553</v>
      </c>
    </row>
    <row r="33" spans="1:11" ht="12" customHeight="1" x14ac:dyDescent="0.2">
      <c r="A33" s="99">
        <v>1995</v>
      </c>
      <c r="B33" s="79">
        <v>266.55700000000002</v>
      </c>
      <c r="C33" s="203">
        <f>SUM(Asparagus:MiscFrozen!C33)</f>
        <v>22045.337239999997</v>
      </c>
      <c r="D33" s="203">
        <f>SUM(Asparagus:MiscFrozen!D33)</f>
        <v>1699.2312233080002</v>
      </c>
      <c r="E33" s="203">
        <f>SUM(Asparagus:MiscFrozen!E33)</f>
        <v>6165.2034665400006</v>
      </c>
      <c r="F33" s="107">
        <f t="shared" si="0"/>
        <v>29909.771929848001</v>
      </c>
      <c r="G33" s="203">
        <f>SUM(Asparagus:MiscFrozen!G33)</f>
        <v>2454.48685372</v>
      </c>
      <c r="H33" s="203">
        <f>SUM(Asparagus:MiscFrozen!H33)</f>
        <v>6439.8776627000007</v>
      </c>
      <c r="I33" s="203">
        <f>SUM(Asparagus:MiscFrozen!I33)</f>
        <v>21015.407413428002</v>
      </c>
      <c r="J33" s="100">
        <f>SUM(Asparagus:MiscFrozen!J33)</f>
        <v>78.840200832947545</v>
      </c>
      <c r="K33" s="100">
        <f>SUM(Asparagus:MiscFrozen!K33)</f>
        <v>39.99844483655977</v>
      </c>
    </row>
    <row r="34" spans="1:11" ht="12" customHeight="1" x14ac:dyDescent="0.2">
      <c r="A34" s="40">
        <v>1996</v>
      </c>
      <c r="B34" s="69">
        <v>269.66699999999997</v>
      </c>
      <c r="C34" s="202">
        <f>SUM(Asparagus:MiscFrozen!C34)</f>
        <v>22688.830939999996</v>
      </c>
      <c r="D34" s="202">
        <f>SUM(Asparagus:MiscFrozen!D34)</f>
        <v>1986.030168326</v>
      </c>
      <c r="E34" s="202">
        <f>SUM(Asparagus:MiscFrozen!E34)</f>
        <v>6439.8637627000007</v>
      </c>
      <c r="F34" s="64">
        <f t="shared" si="0"/>
        <v>31114.724871025996</v>
      </c>
      <c r="G34" s="202">
        <f>SUM(Asparagus:MiscFrozen!G34)</f>
        <v>2498.2704511938368</v>
      </c>
      <c r="H34" s="202">
        <f>SUM(Asparagus:MiscFrozen!H34)</f>
        <v>6115.7489661200007</v>
      </c>
      <c r="I34" s="202">
        <f>SUM(Asparagus:MiscFrozen!I34)</f>
        <v>22500.705453712166</v>
      </c>
      <c r="J34" s="41">
        <f>SUM(Asparagus:MiscFrozen!J34)</f>
        <v>83.43885404484854</v>
      </c>
      <c r="K34" s="41">
        <f>SUM(Asparagus:MiscFrozen!K34)</f>
        <v>42.345066930737971</v>
      </c>
    </row>
    <row r="35" spans="1:11" ht="12" customHeight="1" x14ac:dyDescent="0.2">
      <c r="A35" s="40">
        <v>1997</v>
      </c>
      <c r="B35" s="69">
        <v>272.91199999999998</v>
      </c>
      <c r="C35" s="202">
        <f>SUM(Asparagus:MiscFrozen!C35)</f>
        <v>22587.830870000002</v>
      </c>
      <c r="D35" s="202">
        <f>SUM(Asparagus:MiscFrozen!D35)</f>
        <v>2519.2766703940001</v>
      </c>
      <c r="E35" s="202">
        <f>SUM(Asparagus:MiscFrozen!E35)</f>
        <v>6115.7489661200007</v>
      </c>
      <c r="F35" s="64">
        <f t="shared" si="0"/>
        <v>31222.856506514003</v>
      </c>
      <c r="G35" s="202">
        <f>SUM(Asparagus:MiscFrozen!G35)</f>
        <v>2842.6292219227907</v>
      </c>
      <c r="H35" s="202">
        <f>SUM(Asparagus:MiscFrozen!H35)</f>
        <v>6509.5303384200006</v>
      </c>
      <c r="I35" s="202">
        <f>SUM(Asparagus:MiscFrozen!I35)</f>
        <v>21870.696946171214</v>
      </c>
      <c r="J35" s="41">
        <f>SUM(Asparagus:MiscFrozen!J35)</f>
        <v>80.138275144263403</v>
      </c>
      <c r="K35" s="41">
        <f>SUM(Asparagus:MiscFrozen!K35)</f>
        <v>40.635730677066313</v>
      </c>
    </row>
    <row r="36" spans="1:11" ht="12" customHeight="1" x14ac:dyDescent="0.2">
      <c r="A36" s="40">
        <v>1998</v>
      </c>
      <c r="B36" s="69">
        <v>276.11500000000001</v>
      </c>
      <c r="C36" s="202">
        <f>SUM(Asparagus:MiscFrozen!C36)</f>
        <v>22328.982309999999</v>
      </c>
      <c r="D36" s="202">
        <f>SUM(Asparagus:MiscFrozen!D36)</f>
        <v>2903.0321269519995</v>
      </c>
      <c r="E36" s="202">
        <f>SUM(Asparagus:MiscFrozen!E36)</f>
        <v>6509.5303384200006</v>
      </c>
      <c r="F36" s="64">
        <f t="shared" si="0"/>
        <v>31741.544775372</v>
      </c>
      <c r="G36" s="202">
        <f>SUM(Asparagus:MiscFrozen!G36)</f>
        <v>3069.5003157136507</v>
      </c>
      <c r="H36" s="202">
        <f>SUM(Asparagus:MiscFrozen!H36)</f>
        <v>6416.240785160001</v>
      </c>
      <c r="I36" s="202">
        <f>SUM(Asparagus:MiscFrozen!I36)</f>
        <v>22255.803674498351</v>
      </c>
      <c r="J36" s="41">
        <f>SUM(Asparagus:MiscFrozen!J36)</f>
        <v>80.428820145585533</v>
      </c>
      <c r="K36" s="41">
        <f>SUM(Asparagus:MiscFrozen!K36)</f>
        <v>40.833951606705128</v>
      </c>
    </row>
    <row r="37" spans="1:11" ht="12" customHeight="1" x14ac:dyDescent="0.2">
      <c r="A37" s="40">
        <v>1999</v>
      </c>
      <c r="B37" s="69">
        <v>279.29500000000002</v>
      </c>
      <c r="C37" s="202">
        <f>SUM(Asparagus:MiscFrozen!C37)</f>
        <v>22374.312813333334</v>
      </c>
      <c r="D37" s="202">
        <f>SUM(Asparagus:MiscFrozen!D37)</f>
        <v>3335.6057031380001</v>
      </c>
      <c r="E37" s="202">
        <f>SUM(Asparagus:MiscFrozen!E37)</f>
        <v>6416.240785160001</v>
      </c>
      <c r="F37" s="64">
        <f t="shared" si="0"/>
        <v>32126.159301631335</v>
      </c>
      <c r="G37" s="202">
        <f>SUM(Asparagus:MiscFrozen!G37)</f>
        <v>3117.2014913653957</v>
      </c>
      <c r="H37" s="202">
        <f>SUM(Asparagus:MiscFrozen!H37)</f>
        <v>6327.1334076399999</v>
      </c>
      <c r="I37" s="202">
        <f>SUM(Asparagus:MiscFrozen!I37)</f>
        <v>22681.824402625945</v>
      </c>
      <c r="J37" s="41">
        <f>SUM(Asparagus:MiscFrozen!J37)</f>
        <v>81.390015584331778</v>
      </c>
      <c r="K37" s="41">
        <f>SUM(Asparagus:MiscFrozen!K37)</f>
        <v>41.369403738691958</v>
      </c>
    </row>
    <row r="38" spans="1:11" ht="12" customHeight="1" x14ac:dyDescent="0.2">
      <c r="A38" s="40">
        <v>2000</v>
      </c>
      <c r="B38" s="69">
        <v>282.38499999999999</v>
      </c>
      <c r="C38" s="202">
        <f>SUM(Asparagus:MiscFrozen!C38)</f>
        <v>21943.590350000002</v>
      </c>
      <c r="D38" s="202">
        <f>SUM(Asparagus:MiscFrozen!D38)</f>
        <v>3627.4720939979998</v>
      </c>
      <c r="E38" s="202">
        <f>SUM(Asparagus:MiscFrozen!E38)</f>
        <v>6327.1334076399999</v>
      </c>
      <c r="F38" s="64">
        <f t="shared" si="0"/>
        <v>31898.195851638004</v>
      </c>
      <c r="G38" s="202">
        <f>SUM(Asparagus:MiscFrozen!G38)</f>
        <v>3227.7645418443999</v>
      </c>
      <c r="H38" s="202">
        <f>SUM(Asparagus:MiscFrozen!H38)</f>
        <v>6175.7214803000006</v>
      </c>
      <c r="I38" s="202">
        <f>SUM(Asparagus:MiscFrozen!I38)</f>
        <v>22494.709829493597</v>
      </c>
      <c r="J38" s="41">
        <f>SUM(Asparagus:MiscFrozen!J38)</f>
        <v>79.659722062539558</v>
      </c>
      <c r="K38" s="41">
        <f>SUM(Asparagus:MiscFrozen!K38)</f>
        <v>40.776929685889314</v>
      </c>
    </row>
    <row r="39" spans="1:11" ht="12" customHeight="1" x14ac:dyDescent="0.2">
      <c r="A39" s="99">
        <v>2001</v>
      </c>
      <c r="B39" s="79">
        <v>285.30901899999998</v>
      </c>
      <c r="C39" s="203">
        <f>SUM(Asparagus:MiscFrozen!C39)</f>
        <v>22129.064254444442</v>
      </c>
      <c r="D39" s="203">
        <f>SUM(Asparagus:MiscFrozen!D39)</f>
        <v>3893.1424226399995</v>
      </c>
      <c r="E39" s="203">
        <f>SUM(Asparagus:MiscFrozen!E39)</f>
        <v>6175.7214803000006</v>
      </c>
      <c r="F39" s="107">
        <f t="shared" si="0"/>
        <v>32197.928157384442</v>
      </c>
      <c r="G39" s="203">
        <f>SUM(Asparagus:MiscFrozen!G39)</f>
        <v>3160.3367135423969</v>
      </c>
      <c r="H39" s="203">
        <f>SUM(Asparagus:MiscFrozen!H39)</f>
        <v>6312.152557540001</v>
      </c>
      <c r="I39" s="203">
        <f>SUM(Asparagus:MiscFrozen!I39)</f>
        <v>22725.43888630205</v>
      </c>
      <c r="J39" s="100">
        <f>SUM(Asparagus:MiscFrozen!J39)</f>
        <v>79.636951938424531</v>
      </c>
      <c r="K39" s="100">
        <f>SUM(Asparagus:MiscFrozen!K39)</f>
        <v>40.548613667880971</v>
      </c>
    </row>
    <row r="40" spans="1:11" ht="12" customHeight="1" x14ac:dyDescent="0.2">
      <c r="A40" s="99">
        <v>2002</v>
      </c>
      <c r="B40" s="79">
        <v>288.10481800000002</v>
      </c>
      <c r="C40" s="203">
        <f>SUM(Asparagus:MiscFrozen!C40)</f>
        <v>20755.838080000001</v>
      </c>
      <c r="D40" s="203">
        <f>SUM(Asparagus:MiscFrozen!D40)</f>
        <v>4255.8414331880003</v>
      </c>
      <c r="E40" s="203">
        <f>SUM(Asparagus:MiscFrozen!E40)</f>
        <v>6312.152557540001</v>
      </c>
      <c r="F40" s="107">
        <f t="shared" si="0"/>
        <v>31323.832070728004</v>
      </c>
      <c r="G40" s="203">
        <f>SUM(Asparagus:MiscFrozen!G40)</f>
        <v>3064.6045919550211</v>
      </c>
      <c r="H40" s="203">
        <f>SUM(Asparagus:MiscFrozen!H40)</f>
        <v>6122.9319523599997</v>
      </c>
      <c r="I40" s="203">
        <f>SUM(Asparagus:MiscFrozen!I40)</f>
        <v>22136.295526412978</v>
      </c>
      <c r="J40" s="100">
        <f>SUM(Asparagus:MiscFrozen!J40)</f>
        <v>76.808274899147918</v>
      </c>
      <c r="K40" s="100">
        <f>SUM(Asparagus:MiscFrozen!K40)</f>
        <v>39.132601650316047</v>
      </c>
    </row>
    <row r="41" spans="1:11" ht="12" customHeight="1" x14ac:dyDescent="0.2">
      <c r="A41" s="99">
        <v>2003</v>
      </c>
      <c r="B41" s="79">
        <v>290.81963400000001</v>
      </c>
      <c r="C41" s="203">
        <f>SUM(Asparagus:MiscFrozen!C41)</f>
        <v>21149.813040000001</v>
      </c>
      <c r="D41" s="203">
        <f>SUM(Asparagus:MiscFrozen!D41)</f>
        <v>4825.7512299339996</v>
      </c>
      <c r="E41" s="203">
        <f>SUM(Asparagus:MiscFrozen!E41)</f>
        <v>6122.9319523599997</v>
      </c>
      <c r="F41" s="107">
        <f t="shared" si="0"/>
        <v>32098.496222294001</v>
      </c>
      <c r="G41" s="203">
        <f>SUM(Asparagus:MiscFrozen!G41)</f>
        <v>2833.6980773275777</v>
      </c>
      <c r="H41" s="203">
        <f>SUM(Asparagus:MiscFrozen!H41)</f>
        <v>6392.9545375399994</v>
      </c>
      <c r="I41" s="203">
        <f>SUM(Asparagus:MiscFrozen!I41)</f>
        <v>22871.843607426425</v>
      </c>
      <c r="J41" s="100">
        <f>SUM(Asparagus:MiscFrozen!J41)</f>
        <v>78.621269068877325</v>
      </c>
      <c r="K41" s="100">
        <f>SUM(Asparagus:MiscFrozen!K41)</f>
        <v>40.253802481687892</v>
      </c>
    </row>
    <row r="42" spans="1:11" ht="12" customHeight="1" x14ac:dyDescent="0.2">
      <c r="A42" s="99">
        <v>2004</v>
      </c>
      <c r="B42" s="79">
        <v>293.46318500000001</v>
      </c>
      <c r="C42" s="203">
        <f>SUM(Asparagus:MiscFrozen!C42)</f>
        <v>20761.179353333333</v>
      </c>
      <c r="D42" s="203">
        <f>SUM(Asparagus:MiscFrozen!D42)</f>
        <v>5448.5749628840003</v>
      </c>
      <c r="E42" s="203">
        <f>SUM(Asparagus:MiscFrozen!E42)</f>
        <v>6392.9545375399994</v>
      </c>
      <c r="F42" s="107">
        <f t="shared" si="0"/>
        <v>32602.708853757329</v>
      </c>
      <c r="G42" s="203">
        <f>SUM(Asparagus:MiscFrozen!G42)</f>
        <v>3039.3685473737632</v>
      </c>
      <c r="H42" s="203">
        <f>SUM(Asparagus:MiscFrozen!H42)</f>
        <v>6419.9703606200001</v>
      </c>
      <c r="I42" s="203">
        <f>SUM(Asparagus:MiscFrozen!I42)</f>
        <v>23143.369945763574</v>
      </c>
      <c r="J42" s="100">
        <f>SUM(Asparagus:MiscFrozen!J42)</f>
        <v>78.844625482625943</v>
      </c>
      <c r="K42" s="100">
        <f>SUM(Asparagus:MiscFrozen!K42)</f>
        <v>40.264062728319622</v>
      </c>
    </row>
    <row r="43" spans="1:11" ht="12" customHeight="1" x14ac:dyDescent="0.2">
      <c r="A43" s="99">
        <v>2005</v>
      </c>
      <c r="B43" s="79">
        <v>296.186216</v>
      </c>
      <c r="C43" s="203">
        <f>SUM(Asparagus:MiscFrozen!C43)</f>
        <v>20746.875371641421</v>
      </c>
      <c r="D43" s="203">
        <f>SUM(Asparagus:MiscFrozen!D43)</f>
        <v>5119.3445000219999</v>
      </c>
      <c r="E43" s="203">
        <f>SUM(Asparagus:MiscFrozen!E43)</f>
        <v>6419.9703606200001</v>
      </c>
      <c r="F43" s="107">
        <f t="shared" si="0"/>
        <v>32286.190232283421</v>
      </c>
      <c r="G43" s="203">
        <f>SUM(Asparagus:MiscFrozen!G43)</f>
        <v>3305.1085442659905</v>
      </c>
      <c r="H43" s="203">
        <f>SUM(Asparagus:MiscFrozen!H43)</f>
        <v>6351.5450179599993</v>
      </c>
      <c r="I43" s="203">
        <f>SUM(Asparagus:MiscFrozen!I43)</f>
        <v>22629.53667005743</v>
      </c>
      <c r="J43" s="100">
        <f>SUM(Asparagus:MiscFrozen!J43)</f>
        <v>76.382927643952641</v>
      </c>
      <c r="K43" s="100">
        <f>SUM(Asparagus:MiscFrozen!K43)</f>
        <v>38.928039386163647</v>
      </c>
    </row>
    <row r="44" spans="1:11" ht="12" customHeight="1" x14ac:dyDescent="0.2">
      <c r="A44" s="40">
        <v>2006</v>
      </c>
      <c r="B44" s="69">
        <v>298.99582500000002</v>
      </c>
      <c r="C44" s="202">
        <f>SUM(Asparagus:MiscFrozen!C44)</f>
        <v>20570.880123873718</v>
      </c>
      <c r="D44" s="202">
        <f>SUM(Asparagus:MiscFrozen!D44)</f>
        <v>5276.9313024979992</v>
      </c>
      <c r="E44" s="202">
        <f>SUM(Asparagus:MiscFrozen!E44)</f>
        <v>6351.5450179599993</v>
      </c>
      <c r="F44" s="64">
        <f t="shared" si="0"/>
        <v>32199.356444331715</v>
      </c>
      <c r="G44" s="202">
        <f>SUM(Asparagus:MiscFrozen!G44)</f>
        <v>3633.4877871984863</v>
      </c>
      <c r="H44" s="202">
        <f>SUM(Asparagus:MiscFrozen!H44)</f>
        <v>6124.2703666799998</v>
      </c>
      <c r="I44" s="202">
        <f>SUM(Asparagus:MiscFrozen!I44)</f>
        <v>22441.598290453232</v>
      </c>
      <c r="J44" s="41">
        <f>SUM(Asparagus:MiscFrozen!J44)</f>
        <v>75.031848410193774</v>
      </c>
      <c r="K44" s="41">
        <f>SUM(Asparagus:MiscFrozen!K44)</f>
        <v>38.289728099329807</v>
      </c>
    </row>
    <row r="45" spans="1:11" ht="12" customHeight="1" x14ac:dyDescent="0.2">
      <c r="A45" s="40">
        <v>2007</v>
      </c>
      <c r="B45" s="69">
        <v>302.003917</v>
      </c>
      <c r="C45" s="202">
        <f>SUM(Asparagus:MiscFrozen!C45)</f>
        <v>21491.108576822233</v>
      </c>
      <c r="D45" s="202">
        <f>SUM(Asparagus:MiscFrozen!D45)</f>
        <v>5540.9213545633338</v>
      </c>
      <c r="E45" s="202">
        <f>SUM(Asparagus:MiscFrozen!E45)</f>
        <v>6124.2703666799998</v>
      </c>
      <c r="F45" s="64">
        <f t="shared" si="0"/>
        <v>33156.300298065566</v>
      </c>
      <c r="G45" s="202">
        <f>SUM(Asparagus:MiscFrozen!G45)</f>
        <v>4052.8079936003264</v>
      </c>
      <c r="H45" s="202">
        <f>SUM(Asparagus:MiscFrozen!H45)</f>
        <v>6215.9958160799997</v>
      </c>
      <c r="I45" s="202">
        <f>SUM(Asparagus:MiscFrozen!I45)</f>
        <v>22887.496488385237</v>
      </c>
      <c r="J45" s="41">
        <f>SUM(Asparagus:MiscFrozen!J45)</f>
        <v>75.77159976336462</v>
      </c>
      <c r="K45" s="41">
        <f>SUM(Asparagus:MiscFrozen!K45)</f>
        <v>38.791765392172678</v>
      </c>
    </row>
    <row r="46" spans="1:11" ht="12" customHeight="1" x14ac:dyDescent="0.2">
      <c r="A46" s="40">
        <v>2008</v>
      </c>
      <c r="B46" s="69">
        <v>304.79776099999998</v>
      </c>
      <c r="C46" s="202">
        <f>SUM(Asparagus:MiscFrozen!C46)</f>
        <v>21301.711105056362</v>
      </c>
      <c r="D46" s="202">
        <f>SUM(Asparagus:MiscFrozen!D46)</f>
        <v>5729.1193345698157</v>
      </c>
      <c r="E46" s="202">
        <f>SUM(Asparagus:MiscFrozen!E46)</f>
        <v>6215.9958160799997</v>
      </c>
      <c r="F46" s="64">
        <f t="shared" si="0"/>
        <v>33246.826255706175</v>
      </c>
      <c r="G46" s="202">
        <f>SUM(Asparagus:MiscFrozen!G46)</f>
        <v>4493.9094759198397</v>
      </c>
      <c r="H46" s="202">
        <f>SUM(Asparagus:MiscFrozen!H46)</f>
        <v>6389.0301610759998</v>
      </c>
      <c r="I46" s="202">
        <f>SUM(Asparagus:MiscFrozen!I46)</f>
        <v>22363.886618710334</v>
      </c>
      <c r="J46" s="41">
        <f>SUM(Asparagus:MiscFrozen!J46)</f>
        <v>73.353193387561234</v>
      </c>
      <c r="K46" s="41">
        <f>SUM(Asparagus:MiscFrozen!K46)</f>
        <v>38.012902398019229</v>
      </c>
    </row>
    <row r="47" spans="1:11" ht="12" customHeight="1" x14ac:dyDescent="0.2">
      <c r="A47" s="40">
        <v>2009</v>
      </c>
      <c r="B47" s="69">
        <v>307.43940600000002</v>
      </c>
      <c r="C47" s="202">
        <f>SUM(Asparagus:MiscFrozen!C47)</f>
        <v>20969.619191967278</v>
      </c>
      <c r="D47" s="202">
        <f>SUM(Asparagus:MiscFrozen!D47)</f>
        <v>5467.8747703890022</v>
      </c>
      <c r="E47" s="202">
        <f>SUM(Asparagus:MiscFrozen!E47)</f>
        <v>6389.0301610759998</v>
      </c>
      <c r="F47" s="64">
        <f t="shared" si="0"/>
        <v>32826.524123432282</v>
      </c>
      <c r="G47" s="202">
        <f>SUM(Asparagus:MiscFrozen!G47)</f>
        <v>4115.8814534998291</v>
      </c>
      <c r="H47" s="202">
        <f>SUM(Asparagus:MiscFrozen!H47)</f>
        <v>6656.3331025840007</v>
      </c>
      <c r="I47" s="202">
        <f>SUM(Asparagus:MiscFrozen!I47)</f>
        <v>22054.309567348453</v>
      </c>
      <c r="J47" s="41">
        <f>SUM(Asparagus:MiscFrozen!J47)</f>
        <v>71.723721442714364</v>
      </c>
      <c r="K47" s="41">
        <f>SUM(Asparagus:MiscFrozen!K47)</f>
        <v>37.06583132671625</v>
      </c>
    </row>
    <row r="48" spans="1:11" ht="12" customHeight="1" x14ac:dyDescent="0.2">
      <c r="A48" s="40">
        <v>2010</v>
      </c>
      <c r="B48" s="69">
        <v>309.74127900000002</v>
      </c>
      <c r="C48" s="202">
        <f>SUM(Asparagus:MiscFrozen!C48)</f>
        <v>20638.679434701258</v>
      </c>
      <c r="D48" s="202">
        <f>SUM(Asparagus:MiscFrozen!D48)</f>
        <v>5248.6419297970097</v>
      </c>
      <c r="E48" s="202">
        <f>SUM(Asparagus:MiscFrozen!E48)</f>
        <v>6656.3331025840007</v>
      </c>
      <c r="F48" s="64">
        <f t="shared" si="0"/>
        <v>32543.65446708227</v>
      </c>
      <c r="G48" s="202">
        <f>SUM(Asparagus:MiscFrozen!G48)</f>
        <v>4127.5438552664054</v>
      </c>
      <c r="H48" s="202">
        <f>SUM(Asparagus:MiscFrozen!H48)</f>
        <v>6425.5258889259994</v>
      </c>
      <c r="I48" s="202">
        <f>SUM(Asparagus:MiscFrozen!I48)</f>
        <v>21990.58472288986</v>
      </c>
      <c r="J48" s="41">
        <f>SUM(Asparagus:MiscFrozen!J48)</f>
        <v>70.989561099427988</v>
      </c>
      <c r="K48" s="41">
        <f>SUM(Asparagus:MiscFrozen!K48)</f>
        <v>36.831774739877446</v>
      </c>
    </row>
    <row r="49" spans="1:12" ht="12" customHeight="1" x14ac:dyDescent="0.2">
      <c r="A49" s="102">
        <v>2011</v>
      </c>
      <c r="B49" s="87">
        <v>311.97391399999998</v>
      </c>
      <c r="C49" s="204">
        <f>SUM(Asparagus:MiscFrozen!C49)</f>
        <v>20615.508869215082</v>
      </c>
      <c r="D49" s="204">
        <f>SUM(Asparagus:MiscFrozen!D49)</f>
        <v>5649.0588553524258</v>
      </c>
      <c r="E49" s="204">
        <f>SUM(Asparagus:MiscFrozen!E49)</f>
        <v>6425.5258889259994</v>
      </c>
      <c r="F49" s="112">
        <f t="shared" si="0"/>
        <v>32690.093613493507</v>
      </c>
      <c r="G49" s="204">
        <f>SUM(Asparagus:MiscFrozen!G49)</f>
        <v>4712.1127900229976</v>
      </c>
      <c r="H49" s="204">
        <f>SUM(Asparagus:MiscFrozen!H49)</f>
        <v>6063.6702199820002</v>
      </c>
      <c r="I49" s="204">
        <f>SUM(Asparagus:MiscFrozen!I49)</f>
        <v>21914.31060348851</v>
      </c>
      <c r="J49" s="103">
        <f>SUM(Asparagus:MiscFrozen!J49)</f>
        <v>70.231754811685562</v>
      </c>
      <c r="K49" s="103">
        <f>SUM(Asparagus:MiscFrozen!K49)</f>
        <v>36.071109239712747</v>
      </c>
    </row>
    <row r="50" spans="1:12" ht="12" customHeight="1" x14ac:dyDescent="0.2">
      <c r="A50" s="99">
        <v>2012</v>
      </c>
      <c r="B50" s="79">
        <v>314.16755799999999</v>
      </c>
      <c r="C50" s="203">
        <f>SUM(Asparagus:MiscFrozen!C50)</f>
        <v>21807.992014322572</v>
      </c>
      <c r="D50" s="203">
        <f>SUM(Asparagus:MiscFrozen!D50)</f>
        <v>5694.1655338845949</v>
      </c>
      <c r="E50" s="203">
        <f>SUM(Asparagus:MiscFrozen!E50)</f>
        <v>6063.6702199820002</v>
      </c>
      <c r="F50" s="107">
        <f t="shared" ref="F50:F55" si="1">SUM(C50,D50,E50)</f>
        <v>33565.82776818917</v>
      </c>
      <c r="G50" s="203">
        <f>SUM(Asparagus:MiscFrozen!G50)</f>
        <v>5063.347677976295</v>
      </c>
      <c r="H50" s="203">
        <f>SUM(Asparagus:MiscFrozen!H50)</f>
        <v>6402.7116970680008</v>
      </c>
      <c r="I50" s="203">
        <f>SUM(Asparagus:MiscFrozen!I50)</f>
        <v>22099.76839314487</v>
      </c>
      <c r="J50" s="100">
        <f>SUM(Asparagus:MiscFrozen!J50)</f>
        <v>70.340070924216249</v>
      </c>
      <c r="K50" s="100">
        <f>SUM(Asparagus:MiscFrozen!K50)</f>
        <v>36.389961159107145</v>
      </c>
      <c r="L50"/>
    </row>
    <row r="51" spans="1:12" ht="12" customHeight="1" x14ac:dyDescent="0.2">
      <c r="A51" s="99">
        <v>2013</v>
      </c>
      <c r="B51" s="79">
        <v>316.29476599999998</v>
      </c>
      <c r="C51" s="203">
        <f>SUM(Asparagus:MiscFrozen!C51)</f>
        <v>20232.38</v>
      </c>
      <c r="D51" s="203">
        <f>SUM(Asparagus:MiscFrozen!D51)</f>
        <v>4793.3348935396016</v>
      </c>
      <c r="E51" s="203">
        <f>SUM(Asparagus:MiscFrozen!E51)</f>
        <v>5598.9849970680007</v>
      </c>
      <c r="F51" s="107">
        <f t="shared" si="1"/>
        <v>30624.699890607604</v>
      </c>
      <c r="G51" s="203">
        <f>SUM(Asparagus:MiscFrozen!G51)</f>
        <v>4736.30222942193</v>
      </c>
      <c r="H51" s="203">
        <f>SUM(Asparagus:MiscFrozen!H51)</f>
        <v>5693.3729953500006</v>
      </c>
      <c r="I51" s="203">
        <f>SUM(Asparagus:MiscFrozen!I51)</f>
        <v>20195.02466583567</v>
      </c>
      <c r="J51" s="100">
        <f>SUM(Asparagus:MiscFrozen!J51)</f>
        <v>67.168747550364671</v>
      </c>
      <c r="K51" s="100">
        <f>SUM(Asparagus:MiscFrozen!K51)</f>
        <v>35.238887105389537</v>
      </c>
      <c r="L51"/>
    </row>
    <row r="52" spans="1:12" ht="12" customHeight="1" x14ac:dyDescent="0.2">
      <c r="A52" s="99">
        <v>2014</v>
      </c>
      <c r="B52" s="79">
        <v>318.576955</v>
      </c>
      <c r="C52" s="203">
        <f>SUM(Asparagus:MiscFrozen!C52)</f>
        <v>20099.856</v>
      </c>
      <c r="D52" s="203">
        <f>SUM(Asparagus:MiscFrozen!D52)</f>
        <v>4869.6407647955339</v>
      </c>
      <c r="E52" s="203">
        <f>SUM(Asparagus:MiscFrozen!E52)</f>
        <v>5693.3729953500006</v>
      </c>
      <c r="F52" s="107">
        <f t="shared" si="1"/>
        <v>30662.869760145535</v>
      </c>
      <c r="G52" s="203">
        <f>SUM(Asparagus:MiscFrozen!G52)</f>
        <v>4910.8188028809163</v>
      </c>
      <c r="H52" s="203">
        <f>SUM(Asparagus:MiscFrozen!H52)</f>
        <v>5559.0522601940002</v>
      </c>
      <c r="I52" s="203">
        <f>SUM(Asparagus:MiscFrozen!I52)</f>
        <v>20192.99869707062</v>
      </c>
      <c r="J52" s="100">
        <f>SUM(Asparagus:MiscFrozen!J52)</f>
        <v>66.894994991463264</v>
      </c>
      <c r="K52" s="100">
        <f>SUM(Asparagus:MiscFrozen!K52)</f>
        <v>34.909922594606897</v>
      </c>
      <c r="L52"/>
    </row>
    <row r="53" spans="1:12" ht="12" customHeight="1" x14ac:dyDescent="0.2">
      <c r="A53" s="102">
        <v>2015</v>
      </c>
      <c r="B53" s="87">
        <v>320.87070299999999</v>
      </c>
      <c r="C53" s="204">
        <f>SUM(Asparagus:MiscFrozen!C53)</f>
        <v>21103.147400000005</v>
      </c>
      <c r="D53" s="204">
        <f>SUM(Asparagus:MiscFrozen!D53)</f>
        <v>5057.1919587633738</v>
      </c>
      <c r="E53" s="204">
        <f>SUM(Asparagus:MiscFrozen!E53)</f>
        <v>5559.0522601940002</v>
      </c>
      <c r="F53" s="112">
        <f t="shared" si="1"/>
        <v>31719.391618957379</v>
      </c>
      <c r="G53" s="204">
        <f>SUM(Asparagus:MiscFrozen!G53)</f>
        <v>4863.1281101914856</v>
      </c>
      <c r="H53" s="204">
        <f>SUM(Asparagus:MiscFrozen!H53)</f>
        <v>5502.43183391</v>
      </c>
      <c r="I53" s="204">
        <f>SUM(Asparagus:MiscFrozen!I53)</f>
        <v>21353.831674855894</v>
      </c>
      <c r="J53" s="103">
        <f>SUM(Asparagus:MiscFrozen!J53)</f>
        <v>70.159645932791477</v>
      </c>
      <c r="K53" s="103">
        <f>SUM(Asparagus:MiscFrozen!K53)</f>
        <v>36.512934527960354</v>
      </c>
      <c r="L53"/>
    </row>
    <row r="54" spans="1:12" ht="12" customHeight="1" x14ac:dyDescent="0.2">
      <c r="A54" s="135">
        <v>2016</v>
      </c>
      <c r="B54" s="120">
        <v>323.16101099999997</v>
      </c>
      <c r="C54" s="205">
        <f>SUM(Asparagus:MiscFrozen!C54)</f>
        <v>20959.691873104584</v>
      </c>
      <c r="D54" s="205">
        <f>SUM(Asparagus:MiscFrozen!D54)</f>
        <v>5340.7951127016777</v>
      </c>
      <c r="E54" s="205">
        <f>SUM(Asparagus:MiscFrozen!E54)</f>
        <v>5502.43183391</v>
      </c>
      <c r="F54" s="140">
        <f t="shared" si="1"/>
        <v>31802.918819716262</v>
      </c>
      <c r="G54" s="205">
        <f>SUM(Asparagus:MiscFrozen!G54)</f>
        <v>5310.4876735254247</v>
      </c>
      <c r="H54" s="205">
        <f>SUM(Asparagus:MiscFrozen!H54)</f>
        <v>5847.5007502719991</v>
      </c>
      <c r="I54" s="205">
        <f>SUM(Asparagus:MiscFrozen!I54)</f>
        <v>20644.930395918844</v>
      </c>
      <c r="J54" s="136">
        <f>SUM(Asparagus:MiscFrozen!J54)</f>
        <v>67.574347718911085</v>
      </c>
      <c r="K54" s="136">
        <f>SUM(Asparagus:MiscFrozen!K54)</f>
        <v>35.194962373709998</v>
      </c>
      <c r="L54"/>
    </row>
    <row r="55" spans="1:12" ht="12" customHeight="1" x14ac:dyDescent="0.2">
      <c r="A55" s="155">
        <v>2017</v>
      </c>
      <c r="B55" s="146">
        <v>325.20603</v>
      </c>
      <c r="C55" s="206">
        <f>SUM(Asparagus:MiscFrozen!C55)</f>
        <v>22104.416673555777</v>
      </c>
      <c r="D55" s="206">
        <f>SUM(Asparagus:MiscFrozen!D55)</f>
        <v>5693.0614632979095</v>
      </c>
      <c r="E55" s="206">
        <f>SUM(Asparagus:MiscFrozen!E55)</f>
        <v>5847.5007502719991</v>
      </c>
      <c r="F55" s="163">
        <f t="shared" si="1"/>
        <v>33644.978887125682</v>
      </c>
      <c r="G55" s="206">
        <f>SUM(Asparagus:MiscFrozen!G55)</f>
        <v>5328.0323492410625</v>
      </c>
      <c r="H55" s="206">
        <f>SUM(Asparagus:MiscFrozen!H55)</f>
        <v>5735.60602913</v>
      </c>
      <c r="I55" s="206">
        <f>SUM(Asparagus:MiscFrozen!I55)</f>
        <v>22581.340508754627</v>
      </c>
      <c r="J55" s="156">
        <f>SUM(Asparagus:MiscFrozen!J55)</f>
        <v>72.877028915960224</v>
      </c>
      <c r="K55" s="156">
        <f>SUM(Asparagus:MiscFrozen!K55)</f>
        <v>37.744304693818414</v>
      </c>
      <c r="L55"/>
    </row>
    <row r="56" spans="1:12" ht="12" customHeight="1" x14ac:dyDescent="0.2">
      <c r="A56" s="155">
        <v>2018</v>
      </c>
      <c r="B56" s="146">
        <v>326.92397599999998</v>
      </c>
      <c r="C56" s="206">
        <f>SUM(Asparagus:MiscFrozen!C56)</f>
        <v>21955.996137829159</v>
      </c>
      <c r="D56" s="206">
        <f>SUM(Asparagus:MiscFrozen!D56)</f>
        <v>6046.3837663629556</v>
      </c>
      <c r="E56" s="206">
        <f>SUM(Asparagus:MiscFrozen!E56)</f>
        <v>5735.60602913</v>
      </c>
      <c r="F56" s="163">
        <f>SUM(C56,D56,E56)</f>
        <v>33737.985933322117</v>
      </c>
      <c r="G56" s="206">
        <f>SUM(Asparagus:MiscFrozen!G56)</f>
        <v>5111.5867109831242</v>
      </c>
      <c r="H56" s="206">
        <f>SUM(Asparagus:MiscFrozen!H56)</f>
        <v>5430.8109225220005</v>
      </c>
      <c r="I56" s="206">
        <f>SUM(Asparagus:MiscFrozen!I56)</f>
        <v>23195.588299816991</v>
      </c>
      <c r="J56" s="156">
        <f>SUM(Asparagus:MiscFrozen!J56)</f>
        <v>75.621016146386864</v>
      </c>
      <c r="K56" s="156">
        <f>SUM(Asparagus:MiscFrozen!K56)</f>
        <v>39.390042604965402</v>
      </c>
      <c r="L56"/>
    </row>
    <row r="57" spans="1:12" ht="12" customHeight="1" x14ac:dyDescent="0.2">
      <c r="A57" s="155">
        <v>2019</v>
      </c>
      <c r="B57" s="146">
        <v>328.475998</v>
      </c>
      <c r="C57" s="206">
        <f>SUM(Asparagus:MiscFrozen!C57)</f>
        <v>21830.791204160756</v>
      </c>
      <c r="D57" s="206">
        <f>SUM(Asparagus:MiscFrozen!D57)</f>
        <v>5987.4674624878271</v>
      </c>
      <c r="E57" s="206">
        <f>SUM(Asparagus:MiscFrozen!E57)</f>
        <v>5430.8109225220005</v>
      </c>
      <c r="F57" s="163">
        <f>SUM(C57,D57,E57)</f>
        <v>33249.069589170584</v>
      </c>
      <c r="G57" s="206">
        <f>SUM(Asparagus:MiscFrozen!G57)</f>
        <v>5428.7685070828411</v>
      </c>
      <c r="H57" s="206">
        <f>SUM(Asparagus:MiscFrozen!H57)</f>
        <v>5784.3592610360001</v>
      </c>
      <c r="I57" s="206">
        <f>SUM(Asparagus:MiscFrozen!I57)</f>
        <v>22035.94182105174</v>
      </c>
      <c r="J57" s="156">
        <f>SUM(Asparagus:MiscFrozen!J57)</f>
        <v>72.075394230392874</v>
      </c>
      <c r="K57" s="156">
        <f>SUM(Asparagus:MiscFrozen!K57)</f>
        <v>37.867994675367697</v>
      </c>
      <c r="L57"/>
    </row>
    <row r="58" spans="1:12" ht="12" customHeight="1" thickBot="1" x14ac:dyDescent="0.25">
      <c r="A58" s="207">
        <v>2020</v>
      </c>
      <c r="B58" s="208">
        <v>330.11398000000003</v>
      </c>
      <c r="C58" s="209" t="s">
        <v>2</v>
      </c>
      <c r="D58" s="209" t="s">
        <v>2</v>
      </c>
      <c r="E58" s="209" t="s">
        <v>2</v>
      </c>
      <c r="F58" s="209" t="s">
        <v>2</v>
      </c>
      <c r="G58" s="209" t="s">
        <v>2</v>
      </c>
      <c r="H58" s="209" t="s">
        <v>2</v>
      </c>
      <c r="I58" s="209" t="s">
        <v>2</v>
      </c>
      <c r="J58" s="209" t="s">
        <v>2</v>
      </c>
      <c r="K58" s="209" t="s">
        <v>2</v>
      </c>
      <c r="L58"/>
    </row>
    <row r="59" spans="1:12" ht="12" customHeight="1" thickTop="1" x14ac:dyDescent="0.2">
      <c r="A59" s="260" t="s">
        <v>4</v>
      </c>
      <c r="B59" s="261"/>
      <c r="C59" s="261"/>
      <c r="D59" s="261"/>
      <c r="E59" s="261"/>
      <c r="F59" s="261"/>
      <c r="G59" s="261"/>
      <c r="H59" s="261"/>
      <c r="I59" s="261"/>
      <c r="J59" s="261"/>
      <c r="K59" s="262"/>
      <c r="L59"/>
    </row>
    <row r="60" spans="1:12" ht="12" customHeight="1" x14ac:dyDescent="0.2">
      <c r="A60" s="302" t="s">
        <v>88</v>
      </c>
      <c r="B60" s="303"/>
      <c r="C60" s="303"/>
      <c r="D60" s="303"/>
      <c r="E60" s="303"/>
      <c r="F60" s="303"/>
      <c r="G60" s="303"/>
      <c r="H60" s="303"/>
      <c r="I60" s="303"/>
      <c r="J60" s="303"/>
      <c r="K60" s="304"/>
      <c r="L60"/>
    </row>
    <row r="61" spans="1:12" ht="12" customHeight="1" x14ac:dyDescent="0.2">
      <c r="A61" s="305"/>
      <c r="B61" s="306"/>
      <c r="C61" s="306"/>
      <c r="D61" s="306"/>
      <c r="E61" s="306"/>
      <c r="F61" s="306"/>
      <c r="G61" s="306"/>
      <c r="H61" s="306"/>
      <c r="I61" s="306"/>
      <c r="J61" s="306"/>
      <c r="K61" s="307"/>
      <c r="L61"/>
    </row>
    <row r="62" spans="1:12" ht="12" customHeight="1" x14ac:dyDescent="0.2">
      <c r="A62" s="285"/>
      <c r="B62" s="286"/>
      <c r="C62" s="286"/>
      <c r="D62" s="286"/>
      <c r="E62" s="286"/>
      <c r="F62" s="286"/>
      <c r="G62" s="286"/>
      <c r="H62" s="286"/>
      <c r="I62" s="286"/>
      <c r="J62" s="286"/>
      <c r="K62" s="287"/>
      <c r="L62"/>
    </row>
    <row r="63" spans="1:12" ht="12" customHeight="1" x14ac:dyDescent="0.2">
      <c r="A63" s="296" t="s">
        <v>76</v>
      </c>
      <c r="B63" s="297"/>
      <c r="C63" s="297"/>
      <c r="D63" s="297"/>
      <c r="E63" s="297"/>
      <c r="F63" s="297"/>
      <c r="G63" s="297"/>
      <c r="H63" s="297"/>
      <c r="I63" s="297"/>
      <c r="J63" s="297"/>
      <c r="K63" s="298"/>
    </row>
    <row r="64" spans="1:12" ht="12" customHeight="1" x14ac:dyDescent="0.2">
      <c r="A64" s="299"/>
      <c r="B64" s="300"/>
      <c r="C64" s="300"/>
      <c r="D64" s="300"/>
      <c r="E64" s="300"/>
      <c r="F64" s="300"/>
      <c r="G64" s="300"/>
      <c r="H64" s="300"/>
      <c r="I64" s="300"/>
      <c r="J64" s="300"/>
      <c r="K64" s="301"/>
    </row>
    <row r="65" spans="1:11" ht="12" customHeight="1" x14ac:dyDescent="0.2">
      <c r="A65" s="285"/>
      <c r="B65" s="286"/>
      <c r="C65" s="286"/>
      <c r="D65" s="286"/>
      <c r="E65" s="286"/>
      <c r="F65" s="286"/>
      <c r="G65" s="286"/>
      <c r="H65" s="286"/>
      <c r="I65" s="286"/>
      <c r="J65" s="286"/>
      <c r="K65" s="287"/>
    </row>
    <row r="66" spans="1:11" ht="12" customHeight="1" x14ac:dyDescent="0.2">
      <c r="A66" s="290" t="s">
        <v>63</v>
      </c>
      <c r="B66" s="291"/>
      <c r="C66" s="291"/>
      <c r="D66" s="291"/>
      <c r="E66" s="291"/>
      <c r="F66" s="291"/>
      <c r="G66" s="291"/>
      <c r="H66" s="291"/>
      <c r="I66" s="291"/>
      <c r="J66" s="291"/>
      <c r="K66" s="292"/>
    </row>
  </sheetData>
  <mergeCells count="24">
    <mergeCell ref="A65:K65"/>
    <mergeCell ref="J3:K3"/>
    <mergeCell ref="C3:C6"/>
    <mergeCell ref="I2:K2"/>
    <mergeCell ref="A66:K66"/>
    <mergeCell ref="H3:H6"/>
    <mergeCell ref="E3:E6"/>
    <mergeCell ref="G3:G6"/>
    <mergeCell ref="I3:I6"/>
    <mergeCell ref="D3:D6"/>
    <mergeCell ref="A62:K62"/>
    <mergeCell ref="A63:K64"/>
    <mergeCell ref="A60:K61"/>
    <mergeCell ref="A59:K59"/>
    <mergeCell ref="A1:I1"/>
    <mergeCell ref="C7:I7"/>
    <mergeCell ref="J7:K7"/>
    <mergeCell ref="J1:K1"/>
    <mergeCell ref="K4:K6"/>
    <mergeCell ref="G2:H2"/>
    <mergeCell ref="B2:B6"/>
    <mergeCell ref="J4:J6"/>
    <mergeCell ref="F3:F6"/>
    <mergeCell ref="A2:A6"/>
  </mergeCells>
  <phoneticPr fontId="5" type="noConversion"/>
  <printOptions horizontalCentered="1" verticalCentered="1"/>
  <pageMargins left="0.75" right="0.75" top="0.75" bottom="0.75" header="0.5" footer="0.5"/>
  <pageSetup scale="82"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autoPageBreaks="0" fitToPage="1"/>
  </sheetPr>
  <dimension ref="A1:L65"/>
  <sheetViews>
    <sheetView showOutlineSymbols="0" zoomScaleNormal="100" workbookViewId="0">
      <pane ySplit="7" topLeftCell="A8" activePane="bottomLeft" state="frozen"/>
      <selection pane="bottomLeft" sqref="A1:I1"/>
    </sheetView>
  </sheetViews>
  <sheetFormatPr defaultColWidth="12.7109375" defaultRowHeight="12" customHeight="1" x14ac:dyDescent="0.2"/>
  <cols>
    <col min="1" max="1" width="12.7109375" style="24" customWidth="1"/>
    <col min="2" max="2" width="12.7109375" style="16" customWidth="1"/>
    <col min="3" max="9" width="12.7109375" style="17" customWidth="1"/>
    <col min="10" max="10" width="12.7109375" style="21" customWidth="1"/>
    <col min="11" max="12" width="12.7109375" style="18" customWidth="1"/>
    <col min="13" max="16384" width="12.7109375" style="19"/>
  </cols>
  <sheetData>
    <row r="1" spans="1:12" s="57" customFormat="1" ht="12" customHeight="1" thickBot="1" x14ac:dyDescent="0.25">
      <c r="A1" s="266" t="s">
        <v>45</v>
      </c>
      <c r="B1" s="266"/>
      <c r="C1" s="266"/>
      <c r="D1" s="266"/>
      <c r="E1" s="266"/>
      <c r="F1" s="266"/>
      <c r="G1" s="266"/>
      <c r="H1" s="266"/>
      <c r="I1" s="266"/>
      <c r="J1" s="227" t="s">
        <v>32</v>
      </c>
      <c r="K1" s="227"/>
      <c r="L1" s="56"/>
    </row>
    <row r="2" spans="1:12" ht="12" customHeight="1" thickTop="1" x14ac:dyDescent="0.2">
      <c r="A2" s="282" t="s">
        <v>0</v>
      </c>
      <c r="B2" s="274" t="s">
        <v>18</v>
      </c>
      <c r="C2" s="38" t="s">
        <v>1</v>
      </c>
      <c r="D2" s="39"/>
      <c r="E2" s="39"/>
      <c r="F2" s="39"/>
      <c r="G2" s="272" t="s">
        <v>44</v>
      </c>
      <c r="H2" s="273"/>
      <c r="I2" s="272" t="s">
        <v>43</v>
      </c>
      <c r="J2" s="273"/>
      <c r="K2" s="273"/>
    </row>
    <row r="3" spans="1:12" ht="12" customHeight="1" x14ac:dyDescent="0.2">
      <c r="A3" s="283"/>
      <c r="B3" s="275"/>
      <c r="C3" s="279" t="s">
        <v>19</v>
      </c>
      <c r="D3" s="279" t="s">
        <v>20</v>
      </c>
      <c r="E3" s="279" t="s">
        <v>29</v>
      </c>
      <c r="F3" s="279" t="s">
        <v>30</v>
      </c>
      <c r="G3" s="279" t="s">
        <v>23</v>
      </c>
      <c r="H3" s="279" t="s">
        <v>31</v>
      </c>
      <c r="I3" s="293" t="s">
        <v>41</v>
      </c>
      <c r="J3" s="288" t="s">
        <v>17</v>
      </c>
      <c r="K3" s="289"/>
      <c r="L3" s="20"/>
    </row>
    <row r="4" spans="1:12" ht="12" customHeight="1" x14ac:dyDescent="0.2">
      <c r="A4" s="283"/>
      <c r="B4" s="275"/>
      <c r="C4" s="280"/>
      <c r="D4" s="280"/>
      <c r="E4" s="280"/>
      <c r="F4" s="280"/>
      <c r="G4" s="280"/>
      <c r="H4" s="280"/>
      <c r="I4" s="294"/>
      <c r="J4" s="314" t="s">
        <v>3</v>
      </c>
      <c r="K4" s="311" t="s">
        <v>16</v>
      </c>
    </row>
    <row r="5" spans="1:12" ht="12" customHeight="1" x14ac:dyDescent="0.2">
      <c r="A5" s="283"/>
      <c r="B5" s="275"/>
      <c r="C5" s="280"/>
      <c r="D5" s="280"/>
      <c r="E5" s="280"/>
      <c r="F5" s="280"/>
      <c r="G5" s="280"/>
      <c r="H5" s="280"/>
      <c r="I5" s="294"/>
      <c r="J5" s="277"/>
      <c r="K5" s="312"/>
    </row>
    <row r="6" spans="1:12" ht="12" customHeight="1" x14ac:dyDescent="0.2">
      <c r="A6" s="284"/>
      <c r="B6" s="276"/>
      <c r="C6" s="281"/>
      <c r="D6" s="281"/>
      <c r="E6" s="281"/>
      <c r="F6" s="281"/>
      <c r="G6" s="281"/>
      <c r="H6" s="281"/>
      <c r="I6" s="295"/>
      <c r="J6" s="278"/>
      <c r="K6" s="313"/>
    </row>
    <row r="7" spans="1:12" ht="12" customHeight="1" x14ac:dyDescent="0.2">
      <c r="A7" s="75"/>
      <c r="B7" s="76" t="s">
        <v>33</v>
      </c>
      <c r="C7" s="267" t="s">
        <v>35</v>
      </c>
      <c r="D7" s="268"/>
      <c r="E7" s="268"/>
      <c r="F7" s="268"/>
      <c r="G7" s="268"/>
      <c r="H7" s="268"/>
      <c r="I7" s="268"/>
      <c r="J7" s="269" t="s">
        <v>36</v>
      </c>
      <c r="K7" s="269"/>
      <c r="L7" s="72"/>
    </row>
    <row r="8" spans="1:12" ht="12" customHeight="1" x14ac:dyDescent="0.2">
      <c r="A8" s="42">
        <v>1970</v>
      </c>
      <c r="B8" s="69">
        <v>205.05199999999999</v>
      </c>
      <c r="C8" s="43">
        <v>51.3</v>
      </c>
      <c r="D8" s="44" t="s">
        <v>2</v>
      </c>
      <c r="E8" s="45">
        <v>25.18272</v>
      </c>
      <c r="F8" s="45">
        <f t="shared" ref="F8:F57" si="0">SUM(C8,D8,E8)</f>
        <v>76.48272</v>
      </c>
      <c r="G8" s="44">
        <v>0.28992000000000001</v>
      </c>
      <c r="H8" s="44">
        <v>15.778559999999999</v>
      </c>
      <c r="I8" s="43">
        <f t="shared" ref="I8:I50" si="1">F8-G8-H8</f>
        <v>60.414240000000007</v>
      </c>
      <c r="J8" s="183">
        <f t="shared" ref="J8:J50" si="2">IF(I8=0,0,IF(B8=0,0,I8/B8))</f>
        <v>0.29462887462692394</v>
      </c>
      <c r="K8" s="184">
        <f>J8/1.92</f>
        <v>0.15345253886818955</v>
      </c>
    </row>
    <row r="9" spans="1:12" ht="12" customHeight="1" x14ac:dyDescent="0.2">
      <c r="A9" s="78">
        <v>1971</v>
      </c>
      <c r="B9" s="79">
        <v>207.661</v>
      </c>
      <c r="C9" s="80">
        <v>61.4</v>
      </c>
      <c r="D9" s="81" t="s">
        <v>2</v>
      </c>
      <c r="E9" s="82">
        <v>15.778559999999999</v>
      </c>
      <c r="F9" s="82">
        <f t="shared" si="0"/>
        <v>77.178560000000004</v>
      </c>
      <c r="G9" s="81">
        <v>0.24</v>
      </c>
      <c r="H9" s="81">
        <v>20.876159999999999</v>
      </c>
      <c r="I9" s="80">
        <f t="shared" si="1"/>
        <v>56.062400000000011</v>
      </c>
      <c r="J9" s="185">
        <f t="shared" si="2"/>
        <v>0.2699707696678722</v>
      </c>
      <c r="K9" s="186">
        <f t="shared" ref="K9:K44" si="3">J9/1.92</f>
        <v>0.14060977586868345</v>
      </c>
    </row>
    <row r="10" spans="1:12" ht="12" customHeight="1" x14ac:dyDescent="0.2">
      <c r="A10" s="78">
        <v>1972</v>
      </c>
      <c r="B10" s="79">
        <v>209.89599999999999</v>
      </c>
      <c r="C10" s="80">
        <v>73.5</v>
      </c>
      <c r="D10" s="81" t="s">
        <v>2</v>
      </c>
      <c r="E10" s="82">
        <v>20.876159999999999</v>
      </c>
      <c r="F10" s="82">
        <f t="shared" si="0"/>
        <v>94.376159999999999</v>
      </c>
      <c r="G10" s="81">
        <v>0.34943999999999997</v>
      </c>
      <c r="H10" s="81">
        <v>41.571840000000002</v>
      </c>
      <c r="I10" s="80">
        <f t="shared" si="1"/>
        <v>52.454879999999996</v>
      </c>
      <c r="J10" s="185">
        <f t="shared" si="2"/>
        <v>0.24990890726836146</v>
      </c>
      <c r="K10" s="186">
        <f t="shared" si="3"/>
        <v>0.13016088920227159</v>
      </c>
    </row>
    <row r="11" spans="1:12" ht="12" customHeight="1" x14ac:dyDescent="0.2">
      <c r="A11" s="78">
        <v>1973</v>
      </c>
      <c r="B11" s="79">
        <v>211.90899999999999</v>
      </c>
      <c r="C11" s="80">
        <v>44.9</v>
      </c>
      <c r="D11" s="81" t="s">
        <v>2</v>
      </c>
      <c r="E11" s="82">
        <v>41.571840000000002</v>
      </c>
      <c r="F11" s="82">
        <f t="shared" si="0"/>
        <v>86.47184</v>
      </c>
      <c r="G11" s="81">
        <v>0.35136000000000001</v>
      </c>
      <c r="H11" s="81">
        <v>33.684480000000001</v>
      </c>
      <c r="I11" s="80">
        <f t="shared" si="1"/>
        <v>52.436</v>
      </c>
      <c r="J11" s="185">
        <f t="shared" si="2"/>
        <v>0.24744583760010194</v>
      </c>
      <c r="K11" s="186">
        <f t="shared" si="3"/>
        <v>0.12887804041671977</v>
      </c>
    </row>
    <row r="12" spans="1:12" ht="12" customHeight="1" x14ac:dyDescent="0.2">
      <c r="A12" s="78">
        <v>1974</v>
      </c>
      <c r="B12" s="79">
        <v>213.85400000000001</v>
      </c>
      <c r="C12" s="80">
        <v>28.6</v>
      </c>
      <c r="D12" s="81" t="s">
        <v>2</v>
      </c>
      <c r="E12" s="82">
        <v>33.684480000000001</v>
      </c>
      <c r="F12" s="82">
        <f t="shared" si="0"/>
        <v>62.284480000000002</v>
      </c>
      <c r="G12" s="81">
        <v>0.38207999999999998</v>
      </c>
      <c r="H12" s="81">
        <v>22.494720000000001</v>
      </c>
      <c r="I12" s="80">
        <f t="shared" si="1"/>
        <v>39.407679999999999</v>
      </c>
      <c r="J12" s="185">
        <f t="shared" si="2"/>
        <v>0.18427375686215827</v>
      </c>
      <c r="K12" s="186">
        <f t="shared" si="3"/>
        <v>9.5975915032374098E-2</v>
      </c>
    </row>
    <row r="13" spans="1:12" ht="12" customHeight="1" x14ac:dyDescent="0.2">
      <c r="A13" s="78">
        <v>1975</v>
      </c>
      <c r="B13" s="79">
        <v>215.97300000000001</v>
      </c>
      <c r="C13" s="80">
        <v>40.299999999999997</v>
      </c>
      <c r="D13" s="81" t="s">
        <v>2</v>
      </c>
      <c r="E13" s="82">
        <v>22.494720000000001</v>
      </c>
      <c r="F13" s="82">
        <f t="shared" si="0"/>
        <v>62.794719999999998</v>
      </c>
      <c r="G13" s="81">
        <v>0.52224000000000004</v>
      </c>
      <c r="H13" s="81">
        <v>17.585280000000001</v>
      </c>
      <c r="I13" s="80">
        <f t="shared" si="1"/>
        <v>44.687200000000004</v>
      </c>
      <c r="J13" s="185">
        <f t="shared" si="2"/>
        <v>0.20691104906631849</v>
      </c>
      <c r="K13" s="186">
        <f t="shared" si="3"/>
        <v>0.10776617138870755</v>
      </c>
    </row>
    <row r="14" spans="1:12" ht="12" customHeight="1" x14ac:dyDescent="0.2">
      <c r="A14" s="42">
        <v>1976</v>
      </c>
      <c r="B14" s="69">
        <v>218.035</v>
      </c>
      <c r="C14" s="43">
        <v>55.8</v>
      </c>
      <c r="D14" s="44" t="s">
        <v>2</v>
      </c>
      <c r="E14" s="45">
        <v>17.585280000000001</v>
      </c>
      <c r="F14" s="45">
        <f t="shared" si="0"/>
        <v>73.385279999999995</v>
      </c>
      <c r="G14" s="43">
        <v>1.0751999999999999</v>
      </c>
      <c r="H14" s="43">
        <v>15.663360000000001</v>
      </c>
      <c r="I14" s="43">
        <f t="shared" si="1"/>
        <v>56.646720000000002</v>
      </c>
      <c r="J14" s="183">
        <f t="shared" si="2"/>
        <v>0.25980562753686337</v>
      </c>
      <c r="K14" s="184">
        <f t="shared" si="3"/>
        <v>0.13531543100878302</v>
      </c>
    </row>
    <row r="15" spans="1:12" ht="12" customHeight="1" x14ac:dyDescent="0.2">
      <c r="A15" s="42">
        <v>1977</v>
      </c>
      <c r="B15" s="69">
        <v>220.23899999999998</v>
      </c>
      <c r="C15" s="43">
        <v>49.8</v>
      </c>
      <c r="D15" s="44" t="s">
        <v>2</v>
      </c>
      <c r="E15" s="45">
        <v>15.663360000000001</v>
      </c>
      <c r="F15" s="45">
        <f t="shared" si="0"/>
        <v>65.463359999999994</v>
      </c>
      <c r="G15" s="43">
        <v>0.98880000000000001</v>
      </c>
      <c r="H15" s="43">
        <v>19.105920000000001</v>
      </c>
      <c r="I15" s="43">
        <f t="shared" si="1"/>
        <v>45.368639999999999</v>
      </c>
      <c r="J15" s="183">
        <f t="shared" si="2"/>
        <v>0.20599730292999879</v>
      </c>
      <c r="K15" s="184">
        <f t="shared" si="3"/>
        <v>0.10729026194270772</v>
      </c>
    </row>
    <row r="16" spans="1:12" ht="12" customHeight="1" x14ac:dyDescent="0.2">
      <c r="A16" s="42">
        <v>1978</v>
      </c>
      <c r="B16" s="69">
        <v>222.58500000000001</v>
      </c>
      <c r="C16" s="43">
        <v>29.54</v>
      </c>
      <c r="D16" s="43">
        <v>0.98995200000000005</v>
      </c>
      <c r="E16" s="45">
        <v>19.105920000000001</v>
      </c>
      <c r="F16" s="45">
        <f t="shared" si="0"/>
        <v>49.635871999999999</v>
      </c>
      <c r="G16" s="46" t="s">
        <v>2</v>
      </c>
      <c r="H16" s="43">
        <v>9.8630399999999998</v>
      </c>
      <c r="I16" s="43">
        <f>F16-H16</f>
        <v>39.772832000000001</v>
      </c>
      <c r="J16" s="183">
        <f t="shared" si="2"/>
        <v>0.17868603904126512</v>
      </c>
      <c r="K16" s="184">
        <f t="shared" si="3"/>
        <v>9.3065645333992253E-2</v>
      </c>
    </row>
    <row r="17" spans="1:11" ht="12" customHeight="1" x14ac:dyDescent="0.2">
      <c r="A17" s="42">
        <v>1979</v>
      </c>
      <c r="B17" s="69">
        <v>225.05500000000001</v>
      </c>
      <c r="C17" s="43">
        <v>48.14</v>
      </c>
      <c r="D17" s="43">
        <v>1.65928670208</v>
      </c>
      <c r="E17" s="45">
        <v>9.8630399999999998</v>
      </c>
      <c r="F17" s="45">
        <f t="shared" si="0"/>
        <v>59.662326702080001</v>
      </c>
      <c r="G17" s="46" t="s">
        <v>2</v>
      </c>
      <c r="H17" s="43">
        <v>22.018560000000001</v>
      </c>
      <c r="I17" s="43">
        <f t="shared" ref="I17:I33" si="4">F17-H17</f>
        <v>37.643766702080001</v>
      </c>
      <c r="J17" s="183">
        <f t="shared" si="2"/>
        <v>0.16726474284988113</v>
      </c>
      <c r="K17" s="184">
        <f t="shared" si="3"/>
        <v>8.711705356764643E-2</v>
      </c>
    </row>
    <row r="18" spans="1:11" ht="12" customHeight="1" x14ac:dyDescent="0.2">
      <c r="A18" s="42">
        <v>1980</v>
      </c>
      <c r="B18" s="69">
        <v>227.726</v>
      </c>
      <c r="C18" s="43">
        <v>19.739999999999998</v>
      </c>
      <c r="D18" s="43">
        <v>2.5058615500800001</v>
      </c>
      <c r="E18" s="45">
        <v>22.018560000000001</v>
      </c>
      <c r="F18" s="45">
        <f t="shared" si="0"/>
        <v>44.264421550080002</v>
      </c>
      <c r="G18" s="46" t="s">
        <v>2</v>
      </c>
      <c r="H18" s="43">
        <v>15.304320000000001</v>
      </c>
      <c r="I18" s="43">
        <f t="shared" si="4"/>
        <v>28.960101550080001</v>
      </c>
      <c r="J18" s="183">
        <f t="shared" si="2"/>
        <v>0.12717081734224464</v>
      </c>
      <c r="K18" s="184">
        <f t="shared" si="3"/>
        <v>6.6234800699085758E-2</v>
      </c>
    </row>
    <row r="19" spans="1:11" ht="12" customHeight="1" x14ac:dyDescent="0.2">
      <c r="A19" s="78">
        <v>1981</v>
      </c>
      <c r="B19" s="79">
        <v>229.96600000000001</v>
      </c>
      <c r="C19" s="80">
        <v>19.38</v>
      </c>
      <c r="D19" s="80">
        <v>0.80424610559999998</v>
      </c>
      <c r="E19" s="82">
        <v>15.304320000000001</v>
      </c>
      <c r="F19" s="82">
        <f t="shared" si="0"/>
        <v>35.4885661056</v>
      </c>
      <c r="G19" s="83" t="s">
        <v>2</v>
      </c>
      <c r="H19" s="80">
        <v>10.71744</v>
      </c>
      <c r="I19" s="80">
        <f t="shared" si="4"/>
        <v>24.7711261056</v>
      </c>
      <c r="J19" s="185">
        <f t="shared" si="2"/>
        <v>0.10771647158971326</v>
      </c>
      <c r="K19" s="186">
        <f t="shared" si="3"/>
        <v>5.6102328952975657E-2</v>
      </c>
    </row>
    <row r="20" spans="1:11" ht="12" customHeight="1" x14ac:dyDescent="0.2">
      <c r="A20" s="78">
        <v>1982</v>
      </c>
      <c r="B20" s="79">
        <v>232.18799999999999</v>
      </c>
      <c r="C20" s="84">
        <v>19.100000000000001</v>
      </c>
      <c r="D20" s="80">
        <v>0.75345161472</v>
      </c>
      <c r="E20" s="82">
        <v>10.71744</v>
      </c>
      <c r="F20" s="82">
        <f t="shared" si="0"/>
        <v>30.570891614720001</v>
      </c>
      <c r="G20" s="83" t="s">
        <v>2</v>
      </c>
      <c r="H20" s="80">
        <v>16.992000000000001</v>
      </c>
      <c r="I20" s="80">
        <f t="shared" si="4"/>
        <v>13.57889161472</v>
      </c>
      <c r="J20" s="185">
        <f t="shared" si="2"/>
        <v>5.8482314394886901E-2</v>
      </c>
      <c r="K20" s="186">
        <f t="shared" si="3"/>
        <v>3.045953874733693E-2</v>
      </c>
    </row>
    <row r="21" spans="1:11" ht="12" customHeight="1" x14ac:dyDescent="0.2">
      <c r="A21" s="78">
        <v>1983</v>
      </c>
      <c r="B21" s="79">
        <v>234.30699999999999</v>
      </c>
      <c r="C21" s="84">
        <v>18.7</v>
      </c>
      <c r="D21" s="80">
        <v>2.3323137062399999</v>
      </c>
      <c r="E21" s="82">
        <v>16.992000000000001</v>
      </c>
      <c r="F21" s="82">
        <f t="shared" si="0"/>
        <v>38.024313706240001</v>
      </c>
      <c r="G21" s="83" t="s">
        <v>2</v>
      </c>
      <c r="H21" s="80">
        <v>12.21696</v>
      </c>
      <c r="I21" s="80">
        <f t="shared" si="4"/>
        <v>25.807353706240001</v>
      </c>
      <c r="J21" s="185">
        <f t="shared" si="2"/>
        <v>0.11014333206536724</v>
      </c>
      <c r="K21" s="186">
        <f t="shared" si="3"/>
        <v>5.7366318784045439E-2</v>
      </c>
    </row>
    <row r="22" spans="1:11" ht="12" customHeight="1" x14ac:dyDescent="0.2">
      <c r="A22" s="78">
        <v>1984</v>
      </c>
      <c r="B22" s="79">
        <v>236.34800000000001</v>
      </c>
      <c r="C22" s="80">
        <v>18.440000000000001</v>
      </c>
      <c r="D22" s="80">
        <v>1.0158898176</v>
      </c>
      <c r="E22" s="82">
        <v>12.21696</v>
      </c>
      <c r="F22" s="82">
        <f t="shared" si="0"/>
        <v>31.672849817600003</v>
      </c>
      <c r="G22" s="83" t="s">
        <v>2</v>
      </c>
      <c r="H22" s="80">
        <v>10.8864</v>
      </c>
      <c r="I22" s="80">
        <f t="shared" si="4"/>
        <v>20.786449817600001</v>
      </c>
      <c r="J22" s="185">
        <f t="shared" si="2"/>
        <v>8.7948490436136548E-2</v>
      </c>
      <c r="K22" s="186">
        <f t="shared" si="3"/>
        <v>4.5806505435487789E-2</v>
      </c>
    </row>
    <row r="23" spans="1:11" ht="12" customHeight="1" x14ac:dyDescent="0.2">
      <c r="A23" s="78">
        <v>1985</v>
      </c>
      <c r="B23" s="79">
        <v>238.46600000000001</v>
      </c>
      <c r="C23" s="80">
        <v>30.76</v>
      </c>
      <c r="D23" s="80">
        <v>1.0880000000000001</v>
      </c>
      <c r="E23" s="82">
        <v>10.8864</v>
      </c>
      <c r="F23" s="82">
        <f t="shared" si="0"/>
        <v>42.734400000000001</v>
      </c>
      <c r="G23" s="83" t="s">
        <v>2</v>
      </c>
      <c r="H23" s="80">
        <v>17.255040000000001</v>
      </c>
      <c r="I23" s="80">
        <f t="shared" si="4"/>
        <v>25.47936</v>
      </c>
      <c r="J23" s="185">
        <f t="shared" si="2"/>
        <v>0.10684692996066525</v>
      </c>
      <c r="K23" s="186">
        <f t="shared" si="3"/>
        <v>5.5649442687846488E-2</v>
      </c>
    </row>
    <row r="24" spans="1:11" ht="12" customHeight="1" x14ac:dyDescent="0.2">
      <c r="A24" s="42">
        <v>1986</v>
      </c>
      <c r="B24" s="69">
        <v>240.65100000000001</v>
      </c>
      <c r="C24" s="43">
        <v>25.5</v>
      </c>
      <c r="D24" s="43">
        <v>1.9219999999999999</v>
      </c>
      <c r="E24" s="45">
        <v>17.255040000000001</v>
      </c>
      <c r="F24" s="45">
        <f t="shared" si="0"/>
        <v>44.677040000000005</v>
      </c>
      <c r="G24" s="46" t="s">
        <v>2</v>
      </c>
      <c r="H24" s="43">
        <v>21.851520000000001</v>
      </c>
      <c r="I24" s="43">
        <f t="shared" si="4"/>
        <v>22.825520000000004</v>
      </c>
      <c r="J24" s="183">
        <f t="shared" si="2"/>
        <v>9.4849055270911004E-2</v>
      </c>
      <c r="K24" s="184">
        <f t="shared" si="3"/>
        <v>4.9400549620266153E-2</v>
      </c>
    </row>
    <row r="25" spans="1:11" ht="12" customHeight="1" x14ac:dyDescent="0.2">
      <c r="A25" s="42">
        <v>1987</v>
      </c>
      <c r="B25" s="69">
        <v>242.804</v>
      </c>
      <c r="C25" s="43">
        <v>29.46</v>
      </c>
      <c r="D25" s="43">
        <v>0.42199999999999999</v>
      </c>
      <c r="E25" s="45">
        <v>21.851520000000001</v>
      </c>
      <c r="F25" s="45">
        <f t="shared" si="0"/>
        <v>51.733519999999999</v>
      </c>
      <c r="G25" s="46" t="s">
        <v>2</v>
      </c>
      <c r="H25" s="43">
        <v>23.4</v>
      </c>
      <c r="I25" s="43">
        <f t="shared" si="4"/>
        <v>28.33352</v>
      </c>
      <c r="J25" s="183">
        <f t="shared" si="2"/>
        <v>0.11669297046177163</v>
      </c>
      <c r="K25" s="184">
        <f t="shared" si="3"/>
        <v>6.0777588782172723E-2</v>
      </c>
    </row>
    <row r="26" spans="1:11" ht="12" customHeight="1" x14ac:dyDescent="0.2">
      <c r="A26" s="42">
        <v>1988</v>
      </c>
      <c r="B26" s="69">
        <v>245.02099999999999</v>
      </c>
      <c r="C26" s="43">
        <v>28.2</v>
      </c>
      <c r="D26" s="43">
        <v>0.91</v>
      </c>
      <c r="E26" s="45">
        <v>23.4</v>
      </c>
      <c r="F26" s="45">
        <f t="shared" si="0"/>
        <v>52.51</v>
      </c>
      <c r="G26" s="46" t="s">
        <v>2</v>
      </c>
      <c r="H26" s="43">
        <v>22.1</v>
      </c>
      <c r="I26" s="43">
        <f t="shared" si="4"/>
        <v>30.409999999999997</v>
      </c>
      <c r="J26" s="183">
        <f t="shared" si="2"/>
        <v>0.1241118108243783</v>
      </c>
      <c r="K26" s="184">
        <f t="shared" si="3"/>
        <v>6.4641568137697031E-2</v>
      </c>
    </row>
    <row r="27" spans="1:11" ht="12" customHeight="1" x14ac:dyDescent="0.2">
      <c r="A27" s="42">
        <v>1989</v>
      </c>
      <c r="B27" s="69">
        <v>247.34200000000001</v>
      </c>
      <c r="C27" s="43">
        <v>22.62</v>
      </c>
      <c r="D27" s="43">
        <v>0.44500000000000001</v>
      </c>
      <c r="E27" s="45">
        <v>22.1</v>
      </c>
      <c r="F27" s="45">
        <f t="shared" si="0"/>
        <v>45.165000000000006</v>
      </c>
      <c r="G27" s="46" t="s">
        <v>2</v>
      </c>
      <c r="H27" s="43">
        <v>25.935359999999996</v>
      </c>
      <c r="I27" s="43">
        <f t="shared" si="4"/>
        <v>19.229640000000011</v>
      </c>
      <c r="J27" s="183">
        <f t="shared" si="2"/>
        <v>7.7745146396487497E-2</v>
      </c>
      <c r="K27" s="184">
        <f t="shared" si="3"/>
        <v>4.0492263748170575E-2</v>
      </c>
    </row>
    <row r="28" spans="1:11" ht="12" customHeight="1" x14ac:dyDescent="0.2">
      <c r="A28" s="42">
        <v>1990</v>
      </c>
      <c r="B28" s="69">
        <v>250.13200000000001</v>
      </c>
      <c r="C28" s="43">
        <v>24.46</v>
      </c>
      <c r="D28" s="43">
        <v>1.8320000000000001</v>
      </c>
      <c r="E28" s="45">
        <v>25.935359999999996</v>
      </c>
      <c r="F28" s="45">
        <f t="shared" si="0"/>
        <v>52.227359999999997</v>
      </c>
      <c r="G28" s="46" t="s">
        <v>2</v>
      </c>
      <c r="H28" s="43">
        <v>22.05312</v>
      </c>
      <c r="I28" s="43">
        <f t="shared" si="4"/>
        <v>30.174239999999998</v>
      </c>
      <c r="J28" s="183">
        <f t="shared" si="2"/>
        <v>0.12063326563574431</v>
      </c>
      <c r="K28" s="184">
        <f t="shared" si="3"/>
        <v>6.2829825851950169E-2</v>
      </c>
    </row>
    <row r="29" spans="1:11" ht="12" customHeight="1" x14ac:dyDescent="0.2">
      <c r="A29" s="78">
        <v>1991</v>
      </c>
      <c r="B29" s="79">
        <v>253.49299999999999</v>
      </c>
      <c r="C29" s="80">
        <v>16.84</v>
      </c>
      <c r="D29" s="80">
        <v>2.2989945599999997</v>
      </c>
      <c r="E29" s="82">
        <v>22.05312</v>
      </c>
      <c r="F29" s="82">
        <f t="shared" si="0"/>
        <v>41.19211456</v>
      </c>
      <c r="G29" s="83" t="s">
        <v>2</v>
      </c>
      <c r="H29" s="80">
        <v>18.57216</v>
      </c>
      <c r="I29" s="80">
        <f t="shared" si="4"/>
        <v>22.61995456</v>
      </c>
      <c r="J29" s="185">
        <f t="shared" si="2"/>
        <v>8.9233054009380933E-2</v>
      </c>
      <c r="K29" s="186">
        <f t="shared" si="3"/>
        <v>4.6475548963219239E-2</v>
      </c>
    </row>
    <row r="30" spans="1:11" ht="12" customHeight="1" x14ac:dyDescent="0.2">
      <c r="A30" s="78">
        <v>1992</v>
      </c>
      <c r="B30" s="79">
        <v>256.89400000000001</v>
      </c>
      <c r="C30" s="80">
        <v>20.100000000000001</v>
      </c>
      <c r="D30" s="80">
        <v>3.5541753599999999</v>
      </c>
      <c r="E30" s="82">
        <v>18.57216</v>
      </c>
      <c r="F30" s="82">
        <f t="shared" si="0"/>
        <v>42.22633536</v>
      </c>
      <c r="G30" s="83" t="s">
        <v>2</v>
      </c>
      <c r="H30" s="80">
        <v>14.95872</v>
      </c>
      <c r="I30" s="80">
        <f t="shared" si="4"/>
        <v>27.267615360000001</v>
      </c>
      <c r="J30" s="185">
        <f t="shared" si="2"/>
        <v>0.10614344967184909</v>
      </c>
      <c r="K30" s="186">
        <f t="shared" si="3"/>
        <v>5.5283046704088068E-2</v>
      </c>
    </row>
    <row r="31" spans="1:11" ht="12" customHeight="1" x14ac:dyDescent="0.2">
      <c r="A31" s="78">
        <v>1993</v>
      </c>
      <c r="B31" s="79">
        <v>260.255</v>
      </c>
      <c r="C31" s="80">
        <v>24.28</v>
      </c>
      <c r="D31" s="80">
        <v>5.4197740799999998</v>
      </c>
      <c r="E31" s="82">
        <v>14.95872</v>
      </c>
      <c r="F31" s="82">
        <f t="shared" si="0"/>
        <v>44.658494079999997</v>
      </c>
      <c r="G31" s="83" t="s">
        <v>2</v>
      </c>
      <c r="H31" s="80">
        <v>28.323840000000001</v>
      </c>
      <c r="I31" s="80">
        <f t="shared" si="4"/>
        <v>16.334654079999996</v>
      </c>
      <c r="J31" s="185">
        <f t="shared" si="2"/>
        <v>6.2764035580488348E-2</v>
      </c>
      <c r="K31" s="186">
        <f t="shared" si="3"/>
        <v>3.2689601864837679E-2</v>
      </c>
    </row>
    <row r="32" spans="1:11" ht="12" customHeight="1" x14ac:dyDescent="0.2">
      <c r="A32" s="78">
        <v>1994</v>
      </c>
      <c r="B32" s="79">
        <v>263.43599999999998</v>
      </c>
      <c r="C32" s="80">
        <v>20.88</v>
      </c>
      <c r="D32" s="80">
        <v>3.5309164799999997</v>
      </c>
      <c r="E32" s="82">
        <v>28.323840000000001</v>
      </c>
      <c r="F32" s="82">
        <f t="shared" si="0"/>
        <v>52.734756480000001</v>
      </c>
      <c r="G32" s="83" t="s">
        <v>2</v>
      </c>
      <c r="H32" s="80">
        <v>18.83136</v>
      </c>
      <c r="I32" s="80">
        <f t="shared" si="4"/>
        <v>33.903396479999998</v>
      </c>
      <c r="J32" s="185">
        <f t="shared" si="2"/>
        <v>0.12869689974035439</v>
      </c>
      <c r="K32" s="186">
        <f t="shared" si="3"/>
        <v>6.7029635281434588E-2</v>
      </c>
    </row>
    <row r="33" spans="1:11" ht="12" customHeight="1" x14ac:dyDescent="0.2">
      <c r="A33" s="78">
        <v>1995</v>
      </c>
      <c r="B33" s="79">
        <v>266.55700000000002</v>
      </c>
      <c r="C33" s="80">
        <v>17.260000000000002</v>
      </c>
      <c r="D33" s="80">
        <v>4.4174841599999999</v>
      </c>
      <c r="E33" s="82">
        <v>18.83136</v>
      </c>
      <c r="F33" s="82">
        <f t="shared" si="0"/>
        <v>40.508844160000002</v>
      </c>
      <c r="G33" s="83" t="s">
        <v>2</v>
      </c>
      <c r="H33" s="80">
        <v>18.602879999999999</v>
      </c>
      <c r="I33" s="80">
        <f t="shared" si="4"/>
        <v>21.905964160000003</v>
      </c>
      <c r="J33" s="185">
        <f t="shared" si="2"/>
        <v>8.2181162603120542E-2</v>
      </c>
      <c r="K33" s="186">
        <f t="shared" si="3"/>
        <v>4.280268885579195E-2</v>
      </c>
    </row>
    <row r="34" spans="1:11" ht="12" customHeight="1" x14ac:dyDescent="0.2">
      <c r="A34" s="42">
        <v>1996</v>
      </c>
      <c r="B34" s="69">
        <v>269.66699999999997</v>
      </c>
      <c r="C34" s="43">
        <v>17.5</v>
      </c>
      <c r="D34" s="43">
        <v>5.1985228799999996</v>
      </c>
      <c r="E34" s="45">
        <v>18.602879999999999</v>
      </c>
      <c r="F34" s="45">
        <f t="shared" si="0"/>
        <v>41.301402879999998</v>
      </c>
      <c r="G34" s="43">
        <v>0.87881585383680005</v>
      </c>
      <c r="H34" s="43">
        <v>16.037759999999999</v>
      </c>
      <c r="I34" s="43">
        <f t="shared" si="1"/>
        <v>24.384827026163201</v>
      </c>
      <c r="J34" s="183">
        <f t="shared" si="2"/>
        <v>9.0425699199988149E-2</v>
      </c>
      <c r="K34" s="184">
        <f t="shared" si="3"/>
        <v>4.709671833332716E-2</v>
      </c>
    </row>
    <row r="35" spans="1:11" ht="12" customHeight="1" x14ac:dyDescent="0.2">
      <c r="A35" s="42">
        <v>1997</v>
      </c>
      <c r="B35" s="69">
        <v>272.91199999999998</v>
      </c>
      <c r="C35" s="43">
        <v>21.02</v>
      </c>
      <c r="D35" s="43">
        <v>4.1077785599999999</v>
      </c>
      <c r="E35" s="45">
        <v>16.037759999999999</v>
      </c>
      <c r="F35" s="45">
        <f t="shared" si="0"/>
        <v>41.165538560000002</v>
      </c>
      <c r="G35" s="43">
        <v>3.7849311227903999</v>
      </c>
      <c r="H35" s="43">
        <v>13.26336</v>
      </c>
      <c r="I35" s="43">
        <f t="shared" si="1"/>
        <v>24.117247437209606</v>
      </c>
      <c r="J35" s="183">
        <f t="shared" si="2"/>
        <v>8.8370051288362575E-2</v>
      </c>
      <c r="K35" s="184">
        <f t="shared" si="3"/>
        <v>4.6026068379355509E-2</v>
      </c>
    </row>
    <row r="36" spans="1:11" ht="12" customHeight="1" x14ac:dyDescent="0.2">
      <c r="A36" s="42">
        <v>1998</v>
      </c>
      <c r="B36" s="69">
        <v>276.11500000000001</v>
      </c>
      <c r="C36" s="43">
        <v>13.46</v>
      </c>
      <c r="D36" s="43">
        <v>5.5145433600000002</v>
      </c>
      <c r="E36" s="45">
        <v>13.26336</v>
      </c>
      <c r="F36" s="45">
        <f t="shared" si="0"/>
        <v>32.237903360000004</v>
      </c>
      <c r="G36" s="43">
        <v>4.2385974736512004</v>
      </c>
      <c r="H36" s="43">
        <v>11.83104</v>
      </c>
      <c r="I36" s="43">
        <f t="shared" si="1"/>
        <v>16.168265886348806</v>
      </c>
      <c r="J36" s="183">
        <f t="shared" si="2"/>
        <v>5.8556275053324905E-2</v>
      </c>
      <c r="K36" s="184">
        <f t="shared" si="3"/>
        <v>3.0498059923606723E-2</v>
      </c>
    </row>
    <row r="37" spans="1:11" ht="12" customHeight="1" x14ac:dyDescent="0.2">
      <c r="A37" s="42">
        <v>1999</v>
      </c>
      <c r="B37" s="69">
        <v>279.29500000000002</v>
      </c>
      <c r="C37" s="43">
        <v>11</v>
      </c>
      <c r="D37" s="43">
        <v>7.58448192</v>
      </c>
      <c r="E37" s="45">
        <v>11.83104</v>
      </c>
      <c r="F37" s="45">
        <f t="shared" si="0"/>
        <v>30.415521920000003</v>
      </c>
      <c r="G37" s="43">
        <v>2.0273883053952</v>
      </c>
      <c r="H37" s="43">
        <v>23.185919999999999</v>
      </c>
      <c r="I37" s="43">
        <f t="shared" si="1"/>
        <v>5.2022136146048048</v>
      </c>
      <c r="J37" s="183">
        <f t="shared" si="2"/>
        <v>1.862623253049573E-2</v>
      </c>
      <c r="K37" s="184">
        <f t="shared" si="3"/>
        <v>9.7011627762998605E-3</v>
      </c>
    </row>
    <row r="38" spans="1:11" ht="12" customHeight="1" x14ac:dyDescent="0.2">
      <c r="A38" s="42">
        <v>2000</v>
      </c>
      <c r="B38" s="69">
        <v>282.38499999999999</v>
      </c>
      <c r="C38" s="43">
        <v>13.8</v>
      </c>
      <c r="D38" s="43">
        <v>9.2729030399999992</v>
      </c>
      <c r="E38" s="45">
        <v>23.185919999999999</v>
      </c>
      <c r="F38" s="45">
        <f t="shared" si="0"/>
        <v>46.258823039999996</v>
      </c>
      <c r="G38" s="43">
        <v>3.1815312143999996</v>
      </c>
      <c r="H38" s="43">
        <v>21.809279999999998</v>
      </c>
      <c r="I38" s="43">
        <f t="shared" si="1"/>
        <v>21.268011825600002</v>
      </c>
      <c r="J38" s="183">
        <f t="shared" si="2"/>
        <v>7.5315657083768625E-2</v>
      </c>
      <c r="K38" s="184">
        <f t="shared" si="3"/>
        <v>3.9226904731129497E-2</v>
      </c>
    </row>
    <row r="39" spans="1:11" ht="12" customHeight="1" x14ac:dyDescent="0.2">
      <c r="A39" s="78">
        <v>2001</v>
      </c>
      <c r="B39" s="79">
        <v>285.30901899999998</v>
      </c>
      <c r="C39" s="80">
        <v>11.18</v>
      </c>
      <c r="D39" s="80">
        <v>8.2565184000000009</v>
      </c>
      <c r="E39" s="82">
        <v>21.809279999999998</v>
      </c>
      <c r="F39" s="82">
        <f t="shared" si="0"/>
        <v>41.245798399999998</v>
      </c>
      <c r="G39" s="80">
        <v>1.6784050723968005</v>
      </c>
      <c r="H39" s="80">
        <v>20.517119999999998</v>
      </c>
      <c r="I39" s="80">
        <f t="shared" si="1"/>
        <v>19.0502733276032</v>
      </c>
      <c r="J39" s="185">
        <f t="shared" si="2"/>
        <v>6.6770666396645528E-2</v>
      </c>
      <c r="K39" s="186">
        <f t="shared" si="3"/>
        <v>3.4776388748252882E-2</v>
      </c>
    </row>
    <row r="40" spans="1:11" ht="12" customHeight="1" x14ac:dyDescent="0.2">
      <c r="A40" s="78">
        <v>2002</v>
      </c>
      <c r="B40" s="79">
        <v>288.10481800000002</v>
      </c>
      <c r="C40" s="80">
        <v>7.8</v>
      </c>
      <c r="D40" s="80">
        <v>10.240690560000001</v>
      </c>
      <c r="E40" s="82">
        <v>20.517119999999998</v>
      </c>
      <c r="F40" s="82">
        <f t="shared" si="0"/>
        <v>38.55781056</v>
      </c>
      <c r="G40" s="80">
        <v>1.8786621710207998</v>
      </c>
      <c r="H40" s="80">
        <v>13.41696</v>
      </c>
      <c r="I40" s="80">
        <f t="shared" si="1"/>
        <v>23.262188388979201</v>
      </c>
      <c r="J40" s="185">
        <f t="shared" si="2"/>
        <v>8.0742101261837271E-2</v>
      </c>
      <c r="K40" s="186">
        <f t="shared" si="3"/>
        <v>4.2053177740540244E-2</v>
      </c>
    </row>
    <row r="41" spans="1:11" ht="12" customHeight="1" x14ac:dyDescent="0.2">
      <c r="A41" s="78">
        <v>2003</v>
      </c>
      <c r="B41" s="79">
        <v>290.81963400000001</v>
      </c>
      <c r="C41" s="80">
        <v>7.6000000000000005</v>
      </c>
      <c r="D41" s="80">
        <v>16.49383104</v>
      </c>
      <c r="E41" s="82">
        <v>13.41696</v>
      </c>
      <c r="F41" s="82">
        <f t="shared" si="0"/>
        <v>37.510791040000001</v>
      </c>
      <c r="G41" s="80">
        <v>2.9344120075776003</v>
      </c>
      <c r="H41" s="80">
        <v>14.146560000000001</v>
      </c>
      <c r="I41" s="80">
        <f t="shared" si="1"/>
        <v>20.429819032422401</v>
      </c>
      <c r="J41" s="185">
        <f t="shared" si="2"/>
        <v>7.0249105094542547E-2</v>
      </c>
      <c r="K41" s="186">
        <f t="shared" si="3"/>
        <v>3.6588075570074242E-2</v>
      </c>
    </row>
    <row r="42" spans="1:11" ht="12" customHeight="1" x14ac:dyDescent="0.2">
      <c r="A42" s="78">
        <v>2004</v>
      </c>
      <c r="B42" s="79">
        <v>293.46318500000001</v>
      </c>
      <c r="C42" s="80">
        <v>11.200000000000001</v>
      </c>
      <c r="D42" s="80">
        <v>14.188043519999999</v>
      </c>
      <c r="E42" s="82">
        <v>14.146560000000001</v>
      </c>
      <c r="F42" s="82">
        <f t="shared" si="0"/>
        <v>39.534603520000005</v>
      </c>
      <c r="G42" s="80">
        <v>1.8471526837631997</v>
      </c>
      <c r="H42" s="80">
        <v>17.817599999999999</v>
      </c>
      <c r="I42" s="80">
        <f t="shared" si="1"/>
        <v>19.869850836236807</v>
      </c>
      <c r="J42" s="185">
        <f t="shared" si="2"/>
        <v>6.7708155066322231E-2</v>
      </c>
      <c r="K42" s="186">
        <f t="shared" si="3"/>
        <v>3.5264664097042833E-2</v>
      </c>
    </row>
    <row r="43" spans="1:11" ht="12" customHeight="1" x14ac:dyDescent="0.2">
      <c r="A43" s="78">
        <v>2005</v>
      </c>
      <c r="B43" s="79">
        <v>296.186216</v>
      </c>
      <c r="C43" s="80">
        <v>6.8</v>
      </c>
      <c r="D43" s="80">
        <v>12.836386559999999</v>
      </c>
      <c r="E43" s="82">
        <v>17.817599999999999</v>
      </c>
      <c r="F43" s="82">
        <f t="shared" si="0"/>
        <v>37.453986559999997</v>
      </c>
      <c r="G43" s="80">
        <v>2.7208933259903998</v>
      </c>
      <c r="H43" s="80">
        <v>17.33568</v>
      </c>
      <c r="I43" s="80">
        <f t="shared" si="1"/>
        <v>17.397413234009594</v>
      </c>
      <c r="J43" s="185">
        <f t="shared" si="2"/>
        <v>5.8738092099497277E-2</v>
      </c>
      <c r="K43" s="186">
        <f t="shared" si="3"/>
        <v>3.0592756301821501E-2</v>
      </c>
    </row>
    <row r="44" spans="1:11" ht="12" customHeight="1" x14ac:dyDescent="0.2">
      <c r="A44" s="42">
        <v>2006</v>
      </c>
      <c r="B44" s="69">
        <v>298.99582500000002</v>
      </c>
      <c r="C44" s="43">
        <v>8.1999999999999993</v>
      </c>
      <c r="D44" s="43">
        <v>18.920588160000001</v>
      </c>
      <c r="E44" s="45">
        <v>17.33568</v>
      </c>
      <c r="F44" s="45">
        <f t="shared" si="0"/>
        <v>44.45626816</v>
      </c>
      <c r="G44" s="43">
        <v>2.1515299284863998</v>
      </c>
      <c r="H44" s="43">
        <v>11.86176</v>
      </c>
      <c r="I44" s="43">
        <f t="shared" si="1"/>
        <v>30.442978231513603</v>
      </c>
      <c r="J44" s="183">
        <f t="shared" si="2"/>
        <v>0.1018174024052463</v>
      </c>
      <c r="K44" s="184">
        <f t="shared" si="3"/>
        <v>5.3029897086065779E-2</v>
      </c>
    </row>
    <row r="45" spans="1:11" ht="12" customHeight="1" x14ac:dyDescent="0.2">
      <c r="A45" s="42">
        <v>2007</v>
      </c>
      <c r="B45" s="69">
        <v>302.003917</v>
      </c>
      <c r="C45" s="43">
        <v>8</v>
      </c>
      <c r="D45" s="43">
        <v>19.054909439999999</v>
      </c>
      <c r="E45" s="45">
        <v>11.86176</v>
      </c>
      <c r="F45" s="45">
        <f t="shared" si="0"/>
        <v>38.91666944</v>
      </c>
      <c r="G45" s="43">
        <v>0.89320338032640012</v>
      </c>
      <c r="H45" s="43">
        <v>10.38528</v>
      </c>
      <c r="I45" s="43">
        <f t="shared" si="1"/>
        <v>27.6381860596736</v>
      </c>
      <c r="J45" s="183">
        <f t="shared" si="2"/>
        <v>9.1515985402512517E-2</v>
      </c>
      <c r="K45" s="184">
        <f t="shared" ref="K45:K50" si="5">J45/1.92</f>
        <v>4.7664575730475271E-2</v>
      </c>
    </row>
    <row r="46" spans="1:11" ht="12" customHeight="1" x14ac:dyDescent="0.2">
      <c r="A46" s="42">
        <v>2008</v>
      </c>
      <c r="B46" s="69">
        <v>304.79776099999998</v>
      </c>
      <c r="C46" s="43">
        <v>9.2000000000000011</v>
      </c>
      <c r="D46" s="43">
        <v>24.257966496191997</v>
      </c>
      <c r="E46" s="45">
        <v>10.38528</v>
      </c>
      <c r="F46" s="45">
        <f t="shared" si="0"/>
        <v>43.843246496192002</v>
      </c>
      <c r="G46" s="43">
        <v>2.0698947899519999</v>
      </c>
      <c r="H46" s="43">
        <v>14.146559999999999</v>
      </c>
      <c r="I46" s="43">
        <f t="shared" si="1"/>
        <v>27.626791706239999</v>
      </c>
      <c r="J46" s="183">
        <f t="shared" si="2"/>
        <v>9.0639746222545253E-2</v>
      </c>
      <c r="K46" s="184">
        <f t="shared" si="5"/>
        <v>4.7208201157575652E-2</v>
      </c>
    </row>
    <row r="47" spans="1:11" ht="12" customHeight="1" x14ac:dyDescent="0.2">
      <c r="A47" s="42">
        <v>2009</v>
      </c>
      <c r="B47" s="69">
        <v>307.43940600000002</v>
      </c>
      <c r="C47" s="43">
        <v>9.4</v>
      </c>
      <c r="D47" s="43">
        <v>16.614308388057601</v>
      </c>
      <c r="E47" s="45">
        <v>14.146559999999999</v>
      </c>
      <c r="F47" s="45">
        <f t="shared" si="0"/>
        <v>40.160868388057601</v>
      </c>
      <c r="G47" s="43">
        <v>1.4260328734079999</v>
      </c>
      <c r="H47" s="43">
        <v>17.38944</v>
      </c>
      <c r="I47" s="43">
        <f t="shared" si="1"/>
        <v>21.345395514649603</v>
      </c>
      <c r="J47" s="183">
        <f t="shared" si="2"/>
        <v>6.9429601729875848E-2</v>
      </c>
      <c r="K47" s="184">
        <f t="shared" si="5"/>
        <v>3.6161250900977007E-2</v>
      </c>
    </row>
    <row r="48" spans="1:11" ht="12" customHeight="1" x14ac:dyDescent="0.2">
      <c r="A48" s="42">
        <v>2010</v>
      </c>
      <c r="B48" s="69">
        <v>309.74127900000002</v>
      </c>
      <c r="C48" s="43">
        <v>7.8</v>
      </c>
      <c r="D48" s="43">
        <v>24.055351688755199</v>
      </c>
      <c r="E48" s="45">
        <v>17.38944</v>
      </c>
      <c r="F48" s="45">
        <f t="shared" si="0"/>
        <v>49.2447916887552</v>
      </c>
      <c r="G48" s="43">
        <v>1.0885503492863999</v>
      </c>
      <c r="H48" s="43">
        <v>14.6496</v>
      </c>
      <c r="I48" s="43">
        <f t="shared" si="1"/>
        <v>33.5066413394688</v>
      </c>
      <c r="J48" s="183">
        <f t="shared" si="2"/>
        <v>0.10817622193478706</v>
      </c>
      <c r="K48" s="184">
        <f t="shared" si="5"/>
        <v>5.6341782257701596E-2</v>
      </c>
    </row>
    <row r="49" spans="1:12" ht="12" customHeight="1" x14ac:dyDescent="0.2">
      <c r="A49" s="78">
        <v>2011</v>
      </c>
      <c r="B49" s="79">
        <v>311.97391399999998</v>
      </c>
      <c r="C49" s="80">
        <v>10.8</v>
      </c>
      <c r="D49" s="80">
        <v>28.470138159935996</v>
      </c>
      <c r="E49" s="82">
        <v>14.6496</v>
      </c>
      <c r="F49" s="82">
        <f t="shared" si="0"/>
        <v>53.919738159935996</v>
      </c>
      <c r="G49" s="80">
        <v>1.2710547894527999</v>
      </c>
      <c r="H49" s="80">
        <v>12.700799999999999</v>
      </c>
      <c r="I49" s="80">
        <f t="shared" si="1"/>
        <v>39.947883370483197</v>
      </c>
      <c r="J49" s="185">
        <f t="shared" si="2"/>
        <v>0.12804879375422137</v>
      </c>
      <c r="K49" s="186">
        <f t="shared" si="5"/>
        <v>6.6692080080323637E-2</v>
      </c>
    </row>
    <row r="50" spans="1:12" ht="12" customHeight="1" x14ac:dyDescent="0.2">
      <c r="A50" s="78">
        <v>2012</v>
      </c>
      <c r="B50" s="79">
        <v>314.16755799999999</v>
      </c>
      <c r="C50" s="80">
        <v>9.7000000000000011</v>
      </c>
      <c r="D50" s="80">
        <v>26.610904864051196</v>
      </c>
      <c r="E50" s="82">
        <v>12.700799999999999</v>
      </c>
      <c r="F50" s="82">
        <f t="shared" si="0"/>
        <v>49.011704864051197</v>
      </c>
      <c r="G50" s="80">
        <v>3.2651177061887995</v>
      </c>
      <c r="H50" s="80">
        <v>15.943680000000001</v>
      </c>
      <c r="I50" s="80">
        <f t="shared" si="1"/>
        <v>29.8029071578624</v>
      </c>
      <c r="J50" s="185">
        <f t="shared" si="2"/>
        <v>9.4863095819277432E-2</v>
      </c>
      <c r="K50" s="186">
        <f t="shared" si="5"/>
        <v>4.9407862405873665E-2</v>
      </c>
      <c r="L50"/>
    </row>
    <row r="51" spans="1:12" ht="12" customHeight="1" x14ac:dyDescent="0.2">
      <c r="A51" s="86">
        <v>2013</v>
      </c>
      <c r="B51" s="87">
        <v>316.29476599999998</v>
      </c>
      <c r="C51" s="88">
        <v>9.8000000000000007</v>
      </c>
      <c r="D51" s="88">
        <v>28.186027898687996</v>
      </c>
      <c r="E51" s="89">
        <v>15.943680000000001</v>
      </c>
      <c r="F51" s="89">
        <f t="shared" si="0"/>
        <v>53.929707898687994</v>
      </c>
      <c r="G51" s="88">
        <v>1.378899861504</v>
      </c>
      <c r="H51" s="88">
        <v>18.735359999999996</v>
      </c>
      <c r="I51" s="88">
        <f t="shared" ref="I51:I57" si="6">F51-G51-H51</f>
        <v>33.815448037183998</v>
      </c>
      <c r="J51" s="187">
        <f t="shared" ref="J51:J57" si="7">IF(I51=0,0,IF(B51=0,0,I51/B51))</f>
        <v>0.1069111843513212</v>
      </c>
      <c r="K51" s="188">
        <f t="shared" ref="K51:K57" si="8">J51/1.92</f>
        <v>5.5682908516313127E-2</v>
      </c>
      <c r="L51"/>
    </row>
    <row r="52" spans="1:12" ht="12" customHeight="1" x14ac:dyDescent="0.2">
      <c r="A52" s="86">
        <v>2014</v>
      </c>
      <c r="B52" s="87">
        <v>318.576955</v>
      </c>
      <c r="C52" s="88">
        <v>13.5</v>
      </c>
      <c r="D52" s="88">
        <v>27.286018062758398</v>
      </c>
      <c r="E52" s="89">
        <v>18.735359999999996</v>
      </c>
      <c r="F52" s="89">
        <f t="shared" si="0"/>
        <v>59.521378062758401</v>
      </c>
      <c r="G52" s="88">
        <v>1.8107753955455999</v>
      </c>
      <c r="H52" s="88">
        <v>26.117759999999997</v>
      </c>
      <c r="I52" s="88">
        <f t="shared" si="6"/>
        <v>31.592842667212807</v>
      </c>
      <c r="J52" s="187">
        <f t="shared" si="7"/>
        <v>9.916863781692184E-2</v>
      </c>
      <c r="K52" s="188">
        <f t="shared" si="8"/>
        <v>5.1650332196313459E-2</v>
      </c>
      <c r="L52"/>
    </row>
    <row r="53" spans="1:12" ht="12" customHeight="1" x14ac:dyDescent="0.2">
      <c r="A53" s="86">
        <v>2015</v>
      </c>
      <c r="B53" s="87">
        <v>320.87070299999999</v>
      </c>
      <c r="C53" s="88">
        <v>10.9</v>
      </c>
      <c r="D53" s="88">
        <v>26.843975174015995</v>
      </c>
      <c r="E53" s="89">
        <v>26.117759999999997</v>
      </c>
      <c r="F53" s="89">
        <f t="shared" si="0"/>
        <v>63.86173517401599</v>
      </c>
      <c r="G53" s="88">
        <v>2.6598891977855996</v>
      </c>
      <c r="H53" s="88">
        <v>22.897919999999999</v>
      </c>
      <c r="I53" s="88">
        <f t="shared" si="6"/>
        <v>38.303925976230389</v>
      </c>
      <c r="J53" s="187">
        <f t="shared" si="7"/>
        <v>0.11937495576288369</v>
      </c>
      <c r="K53" s="188">
        <f t="shared" si="8"/>
        <v>6.2174456126501923E-2</v>
      </c>
      <c r="L53"/>
    </row>
    <row r="54" spans="1:12" ht="12" customHeight="1" x14ac:dyDescent="0.2">
      <c r="A54" s="119">
        <v>2016</v>
      </c>
      <c r="B54" s="120">
        <v>323.16101099999997</v>
      </c>
      <c r="C54" s="121">
        <v>12.885909677419356</v>
      </c>
      <c r="D54" s="121">
        <v>42.627273746534392</v>
      </c>
      <c r="E54" s="122">
        <v>22.897919999999999</v>
      </c>
      <c r="F54" s="122">
        <f t="shared" si="0"/>
        <v>78.411103423953747</v>
      </c>
      <c r="G54" s="121">
        <v>4.6939231097087992</v>
      </c>
      <c r="H54" s="121">
        <v>21.878399999999999</v>
      </c>
      <c r="I54" s="121">
        <f t="shared" si="6"/>
        <v>51.838780314244943</v>
      </c>
      <c r="J54" s="189">
        <f t="shared" si="7"/>
        <v>0.16041161696404319</v>
      </c>
      <c r="K54" s="190">
        <f t="shared" si="8"/>
        <v>8.354771716877249E-2</v>
      </c>
      <c r="L54"/>
    </row>
    <row r="55" spans="1:12" ht="12" customHeight="1" x14ac:dyDescent="0.2">
      <c r="A55" s="145">
        <v>2017</v>
      </c>
      <c r="B55" s="146">
        <v>325.20603</v>
      </c>
      <c r="C55" s="147">
        <v>13.089845161290324</v>
      </c>
      <c r="D55" s="147">
        <v>34.844142558719994</v>
      </c>
      <c r="E55" s="148">
        <v>21.878399999999999</v>
      </c>
      <c r="F55" s="148">
        <f t="shared" si="0"/>
        <v>69.812387720010321</v>
      </c>
      <c r="G55" s="147">
        <v>5.4635309072255991</v>
      </c>
      <c r="H55" s="147">
        <v>19.560960000000001</v>
      </c>
      <c r="I55" s="147">
        <f t="shared" si="6"/>
        <v>44.787896812784716</v>
      </c>
      <c r="J55" s="191">
        <f t="shared" si="7"/>
        <v>0.13772160624692203</v>
      </c>
      <c r="K55" s="192">
        <f t="shared" si="8"/>
        <v>7.1730003253605235E-2</v>
      </c>
      <c r="L55"/>
    </row>
    <row r="56" spans="1:12" ht="12" customHeight="1" x14ac:dyDescent="0.2">
      <c r="A56" s="145">
        <v>2018</v>
      </c>
      <c r="B56" s="146">
        <v>326.92397599999998</v>
      </c>
      <c r="C56" s="147">
        <v>11.04345806451613</v>
      </c>
      <c r="D56" s="147">
        <v>24.851135556825596</v>
      </c>
      <c r="E56" s="148">
        <v>19.560960000000001</v>
      </c>
      <c r="F56" s="148">
        <f t="shared" si="0"/>
        <v>55.455553621341728</v>
      </c>
      <c r="G56" s="147">
        <v>11.7199884950016</v>
      </c>
      <c r="H56" s="147">
        <v>15.563519999999999</v>
      </c>
      <c r="I56" s="147">
        <f t="shared" si="6"/>
        <v>28.17204512634013</v>
      </c>
      <c r="J56" s="191">
        <f t="shared" si="7"/>
        <v>8.6173077517998048E-2</v>
      </c>
      <c r="K56" s="192">
        <f t="shared" si="8"/>
        <v>4.4881811207290651E-2</v>
      </c>
      <c r="L56"/>
    </row>
    <row r="57" spans="1:12" ht="12" customHeight="1" x14ac:dyDescent="0.2">
      <c r="A57" s="145">
        <v>2019</v>
      </c>
      <c r="B57" s="146">
        <v>328.475998</v>
      </c>
      <c r="C57" s="210">
        <v>9.8239999999999998</v>
      </c>
      <c r="D57" s="147">
        <v>21.728000000000002</v>
      </c>
      <c r="E57" s="211">
        <v>15.563519999999999</v>
      </c>
      <c r="F57" s="148">
        <f t="shared" si="0"/>
        <v>47.115519999999997</v>
      </c>
      <c r="G57" s="147">
        <v>3.0507863134847995</v>
      </c>
      <c r="H57" s="210">
        <v>11.516159999999999</v>
      </c>
      <c r="I57" s="147">
        <f t="shared" si="6"/>
        <v>32.548573686515198</v>
      </c>
      <c r="J57" s="191">
        <f t="shared" si="7"/>
        <v>9.9089656123109479E-2</v>
      </c>
      <c r="K57" s="192">
        <f t="shared" si="8"/>
        <v>5.1609195897452859E-2</v>
      </c>
      <c r="L57"/>
    </row>
    <row r="58" spans="1:12" ht="12" customHeight="1" thickBot="1" x14ac:dyDescent="0.25">
      <c r="A58" s="207">
        <v>2020</v>
      </c>
      <c r="B58" s="208">
        <v>330.11398000000003</v>
      </c>
      <c r="C58" s="209" t="s">
        <v>2</v>
      </c>
      <c r="D58" s="209" t="s">
        <v>2</v>
      </c>
      <c r="E58" s="209" t="s">
        <v>2</v>
      </c>
      <c r="F58" s="209" t="s">
        <v>2</v>
      </c>
      <c r="G58" s="209" t="s">
        <v>2</v>
      </c>
      <c r="H58" s="209" t="s">
        <v>2</v>
      </c>
      <c r="I58" s="209" t="s">
        <v>2</v>
      </c>
      <c r="J58" s="209" t="s">
        <v>2</v>
      </c>
      <c r="K58" s="209" t="s">
        <v>2</v>
      </c>
      <c r="L58"/>
    </row>
    <row r="59" spans="1:12" ht="12" customHeight="1" thickTop="1" x14ac:dyDescent="0.2">
      <c r="A59" s="260" t="s">
        <v>4</v>
      </c>
      <c r="B59" s="261"/>
      <c r="C59" s="261"/>
      <c r="D59" s="261"/>
      <c r="E59" s="261"/>
      <c r="F59" s="261"/>
      <c r="G59" s="261"/>
      <c r="H59" s="261"/>
      <c r="I59" s="261"/>
      <c r="J59" s="261"/>
      <c r="K59" s="262"/>
      <c r="L59"/>
    </row>
    <row r="60" spans="1:12" ht="12" customHeight="1" x14ac:dyDescent="0.2">
      <c r="A60" s="315" t="s">
        <v>89</v>
      </c>
      <c r="B60" s="316"/>
      <c r="C60" s="316"/>
      <c r="D60" s="316"/>
      <c r="E60" s="316"/>
      <c r="F60" s="316"/>
      <c r="G60" s="316"/>
      <c r="H60" s="316"/>
      <c r="I60" s="316"/>
      <c r="J60" s="316"/>
      <c r="K60" s="317"/>
      <c r="L60"/>
    </row>
    <row r="61" spans="1:12" ht="12" customHeight="1" x14ac:dyDescent="0.2">
      <c r="A61" s="308"/>
      <c r="B61" s="309"/>
      <c r="C61" s="309"/>
      <c r="D61" s="309"/>
      <c r="E61" s="309"/>
      <c r="F61" s="309"/>
      <c r="G61" s="309"/>
      <c r="H61" s="309"/>
      <c r="I61" s="309"/>
      <c r="J61" s="309"/>
      <c r="K61" s="310"/>
    </row>
    <row r="62" spans="1:12" ht="12" customHeight="1" x14ac:dyDescent="0.2">
      <c r="A62" s="299" t="s">
        <v>77</v>
      </c>
      <c r="B62" s="300"/>
      <c r="C62" s="300"/>
      <c r="D62" s="300"/>
      <c r="E62" s="300"/>
      <c r="F62" s="300"/>
      <c r="G62" s="300"/>
      <c r="H62" s="300"/>
      <c r="I62" s="300"/>
      <c r="J62" s="300"/>
      <c r="K62" s="301"/>
    </row>
    <row r="63" spans="1:12" ht="12" customHeight="1" x14ac:dyDescent="0.2">
      <c r="A63" s="299"/>
      <c r="B63" s="300"/>
      <c r="C63" s="300"/>
      <c r="D63" s="300"/>
      <c r="E63" s="300"/>
      <c r="F63" s="300"/>
      <c r="G63" s="300"/>
      <c r="H63" s="300"/>
      <c r="I63" s="300"/>
      <c r="J63" s="300"/>
      <c r="K63" s="301"/>
    </row>
    <row r="64" spans="1:12" ht="12" customHeight="1" x14ac:dyDescent="0.2">
      <c r="A64" s="308"/>
      <c r="B64" s="309"/>
      <c r="C64" s="309"/>
      <c r="D64" s="309"/>
      <c r="E64" s="309"/>
      <c r="F64" s="309"/>
      <c r="G64" s="309"/>
      <c r="H64" s="309"/>
      <c r="I64" s="309"/>
      <c r="J64" s="309"/>
      <c r="K64" s="310"/>
    </row>
    <row r="65" spans="1:11" ht="12" customHeight="1" x14ac:dyDescent="0.2">
      <c r="A65" s="290" t="s">
        <v>63</v>
      </c>
      <c r="B65" s="291"/>
      <c r="C65" s="291"/>
      <c r="D65" s="291"/>
      <c r="E65" s="291"/>
      <c r="F65" s="291"/>
      <c r="G65" s="291"/>
      <c r="H65" s="291"/>
      <c r="I65" s="291"/>
      <c r="J65" s="291"/>
      <c r="K65" s="292"/>
    </row>
  </sheetData>
  <mergeCells count="24">
    <mergeCell ref="J3:K3"/>
    <mergeCell ref="G2:H2"/>
    <mergeCell ref="I2:K2"/>
    <mergeCell ref="D3:D6"/>
    <mergeCell ref="A62:K63"/>
    <mergeCell ref="A61:K61"/>
    <mergeCell ref="A60:K60"/>
    <mergeCell ref="A59:K59"/>
    <mergeCell ref="A65:K65"/>
    <mergeCell ref="J1:K1"/>
    <mergeCell ref="A1:I1"/>
    <mergeCell ref="J7:K7"/>
    <mergeCell ref="C7:I7"/>
    <mergeCell ref="A2:A6"/>
    <mergeCell ref="F3:F6"/>
    <mergeCell ref="H3:H6"/>
    <mergeCell ref="B2:B6"/>
    <mergeCell ref="C3:C6"/>
    <mergeCell ref="A64:K64"/>
    <mergeCell ref="K4:K6"/>
    <mergeCell ref="E3:E6"/>
    <mergeCell ref="I3:I6"/>
    <mergeCell ref="J4:J6"/>
    <mergeCell ref="G3:G6"/>
  </mergeCells>
  <phoneticPr fontId="5" type="noConversion"/>
  <printOptions horizontalCentered="1" verticalCentered="1"/>
  <pageMargins left="0.75" right="0.75" top="0.75" bottom="0.75" header="0.5" footer="0.5"/>
  <pageSetup scale="82"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autoPageBreaks="0" fitToPage="1"/>
  </sheetPr>
  <dimension ref="A1:L65"/>
  <sheetViews>
    <sheetView showZeros="0" showOutlineSymbols="0" zoomScaleNormal="100" workbookViewId="0">
      <pane ySplit="7" topLeftCell="A8" activePane="bottomLeft" state="frozen"/>
      <selection pane="bottomLeft" sqref="A1:I1"/>
    </sheetView>
  </sheetViews>
  <sheetFormatPr defaultColWidth="12.7109375" defaultRowHeight="12" customHeight="1" x14ac:dyDescent="0.2"/>
  <cols>
    <col min="1" max="1" width="12.7109375" style="24" customWidth="1"/>
    <col min="2" max="2" width="12.7109375" style="16" customWidth="1"/>
    <col min="3" max="9" width="12.7109375" style="17" customWidth="1"/>
    <col min="10" max="10" width="12.7109375" style="21" customWidth="1"/>
    <col min="11" max="12" width="12.7109375" style="18" customWidth="1"/>
    <col min="13" max="16384" width="12.7109375" style="19"/>
  </cols>
  <sheetData>
    <row r="1" spans="1:12" s="57" customFormat="1" ht="12" customHeight="1" thickBot="1" x14ac:dyDescent="0.25">
      <c r="A1" s="318" t="s">
        <v>46</v>
      </c>
      <c r="B1" s="318"/>
      <c r="C1" s="318"/>
      <c r="D1" s="318"/>
      <c r="E1" s="318"/>
      <c r="F1" s="318"/>
      <c r="G1" s="318"/>
      <c r="H1" s="318"/>
      <c r="I1" s="318"/>
      <c r="J1" s="227" t="s">
        <v>32</v>
      </c>
      <c r="K1" s="227"/>
      <c r="L1" s="56"/>
    </row>
    <row r="2" spans="1:12" ht="12" customHeight="1" thickTop="1" x14ac:dyDescent="0.2">
      <c r="A2" s="282" t="s">
        <v>0</v>
      </c>
      <c r="B2" s="274" t="s">
        <v>18</v>
      </c>
      <c r="C2" s="38" t="s">
        <v>1</v>
      </c>
      <c r="D2" s="39"/>
      <c r="E2" s="39"/>
      <c r="F2" s="39"/>
      <c r="G2" s="272" t="s">
        <v>44</v>
      </c>
      <c r="H2" s="273"/>
      <c r="I2" s="272" t="s">
        <v>43</v>
      </c>
      <c r="J2" s="273"/>
      <c r="K2" s="273"/>
    </row>
    <row r="3" spans="1:12" ht="12" customHeight="1" x14ac:dyDescent="0.2">
      <c r="A3" s="283"/>
      <c r="B3" s="275"/>
      <c r="C3" s="279" t="s">
        <v>19</v>
      </c>
      <c r="D3" s="279" t="s">
        <v>20</v>
      </c>
      <c r="E3" s="279" t="s">
        <v>29</v>
      </c>
      <c r="F3" s="279" t="s">
        <v>30</v>
      </c>
      <c r="G3" s="279" t="s">
        <v>23</v>
      </c>
      <c r="H3" s="279" t="s">
        <v>31</v>
      </c>
      <c r="I3" s="293" t="s">
        <v>41</v>
      </c>
      <c r="J3" s="288" t="s">
        <v>17</v>
      </c>
      <c r="K3" s="289"/>
      <c r="L3" s="20"/>
    </row>
    <row r="4" spans="1:12" ht="12" customHeight="1" x14ac:dyDescent="0.2">
      <c r="A4" s="283"/>
      <c r="B4" s="275"/>
      <c r="C4" s="280"/>
      <c r="D4" s="280"/>
      <c r="E4" s="280"/>
      <c r="F4" s="280"/>
      <c r="G4" s="280"/>
      <c r="H4" s="280"/>
      <c r="I4" s="294"/>
      <c r="J4" s="314" t="s">
        <v>3</v>
      </c>
      <c r="K4" s="311" t="s">
        <v>16</v>
      </c>
    </row>
    <row r="5" spans="1:12" ht="12" customHeight="1" x14ac:dyDescent="0.2">
      <c r="A5" s="283"/>
      <c r="B5" s="275"/>
      <c r="C5" s="280"/>
      <c r="D5" s="280"/>
      <c r="E5" s="280"/>
      <c r="F5" s="280"/>
      <c r="G5" s="280"/>
      <c r="H5" s="280"/>
      <c r="I5" s="294"/>
      <c r="J5" s="277"/>
      <c r="K5" s="312"/>
    </row>
    <row r="6" spans="1:12" ht="12" customHeight="1" x14ac:dyDescent="0.2">
      <c r="A6" s="284"/>
      <c r="B6" s="276"/>
      <c r="C6" s="281"/>
      <c r="D6" s="281"/>
      <c r="E6" s="281"/>
      <c r="F6" s="281"/>
      <c r="G6" s="281"/>
      <c r="H6" s="281"/>
      <c r="I6" s="295"/>
      <c r="J6" s="278"/>
      <c r="K6" s="313"/>
    </row>
    <row r="7" spans="1:12" ht="12" customHeight="1" x14ac:dyDescent="0.2">
      <c r="A7" s="73"/>
      <c r="B7" s="76" t="s">
        <v>33</v>
      </c>
      <c r="C7" s="267" t="s">
        <v>35</v>
      </c>
      <c r="D7" s="268"/>
      <c r="E7" s="268"/>
      <c r="F7" s="268"/>
      <c r="G7" s="268"/>
      <c r="H7" s="268"/>
      <c r="I7" s="268"/>
      <c r="J7" s="269" t="s">
        <v>36</v>
      </c>
      <c r="K7" s="269"/>
      <c r="L7" s="72"/>
    </row>
    <row r="8" spans="1:12" ht="12" customHeight="1" x14ac:dyDescent="0.2">
      <c r="A8" s="42">
        <v>1970</v>
      </c>
      <c r="B8" s="69">
        <v>205.05199999999999</v>
      </c>
      <c r="C8" s="43">
        <v>110.60000000000001</v>
      </c>
      <c r="D8" s="46" t="s">
        <v>2</v>
      </c>
      <c r="E8" s="45">
        <v>144.565</v>
      </c>
      <c r="F8" s="45">
        <f t="shared" ref="F8:F52" si="0">SUM(C8,D8,E8)</f>
        <v>255.16500000000002</v>
      </c>
      <c r="G8" s="46" t="s">
        <v>2</v>
      </c>
      <c r="H8" s="47">
        <v>109.544</v>
      </c>
      <c r="I8" s="43">
        <f t="shared" ref="I8:I50" si="1">F8-SUM(G8,H8)</f>
        <v>145.62100000000004</v>
      </c>
      <c r="J8" s="183">
        <f t="shared" ref="J8:J50" si="2">IF(I8=0,0,IF(B8=0,0,I8/B8))</f>
        <v>0.71016620174394807</v>
      </c>
      <c r="K8" s="184">
        <f>J8/1.05</f>
        <v>0.67634876356566476</v>
      </c>
    </row>
    <row r="9" spans="1:12" ht="12" customHeight="1" x14ac:dyDescent="0.2">
      <c r="A9" s="78">
        <v>1971</v>
      </c>
      <c r="B9" s="79">
        <v>207.661</v>
      </c>
      <c r="C9" s="80">
        <v>109.5</v>
      </c>
      <c r="D9" s="83" t="s">
        <v>2</v>
      </c>
      <c r="E9" s="82">
        <v>109.544</v>
      </c>
      <c r="F9" s="82">
        <f t="shared" si="0"/>
        <v>219.04399999999998</v>
      </c>
      <c r="G9" s="83" t="s">
        <v>2</v>
      </c>
      <c r="H9" s="85">
        <v>88.24</v>
      </c>
      <c r="I9" s="80">
        <f t="shared" si="1"/>
        <v>130.80399999999997</v>
      </c>
      <c r="J9" s="185">
        <f t="shared" si="2"/>
        <v>0.62989198742180752</v>
      </c>
      <c r="K9" s="186">
        <f t="shared" ref="K9:K44" si="3">J9/1.05</f>
        <v>0.59989713087791185</v>
      </c>
    </row>
    <row r="10" spans="1:12" ht="12" customHeight="1" x14ac:dyDescent="0.2">
      <c r="A10" s="78">
        <v>1972</v>
      </c>
      <c r="B10" s="79">
        <v>209.89599999999999</v>
      </c>
      <c r="C10" s="80">
        <v>137.19999999999999</v>
      </c>
      <c r="D10" s="83" t="s">
        <v>2</v>
      </c>
      <c r="E10" s="82">
        <v>88.24</v>
      </c>
      <c r="F10" s="82">
        <f t="shared" si="0"/>
        <v>225.44</v>
      </c>
      <c r="G10" s="83" t="s">
        <v>2</v>
      </c>
      <c r="H10" s="85">
        <v>88.070999999999998</v>
      </c>
      <c r="I10" s="80">
        <f t="shared" si="1"/>
        <v>137.369</v>
      </c>
      <c r="J10" s="185">
        <f t="shared" si="2"/>
        <v>0.65446220985630987</v>
      </c>
      <c r="K10" s="186">
        <f t="shared" si="3"/>
        <v>0.62329734272029513</v>
      </c>
    </row>
    <row r="11" spans="1:12" ht="12" customHeight="1" x14ac:dyDescent="0.2">
      <c r="A11" s="78">
        <v>1973</v>
      </c>
      <c r="B11" s="79">
        <v>211.90899999999999</v>
      </c>
      <c r="C11" s="80">
        <v>143.80000000000001</v>
      </c>
      <c r="D11" s="83" t="s">
        <v>2</v>
      </c>
      <c r="E11" s="82">
        <v>88.070999999999998</v>
      </c>
      <c r="F11" s="82">
        <f t="shared" si="0"/>
        <v>231.87100000000001</v>
      </c>
      <c r="G11" s="83" t="s">
        <v>2</v>
      </c>
      <c r="H11" s="85">
        <v>89.405000000000001</v>
      </c>
      <c r="I11" s="80">
        <f t="shared" si="1"/>
        <v>142.46600000000001</v>
      </c>
      <c r="J11" s="185">
        <f t="shared" si="2"/>
        <v>0.67229801471386308</v>
      </c>
      <c r="K11" s="186">
        <f t="shared" si="3"/>
        <v>0.64028382353701241</v>
      </c>
    </row>
    <row r="12" spans="1:12" ht="12" customHeight="1" x14ac:dyDescent="0.2">
      <c r="A12" s="78">
        <v>1974</v>
      </c>
      <c r="B12" s="79">
        <v>213.85400000000001</v>
      </c>
      <c r="C12" s="80">
        <v>142.30000000000001</v>
      </c>
      <c r="D12" s="83" t="s">
        <v>2</v>
      </c>
      <c r="E12" s="82">
        <v>89.405000000000001</v>
      </c>
      <c r="F12" s="82">
        <f t="shared" si="0"/>
        <v>231.70500000000001</v>
      </c>
      <c r="G12" s="83" t="s">
        <v>2</v>
      </c>
      <c r="H12" s="85">
        <v>97.388000000000005</v>
      </c>
      <c r="I12" s="80">
        <f t="shared" si="1"/>
        <v>134.31700000000001</v>
      </c>
      <c r="J12" s="185">
        <f t="shared" si="2"/>
        <v>0.62807803454693389</v>
      </c>
      <c r="K12" s="186">
        <f t="shared" si="3"/>
        <v>0.59816955671136562</v>
      </c>
    </row>
    <row r="13" spans="1:12" ht="12" customHeight="1" x14ac:dyDescent="0.2">
      <c r="A13" s="78">
        <v>1975</v>
      </c>
      <c r="B13" s="79">
        <v>215.97300000000001</v>
      </c>
      <c r="C13" s="80">
        <v>132.4</v>
      </c>
      <c r="D13" s="83" t="s">
        <v>2</v>
      </c>
      <c r="E13" s="82">
        <v>97.388000000000005</v>
      </c>
      <c r="F13" s="82">
        <f t="shared" si="0"/>
        <v>229.78800000000001</v>
      </c>
      <c r="G13" s="83" t="s">
        <v>2</v>
      </c>
      <c r="H13" s="85">
        <v>113.764</v>
      </c>
      <c r="I13" s="80">
        <f t="shared" si="1"/>
        <v>116.02400000000002</v>
      </c>
      <c r="J13" s="185">
        <f t="shared" si="2"/>
        <v>0.53721530006065576</v>
      </c>
      <c r="K13" s="186">
        <f t="shared" si="3"/>
        <v>0.51163361910538641</v>
      </c>
    </row>
    <row r="14" spans="1:12" ht="12" customHeight="1" x14ac:dyDescent="0.2">
      <c r="A14" s="42">
        <v>1976</v>
      </c>
      <c r="B14" s="69">
        <v>218.035</v>
      </c>
      <c r="C14" s="43">
        <v>72.7</v>
      </c>
      <c r="D14" s="46" t="s">
        <v>2</v>
      </c>
      <c r="E14" s="45">
        <v>113.764</v>
      </c>
      <c r="F14" s="45">
        <f t="shared" si="0"/>
        <v>186.464</v>
      </c>
      <c r="G14" s="46" t="s">
        <v>2</v>
      </c>
      <c r="H14" s="47">
        <v>77.290000000000006</v>
      </c>
      <c r="I14" s="43">
        <f t="shared" si="1"/>
        <v>109.17399999999999</v>
      </c>
      <c r="J14" s="183">
        <f t="shared" si="2"/>
        <v>0.50071777466920442</v>
      </c>
      <c r="K14" s="184">
        <f t="shared" si="3"/>
        <v>0.47687407111352798</v>
      </c>
    </row>
    <row r="15" spans="1:12" ht="12" customHeight="1" x14ac:dyDescent="0.2">
      <c r="A15" s="42">
        <v>1977</v>
      </c>
      <c r="B15" s="69">
        <v>220.23899999999998</v>
      </c>
      <c r="C15" s="43">
        <v>109.4</v>
      </c>
      <c r="D15" s="46" t="s">
        <v>2</v>
      </c>
      <c r="E15" s="45">
        <v>77.290000000000006</v>
      </c>
      <c r="F15" s="45">
        <f t="shared" si="0"/>
        <v>186.69</v>
      </c>
      <c r="G15" s="46" t="s">
        <v>2</v>
      </c>
      <c r="H15" s="47">
        <v>95.12</v>
      </c>
      <c r="I15" s="43">
        <f t="shared" si="1"/>
        <v>91.57</v>
      </c>
      <c r="J15" s="183">
        <f t="shared" si="2"/>
        <v>0.41577558924622798</v>
      </c>
      <c r="K15" s="184">
        <f t="shared" si="3"/>
        <v>0.39597675166307428</v>
      </c>
    </row>
    <row r="16" spans="1:12" ht="12" customHeight="1" x14ac:dyDescent="0.2">
      <c r="A16" s="42">
        <v>1978</v>
      </c>
      <c r="B16" s="69">
        <v>222.58500000000001</v>
      </c>
      <c r="C16" s="43">
        <v>115.2</v>
      </c>
      <c r="D16" s="46" t="s">
        <v>2</v>
      </c>
      <c r="E16" s="45">
        <v>95.12</v>
      </c>
      <c r="F16" s="45">
        <f t="shared" si="0"/>
        <v>210.32</v>
      </c>
      <c r="G16" s="46" t="s">
        <v>2</v>
      </c>
      <c r="H16" s="47">
        <v>104.01300000000001</v>
      </c>
      <c r="I16" s="43">
        <f t="shared" si="1"/>
        <v>106.30699999999999</v>
      </c>
      <c r="J16" s="183">
        <f t="shared" si="2"/>
        <v>0.47760181503695209</v>
      </c>
      <c r="K16" s="184">
        <f t="shared" si="3"/>
        <v>0.45485887146376386</v>
      </c>
    </row>
    <row r="17" spans="1:11" ht="12" customHeight="1" x14ac:dyDescent="0.2">
      <c r="A17" s="42">
        <v>1979</v>
      </c>
      <c r="B17" s="69">
        <v>225.05500000000001</v>
      </c>
      <c r="C17" s="43">
        <v>129.63999999999999</v>
      </c>
      <c r="D17" s="46" t="s">
        <v>2</v>
      </c>
      <c r="E17" s="45">
        <v>104.01300000000001</v>
      </c>
      <c r="F17" s="45">
        <f t="shared" si="0"/>
        <v>233.65299999999999</v>
      </c>
      <c r="G17" s="46" t="s">
        <v>2</v>
      </c>
      <c r="H17" s="47">
        <v>116.004</v>
      </c>
      <c r="I17" s="43">
        <f t="shared" si="1"/>
        <v>117.64899999999999</v>
      </c>
      <c r="J17" s="183">
        <f t="shared" si="2"/>
        <v>0.52275665948323735</v>
      </c>
      <c r="K17" s="184">
        <f t="shared" si="3"/>
        <v>0.49786348522213081</v>
      </c>
    </row>
    <row r="18" spans="1:11" ht="12" customHeight="1" x14ac:dyDescent="0.2">
      <c r="A18" s="42">
        <v>1980</v>
      </c>
      <c r="B18" s="69">
        <v>227.726</v>
      </c>
      <c r="C18" s="43">
        <v>86.86</v>
      </c>
      <c r="D18" s="46" t="s">
        <v>2</v>
      </c>
      <c r="E18" s="45">
        <v>116.004</v>
      </c>
      <c r="F18" s="45">
        <f t="shared" si="0"/>
        <v>202.864</v>
      </c>
      <c r="G18" s="46" t="s">
        <v>2</v>
      </c>
      <c r="H18" s="47">
        <v>90.475999999999999</v>
      </c>
      <c r="I18" s="43">
        <f t="shared" si="1"/>
        <v>112.38800000000001</v>
      </c>
      <c r="J18" s="183">
        <f t="shared" si="2"/>
        <v>0.49352291789255509</v>
      </c>
      <c r="K18" s="184">
        <f t="shared" si="3"/>
        <v>0.47002182656433816</v>
      </c>
    </row>
    <row r="19" spans="1:11" ht="12" customHeight="1" x14ac:dyDescent="0.2">
      <c r="A19" s="78">
        <v>1981</v>
      </c>
      <c r="B19" s="79">
        <v>229.96600000000001</v>
      </c>
      <c r="C19" s="80">
        <v>91.42</v>
      </c>
      <c r="D19" s="83" t="s">
        <v>2</v>
      </c>
      <c r="E19" s="82">
        <v>90.475999999999999</v>
      </c>
      <c r="F19" s="82">
        <f t="shared" si="0"/>
        <v>181.89600000000002</v>
      </c>
      <c r="G19" s="83" t="s">
        <v>2</v>
      </c>
      <c r="H19" s="85">
        <v>61.768000000000001</v>
      </c>
      <c r="I19" s="80">
        <f t="shared" si="1"/>
        <v>120.12800000000001</v>
      </c>
      <c r="J19" s="185">
        <f t="shared" si="2"/>
        <v>0.5223728725115887</v>
      </c>
      <c r="K19" s="186">
        <f t="shared" si="3"/>
        <v>0.49749797382056066</v>
      </c>
    </row>
    <row r="20" spans="1:11" ht="12" customHeight="1" x14ac:dyDescent="0.2">
      <c r="A20" s="78">
        <v>1982</v>
      </c>
      <c r="B20" s="79">
        <v>232.18799999999999</v>
      </c>
      <c r="C20" s="84">
        <v>93.156000000000006</v>
      </c>
      <c r="D20" s="83" t="s">
        <v>2</v>
      </c>
      <c r="E20" s="82">
        <v>61.768000000000001</v>
      </c>
      <c r="F20" s="82">
        <f t="shared" si="0"/>
        <v>154.92400000000001</v>
      </c>
      <c r="G20" s="83" t="s">
        <v>2</v>
      </c>
      <c r="H20" s="85">
        <v>74.778000000000006</v>
      </c>
      <c r="I20" s="80">
        <f t="shared" si="1"/>
        <v>80.146000000000001</v>
      </c>
      <c r="J20" s="185">
        <f t="shared" si="2"/>
        <v>0.34517718400606406</v>
      </c>
      <c r="K20" s="186">
        <f t="shared" si="3"/>
        <v>0.3287401752438705</v>
      </c>
    </row>
    <row r="21" spans="1:11" ht="12" customHeight="1" x14ac:dyDescent="0.2">
      <c r="A21" s="78">
        <v>1983</v>
      </c>
      <c r="B21" s="79">
        <v>234.30699999999999</v>
      </c>
      <c r="C21" s="84">
        <v>85.46</v>
      </c>
      <c r="D21" s="83" t="s">
        <v>2</v>
      </c>
      <c r="E21" s="82">
        <v>74.778000000000006</v>
      </c>
      <c r="F21" s="82">
        <f t="shared" si="0"/>
        <v>160.238</v>
      </c>
      <c r="G21" s="83" t="s">
        <v>2</v>
      </c>
      <c r="H21" s="85">
        <v>87.457999999999998</v>
      </c>
      <c r="I21" s="80">
        <f t="shared" si="1"/>
        <v>72.78</v>
      </c>
      <c r="J21" s="185">
        <f t="shared" si="2"/>
        <v>0.31061812067074396</v>
      </c>
      <c r="K21" s="186">
        <f t="shared" si="3"/>
        <v>0.2958267815911847</v>
      </c>
    </row>
    <row r="22" spans="1:11" ht="12" customHeight="1" x14ac:dyDescent="0.2">
      <c r="A22" s="78">
        <v>1984</v>
      </c>
      <c r="B22" s="79">
        <v>236.34800000000001</v>
      </c>
      <c r="C22" s="80">
        <v>106.88800000000001</v>
      </c>
      <c r="D22" s="83" t="s">
        <v>2</v>
      </c>
      <c r="E22" s="82">
        <v>87.457999999999998</v>
      </c>
      <c r="F22" s="82">
        <f t="shared" si="0"/>
        <v>194.346</v>
      </c>
      <c r="G22" s="83" t="s">
        <v>2</v>
      </c>
      <c r="H22" s="85">
        <v>83.501000000000005</v>
      </c>
      <c r="I22" s="80">
        <f t="shared" si="1"/>
        <v>110.845</v>
      </c>
      <c r="J22" s="185">
        <f t="shared" si="2"/>
        <v>0.4689906409193223</v>
      </c>
      <c r="K22" s="186">
        <f t="shared" si="3"/>
        <v>0.44665775325649743</v>
      </c>
    </row>
    <row r="23" spans="1:11" ht="12" customHeight="1" x14ac:dyDescent="0.2">
      <c r="A23" s="78">
        <v>1985</v>
      </c>
      <c r="B23" s="79">
        <v>238.46600000000001</v>
      </c>
      <c r="C23" s="80">
        <v>106.904</v>
      </c>
      <c r="D23" s="83" t="s">
        <v>2</v>
      </c>
      <c r="E23" s="82">
        <v>83.501000000000005</v>
      </c>
      <c r="F23" s="82">
        <f t="shared" si="0"/>
        <v>190.405</v>
      </c>
      <c r="G23" s="83" t="s">
        <v>2</v>
      </c>
      <c r="H23" s="85">
        <v>103.804</v>
      </c>
      <c r="I23" s="80">
        <f t="shared" si="1"/>
        <v>86.600999999999999</v>
      </c>
      <c r="J23" s="185">
        <f t="shared" si="2"/>
        <v>0.3631586892890391</v>
      </c>
      <c r="K23" s="186">
        <f t="shared" si="3"/>
        <v>0.34586541837051343</v>
      </c>
    </row>
    <row r="24" spans="1:11" ht="12" customHeight="1" x14ac:dyDescent="0.2">
      <c r="A24" s="42">
        <v>1986</v>
      </c>
      <c r="B24" s="69">
        <v>240.65100000000001</v>
      </c>
      <c r="C24" s="43">
        <v>77.506</v>
      </c>
      <c r="D24" s="46" t="s">
        <v>2</v>
      </c>
      <c r="E24" s="45">
        <v>103.804</v>
      </c>
      <c r="F24" s="45">
        <f t="shared" si="0"/>
        <v>181.31</v>
      </c>
      <c r="G24" s="46" t="s">
        <v>2</v>
      </c>
      <c r="H24" s="47">
        <v>71.084999999999994</v>
      </c>
      <c r="I24" s="43">
        <f t="shared" si="1"/>
        <v>110.22500000000001</v>
      </c>
      <c r="J24" s="183">
        <f t="shared" si="2"/>
        <v>0.45802843121366626</v>
      </c>
      <c r="K24" s="184">
        <f t="shared" si="3"/>
        <v>0.43621755353682501</v>
      </c>
    </row>
    <row r="25" spans="1:11" ht="12" customHeight="1" x14ac:dyDescent="0.2">
      <c r="A25" s="42">
        <v>1987</v>
      </c>
      <c r="B25" s="69">
        <v>242.804</v>
      </c>
      <c r="C25" s="43">
        <v>78.715999999999994</v>
      </c>
      <c r="D25" s="46" t="s">
        <v>2</v>
      </c>
      <c r="E25" s="45">
        <v>71.084999999999994</v>
      </c>
      <c r="F25" s="45">
        <f t="shared" si="0"/>
        <v>149.80099999999999</v>
      </c>
      <c r="G25" s="46" t="s">
        <v>2</v>
      </c>
      <c r="H25" s="47">
        <v>55.869</v>
      </c>
      <c r="I25" s="43">
        <f t="shared" si="1"/>
        <v>93.931999999999988</v>
      </c>
      <c r="J25" s="183">
        <f t="shared" si="2"/>
        <v>0.38686347836114721</v>
      </c>
      <c r="K25" s="184">
        <f t="shared" si="3"/>
        <v>0.36844140796299735</v>
      </c>
    </row>
    <row r="26" spans="1:11" ht="12" customHeight="1" x14ac:dyDescent="0.2">
      <c r="A26" s="42">
        <v>1988</v>
      </c>
      <c r="B26" s="69">
        <v>245.02099999999999</v>
      </c>
      <c r="C26" s="43">
        <v>62.738</v>
      </c>
      <c r="D26" s="46" t="s">
        <v>2</v>
      </c>
      <c r="E26" s="45">
        <v>55.869</v>
      </c>
      <c r="F26" s="45">
        <f t="shared" si="0"/>
        <v>118.607</v>
      </c>
      <c r="G26" s="46" t="s">
        <v>2</v>
      </c>
      <c r="H26" s="47">
        <v>41.826999999999998</v>
      </c>
      <c r="I26" s="43">
        <f t="shared" si="1"/>
        <v>76.78</v>
      </c>
      <c r="J26" s="183">
        <f t="shared" si="2"/>
        <v>0.31336089559670399</v>
      </c>
      <c r="K26" s="184">
        <f t="shared" si="3"/>
        <v>0.29843894818733713</v>
      </c>
    </row>
    <row r="27" spans="1:11" ht="12" customHeight="1" x14ac:dyDescent="0.2">
      <c r="A27" s="42">
        <v>1989</v>
      </c>
      <c r="B27" s="69">
        <v>247.34200000000001</v>
      </c>
      <c r="C27" s="43">
        <v>80.915999999999997</v>
      </c>
      <c r="D27" s="43">
        <v>0.67020447999999988</v>
      </c>
      <c r="E27" s="45">
        <v>41.826999999999998</v>
      </c>
      <c r="F27" s="45">
        <f t="shared" si="0"/>
        <v>123.41320447999999</v>
      </c>
      <c r="G27" s="46" t="s">
        <v>2</v>
      </c>
      <c r="H27" s="47">
        <v>60.631</v>
      </c>
      <c r="I27" s="43">
        <f t="shared" si="1"/>
        <v>62.78220447999999</v>
      </c>
      <c r="J27" s="183">
        <f t="shared" si="2"/>
        <v>0.2538275120278804</v>
      </c>
      <c r="K27" s="184">
        <f t="shared" si="3"/>
        <v>0.24174048764560035</v>
      </c>
    </row>
    <row r="28" spans="1:11" ht="12" customHeight="1" x14ac:dyDescent="0.2">
      <c r="A28" s="42">
        <v>1990</v>
      </c>
      <c r="B28" s="69">
        <v>250.13200000000001</v>
      </c>
      <c r="C28" s="43">
        <v>85.36</v>
      </c>
      <c r="D28" s="43">
        <v>9.9207899999999988E-2</v>
      </c>
      <c r="E28" s="45">
        <v>60.631</v>
      </c>
      <c r="F28" s="45">
        <f t="shared" si="0"/>
        <v>146.0902079</v>
      </c>
      <c r="G28" s="46" t="s">
        <v>2</v>
      </c>
      <c r="H28" s="47">
        <v>91.248000000000005</v>
      </c>
      <c r="I28" s="43">
        <f t="shared" si="1"/>
        <v>54.842207899999991</v>
      </c>
      <c r="J28" s="183">
        <f t="shared" si="2"/>
        <v>0.2192530659811619</v>
      </c>
      <c r="K28" s="184">
        <f t="shared" si="3"/>
        <v>0.20881244379158276</v>
      </c>
    </row>
    <row r="29" spans="1:11" ht="12" customHeight="1" x14ac:dyDescent="0.2">
      <c r="A29" s="78">
        <v>1991</v>
      </c>
      <c r="B29" s="79">
        <v>253.49299999999999</v>
      </c>
      <c r="C29" s="80">
        <v>89.75200000000001</v>
      </c>
      <c r="D29" s="80">
        <v>3.075135E-2</v>
      </c>
      <c r="E29" s="82">
        <v>91.248000000000005</v>
      </c>
      <c r="F29" s="82">
        <f t="shared" si="0"/>
        <v>181.03075135</v>
      </c>
      <c r="G29" s="83" t="s">
        <v>2</v>
      </c>
      <c r="H29" s="85">
        <v>100.392</v>
      </c>
      <c r="I29" s="80">
        <f t="shared" si="1"/>
        <v>80.638751350000007</v>
      </c>
      <c r="J29" s="185">
        <f t="shared" si="2"/>
        <v>0.31811036734742187</v>
      </c>
      <c r="K29" s="186">
        <f t="shared" si="3"/>
        <v>0.30296225461659226</v>
      </c>
    </row>
    <row r="30" spans="1:11" ht="12" customHeight="1" x14ac:dyDescent="0.2">
      <c r="A30" s="78">
        <v>1992</v>
      </c>
      <c r="B30" s="79">
        <v>256.89400000000001</v>
      </c>
      <c r="C30" s="80">
        <v>64.14</v>
      </c>
      <c r="D30" s="80">
        <v>0.20872110000000002</v>
      </c>
      <c r="E30" s="82">
        <v>100.392</v>
      </c>
      <c r="F30" s="82">
        <f t="shared" si="0"/>
        <v>164.7407211</v>
      </c>
      <c r="G30" s="83" t="s">
        <v>2</v>
      </c>
      <c r="H30" s="85">
        <v>65.046999999999997</v>
      </c>
      <c r="I30" s="80">
        <f t="shared" si="1"/>
        <v>99.693721100000005</v>
      </c>
      <c r="J30" s="185">
        <f t="shared" si="2"/>
        <v>0.38807337306437678</v>
      </c>
      <c r="K30" s="186">
        <f t="shared" si="3"/>
        <v>0.36959368863273978</v>
      </c>
    </row>
    <row r="31" spans="1:11" ht="12" customHeight="1" x14ac:dyDescent="0.2">
      <c r="A31" s="78">
        <v>1993</v>
      </c>
      <c r="B31" s="79">
        <v>260.255</v>
      </c>
      <c r="C31" s="80">
        <v>81.319999999999993</v>
      </c>
      <c r="D31" s="80">
        <v>0.34449135000000003</v>
      </c>
      <c r="E31" s="82">
        <v>65.046999999999997</v>
      </c>
      <c r="F31" s="82">
        <f t="shared" si="0"/>
        <v>146.71149134999999</v>
      </c>
      <c r="G31" s="83" t="s">
        <v>2</v>
      </c>
      <c r="H31" s="85">
        <v>52.073699999999995</v>
      </c>
      <c r="I31" s="80">
        <f t="shared" si="1"/>
        <v>94.637791349999986</v>
      </c>
      <c r="J31" s="185">
        <f t="shared" si="2"/>
        <v>0.36363486330714101</v>
      </c>
      <c r="K31" s="186">
        <f t="shared" si="3"/>
        <v>0.34631891743537235</v>
      </c>
    </row>
    <row r="32" spans="1:11" ht="12" customHeight="1" x14ac:dyDescent="0.2">
      <c r="A32" s="78">
        <v>1994</v>
      </c>
      <c r="B32" s="79">
        <v>263.43599999999998</v>
      </c>
      <c r="C32" s="80">
        <v>104.96</v>
      </c>
      <c r="D32" s="80">
        <v>0.41765114999999997</v>
      </c>
      <c r="E32" s="82">
        <v>52.073699999999995</v>
      </c>
      <c r="F32" s="82">
        <f t="shared" si="0"/>
        <v>157.45135114999999</v>
      </c>
      <c r="G32" s="83" t="s">
        <v>2</v>
      </c>
      <c r="H32" s="85">
        <v>62.412000000000006</v>
      </c>
      <c r="I32" s="80">
        <f t="shared" si="1"/>
        <v>95.039351149999987</v>
      </c>
      <c r="J32" s="185">
        <f t="shared" si="2"/>
        <v>0.36076827445755322</v>
      </c>
      <c r="K32" s="186">
        <f t="shared" si="3"/>
        <v>0.34358883281671732</v>
      </c>
    </row>
    <row r="33" spans="1:11" ht="12" customHeight="1" x14ac:dyDescent="0.2">
      <c r="A33" s="78">
        <v>1995</v>
      </c>
      <c r="B33" s="79">
        <v>266.55700000000002</v>
      </c>
      <c r="C33" s="80">
        <v>124.1</v>
      </c>
      <c r="D33" s="80">
        <v>0.63492870000000001</v>
      </c>
      <c r="E33" s="82">
        <v>62.412000000000006</v>
      </c>
      <c r="F33" s="82">
        <f t="shared" si="0"/>
        <v>187.14692869999999</v>
      </c>
      <c r="G33" s="83" t="s">
        <v>2</v>
      </c>
      <c r="H33" s="85">
        <v>63.218400000000003</v>
      </c>
      <c r="I33" s="80">
        <f t="shared" si="1"/>
        <v>123.92852869999999</v>
      </c>
      <c r="J33" s="185">
        <f t="shared" si="2"/>
        <v>0.4649231822837141</v>
      </c>
      <c r="K33" s="186">
        <f t="shared" si="3"/>
        <v>0.44278398312734674</v>
      </c>
    </row>
    <row r="34" spans="1:11" ht="12" customHeight="1" x14ac:dyDescent="0.2">
      <c r="A34" s="42">
        <v>1996</v>
      </c>
      <c r="B34" s="69">
        <v>269.66699999999997</v>
      </c>
      <c r="C34" s="43">
        <v>129.56</v>
      </c>
      <c r="D34" s="43">
        <v>0.69213480000000005</v>
      </c>
      <c r="E34" s="45">
        <v>63.218400000000003</v>
      </c>
      <c r="F34" s="45">
        <f t="shared" si="0"/>
        <v>193.4705348</v>
      </c>
      <c r="G34" s="46" t="s">
        <v>2</v>
      </c>
      <c r="H34" s="47">
        <v>62.207250000000009</v>
      </c>
      <c r="I34" s="43">
        <f t="shared" si="1"/>
        <v>131.26328479999998</v>
      </c>
      <c r="J34" s="183">
        <f t="shared" si="2"/>
        <v>0.48676065221180193</v>
      </c>
      <c r="K34" s="184">
        <f t="shared" si="3"/>
        <v>0.46358157353504942</v>
      </c>
    </row>
    <row r="35" spans="1:11" ht="12" customHeight="1" x14ac:dyDescent="0.2">
      <c r="A35" s="42">
        <v>1997</v>
      </c>
      <c r="B35" s="69">
        <v>272.91199999999998</v>
      </c>
      <c r="C35" s="43">
        <v>132</v>
      </c>
      <c r="D35" s="43">
        <v>0.40307609999999994</v>
      </c>
      <c r="E35" s="45">
        <v>62.207250000000009</v>
      </c>
      <c r="F35" s="45">
        <f t="shared" si="0"/>
        <v>194.61032610000001</v>
      </c>
      <c r="G35" s="46" t="s">
        <v>2</v>
      </c>
      <c r="H35" s="47">
        <v>75.83205000000001</v>
      </c>
      <c r="I35" s="43">
        <f t="shared" si="1"/>
        <v>118.7782761</v>
      </c>
      <c r="J35" s="183">
        <f t="shared" si="2"/>
        <v>0.43522555292548515</v>
      </c>
      <c r="K35" s="184">
        <f t="shared" si="3"/>
        <v>0.41450052659570014</v>
      </c>
    </row>
    <row r="36" spans="1:11" ht="12" customHeight="1" x14ac:dyDescent="0.2">
      <c r="A36" s="42">
        <v>1998</v>
      </c>
      <c r="B36" s="69">
        <v>276.11500000000001</v>
      </c>
      <c r="C36" s="43">
        <v>119.82</v>
      </c>
      <c r="D36" s="43">
        <v>0.3884013</v>
      </c>
      <c r="E36" s="45">
        <v>75.83205000000001</v>
      </c>
      <c r="F36" s="45">
        <f t="shared" si="0"/>
        <v>196.0404513</v>
      </c>
      <c r="G36" s="46" t="s">
        <v>2</v>
      </c>
      <c r="H36" s="47">
        <v>79.242449999999991</v>
      </c>
      <c r="I36" s="43">
        <f t="shared" si="1"/>
        <v>116.79800130000001</v>
      </c>
      <c r="J36" s="183">
        <f t="shared" si="2"/>
        <v>0.42300491208373325</v>
      </c>
      <c r="K36" s="184">
        <f t="shared" si="3"/>
        <v>0.40286182103212687</v>
      </c>
    </row>
    <row r="37" spans="1:11" ht="12" customHeight="1" x14ac:dyDescent="0.2">
      <c r="A37" s="42">
        <v>1999</v>
      </c>
      <c r="B37" s="69">
        <v>279.29500000000002</v>
      </c>
      <c r="C37" s="43">
        <v>118.4</v>
      </c>
      <c r="D37" s="43">
        <v>0.53544855000000002</v>
      </c>
      <c r="E37" s="45">
        <v>79.242449999999991</v>
      </c>
      <c r="F37" s="45">
        <f t="shared" si="0"/>
        <v>198.17789855000001</v>
      </c>
      <c r="G37" s="46" t="s">
        <v>2</v>
      </c>
      <c r="H37" s="47">
        <v>75.592649999999992</v>
      </c>
      <c r="I37" s="43">
        <f t="shared" si="1"/>
        <v>122.58524855000002</v>
      </c>
      <c r="J37" s="183">
        <f t="shared" si="2"/>
        <v>0.43890957070481035</v>
      </c>
      <c r="K37" s="184">
        <f t="shared" si="3"/>
        <v>0.41800911495696219</v>
      </c>
    </row>
    <row r="38" spans="1:11" ht="12" customHeight="1" x14ac:dyDescent="0.2">
      <c r="A38" s="42">
        <v>2000</v>
      </c>
      <c r="B38" s="69">
        <v>282.38499999999999</v>
      </c>
      <c r="C38" s="43">
        <v>101.52</v>
      </c>
      <c r="D38" s="43">
        <v>1.0605472500000002</v>
      </c>
      <c r="E38" s="45">
        <v>75.592649999999992</v>
      </c>
      <c r="F38" s="45">
        <f t="shared" si="0"/>
        <v>178.17319724999999</v>
      </c>
      <c r="G38" s="46" t="s">
        <v>2</v>
      </c>
      <c r="H38" s="47">
        <v>49.276499999999999</v>
      </c>
      <c r="I38" s="43">
        <f t="shared" si="1"/>
        <v>128.89669724999999</v>
      </c>
      <c r="J38" s="183">
        <f t="shared" si="2"/>
        <v>0.45645730917010463</v>
      </c>
      <c r="K38" s="184">
        <f t="shared" si="3"/>
        <v>0.43472124682867108</v>
      </c>
    </row>
    <row r="39" spans="1:11" ht="12" customHeight="1" x14ac:dyDescent="0.2">
      <c r="A39" s="78">
        <v>2001</v>
      </c>
      <c r="B39" s="79">
        <v>285.30901899999998</v>
      </c>
      <c r="C39" s="80">
        <v>118</v>
      </c>
      <c r="D39" s="80">
        <v>0.38455515000000001</v>
      </c>
      <c r="E39" s="82">
        <v>49.276499999999999</v>
      </c>
      <c r="F39" s="82">
        <f t="shared" si="0"/>
        <v>167.66105514999998</v>
      </c>
      <c r="G39" s="83" t="s">
        <v>2</v>
      </c>
      <c r="H39" s="85">
        <v>67.895099999999999</v>
      </c>
      <c r="I39" s="80">
        <f t="shared" si="1"/>
        <v>99.765955149999982</v>
      </c>
      <c r="J39" s="185">
        <f t="shared" si="2"/>
        <v>0.34967683636387248</v>
      </c>
      <c r="K39" s="186">
        <f t="shared" si="3"/>
        <v>0.33302555844178328</v>
      </c>
    </row>
    <row r="40" spans="1:11" ht="12" customHeight="1" x14ac:dyDescent="0.2">
      <c r="A40" s="78">
        <v>2002</v>
      </c>
      <c r="B40" s="79">
        <v>288.10481800000002</v>
      </c>
      <c r="C40" s="80">
        <v>114.62</v>
      </c>
      <c r="D40" s="80">
        <v>0.78034424999999996</v>
      </c>
      <c r="E40" s="82">
        <v>67.895099999999999</v>
      </c>
      <c r="F40" s="82">
        <f t="shared" si="0"/>
        <v>183.29544425</v>
      </c>
      <c r="G40" s="83" t="s">
        <v>2</v>
      </c>
      <c r="H40" s="85">
        <v>61.5426</v>
      </c>
      <c r="I40" s="80">
        <f t="shared" si="1"/>
        <v>121.75284425000001</v>
      </c>
      <c r="J40" s="185">
        <f t="shared" si="2"/>
        <v>0.42259912588480208</v>
      </c>
      <c r="K40" s="186">
        <f t="shared" si="3"/>
        <v>0.40247535798552581</v>
      </c>
    </row>
    <row r="41" spans="1:11" ht="12" customHeight="1" x14ac:dyDescent="0.2">
      <c r="A41" s="78">
        <v>2003</v>
      </c>
      <c r="B41" s="79">
        <v>290.81963400000001</v>
      </c>
      <c r="C41" s="80">
        <v>109.2</v>
      </c>
      <c r="D41" s="80">
        <v>0.46369365000000001</v>
      </c>
      <c r="E41" s="82">
        <v>61.5426</v>
      </c>
      <c r="F41" s="82">
        <f t="shared" si="0"/>
        <v>171.20629364999999</v>
      </c>
      <c r="G41" s="83" t="s">
        <v>2</v>
      </c>
      <c r="H41" s="85">
        <v>54.985350000000004</v>
      </c>
      <c r="I41" s="80">
        <f t="shared" si="1"/>
        <v>116.22094364999998</v>
      </c>
      <c r="J41" s="185">
        <f t="shared" si="2"/>
        <v>0.39963238400196865</v>
      </c>
      <c r="K41" s="186">
        <f t="shared" si="3"/>
        <v>0.38060227047806539</v>
      </c>
    </row>
    <row r="42" spans="1:11" ht="12" customHeight="1" x14ac:dyDescent="0.2">
      <c r="A42" s="78">
        <v>2004</v>
      </c>
      <c r="B42" s="79">
        <v>293.46318500000001</v>
      </c>
      <c r="C42" s="80">
        <v>81.06</v>
      </c>
      <c r="D42" s="80">
        <v>0.61000589999999999</v>
      </c>
      <c r="E42" s="82">
        <v>54.985350000000004</v>
      </c>
      <c r="F42" s="82">
        <f t="shared" si="0"/>
        <v>136.65535590000002</v>
      </c>
      <c r="G42" s="83" t="s">
        <v>2</v>
      </c>
      <c r="H42" s="85">
        <v>60.275250000000007</v>
      </c>
      <c r="I42" s="80">
        <f t="shared" si="1"/>
        <v>76.380105900000018</v>
      </c>
      <c r="J42" s="185">
        <f t="shared" si="2"/>
        <v>0.26027150867322596</v>
      </c>
      <c r="K42" s="186">
        <f t="shared" si="3"/>
        <v>0.24787762730783425</v>
      </c>
    </row>
    <row r="43" spans="1:11" ht="12" customHeight="1" x14ac:dyDescent="0.2">
      <c r="A43" s="78">
        <v>2005</v>
      </c>
      <c r="B43" s="79">
        <v>296.186216</v>
      </c>
      <c r="C43" s="80">
        <v>74.2</v>
      </c>
      <c r="D43" s="80">
        <v>2.1315745499999998</v>
      </c>
      <c r="E43" s="82">
        <v>60.275250000000007</v>
      </c>
      <c r="F43" s="82">
        <f t="shared" si="0"/>
        <v>136.60682455</v>
      </c>
      <c r="G43" s="83" t="s">
        <v>2</v>
      </c>
      <c r="H43" s="85">
        <v>50.981699999999996</v>
      </c>
      <c r="I43" s="80">
        <f t="shared" si="1"/>
        <v>85.62512455000001</v>
      </c>
      <c r="J43" s="185">
        <f t="shared" si="2"/>
        <v>0.28909219917918128</v>
      </c>
      <c r="K43" s="186">
        <f t="shared" si="3"/>
        <v>0.27532590398017265</v>
      </c>
    </row>
    <row r="44" spans="1:11" ht="12" customHeight="1" x14ac:dyDescent="0.2">
      <c r="A44" s="42">
        <v>2006</v>
      </c>
      <c r="B44" s="69">
        <v>298.99582500000002</v>
      </c>
      <c r="C44" s="43">
        <v>101.72</v>
      </c>
      <c r="D44" s="43">
        <v>5.4714607500000003</v>
      </c>
      <c r="E44" s="45">
        <v>50.981699999999996</v>
      </c>
      <c r="F44" s="45">
        <f t="shared" si="0"/>
        <v>158.17316074999999</v>
      </c>
      <c r="G44" s="46" t="s">
        <v>2</v>
      </c>
      <c r="H44" s="47">
        <v>50.811599999999999</v>
      </c>
      <c r="I44" s="43">
        <f t="shared" si="1"/>
        <v>107.36156075</v>
      </c>
      <c r="J44" s="183">
        <f t="shared" si="2"/>
        <v>0.35907377887299929</v>
      </c>
      <c r="K44" s="184">
        <f t="shared" si="3"/>
        <v>0.34197502749809455</v>
      </c>
    </row>
    <row r="45" spans="1:11" ht="12" customHeight="1" x14ac:dyDescent="0.2">
      <c r="A45" s="42">
        <v>2007</v>
      </c>
      <c r="B45" s="69">
        <v>302.003917</v>
      </c>
      <c r="C45" s="43">
        <v>97.94</v>
      </c>
      <c r="D45" s="43">
        <v>5.3913856500000001</v>
      </c>
      <c r="E45" s="45">
        <v>50.811599999999999</v>
      </c>
      <c r="F45" s="45">
        <f t="shared" si="0"/>
        <v>154.14298565000001</v>
      </c>
      <c r="G45" s="46" t="s">
        <v>2</v>
      </c>
      <c r="H45" s="47">
        <v>50.196300000000001</v>
      </c>
      <c r="I45" s="43">
        <f t="shared" si="1"/>
        <v>103.94668565000001</v>
      </c>
      <c r="J45" s="183">
        <f t="shared" si="2"/>
        <v>0.34418985913351585</v>
      </c>
      <c r="K45" s="184">
        <f t="shared" ref="K45:K50" si="4">J45/1.05</f>
        <v>0.32779986584144366</v>
      </c>
    </row>
    <row r="46" spans="1:11" ht="12" customHeight="1" x14ac:dyDescent="0.2">
      <c r="A46" s="42">
        <v>2008</v>
      </c>
      <c r="B46" s="69">
        <v>304.79776099999998</v>
      </c>
      <c r="C46" s="43">
        <v>88.26</v>
      </c>
      <c r="D46" s="43">
        <v>7.4701329749970018</v>
      </c>
      <c r="E46" s="45">
        <v>50.196300000000001</v>
      </c>
      <c r="F46" s="45">
        <f t="shared" si="0"/>
        <v>145.926432974997</v>
      </c>
      <c r="G46" s="46" t="s">
        <v>2</v>
      </c>
      <c r="H46" s="47">
        <v>46.930799999999998</v>
      </c>
      <c r="I46" s="43">
        <f t="shared" si="1"/>
        <v>98.995632974996994</v>
      </c>
      <c r="J46" s="183">
        <f t="shared" si="2"/>
        <v>0.3247912079478727</v>
      </c>
      <c r="K46" s="184">
        <f t="shared" si="4"/>
        <v>0.30932495995035492</v>
      </c>
    </row>
    <row r="47" spans="1:11" ht="12" customHeight="1" x14ac:dyDescent="0.2">
      <c r="A47" s="42">
        <v>2009</v>
      </c>
      <c r="B47" s="69">
        <v>307.43940600000002</v>
      </c>
      <c r="C47" s="43">
        <v>87.08</v>
      </c>
      <c r="D47" s="43">
        <v>6.8892627838649991</v>
      </c>
      <c r="E47" s="45">
        <v>46.930799999999998</v>
      </c>
      <c r="F47" s="45">
        <f t="shared" si="0"/>
        <v>140.900062783865</v>
      </c>
      <c r="G47" s="46" t="s">
        <v>2</v>
      </c>
      <c r="H47" s="47">
        <v>64.431150000000002</v>
      </c>
      <c r="I47" s="43">
        <f t="shared" si="1"/>
        <v>76.468912783864994</v>
      </c>
      <c r="J47" s="183">
        <f t="shared" si="2"/>
        <v>0.24872840400903257</v>
      </c>
      <c r="K47" s="184">
        <f t="shared" si="4"/>
        <v>0.23688419429431673</v>
      </c>
    </row>
    <row r="48" spans="1:11" ht="12" customHeight="1" x14ac:dyDescent="0.2">
      <c r="A48" s="42">
        <v>2010</v>
      </c>
      <c r="B48" s="69">
        <v>309.74127900000002</v>
      </c>
      <c r="C48" s="43">
        <v>113.68</v>
      </c>
      <c r="D48" s="43">
        <v>7.190373972243</v>
      </c>
      <c r="E48" s="45">
        <v>64.431150000000002</v>
      </c>
      <c r="F48" s="45">
        <f t="shared" si="0"/>
        <v>185.30152397224299</v>
      </c>
      <c r="G48" s="46" t="s">
        <v>2</v>
      </c>
      <c r="H48" s="47">
        <v>63.670950000000005</v>
      </c>
      <c r="I48" s="43">
        <f t="shared" si="1"/>
        <v>121.63057397224298</v>
      </c>
      <c r="J48" s="183">
        <f t="shared" si="2"/>
        <v>0.39268441831494788</v>
      </c>
      <c r="K48" s="184">
        <f t="shared" si="4"/>
        <v>0.37398516029995033</v>
      </c>
    </row>
    <row r="49" spans="1:12" ht="12" customHeight="1" x14ac:dyDescent="0.2">
      <c r="A49" s="78">
        <v>2011</v>
      </c>
      <c r="B49" s="79">
        <v>311.97391399999998</v>
      </c>
      <c r="C49" s="80">
        <v>78.22</v>
      </c>
      <c r="D49" s="80">
        <v>5.9677344898709999</v>
      </c>
      <c r="E49" s="82">
        <v>63.670950000000005</v>
      </c>
      <c r="F49" s="82">
        <f t="shared" si="0"/>
        <v>147.858684489871</v>
      </c>
      <c r="G49" s="83" t="s">
        <v>2</v>
      </c>
      <c r="H49" s="85">
        <v>57.446550000000002</v>
      </c>
      <c r="I49" s="80">
        <f t="shared" si="1"/>
        <v>90.412134489870994</v>
      </c>
      <c r="J49" s="185">
        <f t="shared" si="2"/>
        <v>0.28980671278134812</v>
      </c>
      <c r="K49" s="186">
        <f t="shared" si="4"/>
        <v>0.27600639312509345</v>
      </c>
    </row>
    <row r="50" spans="1:12" ht="12" customHeight="1" x14ac:dyDescent="0.2">
      <c r="A50" s="78">
        <v>2012</v>
      </c>
      <c r="B50" s="79">
        <v>314.16755799999999</v>
      </c>
      <c r="C50" s="80">
        <v>112.69</v>
      </c>
      <c r="D50" s="80">
        <v>10.329719342018999</v>
      </c>
      <c r="E50" s="82">
        <v>57.446550000000002</v>
      </c>
      <c r="F50" s="82">
        <f t="shared" si="0"/>
        <v>180.46626934201902</v>
      </c>
      <c r="G50" s="83" t="s">
        <v>2</v>
      </c>
      <c r="H50" s="85">
        <v>60.709950000000006</v>
      </c>
      <c r="I50" s="80">
        <f t="shared" si="1"/>
        <v>119.75631934201901</v>
      </c>
      <c r="J50" s="185">
        <f t="shared" si="2"/>
        <v>0.38118614189317096</v>
      </c>
      <c r="K50" s="186">
        <f t="shared" si="4"/>
        <v>0.36303442085063897</v>
      </c>
      <c r="L50"/>
    </row>
    <row r="51" spans="1:12" ht="12" customHeight="1" x14ac:dyDescent="0.2">
      <c r="A51" s="86">
        <v>2013</v>
      </c>
      <c r="B51" s="87">
        <v>316.29476599999998</v>
      </c>
      <c r="C51" s="88">
        <v>80.16</v>
      </c>
      <c r="D51" s="88">
        <v>16.958785928930997</v>
      </c>
      <c r="E51" s="89">
        <v>60.709950000000006</v>
      </c>
      <c r="F51" s="89">
        <f t="shared" si="0"/>
        <v>157.828735928931</v>
      </c>
      <c r="G51" s="117" t="s">
        <v>2</v>
      </c>
      <c r="H51" s="118">
        <v>63.275100000000002</v>
      </c>
      <c r="I51" s="88">
        <f t="shared" ref="I51:I57" si="5">F51-SUM(G51,H51)</f>
        <v>94.553635928930987</v>
      </c>
      <c r="J51" s="187">
        <f t="shared" ref="J51:J57" si="6">IF(I51=0,0,IF(B51=0,0,I51/B51))</f>
        <v>0.29894151308507899</v>
      </c>
      <c r="K51" s="188">
        <f t="shared" ref="K51:K57" si="7">J51/1.05</f>
        <v>0.28470620293817045</v>
      </c>
      <c r="L51"/>
    </row>
    <row r="52" spans="1:12" ht="12" customHeight="1" x14ac:dyDescent="0.2">
      <c r="A52" s="86">
        <v>2014</v>
      </c>
      <c r="B52" s="87">
        <v>318.576955</v>
      </c>
      <c r="C52" s="88">
        <v>89.78</v>
      </c>
      <c r="D52" s="88">
        <v>8.8104710564639994</v>
      </c>
      <c r="E52" s="89">
        <v>63.275100000000002</v>
      </c>
      <c r="F52" s="89">
        <f t="shared" si="0"/>
        <v>161.86557105646401</v>
      </c>
      <c r="G52" s="117" t="s">
        <v>2</v>
      </c>
      <c r="H52" s="118">
        <v>67.756500000000003</v>
      </c>
      <c r="I52" s="88">
        <f t="shared" si="5"/>
        <v>94.109071056464003</v>
      </c>
      <c r="J52" s="187">
        <f t="shared" si="6"/>
        <v>0.29540451554778657</v>
      </c>
      <c r="K52" s="188">
        <f t="shared" si="7"/>
        <v>0.2813376338550348</v>
      </c>
      <c r="L52"/>
    </row>
    <row r="53" spans="1:12" ht="12" customHeight="1" x14ac:dyDescent="0.2">
      <c r="A53" s="86">
        <v>2015</v>
      </c>
      <c r="B53" s="87">
        <v>320.87070299999999</v>
      </c>
      <c r="C53" s="88">
        <v>89.76</v>
      </c>
      <c r="D53" s="88">
        <v>4.6206416731859994</v>
      </c>
      <c r="E53" s="89">
        <v>67.756500000000003</v>
      </c>
      <c r="F53" s="89">
        <f>SUM(C53,D53,E53)</f>
        <v>162.13714167318602</v>
      </c>
      <c r="G53" s="117" t="s">
        <v>2</v>
      </c>
      <c r="H53" s="118">
        <v>60.733050000000006</v>
      </c>
      <c r="I53" s="88">
        <f t="shared" si="5"/>
        <v>101.40409167318602</v>
      </c>
      <c r="J53" s="187">
        <f t="shared" si="6"/>
        <v>0.31602789137525594</v>
      </c>
      <c r="K53" s="188">
        <f t="shared" si="7"/>
        <v>0.3009789441669104</v>
      </c>
      <c r="L53"/>
    </row>
    <row r="54" spans="1:12" ht="12" customHeight="1" x14ac:dyDescent="0.2">
      <c r="A54" s="119">
        <v>2016</v>
      </c>
      <c r="B54" s="120">
        <v>323.16101099999997</v>
      </c>
      <c r="C54" s="121">
        <v>66.469374191622734</v>
      </c>
      <c r="D54" s="121">
        <v>5.5747885326209996</v>
      </c>
      <c r="E54" s="122">
        <v>60.733050000000006</v>
      </c>
      <c r="F54" s="122">
        <f>SUM(C54,D54,E54)</f>
        <v>132.77721272424373</v>
      </c>
      <c r="G54" s="126" t="s">
        <v>2</v>
      </c>
      <c r="H54" s="127">
        <v>58.689750000000004</v>
      </c>
      <c r="I54" s="121">
        <f t="shared" si="5"/>
        <v>74.087462724243721</v>
      </c>
      <c r="J54" s="189">
        <f t="shared" si="6"/>
        <v>0.22925866735898945</v>
      </c>
      <c r="K54" s="190">
        <f t="shared" si="7"/>
        <v>0.21834158796094233</v>
      </c>
      <c r="L54"/>
    </row>
    <row r="55" spans="1:12" ht="12" customHeight="1" x14ac:dyDescent="0.2">
      <c r="A55" s="145">
        <v>2017</v>
      </c>
      <c r="B55" s="146">
        <v>325.20603</v>
      </c>
      <c r="C55" s="147">
        <v>59.344657447020197</v>
      </c>
      <c r="D55" s="147">
        <v>8.0695219741289996</v>
      </c>
      <c r="E55" s="148">
        <v>58.689750000000004</v>
      </c>
      <c r="F55" s="148">
        <f>SUM(C55,D55,E55)</f>
        <v>126.1039294211492</v>
      </c>
      <c r="G55" s="149" t="s">
        <v>2</v>
      </c>
      <c r="H55" s="150">
        <v>56.725200000000001</v>
      </c>
      <c r="I55" s="147">
        <f t="shared" si="5"/>
        <v>69.378729421149202</v>
      </c>
      <c r="J55" s="191">
        <f t="shared" si="6"/>
        <v>0.21333777058546302</v>
      </c>
      <c r="K55" s="192">
        <f t="shared" si="7"/>
        <v>0.20317882912901239</v>
      </c>
      <c r="L55"/>
    </row>
    <row r="56" spans="1:12" ht="12" customHeight="1" x14ac:dyDescent="0.2">
      <c r="A56" s="145">
        <v>2018</v>
      </c>
      <c r="B56" s="146">
        <v>326.92397599999998</v>
      </c>
      <c r="C56" s="147">
        <v>59.713000000000001</v>
      </c>
      <c r="D56" s="147">
        <v>6.8364795513629995</v>
      </c>
      <c r="E56" s="148">
        <v>56.725200000000001</v>
      </c>
      <c r="F56" s="148">
        <f>SUM(C56,D56,E56)</f>
        <v>123.27467955136301</v>
      </c>
      <c r="G56" s="149" t="s">
        <v>2</v>
      </c>
      <c r="H56" s="150">
        <v>40.579349999999998</v>
      </c>
      <c r="I56" s="147">
        <f t="shared" si="5"/>
        <v>82.695329551363017</v>
      </c>
      <c r="J56" s="191">
        <f t="shared" si="6"/>
        <v>0.25294972416266898</v>
      </c>
      <c r="K56" s="192">
        <f t="shared" si="7"/>
        <v>0.24090449920254187</v>
      </c>
      <c r="L56"/>
    </row>
    <row r="57" spans="1:12" ht="12" customHeight="1" x14ac:dyDescent="0.2">
      <c r="A57" s="145">
        <v>2019</v>
      </c>
      <c r="B57" s="146">
        <v>328.475998</v>
      </c>
      <c r="C57" s="210">
        <v>57.31</v>
      </c>
      <c r="D57" s="147">
        <v>6.7176165822150002</v>
      </c>
      <c r="E57" s="211">
        <v>40.579349999999998</v>
      </c>
      <c r="F57" s="148">
        <f>SUM(C57,D57,E57)</f>
        <v>104.60696658221499</v>
      </c>
      <c r="G57" s="149" t="s">
        <v>2</v>
      </c>
      <c r="H57" s="212">
        <v>35.180250000000001</v>
      </c>
      <c r="I57" s="147">
        <f t="shared" si="5"/>
        <v>69.426716582214993</v>
      </c>
      <c r="J57" s="191">
        <f t="shared" si="6"/>
        <v>0.21136009024992747</v>
      </c>
      <c r="K57" s="192">
        <f t="shared" si="7"/>
        <v>0.20129532404754996</v>
      </c>
      <c r="L57"/>
    </row>
    <row r="58" spans="1:12" ht="12" customHeight="1" thickBot="1" x14ac:dyDescent="0.25">
      <c r="A58" s="207">
        <v>2020</v>
      </c>
      <c r="B58" s="208">
        <v>330.11398000000003</v>
      </c>
      <c r="C58" s="209" t="s">
        <v>2</v>
      </c>
      <c r="D58" s="209" t="s">
        <v>2</v>
      </c>
      <c r="E58" s="209" t="s">
        <v>2</v>
      </c>
      <c r="F58" s="209" t="s">
        <v>2</v>
      </c>
      <c r="G58" s="209" t="s">
        <v>2</v>
      </c>
      <c r="H58" s="209" t="s">
        <v>2</v>
      </c>
      <c r="I58" s="209" t="s">
        <v>2</v>
      </c>
      <c r="J58" s="209" t="s">
        <v>2</v>
      </c>
      <c r="K58" s="209" t="s">
        <v>2</v>
      </c>
      <c r="L58"/>
    </row>
    <row r="59" spans="1:12" ht="12" customHeight="1" thickTop="1" x14ac:dyDescent="0.2">
      <c r="A59" s="260" t="s">
        <v>4</v>
      </c>
      <c r="B59" s="261"/>
      <c r="C59" s="261"/>
      <c r="D59" s="261"/>
      <c r="E59" s="261"/>
      <c r="F59" s="261"/>
      <c r="G59" s="261"/>
      <c r="H59" s="261"/>
      <c r="I59" s="261"/>
      <c r="J59" s="261"/>
      <c r="K59" s="262"/>
      <c r="L59"/>
    </row>
    <row r="60" spans="1:12" ht="12" customHeight="1" x14ac:dyDescent="0.2">
      <c r="A60" s="315" t="s">
        <v>90</v>
      </c>
      <c r="B60" s="316"/>
      <c r="C60" s="316"/>
      <c r="D60" s="316"/>
      <c r="E60" s="316"/>
      <c r="F60" s="316"/>
      <c r="G60" s="316"/>
      <c r="H60" s="316"/>
      <c r="I60" s="316"/>
      <c r="J60" s="316"/>
      <c r="K60" s="317"/>
      <c r="L60"/>
    </row>
    <row r="61" spans="1:12" ht="11.25" customHeight="1" x14ac:dyDescent="0.2">
      <c r="A61" s="308"/>
      <c r="B61" s="309"/>
      <c r="C61" s="309"/>
      <c r="D61" s="309"/>
      <c r="E61" s="309"/>
      <c r="F61" s="309"/>
      <c r="G61" s="309"/>
      <c r="H61" s="309"/>
      <c r="I61" s="309"/>
      <c r="J61" s="309"/>
      <c r="K61" s="310"/>
    </row>
    <row r="62" spans="1:12" ht="12" customHeight="1" x14ac:dyDescent="0.2">
      <c r="A62" s="299" t="s">
        <v>78</v>
      </c>
      <c r="B62" s="300"/>
      <c r="C62" s="300"/>
      <c r="D62" s="300"/>
      <c r="E62" s="300"/>
      <c r="F62" s="300"/>
      <c r="G62" s="300"/>
      <c r="H62" s="300"/>
      <c r="I62" s="300"/>
      <c r="J62" s="300"/>
      <c r="K62" s="301"/>
    </row>
    <row r="63" spans="1:12" ht="12" customHeight="1" x14ac:dyDescent="0.2">
      <c r="A63" s="299"/>
      <c r="B63" s="300"/>
      <c r="C63" s="300"/>
      <c r="D63" s="300"/>
      <c r="E63" s="300"/>
      <c r="F63" s="300"/>
      <c r="G63" s="300"/>
      <c r="H63" s="300"/>
      <c r="I63" s="300"/>
      <c r="J63" s="300"/>
      <c r="K63" s="301"/>
    </row>
    <row r="64" spans="1:12" ht="12" customHeight="1" x14ac:dyDescent="0.2">
      <c r="A64" s="308"/>
      <c r="B64" s="309"/>
      <c r="C64" s="309"/>
      <c r="D64" s="309"/>
      <c r="E64" s="309"/>
      <c r="F64" s="309"/>
      <c r="G64" s="309"/>
      <c r="H64" s="309"/>
      <c r="I64" s="309"/>
      <c r="J64" s="309"/>
      <c r="K64" s="310"/>
    </row>
    <row r="65" spans="1:11" ht="12" customHeight="1" x14ac:dyDescent="0.2">
      <c r="A65" s="299" t="s">
        <v>63</v>
      </c>
      <c r="B65" s="300"/>
      <c r="C65" s="300"/>
      <c r="D65" s="300"/>
      <c r="E65" s="300"/>
      <c r="F65" s="300"/>
      <c r="G65" s="300"/>
      <c r="H65" s="300"/>
      <c r="I65" s="300"/>
      <c r="J65" s="300"/>
      <c r="K65" s="301"/>
    </row>
  </sheetData>
  <mergeCells count="24">
    <mergeCell ref="A60:K60"/>
    <mergeCell ref="J1:K1"/>
    <mergeCell ref="A1:I1"/>
    <mergeCell ref="A65:K65"/>
    <mergeCell ref="A62:K63"/>
    <mergeCell ref="A64:K64"/>
    <mergeCell ref="A61:K61"/>
    <mergeCell ref="D3:D6"/>
    <mergeCell ref="B2:B6"/>
    <mergeCell ref="J7:K7"/>
    <mergeCell ref="C7:I7"/>
    <mergeCell ref="K4:K6"/>
    <mergeCell ref="G3:G6"/>
    <mergeCell ref="F3:F6"/>
    <mergeCell ref="I3:I6"/>
    <mergeCell ref="A59:K59"/>
    <mergeCell ref="C3:C6"/>
    <mergeCell ref="A2:A6"/>
    <mergeCell ref="E3:E6"/>
    <mergeCell ref="G2:H2"/>
    <mergeCell ref="I2:K2"/>
    <mergeCell ref="J3:K3"/>
    <mergeCell ref="H3:H6"/>
    <mergeCell ref="J4:J6"/>
  </mergeCells>
  <phoneticPr fontId="5" type="noConversion"/>
  <printOptions horizontalCentered="1" verticalCentered="1"/>
  <pageMargins left="0.75" right="0.75" top="0.75" bottom="0.75" header="0.5" footer="0.5"/>
  <pageSetup scale="82"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pageSetUpPr autoPageBreaks="0" fitToPage="1"/>
  </sheetPr>
  <dimension ref="A1:L66"/>
  <sheetViews>
    <sheetView showOutlineSymbols="0" zoomScaleNormal="100" workbookViewId="0">
      <pane ySplit="7" topLeftCell="A8" activePane="bottomLeft" state="frozen"/>
      <selection pane="bottomLeft" sqref="A1:I1"/>
    </sheetView>
  </sheetViews>
  <sheetFormatPr defaultColWidth="12.7109375" defaultRowHeight="12" customHeight="1" x14ac:dyDescent="0.2"/>
  <cols>
    <col min="1" max="1" width="12.7109375" style="24" customWidth="1"/>
    <col min="2" max="2" width="12.7109375" style="16" customWidth="1"/>
    <col min="3" max="9" width="12.7109375" style="17" customWidth="1"/>
    <col min="10" max="10" width="12.7109375" style="21" customWidth="1"/>
    <col min="11" max="12" width="12.7109375" style="18" customWidth="1"/>
    <col min="13" max="16384" width="12.7109375" style="19"/>
  </cols>
  <sheetData>
    <row r="1" spans="1:12" s="57" customFormat="1" ht="12" customHeight="1" thickBot="1" x14ac:dyDescent="0.25">
      <c r="A1" s="266" t="s">
        <v>47</v>
      </c>
      <c r="B1" s="266"/>
      <c r="C1" s="266"/>
      <c r="D1" s="266"/>
      <c r="E1" s="266"/>
      <c r="F1" s="266"/>
      <c r="G1" s="266"/>
      <c r="H1" s="266"/>
      <c r="I1" s="266"/>
      <c r="J1" s="227" t="s">
        <v>32</v>
      </c>
      <c r="K1" s="227"/>
      <c r="L1" s="56"/>
    </row>
    <row r="2" spans="1:12" ht="12" customHeight="1" thickTop="1" x14ac:dyDescent="0.2">
      <c r="A2" s="282" t="s">
        <v>0</v>
      </c>
      <c r="B2" s="274" t="s">
        <v>18</v>
      </c>
      <c r="C2" s="38" t="s">
        <v>1</v>
      </c>
      <c r="D2" s="39"/>
      <c r="E2" s="39"/>
      <c r="F2" s="39"/>
      <c r="G2" s="272" t="s">
        <v>44</v>
      </c>
      <c r="H2" s="273"/>
      <c r="I2" s="272" t="s">
        <v>43</v>
      </c>
      <c r="J2" s="273"/>
      <c r="K2" s="273"/>
    </row>
    <row r="3" spans="1:12" ht="12" customHeight="1" x14ac:dyDescent="0.2">
      <c r="A3" s="283"/>
      <c r="B3" s="275"/>
      <c r="C3" s="279" t="s">
        <v>19</v>
      </c>
      <c r="D3" s="279" t="s">
        <v>20</v>
      </c>
      <c r="E3" s="279" t="s">
        <v>66</v>
      </c>
      <c r="F3" s="279" t="s">
        <v>22</v>
      </c>
      <c r="G3" s="279" t="s">
        <v>23</v>
      </c>
      <c r="H3" s="279" t="s">
        <v>67</v>
      </c>
      <c r="I3" s="293" t="s">
        <v>37</v>
      </c>
      <c r="J3" s="288" t="s">
        <v>17</v>
      </c>
      <c r="K3" s="289"/>
      <c r="L3" s="20"/>
    </row>
    <row r="4" spans="1:12" ht="12" customHeight="1" x14ac:dyDescent="0.2">
      <c r="A4" s="283"/>
      <c r="B4" s="275"/>
      <c r="C4" s="280"/>
      <c r="D4" s="280"/>
      <c r="E4" s="280"/>
      <c r="F4" s="280"/>
      <c r="G4" s="280"/>
      <c r="H4" s="280"/>
      <c r="I4" s="294"/>
      <c r="J4" s="314" t="s">
        <v>3</v>
      </c>
      <c r="K4" s="311" t="s">
        <v>16</v>
      </c>
    </row>
    <row r="5" spans="1:12" ht="12" customHeight="1" x14ac:dyDescent="0.2">
      <c r="A5" s="283"/>
      <c r="B5" s="275"/>
      <c r="C5" s="280"/>
      <c r="D5" s="280"/>
      <c r="E5" s="280"/>
      <c r="F5" s="280"/>
      <c r="G5" s="280"/>
      <c r="H5" s="280"/>
      <c r="I5" s="294"/>
      <c r="J5" s="277"/>
      <c r="K5" s="312"/>
    </row>
    <row r="6" spans="1:12" ht="12" customHeight="1" x14ac:dyDescent="0.2">
      <c r="A6" s="284"/>
      <c r="B6" s="276"/>
      <c r="C6" s="281"/>
      <c r="D6" s="281"/>
      <c r="E6" s="281"/>
      <c r="F6" s="281"/>
      <c r="G6" s="281"/>
      <c r="H6" s="281"/>
      <c r="I6" s="295"/>
      <c r="J6" s="278"/>
      <c r="K6" s="313"/>
    </row>
    <row r="7" spans="1:12" ht="12" customHeight="1" x14ac:dyDescent="0.2">
      <c r="A7" s="73"/>
      <c r="B7" s="76" t="s">
        <v>33</v>
      </c>
      <c r="C7" s="267" t="s">
        <v>35</v>
      </c>
      <c r="D7" s="268"/>
      <c r="E7" s="268"/>
      <c r="F7" s="268"/>
      <c r="G7" s="268"/>
      <c r="H7" s="268"/>
      <c r="I7" s="268"/>
      <c r="J7" s="269" t="s">
        <v>36</v>
      </c>
      <c r="K7" s="269"/>
      <c r="L7" s="72"/>
    </row>
    <row r="8" spans="1:12" ht="12" customHeight="1" x14ac:dyDescent="0.2">
      <c r="A8" s="42">
        <v>1970</v>
      </c>
      <c r="B8" s="69">
        <v>205.05199999999999</v>
      </c>
      <c r="C8" s="43">
        <v>264.89999999999998</v>
      </c>
      <c r="D8" s="46" t="s">
        <v>2</v>
      </c>
      <c r="E8" s="45">
        <v>190.63843999999997</v>
      </c>
      <c r="F8" s="45">
        <f t="shared" ref="F8:F57" si="0">SUM(C8,D8,E8)</f>
        <v>455.53843999999992</v>
      </c>
      <c r="G8" s="46">
        <v>1.7239800000000001</v>
      </c>
      <c r="H8" s="47">
        <v>168.24440000000001</v>
      </c>
      <c r="I8" s="43">
        <f t="shared" ref="I8:I50" si="1">F8-SUM(G8,H8)</f>
        <v>285.5700599999999</v>
      </c>
      <c r="J8" s="183">
        <f t="shared" ref="J8:J50" si="2">IF(I8=0,0,IF(B8=0,0,I8/B8))</f>
        <v>1.3926714199325045</v>
      </c>
      <c r="K8" s="184">
        <f>J8/1.18</f>
        <v>1.1802300168919531</v>
      </c>
    </row>
    <row r="9" spans="1:12" ht="12" customHeight="1" x14ac:dyDescent="0.2">
      <c r="A9" s="78">
        <v>1971</v>
      </c>
      <c r="B9" s="79">
        <v>207.661</v>
      </c>
      <c r="C9" s="80">
        <v>279.60000000000002</v>
      </c>
      <c r="D9" s="83" t="s">
        <v>2</v>
      </c>
      <c r="E9" s="82">
        <v>168.24440000000001</v>
      </c>
      <c r="F9" s="82">
        <f t="shared" si="0"/>
        <v>447.84440000000006</v>
      </c>
      <c r="G9" s="83">
        <v>0.97231999999999985</v>
      </c>
      <c r="H9" s="85">
        <v>158.25805999999997</v>
      </c>
      <c r="I9" s="80">
        <f t="shared" si="1"/>
        <v>288.6140200000001</v>
      </c>
      <c r="J9" s="185">
        <f t="shared" si="2"/>
        <v>1.3898325636494098</v>
      </c>
      <c r="K9" s="186">
        <f t="shared" ref="K9:K43" si="3">J9/1.18</f>
        <v>1.1778242064825508</v>
      </c>
    </row>
    <row r="10" spans="1:12" ht="12" customHeight="1" x14ac:dyDescent="0.2">
      <c r="A10" s="78">
        <v>1972</v>
      </c>
      <c r="B10" s="79">
        <v>209.89599999999999</v>
      </c>
      <c r="C10" s="80">
        <v>302.60000000000002</v>
      </c>
      <c r="D10" s="83" t="s">
        <v>2</v>
      </c>
      <c r="E10" s="82">
        <v>158.25805999999997</v>
      </c>
      <c r="F10" s="82">
        <f t="shared" si="0"/>
        <v>460.85806000000002</v>
      </c>
      <c r="G10" s="83">
        <v>1.4702799999999998</v>
      </c>
      <c r="H10" s="85">
        <v>175.83179999999999</v>
      </c>
      <c r="I10" s="80">
        <f t="shared" si="1"/>
        <v>283.55598000000003</v>
      </c>
      <c r="J10" s="185">
        <f t="shared" si="2"/>
        <v>1.350935606204978</v>
      </c>
      <c r="K10" s="186">
        <f t="shared" si="3"/>
        <v>1.1448606832245576</v>
      </c>
    </row>
    <row r="11" spans="1:12" ht="12" customHeight="1" x14ac:dyDescent="0.2">
      <c r="A11" s="78">
        <v>1973</v>
      </c>
      <c r="B11" s="79">
        <v>211.90899999999999</v>
      </c>
      <c r="C11" s="80">
        <v>388.3</v>
      </c>
      <c r="D11" s="83" t="s">
        <v>2</v>
      </c>
      <c r="E11" s="82">
        <v>175.83179999999999</v>
      </c>
      <c r="F11" s="82">
        <f t="shared" si="0"/>
        <v>564.1318</v>
      </c>
      <c r="G11" s="83">
        <v>2.8650399999999996</v>
      </c>
      <c r="H11" s="85">
        <v>204.81496000000001</v>
      </c>
      <c r="I11" s="80">
        <f t="shared" si="1"/>
        <v>356.45179999999999</v>
      </c>
      <c r="J11" s="185">
        <f t="shared" si="2"/>
        <v>1.682098447918682</v>
      </c>
      <c r="K11" s="186">
        <f t="shared" si="3"/>
        <v>1.4255071592531203</v>
      </c>
    </row>
    <row r="12" spans="1:12" ht="12" customHeight="1" x14ac:dyDescent="0.2">
      <c r="A12" s="78">
        <v>1974</v>
      </c>
      <c r="B12" s="79">
        <v>213.85400000000001</v>
      </c>
      <c r="C12" s="80">
        <v>324.7</v>
      </c>
      <c r="D12" s="83" t="s">
        <v>2</v>
      </c>
      <c r="E12" s="82">
        <v>204.81496000000001</v>
      </c>
      <c r="F12" s="82">
        <f t="shared" si="0"/>
        <v>529.51495999999997</v>
      </c>
      <c r="G12" s="83">
        <v>3.4396999999999998</v>
      </c>
      <c r="H12" s="85">
        <v>211.39936</v>
      </c>
      <c r="I12" s="80">
        <f t="shared" si="1"/>
        <v>314.67589999999996</v>
      </c>
      <c r="J12" s="185">
        <f t="shared" si="2"/>
        <v>1.4714520186669406</v>
      </c>
      <c r="K12" s="186">
        <f t="shared" si="3"/>
        <v>1.2469932361584244</v>
      </c>
    </row>
    <row r="13" spans="1:12" ht="12" customHeight="1" x14ac:dyDescent="0.2">
      <c r="A13" s="78">
        <v>1975</v>
      </c>
      <c r="B13" s="79">
        <v>215.97300000000001</v>
      </c>
      <c r="C13" s="80">
        <v>269.2</v>
      </c>
      <c r="D13" s="83" t="s">
        <v>2</v>
      </c>
      <c r="E13" s="82">
        <v>211.39936</v>
      </c>
      <c r="F13" s="82">
        <f t="shared" si="0"/>
        <v>480.59935999999999</v>
      </c>
      <c r="G13" s="83">
        <v>3.2921999999999998</v>
      </c>
      <c r="H13" s="85">
        <v>230.93425999999999</v>
      </c>
      <c r="I13" s="80">
        <f t="shared" si="1"/>
        <v>246.37289999999999</v>
      </c>
      <c r="J13" s="185">
        <f t="shared" si="2"/>
        <v>1.1407578725118417</v>
      </c>
      <c r="K13" s="186">
        <f t="shared" si="3"/>
        <v>0.96674395975579808</v>
      </c>
    </row>
    <row r="14" spans="1:12" ht="12" customHeight="1" x14ac:dyDescent="0.2">
      <c r="A14" s="42">
        <v>1976</v>
      </c>
      <c r="B14" s="69">
        <v>218.035</v>
      </c>
      <c r="C14" s="43">
        <v>248.2</v>
      </c>
      <c r="D14" s="46" t="s">
        <v>2</v>
      </c>
      <c r="E14" s="45">
        <v>230.93425999999999</v>
      </c>
      <c r="F14" s="45">
        <f t="shared" si="0"/>
        <v>479.13425999999998</v>
      </c>
      <c r="G14" s="46">
        <v>5.6215200000000003</v>
      </c>
      <c r="H14" s="47">
        <v>145.66746000000001</v>
      </c>
      <c r="I14" s="43">
        <f t="shared" si="1"/>
        <v>327.84528</v>
      </c>
      <c r="J14" s="183">
        <f t="shared" si="2"/>
        <v>1.503636021739629</v>
      </c>
      <c r="K14" s="184">
        <f t="shared" si="3"/>
        <v>1.274267815033584</v>
      </c>
    </row>
    <row r="15" spans="1:12" ht="12" customHeight="1" x14ac:dyDescent="0.2">
      <c r="A15" s="42">
        <v>1977</v>
      </c>
      <c r="B15" s="69">
        <v>220.23899999999998</v>
      </c>
      <c r="C15" s="43">
        <v>313.10000000000002</v>
      </c>
      <c r="D15" s="46" t="s">
        <v>2</v>
      </c>
      <c r="E15" s="45">
        <v>145.66746000000001</v>
      </c>
      <c r="F15" s="45">
        <f t="shared" si="0"/>
        <v>458.76746000000003</v>
      </c>
      <c r="G15" s="46">
        <v>5.7701999999999991</v>
      </c>
      <c r="H15" s="47">
        <v>153.09201999999999</v>
      </c>
      <c r="I15" s="43">
        <f t="shared" si="1"/>
        <v>299.90524000000005</v>
      </c>
      <c r="J15" s="183">
        <f t="shared" si="2"/>
        <v>1.3617263064216605</v>
      </c>
      <c r="K15" s="184">
        <f t="shared" si="3"/>
        <v>1.1540053444251361</v>
      </c>
    </row>
    <row r="16" spans="1:12" ht="12" customHeight="1" x14ac:dyDescent="0.2">
      <c r="A16" s="42">
        <v>1978</v>
      </c>
      <c r="B16" s="69">
        <v>222.58500000000001</v>
      </c>
      <c r="C16" s="43">
        <v>347.1</v>
      </c>
      <c r="D16" s="46" t="s">
        <v>2</v>
      </c>
      <c r="E16" s="45">
        <v>153.09201999999999</v>
      </c>
      <c r="F16" s="45">
        <f t="shared" si="0"/>
        <v>500.19202000000001</v>
      </c>
      <c r="G16" s="44" t="s">
        <v>2</v>
      </c>
      <c r="H16" s="47">
        <v>195.00208000000001</v>
      </c>
      <c r="I16" s="43">
        <f t="shared" si="1"/>
        <v>305.18993999999998</v>
      </c>
      <c r="J16" s="183">
        <f t="shared" si="2"/>
        <v>1.3711163825055595</v>
      </c>
      <c r="K16" s="184">
        <f t="shared" si="3"/>
        <v>1.1619630360216606</v>
      </c>
    </row>
    <row r="17" spans="1:11" ht="12" customHeight="1" x14ac:dyDescent="0.2">
      <c r="A17" s="42">
        <v>1979</v>
      </c>
      <c r="B17" s="69">
        <v>225.05500000000001</v>
      </c>
      <c r="C17" s="43">
        <v>334.8</v>
      </c>
      <c r="D17" s="46" t="s">
        <v>2</v>
      </c>
      <c r="E17" s="45">
        <v>195.00208000000001</v>
      </c>
      <c r="F17" s="45">
        <f t="shared" si="0"/>
        <v>529.80208000000005</v>
      </c>
      <c r="G17" s="44" t="s">
        <v>2</v>
      </c>
      <c r="H17" s="47">
        <v>213.90685999999999</v>
      </c>
      <c r="I17" s="43">
        <f t="shared" si="1"/>
        <v>315.89522000000005</v>
      </c>
      <c r="J17" s="183">
        <f t="shared" si="2"/>
        <v>1.4036356446202041</v>
      </c>
      <c r="K17" s="184">
        <f t="shared" si="3"/>
        <v>1.1895217327289866</v>
      </c>
    </row>
    <row r="18" spans="1:11" ht="12" customHeight="1" x14ac:dyDescent="0.2">
      <c r="A18" s="42">
        <v>1980</v>
      </c>
      <c r="B18" s="69">
        <v>227.726</v>
      </c>
      <c r="C18" s="43">
        <v>321.18</v>
      </c>
      <c r="D18" s="46" t="s">
        <v>2</v>
      </c>
      <c r="E18" s="45">
        <v>213.90685999999999</v>
      </c>
      <c r="F18" s="45">
        <f t="shared" si="0"/>
        <v>535.08686</v>
      </c>
      <c r="G18" s="44" t="s">
        <v>2</v>
      </c>
      <c r="H18" s="47">
        <v>224.61418</v>
      </c>
      <c r="I18" s="43">
        <f t="shared" si="1"/>
        <v>310.47267999999997</v>
      </c>
      <c r="J18" s="183">
        <f t="shared" si="2"/>
        <v>1.3633607054091319</v>
      </c>
      <c r="K18" s="184">
        <f t="shared" si="3"/>
        <v>1.1553904283128238</v>
      </c>
    </row>
    <row r="19" spans="1:11" ht="12" customHeight="1" x14ac:dyDescent="0.2">
      <c r="A19" s="78">
        <v>1981</v>
      </c>
      <c r="B19" s="79">
        <v>229.96600000000001</v>
      </c>
      <c r="C19" s="80">
        <v>369.02</v>
      </c>
      <c r="D19" s="83" t="s">
        <v>2</v>
      </c>
      <c r="E19" s="82">
        <v>224.61418</v>
      </c>
      <c r="F19" s="82">
        <f t="shared" si="0"/>
        <v>593.63418000000001</v>
      </c>
      <c r="G19" s="81" t="s">
        <v>2</v>
      </c>
      <c r="H19" s="85">
        <v>209.75798</v>
      </c>
      <c r="I19" s="80">
        <f t="shared" si="1"/>
        <v>383.87620000000004</v>
      </c>
      <c r="J19" s="185">
        <f t="shared" si="2"/>
        <v>1.6692737187236375</v>
      </c>
      <c r="K19" s="186">
        <f t="shared" si="3"/>
        <v>1.4146387446810489</v>
      </c>
    </row>
    <row r="20" spans="1:11" ht="12" customHeight="1" x14ac:dyDescent="0.2">
      <c r="A20" s="78">
        <v>1982</v>
      </c>
      <c r="B20" s="79">
        <v>232.18799999999999</v>
      </c>
      <c r="C20" s="84">
        <v>387.62</v>
      </c>
      <c r="D20" s="83" t="s">
        <v>2</v>
      </c>
      <c r="E20" s="82">
        <v>209.75798</v>
      </c>
      <c r="F20" s="82">
        <f t="shared" si="0"/>
        <v>597.37797999999998</v>
      </c>
      <c r="G20" s="81" t="s">
        <v>2</v>
      </c>
      <c r="H20" s="85">
        <v>240.95599999999999</v>
      </c>
      <c r="I20" s="80">
        <f t="shared" si="1"/>
        <v>356.42197999999996</v>
      </c>
      <c r="J20" s="185">
        <f t="shared" si="2"/>
        <v>1.535057711854187</v>
      </c>
      <c r="K20" s="186">
        <f t="shared" si="3"/>
        <v>1.3008963659781247</v>
      </c>
    </row>
    <row r="21" spans="1:11" ht="12" customHeight="1" x14ac:dyDescent="0.2">
      <c r="A21" s="78">
        <v>1983</v>
      </c>
      <c r="B21" s="79">
        <v>234.30699999999999</v>
      </c>
      <c r="C21" s="84">
        <v>356.92</v>
      </c>
      <c r="D21" s="83" t="s">
        <v>2</v>
      </c>
      <c r="E21" s="82">
        <v>240.95599999999999</v>
      </c>
      <c r="F21" s="82">
        <f t="shared" si="0"/>
        <v>597.87599999999998</v>
      </c>
      <c r="G21" s="81" t="s">
        <v>2</v>
      </c>
      <c r="H21" s="85">
        <v>250.16589999999999</v>
      </c>
      <c r="I21" s="80">
        <f t="shared" si="1"/>
        <v>347.71010000000001</v>
      </c>
      <c r="J21" s="185">
        <f t="shared" si="2"/>
        <v>1.483993649357467</v>
      </c>
      <c r="K21" s="186">
        <f t="shared" si="3"/>
        <v>1.2576217367436162</v>
      </c>
    </row>
    <row r="22" spans="1:11" ht="12" customHeight="1" x14ac:dyDescent="0.2">
      <c r="A22" s="78">
        <v>1984</v>
      </c>
      <c r="B22" s="79">
        <v>236.34800000000001</v>
      </c>
      <c r="C22" s="80">
        <v>403.16</v>
      </c>
      <c r="D22" s="83" t="s">
        <v>2</v>
      </c>
      <c r="E22" s="82">
        <v>250.16589999999999</v>
      </c>
      <c r="F22" s="82">
        <f t="shared" si="0"/>
        <v>653.32590000000005</v>
      </c>
      <c r="G22" s="81" t="s">
        <v>2</v>
      </c>
      <c r="H22" s="85">
        <v>223.91561999999999</v>
      </c>
      <c r="I22" s="80">
        <f t="shared" si="1"/>
        <v>429.41028000000006</v>
      </c>
      <c r="J22" s="185">
        <f t="shared" si="2"/>
        <v>1.8168559920117793</v>
      </c>
      <c r="K22" s="186">
        <f t="shared" si="3"/>
        <v>1.5397084678065927</v>
      </c>
    </row>
    <row r="23" spans="1:11" ht="12" customHeight="1" x14ac:dyDescent="0.2">
      <c r="A23" s="78">
        <v>1985</v>
      </c>
      <c r="B23" s="79">
        <v>238.46600000000001</v>
      </c>
      <c r="C23" s="80">
        <v>425.6</v>
      </c>
      <c r="D23" s="83" t="s">
        <v>2</v>
      </c>
      <c r="E23" s="82">
        <v>223.91561999999999</v>
      </c>
      <c r="F23" s="82">
        <f t="shared" si="0"/>
        <v>649.51562000000001</v>
      </c>
      <c r="G23" s="81" t="s">
        <v>2</v>
      </c>
      <c r="H23" s="85">
        <v>202.82300000000001</v>
      </c>
      <c r="I23" s="80">
        <f t="shared" si="1"/>
        <v>446.69262000000003</v>
      </c>
      <c r="J23" s="185">
        <f t="shared" si="2"/>
        <v>1.8731920693096711</v>
      </c>
      <c r="K23" s="186">
        <f t="shared" si="3"/>
        <v>1.5874509061946367</v>
      </c>
    </row>
    <row r="24" spans="1:11" ht="12" customHeight="1" x14ac:dyDescent="0.2">
      <c r="A24" s="42">
        <v>1986</v>
      </c>
      <c r="B24" s="69">
        <v>240.65100000000001</v>
      </c>
      <c r="C24" s="43">
        <v>378.6</v>
      </c>
      <c r="D24" s="46" t="s">
        <v>2</v>
      </c>
      <c r="E24" s="45">
        <v>202.82300000000001</v>
      </c>
      <c r="F24" s="45">
        <f t="shared" si="0"/>
        <v>581.423</v>
      </c>
      <c r="G24" s="44" t="s">
        <v>2</v>
      </c>
      <c r="H24" s="47">
        <v>215.483</v>
      </c>
      <c r="I24" s="43">
        <f t="shared" si="1"/>
        <v>365.94</v>
      </c>
      <c r="J24" s="183">
        <f t="shared" si="2"/>
        <v>1.5206253038632709</v>
      </c>
      <c r="K24" s="184">
        <f t="shared" si="3"/>
        <v>1.2886655117485346</v>
      </c>
    </row>
    <row r="25" spans="1:11" ht="12" customHeight="1" x14ac:dyDescent="0.2">
      <c r="A25" s="42">
        <v>1987</v>
      </c>
      <c r="B25" s="69">
        <v>242.804</v>
      </c>
      <c r="C25" s="43">
        <v>410.06</v>
      </c>
      <c r="D25" s="46" t="s">
        <v>2</v>
      </c>
      <c r="E25" s="45">
        <v>215.483</v>
      </c>
      <c r="F25" s="45">
        <f t="shared" si="0"/>
        <v>625.54300000000001</v>
      </c>
      <c r="G25" s="44" t="s">
        <v>2</v>
      </c>
      <c r="H25" s="47">
        <v>218.82</v>
      </c>
      <c r="I25" s="43">
        <f t="shared" si="1"/>
        <v>406.72300000000001</v>
      </c>
      <c r="J25" s="183">
        <f t="shared" si="2"/>
        <v>1.6751083178201347</v>
      </c>
      <c r="K25" s="184">
        <f t="shared" si="3"/>
        <v>1.4195833201865549</v>
      </c>
    </row>
    <row r="26" spans="1:11" ht="12" customHeight="1" x14ac:dyDescent="0.2">
      <c r="A26" s="42">
        <v>1988</v>
      </c>
      <c r="B26" s="69">
        <v>245.02099999999999</v>
      </c>
      <c r="C26" s="43">
        <v>375.3</v>
      </c>
      <c r="D26" s="46" t="s">
        <v>2</v>
      </c>
      <c r="E26" s="45">
        <v>218.82</v>
      </c>
      <c r="F26" s="45">
        <f t="shared" si="0"/>
        <v>594.12</v>
      </c>
      <c r="G26" s="44" t="s">
        <v>2</v>
      </c>
      <c r="H26" s="47">
        <v>172.77600000000001</v>
      </c>
      <c r="I26" s="43">
        <f t="shared" si="1"/>
        <v>421.34399999999999</v>
      </c>
      <c r="J26" s="183">
        <f t="shared" si="2"/>
        <v>1.7196240322258094</v>
      </c>
      <c r="K26" s="184">
        <f t="shared" si="3"/>
        <v>1.4573085018862793</v>
      </c>
    </row>
    <row r="27" spans="1:11" ht="12" customHeight="1" x14ac:dyDescent="0.2">
      <c r="A27" s="42">
        <v>1989</v>
      </c>
      <c r="B27" s="69">
        <v>247.34200000000001</v>
      </c>
      <c r="C27" s="43">
        <v>545.62</v>
      </c>
      <c r="D27" s="43">
        <v>30.262686462799991</v>
      </c>
      <c r="E27" s="45">
        <v>172.77600000000001</v>
      </c>
      <c r="F27" s="45">
        <f t="shared" si="0"/>
        <v>748.65868646280001</v>
      </c>
      <c r="G27" s="46">
        <v>5.7648167455999992</v>
      </c>
      <c r="H27" s="47">
        <v>245.08799999999999</v>
      </c>
      <c r="I27" s="43">
        <f t="shared" si="1"/>
        <v>497.80586971720004</v>
      </c>
      <c r="J27" s="183">
        <f t="shared" si="2"/>
        <v>2.0126216724907215</v>
      </c>
      <c r="K27" s="184">
        <f t="shared" si="3"/>
        <v>1.7056115868565438</v>
      </c>
    </row>
    <row r="28" spans="1:11" ht="12" customHeight="1" x14ac:dyDescent="0.2">
      <c r="A28" s="42">
        <v>1990</v>
      </c>
      <c r="B28" s="69">
        <v>250.13200000000001</v>
      </c>
      <c r="C28" s="43">
        <v>536.96</v>
      </c>
      <c r="D28" s="43">
        <v>14.964475619999998</v>
      </c>
      <c r="E28" s="45">
        <v>245.08799999999999</v>
      </c>
      <c r="F28" s="45">
        <f t="shared" si="0"/>
        <v>797.01247562000003</v>
      </c>
      <c r="G28" s="46">
        <v>12.7573694</v>
      </c>
      <c r="H28" s="47">
        <v>298.75711999999993</v>
      </c>
      <c r="I28" s="43">
        <f t="shared" si="1"/>
        <v>485.49798622000009</v>
      </c>
      <c r="J28" s="183">
        <f t="shared" si="2"/>
        <v>1.9409671142436797</v>
      </c>
      <c r="K28" s="184">
        <f t="shared" si="3"/>
        <v>1.6448873849522712</v>
      </c>
    </row>
    <row r="29" spans="1:11" ht="12" customHeight="1" x14ac:dyDescent="0.2">
      <c r="A29" s="78">
        <v>1991</v>
      </c>
      <c r="B29" s="79">
        <v>253.49299999999999</v>
      </c>
      <c r="C29" s="80">
        <v>456.2</v>
      </c>
      <c r="D29" s="80">
        <v>10.414164339999997</v>
      </c>
      <c r="E29" s="82">
        <v>298.75711999999993</v>
      </c>
      <c r="F29" s="82">
        <f t="shared" si="0"/>
        <v>765.37128433999987</v>
      </c>
      <c r="G29" s="83">
        <v>11.08089738</v>
      </c>
      <c r="H29" s="85">
        <v>293.50966</v>
      </c>
      <c r="I29" s="80">
        <f t="shared" si="1"/>
        <v>460.78072695999987</v>
      </c>
      <c r="J29" s="185">
        <f t="shared" si="2"/>
        <v>1.8177256451262949</v>
      </c>
      <c r="K29" s="186">
        <f t="shared" si="3"/>
        <v>1.5404454619714365</v>
      </c>
    </row>
    <row r="30" spans="1:11" ht="12" customHeight="1" x14ac:dyDescent="0.2">
      <c r="A30" s="78">
        <v>1992</v>
      </c>
      <c r="B30" s="79">
        <v>256.89400000000001</v>
      </c>
      <c r="C30" s="80">
        <v>383.12</v>
      </c>
      <c r="D30" s="80">
        <v>6.0203600000000002</v>
      </c>
      <c r="E30" s="82">
        <v>293.50966</v>
      </c>
      <c r="F30" s="82">
        <f t="shared" si="0"/>
        <v>682.65002000000004</v>
      </c>
      <c r="G30" s="83">
        <v>11.801179999999999</v>
      </c>
      <c r="H30" s="85">
        <v>224.74869999999996</v>
      </c>
      <c r="I30" s="80">
        <f t="shared" si="1"/>
        <v>446.10014000000012</v>
      </c>
      <c r="J30" s="185">
        <f t="shared" si="2"/>
        <v>1.7365144378615309</v>
      </c>
      <c r="K30" s="186">
        <f t="shared" si="3"/>
        <v>1.4716224049673992</v>
      </c>
    </row>
    <row r="31" spans="1:11" ht="12" customHeight="1" x14ac:dyDescent="0.2">
      <c r="A31" s="78">
        <v>1993</v>
      </c>
      <c r="B31" s="79">
        <v>260.255</v>
      </c>
      <c r="C31" s="80">
        <v>445.6</v>
      </c>
      <c r="D31" s="80">
        <v>12.284440740000001</v>
      </c>
      <c r="E31" s="82">
        <v>224.74869999999996</v>
      </c>
      <c r="F31" s="82">
        <f t="shared" si="0"/>
        <v>682.63314073999993</v>
      </c>
      <c r="G31" s="83">
        <v>12.094044200000001</v>
      </c>
      <c r="H31" s="85">
        <v>218.40619999999998</v>
      </c>
      <c r="I31" s="80">
        <f t="shared" si="1"/>
        <v>452.13289653999993</v>
      </c>
      <c r="J31" s="185">
        <f t="shared" si="2"/>
        <v>1.7372688191965571</v>
      </c>
      <c r="K31" s="186">
        <f t="shared" si="3"/>
        <v>1.472261711183523</v>
      </c>
    </row>
    <row r="32" spans="1:11" ht="12" customHeight="1" x14ac:dyDescent="0.2">
      <c r="A32" s="78">
        <v>1994</v>
      </c>
      <c r="B32" s="79">
        <v>263.43599999999998</v>
      </c>
      <c r="C32" s="80">
        <v>557.55999999999995</v>
      </c>
      <c r="D32" s="80">
        <v>10.8974475</v>
      </c>
      <c r="E32" s="82">
        <v>218.40619999999998</v>
      </c>
      <c r="F32" s="82">
        <f t="shared" si="0"/>
        <v>786.86364749999996</v>
      </c>
      <c r="G32" s="83">
        <v>12.026209539999998</v>
      </c>
      <c r="H32" s="85">
        <v>265.12357999999995</v>
      </c>
      <c r="I32" s="80">
        <f t="shared" si="1"/>
        <v>509.71385795999998</v>
      </c>
      <c r="J32" s="185">
        <f t="shared" si="2"/>
        <v>1.9348678918598825</v>
      </c>
      <c r="K32" s="186">
        <f t="shared" si="3"/>
        <v>1.6397185524236293</v>
      </c>
    </row>
    <row r="33" spans="1:11" ht="12" customHeight="1" x14ac:dyDescent="0.2">
      <c r="A33" s="78">
        <v>1995</v>
      </c>
      <c r="B33" s="79">
        <v>266.55700000000002</v>
      </c>
      <c r="C33" s="80">
        <v>457.54</v>
      </c>
      <c r="D33" s="80">
        <v>6.7097041999999991</v>
      </c>
      <c r="E33" s="82">
        <v>265.12357999999995</v>
      </c>
      <c r="F33" s="82">
        <f t="shared" si="0"/>
        <v>729.37328419999994</v>
      </c>
      <c r="G33" s="83">
        <v>20.582329359999999</v>
      </c>
      <c r="H33" s="85">
        <v>264.67045999999999</v>
      </c>
      <c r="I33" s="80">
        <f t="shared" si="1"/>
        <v>444.12049483999994</v>
      </c>
      <c r="J33" s="185">
        <f t="shared" si="2"/>
        <v>1.6661370545136684</v>
      </c>
      <c r="K33" s="186">
        <f t="shared" si="3"/>
        <v>1.4119805546726005</v>
      </c>
    </row>
    <row r="34" spans="1:11" ht="12" customHeight="1" x14ac:dyDescent="0.2">
      <c r="A34" s="42">
        <v>1996</v>
      </c>
      <c r="B34" s="69">
        <v>269.66699999999997</v>
      </c>
      <c r="C34" s="43">
        <v>496.44</v>
      </c>
      <c r="D34" s="43">
        <v>10.396860819999999</v>
      </c>
      <c r="E34" s="45">
        <v>264.67045999999999</v>
      </c>
      <c r="F34" s="45">
        <f t="shared" si="0"/>
        <v>771.5073208199999</v>
      </c>
      <c r="G34" s="46">
        <v>18.126957040000001</v>
      </c>
      <c r="H34" s="47">
        <v>239.07625999999999</v>
      </c>
      <c r="I34" s="43">
        <f t="shared" si="1"/>
        <v>514.30410377999988</v>
      </c>
      <c r="J34" s="183">
        <f t="shared" si="2"/>
        <v>1.9071822053866432</v>
      </c>
      <c r="K34" s="184">
        <f t="shared" si="3"/>
        <v>1.6162561062598673</v>
      </c>
    </row>
    <row r="35" spans="1:11" ht="12" customHeight="1" x14ac:dyDescent="0.2">
      <c r="A35" s="42">
        <v>1997</v>
      </c>
      <c r="B35" s="69">
        <v>272.91199999999998</v>
      </c>
      <c r="C35" s="43">
        <v>514.64</v>
      </c>
      <c r="D35" s="43">
        <v>14.217043559999999</v>
      </c>
      <c r="E35" s="45">
        <v>239.07625999999999</v>
      </c>
      <c r="F35" s="45">
        <f t="shared" si="0"/>
        <v>767.93330356000001</v>
      </c>
      <c r="G35" s="46">
        <v>17.748363479999998</v>
      </c>
      <c r="H35" s="47">
        <v>272.17998</v>
      </c>
      <c r="I35" s="43">
        <f t="shared" si="1"/>
        <v>478.00496007999999</v>
      </c>
      <c r="J35" s="183">
        <f t="shared" si="2"/>
        <v>1.7514985053057397</v>
      </c>
      <c r="K35" s="184">
        <f t="shared" si="3"/>
        <v>1.4843207672082541</v>
      </c>
    </row>
    <row r="36" spans="1:11" ht="12" customHeight="1" x14ac:dyDescent="0.2">
      <c r="A36" s="42">
        <v>1998</v>
      </c>
      <c r="B36" s="69">
        <v>276.11500000000001</v>
      </c>
      <c r="C36" s="43">
        <v>521.41999999999996</v>
      </c>
      <c r="D36" s="43">
        <v>18.380626359999997</v>
      </c>
      <c r="E36" s="45">
        <v>272.17998</v>
      </c>
      <c r="F36" s="45">
        <f t="shared" si="0"/>
        <v>811.98060635999991</v>
      </c>
      <c r="G36" s="46">
        <v>22.20117608</v>
      </c>
      <c r="H36" s="47">
        <v>251.81199999999998</v>
      </c>
      <c r="I36" s="43">
        <f t="shared" si="1"/>
        <v>537.96743027999992</v>
      </c>
      <c r="J36" s="183">
        <f t="shared" si="2"/>
        <v>1.9483455454430216</v>
      </c>
      <c r="K36" s="184">
        <f t="shared" si="3"/>
        <v>1.6511402927483234</v>
      </c>
    </row>
    <row r="37" spans="1:11" ht="12" customHeight="1" x14ac:dyDescent="0.2">
      <c r="A37" s="42">
        <v>1999</v>
      </c>
      <c r="B37" s="69">
        <v>279.29500000000002</v>
      </c>
      <c r="C37" s="43">
        <v>500.62</v>
      </c>
      <c r="D37" s="43">
        <v>35.697842619999996</v>
      </c>
      <c r="E37" s="45">
        <v>251.81199999999998</v>
      </c>
      <c r="F37" s="45">
        <f t="shared" si="0"/>
        <v>788.12984261999998</v>
      </c>
      <c r="G37" s="46">
        <v>19.108714680000002</v>
      </c>
      <c r="H37" s="47">
        <v>219.94019999999998</v>
      </c>
      <c r="I37" s="43">
        <f t="shared" si="1"/>
        <v>549.08092794000004</v>
      </c>
      <c r="J37" s="183">
        <f t="shared" si="2"/>
        <v>1.9659533036395209</v>
      </c>
      <c r="K37" s="184">
        <f t="shared" si="3"/>
        <v>1.6660621217284077</v>
      </c>
    </row>
    <row r="38" spans="1:11" ht="12" customHeight="1" x14ac:dyDescent="0.2">
      <c r="A38" s="42">
        <v>2000</v>
      </c>
      <c r="B38" s="69">
        <v>282.38499999999999</v>
      </c>
      <c r="C38" s="43">
        <v>485.24</v>
      </c>
      <c r="D38" s="43">
        <v>42.600075619999998</v>
      </c>
      <c r="E38" s="45">
        <v>219.94019999999998</v>
      </c>
      <c r="F38" s="45">
        <f t="shared" si="0"/>
        <v>747.78027562</v>
      </c>
      <c r="G38" s="46">
        <v>22.407689059999999</v>
      </c>
      <c r="H38" s="47">
        <v>207.63162</v>
      </c>
      <c r="I38" s="43">
        <f t="shared" si="1"/>
        <v>517.74096656000006</v>
      </c>
      <c r="J38" s="183">
        <f t="shared" si="2"/>
        <v>1.8334577493847055</v>
      </c>
      <c r="K38" s="184">
        <f t="shared" si="3"/>
        <v>1.5537777537158521</v>
      </c>
    </row>
    <row r="39" spans="1:11" ht="12" customHeight="1" x14ac:dyDescent="0.2">
      <c r="A39" s="78">
        <v>2001</v>
      </c>
      <c r="B39" s="79">
        <v>285.30901899999998</v>
      </c>
      <c r="C39" s="80">
        <v>508.04</v>
      </c>
      <c r="D39" s="80">
        <v>39.885292099999994</v>
      </c>
      <c r="E39" s="82">
        <v>207.63162</v>
      </c>
      <c r="F39" s="82">
        <f t="shared" si="0"/>
        <v>755.55691209999998</v>
      </c>
      <c r="G39" s="83">
        <v>28.081356799999998</v>
      </c>
      <c r="H39" s="85">
        <v>189.77704</v>
      </c>
      <c r="I39" s="80">
        <f t="shared" si="1"/>
        <v>537.69851529999994</v>
      </c>
      <c r="J39" s="185">
        <f t="shared" si="2"/>
        <v>1.8846180088684823</v>
      </c>
      <c r="K39" s="186">
        <f t="shared" si="3"/>
        <v>1.5971339058207479</v>
      </c>
    </row>
    <row r="40" spans="1:11" ht="12" customHeight="1" x14ac:dyDescent="0.2">
      <c r="A40" s="78">
        <v>2002</v>
      </c>
      <c r="B40" s="79">
        <v>288.10481800000002</v>
      </c>
      <c r="C40" s="80">
        <v>518</v>
      </c>
      <c r="D40" s="80">
        <v>56.829637799999993</v>
      </c>
      <c r="E40" s="82">
        <v>189.77704</v>
      </c>
      <c r="F40" s="82">
        <f t="shared" si="0"/>
        <v>764.60667779999994</v>
      </c>
      <c r="G40" s="81">
        <v>36.653149379999995</v>
      </c>
      <c r="H40" s="85">
        <v>221.12610000000001</v>
      </c>
      <c r="I40" s="80">
        <f t="shared" si="1"/>
        <v>506.82742841999993</v>
      </c>
      <c r="J40" s="185">
        <f t="shared" si="2"/>
        <v>1.7591772048046759</v>
      </c>
      <c r="K40" s="186">
        <f t="shared" si="3"/>
        <v>1.4908281396649796</v>
      </c>
    </row>
    <row r="41" spans="1:11" ht="12" customHeight="1" x14ac:dyDescent="0.2">
      <c r="A41" s="78">
        <v>2003</v>
      </c>
      <c r="B41" s="79">
        <v>290.81963400000001</v>
      </c>
      <c r="C41" s="80">
        <v>448.34000000000003</v>
      </c>
      <c r="D41" s="80">
        <v>72.999291080000006</v>
      </c>
      <c r="E41" s="82">
        <v>221.12610000000001</v>
      </c>
      <c r="F41" s="82">
        <f t="shared" si="0"/>
        <v>742.46539108000002</v>
      </c>
      <c r="G41" s="81">
        <v>25.243848559999996</v>
      </c>
      <c r="H41" s="85">
        <v>176.22237999999999</v>
      </c>
      <c r="I41" s="80">
        <f t="shared" si="1"/>
        <v>540.99916252000003</v>
      </c>
      <c r="J41" s="185">
        <f t="shared" si="2"/>
        <v>1.860256665201635</v>
      </c>
      <c r="K41" s="186">
        <f t="shared" si="3"/>
        <v>1.5764886993234195</v>
      </c>
    </row>
    <row r="42" spans="1:11" ht="12" customHeight="1" x14ac:dyDescent="0.2">
      <c r="A42" s="78">
        <v>2004</v>
      </c>
      <c r="B42" s="79">
        <v>293.46318500000001</v>
      </c>
      <c r="C42" s="80">
        <v>523.84</v>
      </c>
      <c r="D42" s="80">
        <v>103.60587856000001</v>
      </c>
      <c r="E42" s="82">
        <v>176.22237999999999</v>
      </c>
      <c r="F42" s="82">
        <f t="shared" si="0"/>
        <v>803.66825855999991</v>
      </c>
      <c r="G42" s="81">
        <v>27.748992099999999</v>
      </c>
      <c r="H42" s="85">
        <v>205.50172000000001</v>
      </c>
      <c r="I42" s="80">
        <f t="shared" si="1"/>
        <v>570.41754645999993</v>
      </c>
      <c r="J42" s="185">
        <f t="shared" si="2"/>
        <v>1.9437448225745928</v>
      </c>
      <c r="K42" s="186">
        <f t="shared" si="3"/>
        <v>1.6472413750632142</v>
      </c>
    </row>
    <row r="43" spans="1:11" ht="12" customHeight="1" x14ac:dyDescent="0.2">
      <c r="A43" s="78">
        <v>2005</v>
      </c>
      <c r="B43" s="79">
        <v>296.186216</v>
      </c>
      <c r="C43" s="80">
        <v>477.88</v>
      </c>
      <c r="D43" s="80">
        <v>92.707189700000001</v>
      </c>
      <c r="E43" s="82">
        <v>205.50172000000001</v>
      </c>
      <c r="F43" s="82">
        <f t="shared" si="0"/>
        <v>776.08890969999993</v>
      </c>
      <c r="G43" s="81">
        <v>15.17584076</v>
      </c>
      <c r="H43" s="85">
        <v>228.51879999999997</v>
      </c>
      <c r="I43" s="80">
        <f t="shared" si="1"/>
        <v>532.39426893999996</v>
      </c>
      <c r="J43" s="185">
        <f t="shared" si="2"/>
        <v>1.7974984661001239</v>
      </c>
      <c r="K43" s="186">
        <f t="shared" si="3"/>
        <v>1.5233037848306135</v>
      </c>
    </row>
    <row r="44" spans="1:11" ht="12" customHeight="1" x14ac:dyDescent="0.2">
      <c r="A44" s="42">
        <v>2006</v>
      </c>
      <c r="B44" s="69">
        <v>298.99582500000002</v>
      </c>
      <c r="C44" s="43">
        <v>491.68</v>
      </c>
      <c r="D44" s="43">
        <v>100.40278227</v>
      </c>
      <c r="E44" s="45">
        <v>228.51879999999997</v>
      </c>
      <c r="F44" s="45">
        <f t="shared" si="0"/>
        <v>820.60158226999999</v>
      </c>
      <c r="G44" s="44">
        <v>16.785434430000002</v>
      </c>
      <c r="H44" s="47">
        <v>234.25773000000004</v>
      </c>
      <c r="I44" s="43">
        <f t="shared" si="1"/>
        <v>569.55841783999995</v>
      </c>
      <c r="J44" s="183">
        <f t="shared" si="2"/>
        <v>1.9049042502182092</v>
      </c>
      <c r="K44" s="184">
        <f>J44/1.11</f>
        <v>1.7161299551515397</v>
      </c>
    </row>
    <row r="45" spans="1:11" ht="12" customHeight="1" x14ac:dyDescent="0.2">
      <c r="A45" s="42">
        <v>2007</v>
      </c>
      <c r="B45" s="69">
        <v>302.003917</v>
      </c>
      <c r="C45" s="43">
        <v>539.94000000000005</v>
      </c>
      <c r="D45" s="43">
        <v>116.55901653000001</v>
      </c>
      <c r="E45" s="45">
        <v>234.25773000000004</v>
      </c>
      <c r="F45" s="45">
        <f t="shared" si="0"/>
        <v>890.7567465300001</v>
      </c>
      <c r="G45" s="44">
        <v>17.250289110000001</v>
      </c>
      <c r="H45" s="47">
        <v>239.73780000000002</v>
      </c>
      <c r="I45" s="43">
        <f t="shared" si="1"/>
        <v>633.76865742000007</v>
      </c>
      <c r="J45" s="183">
        <f t="shared" si="2"/>
        <v>2.098544494772232</v>
      </c>
      <c r="K45" s="184">
        <f t="shared" ref="K45:K57" si="4">J45/1.11</f>
        <v>1.8905806259209297</v>
      </c>
    </row>
    <row r="46" spans="1:11" ht="12" customHeight="1" x14ac:dyDescent="0.2">
      <c r="A46" s="42">
        <v>2008</v>
      </c>
      <c r="B46" s="69">
        <v>304.79776099999998</v>
      </c>
      <c r="C46" s="43">
        <v>558.04</v>
      </c>
      <c r="D46" s="43">
        <v>117.29043861420601</v>
      </c>
      <c r="E46" s="45">
        <v>239.73780000000002</v>
      </c>
      <c r="F46" s="45">
        <f t="shared" si="0"/>
        <v>915.06823861420594</v>
      </c>
      <c r="G46" s="44">
        <v>16.850000000000001</v>
      </c>
      <c r="H46" s="47">
        <v>267.83744999999999</v>
      </c>
      <c r="I46" s="43">
        <f t="shared" si="1"/>
        <v>630.38078861420593</v>
      </c>
      <c r="J46" s="183">
        <f t="shared" si="2"/>
        <v>2.0681936328731956</v>
      </c>
      <c r="K46" s="184">
        <f t="shared" si="4"/>
        <v>1.8632375070929688</v>
      </c>
    </row>
    <row r="47" spans="1:11" ht="12" customHeight="1" x14ac:dyDescent="0.2">
      <c r="A47" s="42">
        <v>2009</v>
      </c>
      <c r="B47" s="69">
        <v>307.43940600000002</v>
      </c>
      <c r="C47" s="43">
        <v>443.6</v>
      </c>
      <c r="D47" s="43">
        <v>106.20419170559218</v>
      </c>
      <c r="E47" s="45">
        <v>267.83744999999999</v>
      </c>
      <c r="F47" s="45">
        <f t="shared" si="0"/>
        <v>817.64164170559218</v>
      </c>
      <c r="G47" s="44">
        <v>18.13</v>
      </c>
      <c r="H47" s="47">
        <v>223.88255999999998</v>
      </c>
      <c r="I47" s="43">
        <f t="shared" si="1"/>
        <v>575.62908170559217</v>
      </c>
      <c r="J47" s="183">
        <f t="shared" si="2"/>
        <v>1.8723334435065626</v>
      </c>
      <c r="K47" s="184">
        <f t="shared" si="4"/>
        <v>1.6867868860419482</v>
      </c>
    </row>
    <row r="48" spans="1:11" ht="12" customHeight="1" x14ac:dyDescent="0.2">
      <c r="A48" s="42">
        <v>2010</v>
      </c>
      <c r="B48" s="69">
        <v>309.74127900000002</v>
      </c>
      <c r="C48" s="43">
        <v>504.6</v>
      </c>
      <c r="D48" s="43">
        <v>109.20532281166199</v>
      </c>
      <c r="E48" s="45">
        <v>223.88255999999998</v>
      </c>
      <c r="F48" s="45">
        <f t="shared" si="0"/>
        <v>837.68788281166201</v>
      </c>
      <c r="G48" s="44">
        <v>19.705822851422401</v>
      </c>
      <c r="H48" s="47">
        <v>205.39329000000001</v>
      </c>
      <c r="I48" s="43">
        <f t="shared" si="1"/>
        <v>612.58876996023957</v>
      </c>
      <c r="J48" s="183">
        <f t="shared" si="2"/>
        <v>1.9777433990651261</v>
      </c>
      <c r="K48" s="184">
        <f t="shared" si="4"/>
        <v>1.7817508099685819</v>
      </c>
    </row>
    <row r="49" spans="1:12" ht="12" customHeight="1" x14ac:dyDescent="0.2">
      <c r="A49" s="78">
        <v>2011</v>
      </c>
      <c r="B49" s="79">
        <v>311.97391399999998</v>
      </c>
      <c r="C49" s="80">
        <v>418.66</v>
      </c>
      <c r="D49" s="80">
        <v>118.67352855443579</v>
      </c>
      <c r="E49" s="82">
        <v>205.39329000000001</v>
      </c>
      <c r="F49" s="82">
        <f t="shared" si="0"/>
        <v>742.72681855443579</v>
      </c>
      <c r="G49" s="81">
        <v>22.922541057655799</v>
      </c>
      <c r="H49" s="85">
        <v>238.36584000000005</v>
      </c>
      <c r="I49" s="80">
        <f t="shared" si="1"/>
        <v>481.43843749677995</v>
      </c>
      <c r="J49" s="185">
        <f t="shared" si="2"/>
        <v>1.5432009405016471</v>
      </c>
      <c r="K49" s="185">
        <f t="shared" si="4"/>
        <v>1.3902711175690514</v>
      </c>
    </row>
    <row r="50" spans="1:12" ht="12" customHeight="1" x14ac:dyDescent="0.2">
      <c r="A50" s="78">
        <v>2012</v>
      </c>
      <c r="B50" s="79">
        <v>314.16755799999999</v>
      </c>
      <c r="C50" s="80">
        <v>549.70000000000005</v>
      </c>
      <c r="D50" s="80">
        <v>125.3443584264564</v>
      </c>
      <c r="E50" s="82">
        <v>238.36584000000005</v>
      </c>
      <c r="F50" s="82">
        <f t="shared" si="0"/>
        <v>913.41019842645653</v>
      </c>
      <c r="G50" s="81">
        <v>19.507250633633401</v>
      </c>
      <c r="H50" s="85">
        <v>297.55770000000001</v>
      </c>
      <c r="I50" s="80">
        <f t="shared" si="1"/>
        <v>596.3452477928231</v>
      </c>
      <c r="J50" s="185">
        <f t="shared" si="2"/>
        <v>1.8981757747018013</v>
      </c>
      <c r="K50" s="185">
        <f t="shared" si="4"/>
        <v>1.7100682654971182</v>
      </c>
      <c r="L50"/>
    </row>
    <row r="51" spans="1:12" ht="12" customHeight="1" x14ac:dyDescent="0.2">
      <c r="A51" s="86">
        <v>2013</v>
      </c>
      <c r="B51" s="87">
        <v>316.29476599999998</v>
      </c>
      <c r="C51" s="88">
        <v>483.34</v>
      </c>
      <c r="D51" s="88">
        <v>119.1773310726108</v>
      </c>
      <c r="E51" s="89">
        <v>297.55770000000001</v>
      </c>
      <c r="F51" s="89">
        <f t="shared" si="0"/>
        <v>900.07503107261073</v>
      </c>
      <c r="G51" s="90">
        <v>20.090354788257599</v>
      </c>
      <c r="H51" s="118">
        <v>216.80631000000002</v>
      </c>
      <c r="I51" s="88">
        <f t="shared" ref="I51:I57" si="5">F51-SUM(G51,H51)</f>
        <v>663.17836628435316</v>
      </c>
      <c r="J51" s="187">
        <f t="shared" ref="J51:J57" si="6">IF(I51=0,0,IF(B51=0,0,I51/B51))</f>
        <v>2.0967098971354878</v>
      </c>
      <c r="K51" s="185">
        <f t="shared" si="4"/>
        <v>1.8889278352571961</v>
      </c>
      <c r="L51"/>
    </row>
    <row r="52" spans="1:12" ht="12" customHeight="1" x14ac:dyDescent="0.2">
      <c r="A52" s="86">
        <v>2014</v>
      </c>
      <c r="B52" s="87">
        <v>318.576955</v>
      </c>
      <c r="C52" s="88">
        <v>472.96</v>
      </c>
      <c r="D52" s="88">
        <v>117.67726351016459</v>
      </c>
      <c r="E52" s="89">
        <v>216.80631000000002</v>
      </c>
      <c r="F52" s="89">
        <f t="shared" si="0"/>
        <v>807.44357351016458</v>
      </c>
      <c r="G52" s="90">
        <v>27.180404639348399</v>
      </c>
      <c r="H52" s="118">
        <v>218.5479</v>
      </c>
      <c r="I52" s="88">
        <f t="shared" si="5"/>
        <v>561.7152688708162</v>
      </c>
      <c r="J52" s="187">
        <f t="shared" si="6"/>
        <v>1.7632011985010536</v>
      </c>
      <c r="K52" s="185">
        <f t="shared" si="4"/>
        <v>1.5884695481991473</v>
      </c>
      <c r="L52"/>
    </row>
    <row r="53" spans="1:12" ht="12" customHeight="1" x14ac:dyDescent="0.2">
      <c r="A53" s="86">
        <v>2015</v>
      </c>
      <c r="B53" s="87">
        <v>320.87070299999999</v>
      </c>
      <c r="C53" s="88">
        <v>534.18000000000006</v>
      </c>
      <c r="D53" s="88">
        <v>122.9237717789136</v>
      </c>
      <c r="E53" s="89">
        <v>218.5479</v>
      </c>
      <c r="F53" s="89">
        <f t="shared" si="0"/>
        <v>875.65167177891374</v>
      </c>
      <c r="G53" s="90">
        <v>28.191369582717002</v>
      </c>
      <c r="H53" s="118">
        <v>238.95303000000001</v>
      </c>
      <c r="I53" s="88">
        <f t="shared" si="5"/>
        <v>608.50727219619671</v>
      </c>
      <c r="J53" s="187">
        <f t="shared" si="6"/>
        <v>1.8964251535179786</v>
      </c>
      <c r="K53" s="185">
        <f t="shared" si="4"/>
        <v>1.7084911292954761</v>
      </c>
      <c r="L53"/>
    </row>
    <row r="54" spans="1:12" ht="12" customHeight="1" x14ac:dyDescent="0.2">
      <c r="A54" s="119">
        <v>2016</v>
      </c>
      <c r="B54" s="120">
        <v>323.16101099999997</v>
      </c>
      <c r="C54" s="121">
        <v>551.4051924434566</v>
      </c>
      <c r="D54" s="121">
        <v>128.3527403733828</v>
      </c>
      <c r="E54" s="122">
        <v>238.95303000000001</v>
      </c>
      <c r="F54" s="122">
        <f t="shared" si="0"/>
        <v>918.71096281683947</v>
      </c>
      <c r="G54" s="128">
        <v>28.473873403509604</v>
      </c>
      <c r="H54" s="127">
        <v>248.61558000000002</v>
      </c>
      <c r="I54" s="121">
        <f t="shared" si="5"/>
        <v>641.62150941332982</v>
      </c>
      <c r="J54" s="189">
        <f t="shared" si="6"/>
        <v>1.9854545801421877</v>
      </c>
      <c r="K54" s="184">
        <f t="shared" si="4"/>
        <v>1.7886978199479167</v>
      </c>
      <c r="L54"/>
    </row>
    <row r="55" spans="1:12" ht="12" customHeight="1" x14ac:dyDescent="0.2">
      <c r="A55" s="145">
        <v>2017</v>
      </c>
      <c r="B55" s="146">
        <v>325.20603</v>
      </c>
      <c r="C55" s="147">
        <v>498.23720739966006</v>
      </c>
      <c r="D55" s="147">
        <v>130.37023361669338</v>
      </c>
      <c r="E55" s="148">
        <v>248.61558000000002</v>
      </c>
      <c r="F55" s="148">
        <f t="shared" si="0"/>
        <v>877.22302101635353</v>
      </c>
      <c r="G55" s="151">
        <v>30.895365488486398</v>
      </c>
      <c r="H55" s="150">
        <v>229.19058000000004</v>
      </c>
      <c r="I55" s="147">
        <f t="shared" si="5"/>
        <v>617.13707552786707</v>
      </c>
      <c r="J55" s="191">
        <f t="shared" si="6"/>
        <v>1.8976802967886761</v>
      </c>
      <c r="K55" s="184">
        <f t="shared" si="4"/>
        <v>1.7096218889988071</v>
      </c>
      <c r="L55"/>
    </row>
    <row r="56" spans="1:12" ht="12" customHeight="1" x14ac:dyDescent="0.2">
      <c r="A56" s="145">
        <v>2018</v>
      </c>
      <c r="B56" s="146">
        <v>326.92397599999998</v>
      </c>
      <c r="C56" s="147">
        <v>460.30197717348676</v>
      </c>
      <c r="D56" s="147">
        <v>129.99811109400002</v>
      </c>
      <c r="E56" s="148">
        <v>229.19058000000004</v>
      </c>
      <c r="F56" s="148">
        <f t="shared" si="0"/>
        <v>819.49066826748685</v>
      </c>
      <c r="G56" s="151">
        <v>30.319265014770597</v>
      </c>
      <c r="H56" s="150">
        <v>184.52862000000002</v>
      </c>
      <c r="I56" s="147">
        <f t="shared" si="5"/>
        <v>604.6427832527163</v>
      </c>
      <c r="J56" s="191">
        <f t="shared" si="6"/>
        <v>1.8494904859860029</v>
      </c>
      <c r="K56" s="184">
        <f t="shared" si="4"/>
        <v>1.6662076450324348</v>
      </c>
      <c r="L56"/>
    </row>
    <row r="57" spans="1:12" ht="12" customHeight="1" x14ac:dyDescent="0.2">
      <c r="A57" s="145">
        <v>2019</v>
      </c>
      <c r="B57" s="146">
        <v>328.475998</v>
      </c>
      <c r="C57" s="210">
        <v>456.12799999999999</v>
      </c>
      <c r="D57" s="147">
        <v>127.25622883200001</v>
      </c>
      <c r="E57" s="211">
        <v>184.52862000000002</v>
      </c>
      <c r="F57" s="148">
        <f t="shared" si="0"/>
        <v>767.91284883200001</v>
      </c>
      <c r="G57" s="151">
        <v>28.141516758000002</v>
      </c>
      <c r="H57" s="212">
        <v>189.33936</v>
      </c>
      <c r="I57" s="147">
        <f t="shared" si="5"/>
        <v>550.43197207399999</v>
      </c>
      <c r="J57" s="191">
        <f t="shared" si="6"/>
        <v>1.6757144370530233</v>
      </c>
      <c r="K57" s="191">
        <f t="shared" si="4"/>
        <v>1.5096526459937145</v>
      </c>
      <c r="L57"/>
    </row>
    <row r="58" spans="1:12" ht="12" customHeight="1" thickBot="1" x14ac:dyDescent="0.25">
      <c r="A58" s="207">
        <v>2020</v>
      </c>
      <c r="B58" s="208">
        <v>330.11398000000003</v>
      </c>
      <c r="C58" s="209" t="s">
        <v>2</v>
      </c>
      <c r="D58" s="209" t="s">
        <v>2</v>
      </c>
      <c r="E58" s="209" t="s">
        <v>2</v>
      </c>
      <c r="F58" s="209" t="s">
        <v>2</v>
      </c>
      <c r="G58" s="209" t="s">
        <v>2</v>
      </c>
      <c r="H58" s="209" t="s">
        <v>2</v>
      </c>
      <c r="I58" s="209" t="s">
        <v>2</v>
      </c>
      <c r="J58" s="209" t="s">
        <v>2</v>
      </c>
      <c r="K58" s="209" t="s">
        <v>2</v>
      </c>
      <c r="L58"/>
    </row>
    <row r="59" spans="1:12" ht="12" customHeight="1" thickTop="1" x14ac:dyDescent="0.2">
      <c r="A59" s="260" t="s">
        <v>4</v>
      </c>
      <c r="B59" s="261"/>
      <c r="C59" s="261"/>
      <c r="D59" s="261"/>
      <c r="E59" s="261"/>
      <c r="F59" s="261"/>
      <c r="G59" s="261"/>
      <c r="H59" s="261"/>
      <c r="I59" s="261"/>
      <c r="J59" s="261"/>
      <c r="K59" s="262"/>
      <c r="L59"/>
    </row>
    <row r="60" spans="1:12" ht="12" customHeight="1" x14ac:dyDescent="0.2">
      <c r="A60" s="315" t="s">
        <v>91</v>
      </c>
      <c r="B60" s="316"/>
      <c r="C60" s="316"/>
      <c r="D60" s="316"/>
      <c r="E60" s="316"/>
      <c r="F60" s="316"/>
      <c r="G60" s="316"/>
      <c r="H60" s="316"/>
      <c r="I60" s="316"/>
      <c r="J60" s="316"/>
      <c r="K60" s="317"/>
      <c r="L60"/>
    </row>
    <row r="61" spans="1:12" ht="12" customHeight="1" x14ac:dyDescent="0.2">
      <c r="A61" s="308"/>
      <c r="B61" s="309"/>
      <c r="C61" s="309"/>
      <c r="D61" s="309"/>
      <c r="E61" s="309"/>
      <c r="F61" s="309"/>
      <c r="G61" s="309"/>
      <c r="H61" s="309"/>
      <c r="I61" s="309"/>
      <c r="J61" s="309"/>
      <c r="K61" s="310"/>
    </row>
    <row r="62" spans="1:12" ht="12" customHeight="1" x14ac:dyDescent="0.2">
      <c r="A62" s="299" t="s">
        <v>79</v>
      </c>
      <c r="B62" s="300"/>
      <c r="C62" s="300"/>
      <c r="D62" s="300"/>
      <c r="E62" s="300"/>
      <c r="F62" s="300"/>
      <c r="G62" s="300"/>
      <c r="H62" s="300"/>
      <c r="I62" s="300"/>
      <c r="J62" s="300"/>
      <c r="K62" s="301"/>
    </row>
    <row r="63" spans="1:12" ht="12" customHeight="1" x14ac:dyDescent="0.2">
      <c r="A63" s="299"/>
      <c r="B63" s="300"/>
      <c r="C63" s="300"/>
      <c r="D63" s="300"/>
      <c r="E63" s="300"/>
      <c r="F63" s="300"/>
      <c r="G63" s="300"/>
      <c r="H63" s="300"/>
      <c r="I63" s="300"/>
      <c r="J63" s="300"/>
      <c r="K63" s="301"/>
    </row>
    <row r="64" spans="1:12" ht="12" customHeight="1" x14ac:dyDescent="0.2">
      <c r="A64" s="299"/>
      <c r="B64" s="300"/>
      <c r="C64" s="300"/>
      <c r="D64" s="300"/>
      <c r="E64" s="300"/>
      <c r="F64" s="300"/>
      <c r="G64" s="300"/>
      <c r="H64" s="300"/>
      <c r="I64" s="300"/>
      <c r="J64" s="300"/>
      <c r="K64" s="301"/>
    </row>
    <row r="65" spans="1:11" ht="12" customHeight="1" x14ac:dyDescent="0.2">
      <c r="A65" s="320"/>
      <c r="B65" s="321"/>
      <c r="C65" s="321"/>
      <c r="D65" s="321"/>
      <c r="E65" s="321"/>
      <c r="F65" s="321"/>
      <c r="G65" s="321"/>
      <c r="H65" s="321"/>
      <c r="I65" s="321"/>
      <c r="J65" s="321"/>
      <c r="K65" s="322"/>
    </row>
    <row r="66" spans="1:11" ht="12" customHeight="1" x14ac:dyDescent="0.2">
      <c r="A66" s="319" t="s">
        <v>63</v>
      </c>
      <c r="B66" s="319"/>
      <c r="C66" s="319"/>
      <c r="D66" s="319"/>
      <c r="E66" s="319"/>
      <c r="F66" s="319"/>
      <c r="G66" s="319"/>
      <c r="H66" s="319"/>
      <c r="I66" s="319"/>
      <c r="J66" s="319"/>
      <c r="K66" s="319"/>
    </row>
  </sheetData>
  <mergeCells count="24">
    <mergeCell ref="A66:K66"/>
    <mergeCell ref="A62:K64"/>
    <mergeCell ref="A65:K65"/>
    <mergeCell ref="F3:F6"/>
    <mergeCell ref="K4:K6"/>
    <mergeCell ref="A61:K61"/>
    <mergeCell ref="J7:K7"/>
    <mergeCell ref="J3:K3"/>
    <mergeCell ref="B2:B6"/>
    <mergeCell ref="A60:K60"/>
    <mergeCell ref="C7:I7"/>
    <mergeCell ref="G2:H2"/>
    <mergeCell ref="I2:K2"/>
    <mergeCell ref="G3:G6"/>
    <mergeCell ref="H3:H6"/>
    <mergeCell ref="A59:K59"/>
    <mergeCell ref="C3:C6"/>
    <mergeCell ref="J4:J6"/>
    <mergeCell ref="J1:K1"/>
    <mergeCell ref="A1:I1"/>
    <mergeCell ref="I3:I6"/>
    <mergeCell ref="A2:A6"/>
    <mergeCell ref="D3:D6"/>
    <mergeCell ref="E3:E6"/>
  </mergeCells>
  <phoneticPr fontId="5" type="noConversion"/>
  <printOptions horizontalCentered="1" verticalCentered="1"/>
  <pageMargins left="0.75" right="0.75" top="0.75" bottom="0.75" header="0.5" footer="0.5"/>
  <pageSetup scale="82"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pageSetUpPr autoPageBreaks="0" fitToPage="1"/>
  </sheetPr>
  <dimension ref="A1:L64"/>
  <sheetViews>
    <sheetView showOutlineSymbols="0" zoomScaleNormal="100" workbookViewId="0">
      <pane ySplit="7" topLeftCell="A8" activePane="bottomLeft" state="frozen"/>
      <selection pane="bottomLeft" sqref="A1:I1"/>
    </sheetView>
  </sheetViews>
  <sheetFormatPr defaultColWidth="12.7109375" defaultRowHeight="12" customHeight="1" x14ac:dyDescent="0.2"/>
  <cols>
    <col min="1" max="1" width="12.7109375" style="24" customWidth="1"/>
    <col min="2" max="2" width="12.7109375" style="16" customWidth="1"/>
    <col min="3" max="9" width="12.7109375" style="17" customWidth="1"/>
    <col min="10" max="10" width="12.7109375" style="21" customWidth="1"/>
    <col min="11" max="12" width="12.7109375" style="18" customWidth="1"/>
    <col min="13" max="16384" width="12.7109375" style="19"/>
  </cols>
  <sheetData>
    <row r="1" spans="1:12" s="57" customFormat="1" ht="12" customHeight="1" thickBot="1" x14ac:dyDescent="0.25">
      <c r="A1" s="323" t="s">
        <v>48</v>
      </c>
      <c r="B1" s="323"/>
      <c r="C1" s="323"/>
      <c r="D1" s="323"/>
      <c r="E1" s="323"/>
      <c r="F1" s="323"/>
      <c r="G1" s="323"/>
      <c r="H1" s="323"/>
      <c r="I1" s="323"/>
      <c r="J1" s="227" t="s">
        <v>32</v>
      </c>
      <c r="K1" s="227"/>
      <c r="L1" s="56"/>
    </row>
    <row r="2" spans="1:12" ht="12" customHeight="1" thickTop="1" x14ac:dyDescent="0.2">
      <c r="A2" s="282" t="s">
        <v>0</v>
      </c>
      <c r="B2" s="274" t="s">
        <v>18</v>
      </c>
      <c r="C2" s="38" t="s">
        <v>1</v>
      </c>
      <c r="D2" s="39"/>
      <c r="E2" s="39"/>
      <c r="F2" s="39"/>
      <c r="G2" s="272" t="s">
        <v>44</v>
      </c>
      <c r="H2" s="273"/>
      <c r="I2" s="272" t="s">
        <v>43</v>
      </c>
      <c r="J2" s="273"/>
      <c r="K2" s="273"/>
    </row>
    <row r="3" spans="1:12" ht="12" customHeight="1" x14ac:dyDescent="0.2">
      <c r="A3" s="283"/>
      <c r="B3" s="275"/>
      <c r="C3" s="279" t="s">
        <v>19</v>
      </c>
      <c r="D3" s="279" t="s">
        <v>20</v>
      </c>
      <c r="E3" s="279" t="s">
        <v>29</v>
      </c>
      <c r="F3" s="279" t="s">
        <v>30</v>
      </c>
      <c r="G3" s="279" t="s">
        <v>23</v>
      </c>
      <c r="H3" s="279" t="s">
        <v>31</v>
      </c>
      <c r="I3" s="293" t="s">
        <v>41</v>
      </c>
      <c r="J3" s="288" t="s">
        <v>17</v>
      </c>
      <c r="K3" s="289"/>
      <c r="L3" s="20"/>
    </row>
    <row r="4" spans="1:12" ht="12" customHeight="1" x14ac:dyDescent="0.2">
      <c r="A4" s="283"/>
      <c r="B4" s="275"/>
      <c r="C4" s="280"/>
      <c r="D4" s="280"/>
      <c r="E4" s="280"/>
      <c r="F4" s="280"/>
      <c r="G4" s="280"/>
      <c r="H4" s="280"/>
      <c r="I4" s="294"/>
      <c r="J4" s="314" t="s">
        <v>3</v>
      </c>
      <c r="K4" s="311" t="s">
        <v>16</v>
      </c>
    </row>
    <row r="5" spans="1:12" ht="12" customHeight="1" x14ac:dyDescent="0.2">
      <c r="A5" s="283"/>
      <c r="B5" s="275"/>
      <c r="C5" s="280"/>
      <c r="D5" s="280"/>
      <c r="E5" s="280"/>
      <c r="F5" s="280"/>
      <c r="G5" s="280"/>
      <c r="H5" s="280"/>
      <c r="I5" s="294"/>
      <c r="J5" s="277"/>
      <c r="K5" s="312"/>
    </row>
    <row r="6" spans="1:12" ht="12" customHeight="1" x14ac:dyDescent="0.2">
      <c r="A6" s="284"/>
      <c r="B6" s="276"/>
      <c r="C6" s="281"/>
      <c r="D6" s="281"/>
      <c r="E6" s="281"/>
      <c r="F6" s="281"/>
      <c r="G6" s="281"/>
      <c r="H6" s="281"/>
      <c r="I6" s="295"/>
      <c r="J6" s="278"/>
      <c r="K6" s="313"/>
    </row>
    <row r="7" spans="1:12" ht="12" customHeight="1" x14ac:dyDescent="0.2">
      <c r="A7" s="73"/>
      <c r="B7" s="76" t="s">
        <v>33</v>
      </c>
      <c r="C7" s="267" t="s">
        <v>35</v>
      </c>
      <c r="D7" s="268"/>
      <c r="E7" s="268"/>
      <c r="F7" s="268"/>
      <c r="G7" s="268"/>
      <c r="H7" s="268"/>
      <c r="I7" s="268"/>
      <c r="J7" s="269" t="s">
        <v>36</v>
      </c>
      <c r="K7" s="269"/>
      <c r="L7" s="72"/>
    </row>
    <row r="8" spans="1:12" ht="12" customHeight="1" x14ac:dyDescent="0.2">
      <c r="A8" s="42">
        <v>1970</v>
      </c>
      <c r="B8" s="69">
        <v>205.05199999999999</v>
      </c>
      <c r="C8" s="43">
        <v>216.1</v>
      </c>
      <c r="D8" s="44" t="s">
        <v>2</v>
      </c>
      <c r="E8" s="45">
        <v>68.536230000000003</v>
      </c>
      <c r="F8" s="45">
        <f t="shared" ref="F8:F53" si="0">SUM(C8,D8,E8)</f>
        <v>284.63623000000001</v>
      </c>
      <c r="G8" s="46">
        <v>2.3993200000000003</v>
      </c>
      <c r="H8" s="44">
        <v>84.35924</v>
      </c>
      <c r="I8" s="43">
        <f t="shared" ref="I8:I50" si="1">F8-SUM(G8,H8)</f>
        <v>197.87767000000002</v>
      </c>
      <c r="J8" s="183">
        <f t="shared" ref="J8:J50" si="2">IF(I8=0,0,IF(B8=0,0,I8/B8))</f>
        <v>0.96501214326122164</v>
      </c>
      <c r="K8" s="184">
        <f>J8/1.33</f>
        <v>0.72557304004603129</v>
      </c>
    </row>
    <row r="9" spans="1:12" ht="12" customHeight="1" x14ac:dyDescent="0.2">
      <c r="A9" s="78">
        <v>1971</v>
      </c>
      <c r="B9" s="79">
        <v>207.661</v>
      </c>
      <c r="C9" s="80">
        <v>188.5</v>
      </c>
      <c r="D9" s="81" t="s">
        <v>2</v>
      </c>
      <c r="E9" s="82">
        <v>84.35924</v>
      </c>
      <c r="F9" s="82">
        <f t="shared" si="0"/>
        <v>272.85924</v>
      </c>
      <c r="G9" s="81">
        <v>1.00149</v>
      </c>
      <c r="H9" s="81">
        <v>84.861980000000003</v>
      </c>
      <c r="I9" s="80">
        <f t="shared" si="1"/>
        <v>186.99576999999999</v>
      </c>
      <c r="J9" s="185">
        <f t="shared" si="2"/>
        <v>0.90048574359171918</v>
      </c>
      <c r="K9" s="186">
        <f t="shared" ref="K9:K43" si="3">J9/1.33</f>
        <v>0.67705695006896172</v>
      </c>
    </row>
    <row r="10" spans="1:12" ht="12" customHeight="1" x14ac:dyDescent="0.2">
      <c r="A10" s="78">
        <v>1972</v>
      </c>
      <c r="B10" s="79">
        <v>209.89599999999999</v>
      </c>
      <c r="C10" s="80">
        <v>226.9</v>
      </c>
      <c r="D10" s="81" t="s">
        <v>2</v>
      </c>
      <c r="E10" s="82">
        <v>84.861980000000003</v>
      </c>
      <c r="F10" s="82">
        <f t="shared" si="0"/>
        <v>311.76197999999999</v>
      </c>
      <c r="G10" s="81">
        <v>1.6226</v>
      </c>
      <c r="H10" s="81">
        <v>115.46262</v>
      </c>
      <c r="I10" s="80">
        <f t="shared" si="1"/>
        <v>194.67676</v>
      </c>
      <c r="J10" s="185">
        <f t="shared" si="2"/>
        <v>0.92749151960971155</v>
      </c>
      <c r="K10" s="186">
        <f t="shared" si="3"/>
        <v>0.69736204481933195</v>
      </c>
    </row>
    <row r="11" spans="1:12" ht="12" customHeight="1" x14ac:dyDescent="0.2">
      <c r="A11" s="78">
        <v>1973</v>
      </c>
      <c r="B11" s="79">
        <v>211.90899999999999</v>
      </c>
      <c r="C11" s="80">
        <v>200.5</v>
      </c>
      <c r="D11" s="81" t="s">
        <v>2</v>
      </c>
      <c r="E11" s="82">
        <v>115.46262</v>
      </c>
      <c r="F11" s="82">
        <f t="shared" si="0"/>
        <v>315.96262000000002</v>
      </c>
      <c r="G11" s="81">
        <v>2.5589200000000001</v>
      </c>
      <c r="H11" s="81">
        <v>99.063720000000004</v>
      </c>
      <c r="I11" s="80">
        <f t="shared" si="1"/>
        <v>214.33998000000003</v>
      </c>
      <c r="J11" s="185">
        <f t="shared" si="2"/>
        <v>1.0114718110132181</v>
      </c>
      <c r="K11" s="186">
        <f t="shared" si="3"/>
        <v>0.76050512106256996</v>
      </c>
    </row>
    <row r="12" spans="1:12" ht="12" customHeight="1" x14ac:dyDescent="0.2">
      <c r="A12" s="78">
        <v>1974</v>
      </c>
      <c r="B12" s="79">
        <v>213.85400000000001</v>
      </c>
      <c r="C12" s="80">
        <v>234.3</v>
      </c>
      <c r="D12" s="81">
        <v>11.7705</v>
      </c>
      <c r="E12" s="82">
        <v>99.063720000000004</v>
      </c>
      <c r="F12" s="82">
        <f t="shared" si="0"/>
        <v>345.13422000000003</v>
      </c>
      <c r="G12" s="81">
        <v>4.0538400000000001</v>
      </c>
      <c r="H12" s="81">
        <v>127.55365</v>
      </c>
      <c r="I12" s="80">
        <f t="shared" si="1"/>
        <v>213.52673000000001</v>
      </c>
      <c r="J12" s="185">
        <f t="shared" si="2"/>
        <v>0.99846965686870481</v>
      </c>
      <c r="K12" s="186">
        <f t="shared" si="3"/>
        <v>0.75072906531481565</v>
      </c>
    </row>
    <row r="13" spans="1:12" ht="12" customHeight="1" x14ac:dyDescent="0.2">
      <c r="A13" s="78">
        <v>1975</v>
      </c>
      <c r="B13" s="79">
        <v>215.97300000000001</v>
      </c>
      <c r="C13" s="80">
        <v>190.5</v>
      </c>
      <c r="D13" s="81">
        <v>10.727646999999999</v>
      </c>
      <c r="E13" s="82">
        <v>127.55365</v>
      </c>
      <c r="F13" s="82">
        <f t="shared" si="0"/>
        <v>328.781297</v>
      </c>
      <c r="G13" s="83">
        <v>3.3489399999999998</v>
      </c>
      <c r="H13" s="81">
        <v>106.45453000000001</v>
      </c>
      <c r="I13" s="80">
        <f t="shared" si="1"/>
        <v>218.97782699999999</v>
      </c>
      <c r="J13" s="185">
        <f t="shared" si="2"/>
        <v>1.0139129752330152</v>
      </c>
      <c r="K13" s="186">
        <f t="shared" si="3"/>
        <v>0.76234058288196627</v>
      </c>
    </row>
    <row r="14" spans="1:12" ht="12" customHeight="1" x14ac:dyDescent="0.2">
      <c r="A14" s="42">
        <v>1976</v>
      </c>
      <c r="B14" s="69">
        <v>218.035</v>
      </c>
      <c r="C14" s="43">
        <v>205.5</v>
      </c>
      <c r="D14" s="44">
        <v>8.0184370000000005</v>
      </c>
      <c r="E14" s="45">
        <v>106.45453000000001</v>
      </c>
      <c r="F14" s="45">
        <f t="shared" si="0"/>
        <v>319.97296700000004</v>
      </c>
      <c r="G14" s="44">
        <v>6.8947200000000004</v>
      </c>
      <c r="H14" s="43">
        <v>68.778289999999998</v>
      </c>
      <c r="I14" s="43">
        <f t="shared" si="1"/>
        <v>244.29995700000003</v>
      </c>
      <c r="J14" s="183">
        <f t="shared" si="2"/>
        <v>1.1204621138807991</v>
      </c>
      <c r="K14" s="184">
        <f t="shared" si="3"/>
        <v>0.84245271720360826</v>
      </c>
    </row>
    <row r="15" spans="1:12" ht="12" customHeight="1" x14ac:dyDescent="0.2">
      <c r="A15" s="42">
        <v>1977</v>
      </c>
      <c r="B15" s="69">
        <v>220.23899999999998</v>
      </c>
      <c r="C15" s="43">
        <v>312.2</v>
      </c>
      <c r="D15" s="44">
        <v>14.061957</v>
      </c>
      <c r="E15" s="45">
        <v>68.778289999999998</v>
      </c>
      <c r="F15" s="45">
        <f t="shared" si="0"/>
        <v>395.04024700000002</v>
      </c>
      <c r="G15" s="44">
        <v>8.72879</v>
      </c>
      <c r="H15" s="43">
        <v>145.40092000000001</v>
      </c>
      <c r="I15" s="43">
        <f t="shared" si="1"/>
        <v>240.91053700000001</v>
      </c>
      <c r="J15" s="183">
        <f t="shared" si="2"/>
        <v>1.0938595661985391</v>
      </c>
      <c r="K15" s="184">
        <f t="shared" si="3"/>
        <v>0.82245080165303686</v>
      </c>
    </row>
    <row r="16" spans="1:12" ht="12" customHeight="1" x14ac:dyDescent="0.2">
      <c r="A16" s="42">
        <v>1978</v>
      </c>
      <c r="B16" s="69">
        <v>222.58500000000001</v>
      </c>
      <c r="C16" s="43">
        <v>275.2</v>
      </c>
      <c r="D16" s="43">
        <v>20.56314873438</v>
      </c>
      <c r="E16" s="45">
        <v>145.40092000000001</v>
      </c>
      <c r="F16" s="45">
        <f t="shared" si="0"/>
        <v>441.16406873437995</v>
      </c>
      <c r="G16" s="46" t="s">
        <v>2</v>
      </c>
      <c r="H16" s="43">
        <v>125.68367000000001</v>
      </c>
      <c r="I16" s="43">
        <f t="shared" si="1"/>
        <v>315.48039873437995</v>
      </c>
      <c r="J16" s="183">
        <f t="shared" si="2"/>
        <v>1.4173479737375831</v>
      </c>
      <c r="K16" s="184">
        <f t="shared" si="3"/>
        <v>1.0656751682237466</v>
      </c>
    </row>
    <row r="17" spans="1:11" ht="12" customHeight="1" x14ac:dyDescent="0.2">
      <c r="A17" s="42">
        <v>1979</v>
      </c>
      <c r="B17" s="69">
        <v>225.05500000000001</v>
      </c>
      <c r="C17" s="43">
        <v>304.60000000000002</v>
      </c>
      <c r="D17" s="43">
        <v>20.55142014534</v>
      </c>
      <c r="E17" s="45">
        <v>125.68367000000001</v>
      </c>
      <c r="F17" s="45">
        <f t="shared" si="0"/>
        <v>450.83509014534002</v>
      </c>
      <c r="G17" s="46" t="s">
        <v>2</v>
      </c>
      <c r="H17" s="43">
        <v>137.4023</v>
      </c>
      <c r="I17" s="43">
        <f t="shared" si="1"/>
        <v>313.43279014534005</v>
      </c>
      <c r="J17" s="183">
        <f t="shared" si="2"/>
        <v>1.3926941865114753</v>
      </c>
      <c r="K17" s="184">
        <f t="shared" si="3"/>
        <v>1.0471384860988535</v>
      </c>
    </row>
    <row r="18" spans="1:11" ht="12" customHeight="1" x14ac:dyDescent="0.2">
      <c r="A18" s="42">
        <v>1980</v>
      </c>
      <c r="B18" s="69">
        <v>227.726</v>
      </c>
      <c r="C18" s="43">
        <v>295.8</v>
      </c>
      <c r="D18" s="43">
        <v>30.098491623899999</v>
      </c>
      <c r="E18" s="45">
        <v>137.4023</v>
      </c>
      <c r="F18" s="45">
        <f t="shared" si="0"/>
        <v>463.30079162389995</v>
      </c>
      <c r="G18" s="46" t="s">
        <v>2</v>
      </c>
      <c r="H18" s="43">
        <v>131.87482</v>
      </c>
      <c r="I18" s="43">
        <f t="shared" si="1"/>
        <v>331.42597162389995</v>
      </c>
      <c r="J18" s="183">
        <f t="shared" si="2"/>
        <v>1.4553716818628526</v>
      </c>
      <c r="K18" s="184">
        <f t="shared" si="3"/>
        <v>1.0942644224532725</v>
      </c>
    </row>
    <row r="19" spans="1:11" ht="12" customHeight="1" x14ac:dyDescent="0.2">
      <c r="A19" s="78">
        <v>1981</v>
      </c>
      <c r="B19" s="79">
        <v>229.96600000000001</v>
      </c>
      <c r="C19" s="80">
        <v>300.48</v>
      </c>
      <c r="D19" s="80">
        <v>39.158826657299997</v>
      </c>
      <c r="E19" s="82">
        <v>131.87482</v>
      </c>
      <c r="F19" s="82">
        <f t="shared" si="0"/>
        <v>471.5136466573</v>
      </c>
      <c r="G19" s="81" t="s">
        <v>2</v>
      </c>
      <c r="H19" s="80">
        <v>111.83438000000001</v>
      </c>
      <c r="I19" s="80">
        <f t="shared" si="1"/>
        <v>359.67926665729999</v>
      </c>
      <c r="J19" s="185">
        <f t="shared" si="2"/>
        <v>1.5640541065083533</v>
      </c>
      <c r="K19" s="186">
        <f t="shared" si="3"/>
        <v>1.1759805312092881</v>
      </c>
    </row>
    <row r="20" spans="1:11" ht="12" customHeight="1" x14ac:dyDescent="0.2">
      <c r="A20" s="78">
        <v>1982</v>
      </c>
      <c r="B20" s="79">
        <v>232.18799999999999</v>
      </c>
      <c r="C20" s="84">
        <v>340.44</v>
      </c>
      <c r="D20" s="80">
        <v>42.390052937820002</v>
      </c>
      <c r="E20" s="82">
        <v>111.83438000000001</v>
      </c>
      <c r="F20" s="82">
        <f t="shared" si="0"/>
        <v>494.66443293782004</v>
      </c>
      <c r="G20" s="81" t="s">
        <v>2</v>
      </c>
      <c r="H20" s="80">
        <v>142.54541</v>
      </c>
      <c r="I20" s="80">
        <f t="shared" si="1"/>
        <v>352.11902293782003</v>
      </c>
      <c r="J20" s="185">
        <f t="shared" si="2"/>
        <v>1.516525500619412</v>
      </c>
      <c r="K20" s="186">
        <f t="shared" si="3"/>
        <v>1.1402447373078286</v>
      </c>
    </row>
    <row r="21" spans="1:11" ht="12" customHeight="1" x14ac:dyDescent="0.2">
      <c r="A21" s="78">
        <v>1983</v>
      </c>
      <c r="B21" s="79">
        <v>234.30699999999999</v>
      </c>
      <c r="C21" s="84">
        <v>274.44</v>
      </c>
      <c r="D21" s="80">
        <v>44.612620560899998</v>
      </c>
      <c r="E21" s="82">
        <v>142.54541</v>
      </c>
      <c r="F21" s="82">
        <f t="shared" si="0"/>
        <v>461.59803056089999</v>
      </c>
      <c r="G21" s="81" t="s">
        <v>2</v>
      </c>
      <c r="H21" s="80">
        <v>94.166660000000007</v>
      </c>
      <c r="I21" s="80">
        <f t="shared" si="1"/>
        <v>367.43137056089995</v>
      </c>
      <c r="J21" s="185">
        <f t="shared" si="2"/>
        <v>1.5681621571737079</v>
      </c>
      <c r="K21" s="186">
        <f t="shared" si="3"/>
        <v>1.1790692911080509</v>
      </c>
    </row>
    <row r="22" spans="1:11" ht="12" customHeight="1" x14ac:dyDescent="0.2">
      <c r="A22" s="78">
        <v>1984</v>
      </c>
      <c r="B22" s="79">
        <v>236.34800000000001</v>
      </c>
      <c r="C22" s="80">
        <v>354.18</v>
      </c>
      <c r="D22" s="80">
        <v>86.993877056939994</v>
      </c>
      <c r="E22" s="82">
        <v>94.166660000000007</v>
      </c>
      <c r="F22" s="82">
        <f t="shared" si="0"/>
        <v>535.34053705693998</v>
      </c>
      <c r="G22" s="81" t="s">
        <v>2</v>
      </c>
      <c r="H22" s="80">
        <v>123.32691000000001</v>
      </c>
      <c r="I22" s="80">
        <f t="shared" si="1"/>
        <v>412.01362705693998</v>
      </c>
      <c r="J22" s="185">
        <f t="shared" si="2"/>
        <v>1.7432498986957365</v>
      </c>
      <c r="K22" s="186">
        <f t="shared" si="3"/>
        <v>1.3107142095456665</v>
      </c>
    </row>
    <row r="23" spans="1:11" ht="12" customHeight="1" x14ac:dyDescent="0.2">
      <c r="A23" s="78">
        <v>1985</v>
      </c>
      <c r="B23" s="79">
        <v>238.46600000000001</v>
      </c>
      <c r="C23" s="80">
        <v>347.32</v>
      </c>
      <c r="D23" s="80">
        <v>102.61342551096</v>
      </c>
      <c r="E23" s="82">
        <v>123.32691000000001</v>
      </c>
      <c r="F23" s="82">
        <f t="shared" si="0"/>
        <v>573.26033551095998</v>
      </c>
      <c r="G23" s="83" t="s">
        <v>2</v>
      </c>
      <c r="H23" s="80">
        <v>105.60865000000001</v>
      </c>
      <c r="I23" s="80">
        <f t="shared" si="1"/>
        <v>467.65168551095996</v>
      </c>
      <c r="J23" s="185">
        <f t="shared" si="2"/>
        <v>1.9610832802620077</v>
      </c>
      <c r="K23" s="186">
        <f t="shared" si="3"/>
        <v>1.4744987069639155</v>
      </c>
    </row>
    <row r="24" spans="1:11" ht="12" customHeight="1" x14ac:dyDescent="0.2">
      <c r="A24" s="42">
        <v>1986</v>
      </c>
      <c r="B24" s="69">
        <v>240.65100000000001</v>
      </c>
      <c r="C24" s="43">
        <v>308.7</v>
      </c>
      <c r="D24" s="43">
        <v>155.80257680736</v>
      </c>
      <c r="E24" s="45">
        <v>105.60865000000001</v>
      </c>
      <c r="F24" s="45">
        <f t="shared" si="0"/>
        <v>570.11122680736003</v>
      </c>
      <c r="G24" s="44" t="s">
        <v>2</v>
      </c>
      <c r="H24" s="43">
        <v>140.6</v>
      </c>
      <c r="I24" s="43">
        <f t="shared" si="1"/>
        <v>429.51122680736</v>
      </c>
      <c r="J24" s="183">
        <f t="shared" si="2"/>
        <v>1.7847888718823524</v>
      </c>
      <c r="K24" s="184">
        <f t="shared" si="3"/>
        <v>1.3419465202122949</v>
      </c>
    </row>
    <row r="25" spans="1:11" ht="12" customHeight="1" x14ac:dyDescent="0.2">
      <c r="A25" s="42">
        <v>1987</v>
      </c>
      <c r="B25" s="69">
        <v>242.804</v>
      </c>
      <c r="C25" s="43">
        <v>291.08</v>
      </c>
      <c r="D25" s="43">
        <v>259.06</v>
      </c>
      <c r="E25" s="45">
        <v>140.6</v>
      </c>
      <c r="F25" s="45">
        <f t="shared" si="0"/>
        <v>690.74</v>
      </c>
      <c r="G25" s="44" t="s">
        <v>2</v>
      </c>
      <c r="H25" s="43">
        <v>152.69999999999999</v>
      </c>
      <c r="I25" s="43">
        <f t="shared" si="1"/>
        <v>538.04</v>
      </c>
      <c r="J25" s="183">
        <f t="shared" si="2"/>
        <v>2.2159437241561091</v>
      </c>
      <c r="K25" s="184">
        <f t="shared" si="3"/>
        <v>1.6661231008692547</v>
      </c>
    </row>
    <row r="26" spans="1:11" ht="12" customHeight="1" x14ac:dyDescent="0.2">
      <c r="A26" s="42">
        <v>1988</v>
      </c>
      <c r="B26" s="69">
        <v>245.02099999999999</v>
      </c>
      <c r="C26" s="43">
        <v>276.95999999999998</v>
      </c>
      <c r="D26" s="43">
        <v>236.9</v>
      </c>
      <c r="E26" s="45">
        <v>152.69999999999999</v>
      </c>
      <c r="F26" s="45">
        <f t="shared" si="0"/>
        <v>666.56</v>
      </c>
      <c r="G26" s="44" t="s">
        <v>2</v>
      </c>
      <c r="H26" s="43">
        <v>74.7</v>
      </c>
      <c r="I26" s="43">
        <f t="shared" si="1"/>
        <v>591.8599999999999</v>
      </c>
      <c r="J26" s="183">
        <f t="shared" si="2"/>
        <v>2.4155480550646677</v>
      </c>
      <c r="K26" s="184">
        <f t="shared" si="3"/>
        <v>1.8162015451614042</v>
      </c>
    </row>
    <row r="27" spans="1:11" ht="12" customHeight="1" x14ac:dyDescent="0.2">
      <c r="A27" s="42">
        <v>1989</v>
      </c>
      <c r="B27" s="69">
        <v>247.34200000000001</v>
      </c>
      <c r="C27" s="43">
        <v>276.89999999999998</v>
      </c>
      <c r="D27" s="43">
        <v>325.8</v>
      </c>
      <c r="E27" s="45">
        <v>74.7</v>
      </c>
      <c r="F27" s="45">
        <f t="shared" si="0"/>
        <v>677.40000000000009</v>
      </c>
      <c r="G27" s="44" t="s">
        <v>2</v>
      </c>
      <c r="H27" s="43">
        <v>141</v>
      </c>
      <c r="I27" s="43">
        <f t="shared" si="1"/>
        <v>536.40000000000009</v>
      </c>
      <c r="J27" s="183">
        <f t="shared" si="2"/>
        <v>2.1686571629565545</v>
      </c>
      <c r="K27" s="184">
        <f t="shared" si="3"/>
        <v>1.630569295456056</v>
      </c>
    </row>
    <row r="28" spans="1:11" ht="12" customHeight="1" x14ac:dyDescent="0.2">
      <c r="A28" s="42">
        <v>1990</v>
      </c>
      <c r="B28" s="69">
        <v>250.13200000000001</v>
      </c>
      <c r="C28" s="43">
        <v>245.2</v>
      </c>
      <c r="D28" s="43">
        <v>322.59415999999999</v>
      </c>
      <c r="E28" s="45">
        <v>141</v>
      </c>
      <c r="F28" s="45">
        <f t="shared" si="0"/>
        <v>708.79415999999992</v>
      </c>
      <c r="G28" s="46" t="s">
        <v>2</v>
      </c>
      <c r="H28" s="43">
        <v>150.30862000000002</v>
      </c>
      <c r="I28" s="43">
        <f t="shared" si="1"/>
        <v>558.4855399999999</v>
      </c>
      <c r="J28" s="183">
        <f t="shared" si="2"/>
        <v>2.2327632609981927</v>
      </c>
      <c r="K28" s="184">
        <f t="shared" si="3"/>
        <v>1.6787693691715733</v>
      </c>
    </row>
    <row r="29" spans="1:11" ht="12" customHeight="1" x14ac:dyDescent="0.2">
      <c r="A29" s="78">
        <v>1991</v>
      </c>
      <c r="B29" s="79">
        <v>253.49299999999999</v>
      </c>
      <c r="C29" s="80">
        <v>182.2</v>
      </c>
      <c r="D29" s="80">
        <v>355.80590654000002</v>
      </c>
      <c r="E29" s="82">
        <v>150.30862000000002</v>
      </c>
      <c r="F29" s="82">
        <f t="shared" si="0"/>
        <v>688.31452654000009</v>
      </c>
      <c r="G29" s="81" t="s">
        <v>2</v>
      </c>
      <c r="H29" s="80">
        <v>117.42038000000001</v>
      </c>
      <c r="I29" s="80">
        <f t="shared" si="1"/>
        <v>570.89414654000007</v>
      </c>
      <c r="J29" s="185">
        <f t="shared" si="2"/>
        <v>2.2521101037898483</v>
      </c>
      <c r="K29" s="186">
        <f t="shared" si="3"/>
        <v>1.6933158675111641</v>
      </c>
    </row>
    <row r="30" spans="1:11" ht="12" customHeight="1" x14ac:dyDescent="0.2">
      <c r="A30" s="78">
        <v>1992</v>
      </c>
      <c r="B30" s="79">
        <v>256.89400000000001</v>
      </c>
      <c r="C30" s="80">
        <v>184.58</v>
      </c>
      <c r="D30" s="80">
        <v>500.96875654000002</v>
      </c>
      <c r="E30" s="82">
        <v>117.42038000000001</v>
      </c>
      <c r="F30" s="82">
        <f t="shared" si="0"/>
        <v>802.96913654000002</v>
      </c>
      <c r="G30" s="81" t="s">
        <v>2</v>
      </c>
      <c r="H30" s="80">
        <v>190.8</v>
      </c>
      <c r="I30" s="80">
        <f t="shared" si="1"/>
        <v>612.16913653999995</v>
      </c>
      <c r="J30" s="185">
        <f t="shared" si="2"/>
        <v>2.3829639327504726</v>
      </c>
      <c r="K30" s="186">
        <f t="shared" si="3"/>
        <v>1.7917022050755431</v>
      </c>
    </row>
    <row r="31" spans="1:11" ht="12" customHeight="1" x14ac:dyDescent="0.2">
      <c r="A31" s="78">
        <v>1993</v>
      </c>
      <c r="B31" s="79">
        <v>260.255</v>
      </c>
      <c r="C31" s="80">
        <v>137.41999999999999</v>
      </c>
      <c r="D31" s="80">
        <v>442.91660266000008</v>
      </c>
      <c r="E31" s="82">
        <v>190.8</v>
      </c>
      <c r="F31" s="82">
        <f t="shared" si="0"/>
        <v>771.13660266000011</v>
      </c>
      <c r="G31" s="81" t="s">
        <v>2</v>
      </c>
      <c r="H31" s="80">
        <v>180</v>
      </c>
      <c r="I31" s="80">
        <f t="shared" si="1"/>
        <v>591.13660266000011</v>
      </c>
      <c r="J31" s="185">
        <f t="shared" si="2"/>
        <v>2.2713746235807193</v>
      </c>
      <c r="K31" s="186">
        <f t="shared" si="3"/>
        <v>1.7078004688576836</v>
      </c>
    </row>
    <row r="32" spans="1:11" ht="12" customHeight="1" x14ac:dyDescent="0.2">
      <c r="A32" s="78">
        <v>1994</v>
      </c>
      <c r="B32" s="79">
        <v>263.43599999999998</v>
      </c>
      <c r="C32" s="80">
        <v>156.22</v>
      </c>
      <c r="D32" s="80">
        <v>417.12236188000003</v>
      </c>
      <c r="E32" s="82">
        <v>180</v>
      </c>
      <c r="F32" s="82">
        <f t="shared" si="0"/>
        <v>753.34236188</v>
      </c>
      <c r="G32" s="81" t="s">
        <v>2</v>
      </c>
      <c r="H32" s="80">
        <v>145.07107999999999</v>
      </c>
      <c r="I32" s="80">
        <f t="shared" si="1"/>
        <v>608.27128188000006</v>
      </c>
      <c r="J32" s="185">
        <f t="shared" si="2"/>
        <v>2.3089907297408105</v>
      </c>
      <c r="K32" s="186">
        <f t="shared" si="3"/>
        <v>1.7360832554442183</v>
      </c>
    </row>
    <row r="33" spans="1:11" ht="12" customHeight="1" x14ac:dyDescent="0.2">
      <c r="A33" s="78">
        <v>1995</v>
      </c>
      <c r="B33" s="79">
        <v>266.55700000000002</v>
      </c>
      <c r="C33" s="80">
        <v>197.18</v>
      </c>
      <c r="D33" s="80">
        <v>519.44706233000011</v>
      </c>
      <c r="E33" s="82">
        <v>145.07107999999999</v>
      </c>
      <c r="F33" s="82">
        <f t="shared" si="0"/>
        <v>861.69814233000011</v>
      </c>
      <c r="G33" s="83" t="s">
        <v>2</v>
      </c>
      <c r="H33" s="80">
        <v>182.01050000000001</v>
      </c>
      <c r="I33" s="80">
        <f t="shared" si="1"/>
        <v>679.68764233000013</v>
      </c>
      <c r="J33" s="185">
        <f t="shared" si="2"/>
        <v>2.5498772957753881</v>
      </c>
      <c r="K33" s="186">
        <f t="shared" si="3"/>
        <v>1.9172009742672089</v>
      </c>
    </row>
    <row r="34" spans="1:11" ht="12" customHeight="1" x14ac:dyDescent="0.2">
      <c r="A34" s="42">
        <v>1996</v>
      </c>
      <c r="B34" s="69">
        <v>269.66699999999997</v>
      </c>
      <c r="C34" s="43">
        <v>126.5</v>
      </c>
      <c r="D34" s="43">
        <v>531.64367571000002</v>
      </c>
      <c r="E34" s="45">
        <v>182.01050000000001</v>
      </c>
      <c r="F34" s="45">
        <f t="shared" si="0"/>
        <v>840.15417571</v>
      </c>
      <c r="G34" s="44" t="s">
        <v>2</v>
      </c>
      <c r="H34" s="43">
        <v>160.89143000000001</v>
      </c>
      <c r="I34" s="43">
        <f t="shared" si="1"/>
        <v>679.26274570999999</v>
      </c>
      <c r="J34" s="183">
        <f t="shared" si="2"/>
        <v>2.518894583727338</v>
      </c>
      <c r="K34" s="184">
        <f t="shared" si="3"/>
        <v>1.89390570205063</v>
      </c>
    </row>
    <row r="35" spans="1:11" ht="12" customHeight="1" x14ac:dyDescent="0.2">
      <c r="A35" s="42">
        <v>1997</v>
      </c>
      <c r="B35" s="69">
        <v>272.91199999999998</v>
      </c>
      <c r="C35" s="43">
        <v>113.62</v>
      </c>
      <c r="D35" s="43">
        <v>498.04498562000003</v>
      </c>
      <c r="E35" s="45">
        <v>160.89143000000001</v>
      </c>
      <c r="F35" s="45">
        <f t="shared" si="0"/>
        <v>772.55641562000005</v>
      </c>
      <c r="G35" s="44" t="s">
        <v>2</v>
      </c>
      <c r="H35" s="43">
        <v>149.37363000000002</v>
      </c>
      <c r="I35" s="43">
        <f t="shared" si="1"/>
        <v>623.18278562</v>
      </c>
      <c r="J35" s="183">
        <f t="shared" si="2"/>
        <v>2.2834568858093451</v>
      </c>
      <c r="K35" s="184">
        <f t="shared" si="3"/>
        <v>1.7168848765483797</v>
      </c>
    </row>
    <row r="36" spans="1:11" ht="12" customHeight="1" x14ac:dyDescent="0.2">
      <c r="A36" s="42">
        <v>1998</v>
      </c>
      <c r="B36" s="69">
        <v>276.11500000000001</v>
      </c>
      <c r="C36" s="43">
        <v>112.29600000000001</v>
      </c>
      <c r="D36" s="43">
        <v>463.70595901000007</v>
      </c>
      <c r="E36" s="45">
        <v>149.37363000000002</v>
      </c>
      <c r="F36" s="45">
        <f t="shared" si="0"/>
        <v>725.37558901000011</v>
      </c>
      <c r="G36" s="44" t="s">
        <v>2</v>
      </c>
      <c r="H36" s="43">
        <v>151.29016000000001</v>
      </c>
      <c r="I36" s="43">
        <f t="shared" si="1"/>
        <v>574.0854290100001</v>
      </c>
      <c r="J36" s="183">
        <f t="shared" si="2"/>
        <v>2.0791533564275757</v>
      </c>
      <c r="K36" s="184">
        <f t="shared" si="3"/>
        <v>1.5632732003214853</v>
      </c>
    </row>
    <row r="37" spans="1:11" ht="12" customHeight="1" x14ac:dyDescent="0.2">
      <c r="A37" s="42">
        <v>1999</v>
      </c>
      <c r="B37" s="69">
        <v>279.29500000000002</v>
      </c>
      <c r="C37" s="43">
        <v>117.312</v>
      </c>
      <c r="D37" s="43">
        <v>530.30683951000015</v>
      </c>
      <c r="E37" s="45">
        <v>151.29016000000001</v>
      </c>
      <c r="F37" s="45">
        <f t="shared" si="0"/>
        <v>798.90899951000017</v>
      </c>
      <c r="G37" s="44" t="s">
        <v>2</v>
      </c>
      <c r="H37" s="43">
        <v>209.30875</v>
      </c>
      <c r="I37" s="43">
        <f t="shared" si="1"/>
        <v>589.60024951000014</v>
      </c>
      <c r="J37" s="183">
        <f t="shared" si="2"/>
        <v>2.1110304499185455</v>
      </c>
      <c r="K37" s="184">
        <f t="shared" si="3"/>
        <v>1.58724093978838</v>
      </c>
    </row>
    <row r="38" spans="1:11" ht="12" customHeight="1" x14ac:dyDescent="0.2">
      <c r="A38" s="42">
        <v>2000</v>
      </c>
      <c r="B38" s="69">
        <v>282.38499999999999</v>
      </c>
      <c r="C38" s="43">
        <v>81.34</v>
      </c>
      <c r="D38" s="43">
        <v>489.25639748999998</v>
      </c>
      <c r="E38" s="45">
        <v>209.30875</v>
      </c>
      <c r="F38" s="45">
        <f t="shared" si="0"/>
        <v>779.90514748999999</v>
      </c>
      <c r="G38" s="44" t="s">
        <v>2</v>
      </c>
      <c r="H38" s="43">
        <v>143.58680000000001</v>
      </c>
      <c r="I38" s="43">
        <f t="shared" si="1"/>
        <v>636.31834748999995</v>
      </c>
      <c r="J38" s="183">
        <f t="shared" si="2"/>
        <v>2.2533716291233596</v>
      </c>
      <c r="K38" s="184">
        <f t="shared" si="3"/>
        <v>1.6942643827995185</v>
      </c>
    </row>
    <row r="39" spans="1:11" ht="12" customHeight="1" x14ac:dyDescent="0.2">
      <c r="A39" s="78">
        <v>2001</v>
      </c>
      <c r="B39" s="79">
        <v>285.30901899999998</v>
      </c>
      <c r="C39" s="80">
        <v>93.5</v>
      </c>
      <c r="D39" s="80">
        <v>496.67283526</v>
      </c>
      <c r="E39" s="82">
        <v>143.58680000000001</v>
      </c>
      <c r="F39" s="82">
        <f t="shared" si="0"/>
        <v>733.7596352600001</v>
      </c>
      <c r="G39" s="81" t="s">
        <v>2</v>
      </c>
      <c r="H39" s="80">
        <v>152.31958</v>
      </c>
      <c r="I39" s="80">
        <f t="shared" si="1"/>
        <v>581.44005526000012</v>
      </c>
      <c r="J39" s="185">
        <f t="shared" si="2"/>
        <v>2.0379308628165034</v>
      </c>
      <c r="K39" s="186">
        <f t="shared" si="3"/>
        <v>1.5322788442229347</v>
      </c>
    </row>
    <row r="40" spans="1:11" ht="12" customHeight="1" x14ac:dyDescent="0.2">
      <c r="A40" s="78">
        <v>2002</v>
      </c>
      <c r="B40" s="79">
        <v>288.10481800000002</v>
      </c>
      <c r="C40" s="80">
        <v>78</v>
      </c>
      <c r="D40" s="80">
        <v>529.62458408999998</v>
      </c>
      <c r="E40" s="82">
        <v>152.31958</v>
      </c>
      <c r="F40" s="82">
        <f t="shared" si="0"/>
        <v>759.94416408999996</v>
      </c>
      <c r="G40" s="81" t="s">
        <v>2</v>
      </c>
      <c r="H40" s="80">
        <v>155.68048999999999</v>
      </c>
      <c r="I40" s="80">
        <f t="shared" si="1"/>
        <v>604.26367408999999</v>
      </c>
      <c r="J40" s="185">
        <f t="shared" si="2"/>
        <v>2.0973744149256119</v>
      </c>
      <c r="K40" s="186">
        <f t="shared" si="3"/>
        <v>1.5769732443049713</v>
      </c>
    </row>
    <row r="41" spans="1:11" ht="12" customHeight="1" x14ac:dyDescent="0.2">
      <c r="A41" s="78">
        <v>2003</v>
      </c>
      <c r="B41" s="79">
        <v>290.81963400000001</v>
      </c>
      <c r="C41" s="80">
        <v>158.90800000000002</v>
      </c>
      <c r="D41" s="80">
        <v>541.98778129999994</v>
      </c>
      <c r="E41" s="82">
        <v>155.68048999999999</v>
      </c>
      <c r="F41" s="82">
        <f t="shared" si="0"/>
        <v>856.57627129999992</v>
      </c>
      <c r="G41" s="81" t="s">
        <v>2</v>
      </c>
      <c r="H41" s="80">
        <v>102.64142000000001</v>
      </c>
      <c r="I41" s="80">
        <f t="shared" si="1"/>
        <v>753.93485129999988</v>
      </c>
      <c r="J41" s="185">
        <f t="shared" si="2"/>
        <v>2.5924482502443418</v>
      </c>
      <c r="K41" s="186">
        <f t="shared" si="3"/>
        <v>1.9492092107100314</v>
      </c>
    </row>
    <row r="42" spans="1:11" ht="12" customHeight="1" x14ac:dyDescent="0.2">
      <c r="A42" s="78">
        <v>2004</v>
      </c>
      <c r="B42" s="79">
        <v>293.46318500000001</v>
      </c>
      <c r="C42" s="80">
        <v>175.36</v>
      </c>
      <c r="D42" s="80">
        <v>628.95167734000006</v>
      </c>
      <c r="E42" s="82">
        <v>102.64142000000001</v>
      </c>
      <c r="F42" s="82">
        <f t="shared" si="0"/>
        <v>906.95309734000011</v>
      </c>
      <c r="G42" s="81" t="s">
        <v>2</v>
      </c>
      <c r="H42" s="80">
        <v>124.34037000000001</v>
      </c>
      <c r="I42" s="80">
        <f t="shared" si="1"/>
        <v>782.61272734000011</v>
      </c>
      <c r="J42" s="185">
        <f t="shared" si="2"/>
        <v>2.6668173976916392</v>
      </c>
      <c r="K42" s="186">
        <f t="shared" si="3"/>
        <v>2.0051258629260444</v>
      </c>
    </row>
    <row r="43" spans="1:11" ht="12" customHeight="1" x14ac:dyDescent="0.2">
      <c r="A43" s="78">
        <v>2005</v>
      </c>
      <c r="B43" s="79">
        <v>296.186216</v>
      </c>
      <c r="C43" s="80">
        <v>177.23</v>
      </c>
      <c r="D43" s="80">
        <v>632.05446360000008</v>
      </c>
      <c r="E43" s="82">
        <v>124.34037000000001</v>
      </c>
      <c r="F43" s="82">
        <f t="shared" si="0"/>
        <v>933.6248336000001</v>
      </c>
      <c r="G43" s="81" t="s">
        <v>2</v>
      </c>
      <c r="H43" s="80">
        <v>130.83875</v>
      </c>
      <c r="I43" s="80">
        <f t="shared" si="1"/>
        <v>802.7860836000001</v>
      </c>
      <c r="J43" s="185">
        <f t="shared" si="2"/>
        <v>2.7104100063859828</v>
      </c>
      <c r="K43" s="186">
        <f t="shared" si="3"/>
        <v>2.0379022604405885</v>
      </c>
    </row>
    <row r="44" spans="1:11" ht="12" customHeight="1" x14ac:dyDescent="0.2">
      <c r="A44" s="42">
        <v>2006</v>
      </c>
      <c r="B44" s="69">
        <v>298.99582500000002</v>
      </c>
      <c r="C44" s="43">
        <v>50.22</v>
      </c>
      <c r="D44" s="43">
        <v>591.64750351000009</v>
      </c>
      <c r="E44" s="45">
        <v>130.83875</v>
      </c>
      <c r="F44" s="45">
        <f t="shared" si="0"/>
        <v>772.70625351000012</v>
      </c>
      <c r="G44" s="44" t="s">
        <v>2</v>
      </c>
      <c r="H44" s="43">
        <v>99.062390000000008</v>
      </c>
      <c r="I44" s="43">
        <f t="shared" si="1"/>
        <v>673.64386351000007</v>
      </c>
      <c r="J44" s="183">
        <f t="shared" si="2"/>
        <v>2.2530209694734031</v>
      </c>
      <c r="K44" s="184">
        <f t="shared" ref="K44:K50" si="4">J44/1.33</f>
        <v>1.6940007289273706</v>
      </c>
    </row>
    <row r="45" spans="1:11" ht="12" customHeight="1" x14ac:dyDescent="0.2">
      <c r="A45" s="42">
        <v>2007</v>
      </c>
      <c r="B45" s="69">
        <v>302.003917</v>
      </c>
      <c r="C45" s="43">
        <v>90.08</v>
      </c>
      <c r="D45" s="43">
        <v>699.55192636000004</v>
      </c>
      <c r="E45" s="45">
        <v>99.062390000000008</v>
      </c>
      <c r="F45" s="45">
        <f t="shared" si="0"/>
        <v>888.69431636000013</v>
      </c>
      <c r="G45" s="44" t="s">
        <v>2</v>
      </c>
      <c r="H45" s="43">
        <v>80.465000000000003</v>
      </c>
      <c r="I45" s="43">
        <f t="shared" si="1"/>
        <v>808.2293163600001</v>
      </c>
      <c r="J45" s="183">
        <f t="shared" si="2"/>
        <v>2.6762213033150828</v>
      </c>
      <c r="K45" s="184">
        <f t="shared" si="4"/>
        <v>2.0121964686579568</v>
      </c>
    </row>
    <row r="46" spans="1:11" ht="12" customHeight="1" x14ac:dyDescent="0.2">
      <c r="A46" s="42">
        <v>2008</v>
      </c>
      <c r="B46" s="69">
        <v>304.79776099999998</v>
      </c>
      <c r="C46" s="43">
        <v>67.44</v>
      </c>
      <c r="D46" s="43">
        <v>783.07964831712025</v>
      </c>
      <c r="E46" s="45">
        <v>80.465000000000003</v>
      </c>
      <c r="F46" s="45">
        <f t="shared" si="0"/>
        <v>930.98464831712033</v>
      </c>
      <c r="G46" s="44" t="s">
        <v>2</v>
      </c>
      <c r="H46" s="43">
        <v>109.27546000000001</v>
      </c>
      <c r="I46" s="43">
        <f t="shared" si="1"/>
        <v>821.70918831712038</v>
      </c>
      <c r="J46" s="183">
        <f t="shared" si="2"/>
        <v>2.6959160907914952</v>
      </c>
      <c r="K46" s="184">
        <f t="shared" si="4"/>
        <v>2.0270045795424774</v>
      </c>
    </row>
    <row r="47" spans="1:11" ht="12" customHeight="1" x14ac:dyDescent="0.2">
      <c r="A47" s="42">
        <v>2009</v>
      </c>
      <c r="B47" s="69">
        <v>307.43940600000002</v>
      </c>
      <c r="C47" s="43">
        <v>48</v>
      </c>
      <c r="D47" s="43">
        <v>705.91665956240672</v>
      </c>
      <c r="E47" s="45">
        <v>109.27546000000001</v>
      </c>
      <c r="F47" s="45">
        <f t="shared" si="0"/>
        <v>863.19211956240679</v>
      </c>
      <c r="G47" s="44" t="s">
        <v>2</v>
      </c>
      <c r="H47" s="43">
        <v>94.433989999999994</v>
      </c>
      <c r="I47" s="43">
        <f t="shared" si="1"/>
        <v>768.75812956240679</v>
      </c>
      <c r="J47" s="183">
        <f t="shared" si="2"/>
        <v>2.5005191740528105</v>
      </c>
      <c r="K47" s="184">
        <f t="shared" si="4"/>
        <v>1.8800896045509852</v>
      </c>
    </row>
    <row r="48" spans="1:11" ht="12" customHeight="1" x14ac:dyDescent="0.2">
      <c r="A48" s="42">
        <v>2010</v>
      </c>
      <c r="B48" s="69">
        <v>309.74127900000002</v>
      </c>
      <c r="C48" s="43">
        <v>41</v>
      </c>
      <c r="D48" s="43">
        <v>697.72982448903576</v>
      </c>
      <c r="E48" s="45">
        <v>94.433989999999994</v>
      </c>
      <c r="F48" s="45">
        <f t="shared" si="0"/>
        <v>833.16381448903576</v>
      </c>
      <c r="G48" s="44" t="s">
        <v>2</v>
      </c>
      <c r="H48" s="43">
        <v>74.128879999999995</v>
      </c>
      <c r="I48" s="43">
        <f t="shared" si="1"/>
        <v>759.03493448903578</v>
      </c>
      <c r="J48" s="183">
        <f t="shared" si="2"/>
        <v>2.4505449739846776</v>
      </c>
      <c r="K48" s="184">
        <f t="shared" si="4"/>
        <v>1.8425150180335921</v>
      </c>
    </row>
    <row r="49" spans="1:12" ht="12" customHeight="1" x14ac:dyDescent="0.2">
      <c r="A49" s="86">
        <v>2011</v>
      </c>
      <c r="B49" s="87">
        <v>311.97391399999998</v>
      </c>
      <c r="C49" s="88">
        <v>39.346000000000004</v>
      </c>
      <c r="D49" s="88">
        <v>807.78012825614724</v>
      </c>
      <c r="E49" s="89">
        <v>74.128879999999995</v>
      </c>
      <c r="F49" s="89">
        <f t="shared" si="0"/>
        <v>921.25500825614722</v>
      </c>
      <c r="G49" s="90" t="s">
        <v>2</v>
      </c>
      <c r="H49" s="88">
        <v>93.08138000000001</v>
      </c>
      <c r="I49" s="88">
        <f t="shared" si="1"/>
        <v>828.17362825614725</v>
      </c>
      <c r="J49" s="187">
        <f t="shared" si="2"/>
        <v>2.6546246051076801</v>
      </c>
      <c r="K49" s="188">
        <f t="shared" si="4"/>
        <v>1.9959583497050224</v>
      </c>
    </row>
    <row r="50" spans="1:12" ht="12" customHeight="1" x14ac:dyDescent="0.2">
      <c r="A50" s="86">
        <v>2012</v>
      </c>
      <c r="B50" s="87">
        <v>314.16755799999999</v>
      </c>
      <c r="C50" s="88">
        <v>39.6</v>
      </c>
      <c r="D50" s="88">
        <v>777.76888057827409</v>
      </c>
      <c r="E50" s="89">
        <v>93.08138000000001</v>
      </c>
      <c r="F50" s="89">
        <f t="shared" si="0"/>
        <v>910.45026057827408</v>
      </c>
      <c r="G50" s="90" t="s">
        <v>2</v>
      </c>
      <c r="H50" s="88">
        <v>105.93982</v>
      </c>
      <c r="I50" s="88">
        <f t="shared" si="1"/>
        <v>804.51044057827403</v>
      </c>
      <c r="J50" s="187">
        <f t="shared" si="2"/>
        <v>2.5607686729330408</v>
      </c>
      <c r="K50" s="188">
        <f t="shared" si="4"/>
        <v>1.9253899796489027</v>
      </c>
      <c r="L50"/>
    </row>
    <row r="51" spans="1:12" ht="12" customHeight="1" x14ac:dyDescent="0.2">
      <c r="A51" s="86">
        <v>2013</v>
      </c>
      <c r="B51" s="87">
        <v>316.29476599999998</v>
      </c>
      <c r="C51" s="88">
        <v>69.600000000000009</v>
      </c>
      <c r="D51" s="88">
        <v>684.95800076893408</v>
      </c>
      <c r="E51" s="89">
        <v>105.93982</v>
      </c>
      <c r="F51" s="89">
        <f t="shared" si="0"/>
        <v>860.49782076893416</v>
      </c>
      <c r="G51" s="90" t="s">
        <v>2</v>
      </c>
      <c r="H51" s="88">
        <v>75.199529999999996</v>
      </c>
      <c r="I51" s="88">
        <f t="shared" ref="I51:I58" si="5">F51-SUM(G51,H51)</f>
        <v>785.29829076893418</v>
      </c>
      <c r="J51" s="187">
        <f t="shared" ref="J51:J58" si="6">IF(I51=0,0,IF(B51=0,0,I51/B51))</f>
        <v>2.4828052031974952</v>
      </c>
      <c r="K51" s="188">
        <f t="shared" ref="K51:K58" si="7">J51/1.33</f>
        <v>1.8667708294718008</v>
      </c>
      <c r="L51"/>
    </row>
    <row r="52" spans="1:12" ht="12" customHeight="1" x14ac:dyDescent="0.2">
      <c r="A52" s="86">
        <v>2014</v>
      </c>
      <c r="B52" s="87">
        <v>318.576955</v>
      </c>
      <c r="C52" s="88">
        <v>69</v>
      </c>
      <c r="D52" s="88">
        <v>763.34173514925465</v>
      </c>
      <c r="E52" s="89">
        <v>75.199529999999996</v>
      </c>
      <c r="F52" s="89">
        <f t="shared" si="0"/>
        <v>907.54126514925463</v>
      </c>
      <c r="G52" s="90" t="s">
        <v>2</v>
      </c>
      <c r="H52" s="88">
        <v>84.123830000000012</v>
      </c>
      <c r="I52" s="88">
        <f t="shared" si="5"/>
        <v>823.41743514925463</v>
      </c>
      <c r="J52" s="187">
        <f t="shared" si="6"/>
        <v>2.584673568586449</v>
      </c>
      <c r="K52" s="188">
        <f t="shared" si="7"/>
        <v>1.9433635854033451</v>
      </c>
      <c r="L52"/>
    </row>
    <row r="53" spans="1:12" ht="12" customHeight="1" x14ac:dyDescent="0.2">
      <c r="A53" s="86">
        <v>2015</v>
      </c>
      <c r="B53" s="87">
        <v>320.87070299999999</v>
      </c>
      <c r="C53" s="88">
        <v>78.400000000000006</v>
      </c>
      <c r="D53" s="88">
        <v>753.39341127528928</v>
      </c>
      <c r="E53" s="89">
        <v>84.123830000000012</v>
      </c>
      <c r="F53" s="89">
        <f t="shared" si="0"/>
        <v>915.91724127528926</v>
      </c>
      <c r="G53" s="90" t="s">
        <v>2</v>
      </c>
      <c r="H53" s="88">
        <v>85.679930000000013</v>
      </c>
      <c r="I53" s="88">
        <f t="shared" si="5"/>
        <v>830.23731127528924</v>
      </c>
      <c r="J53" s="187">
        <f t="shared" si="6"/>
        <v>2.5874512802600407</v>
      </c>
      <c r="K53" s="188">
        <f t="shared" si="7"/>
        <v>1.945452090421083</v>
      </c>
      <c r="L53"/>
    </row>
    <row r="54" spans="1:12" ht="12" customHeight="1" x14ac:dyDescent="0.2">
      <c r="A54" s="119">
        <v>2016</v>
      </c>
      <c r="B54" s="120">
        <v>323.16101099999997</v>
      </c>
      <c r="C54" s="121">
        <v>91.805999999999997</v>
      </c>
      <c r="D54" s="121">
        <v>760.59737975016174</v>
      </c>
      <c r="E54" s="122">
        <v>85.679930000000013</v>
      </c>
      <c r="F54" s="122">
        <f>SUM(C54,D54,E54)</f>
        <v>938.08330975016179</v>
      </c>
      <c r="G54" s="128" t="s">
        <v>2</v>
      </c>
      <c r="H54" s="121">
        <v>86.164050000000003</v>
      </c>
      <c r="I54" s="121">
        <f t="shared" si="5"/>
        <v>851.91925975016181</v>
      </c>
      <c r="J54" s="189">
        <f t="shared" si="6"/>
        <v>2.6362068156488156</v>
      </c>
      <c r="K54" s="190">
        <f t="shared" si="7"/>
        <v>1.9821103877058763</v>
      </c>
      <c r="L54"/>
    </row>
    <row r="55" spans="1:12" ht="12" customHeight="1" x14ac:dyDescent="0.2">
      <c r="A55" s="145">
        <v>2017</v>
      </c>
      <c r="B55" s="146">
        <v>325.20603</v>
      </c>
      <c r="C55" s="147">
        <v>47.6</v>
      </c>
      <c r="D55" s="147">
        <v>710.93394306900007</v>
      </c>
      <c r="E55" s="148">
        <v>86.164050000000003</v>
      </c>
      <c r="F55" s="148">
        <f>SUM(C55,D55,E55)</f>
        <v>844.69799306900006</v>
      </c>
      <c r="G55" s="151" t="s">
        <v>2</v>
      </c>
      <c r="H55" s="147">
        <v>75.29795</v>
      </c>
      <c r="I55" s="147">
        <f t="shared" si="5"/>
        <v>769.40004306900005</v>
      </c>
      <c r="J55" s="191">
        <f t="shared" si="6"/>
        <v>2.3658849224566962</v>
      </c>
      <c r="K55" s="192">
        <f t="shared" si="7"/>
        <v>1.7788608439524032</v>
      </c>
      <c r="L55"/>
    </row>
    <row r="56" spans="1:12" ht="12" customHeight="1" x14ac:dyDescent="0.2">
      <c r="A56" s="145">
        <v>2018</v>
      </c>
      <c r="B56" s="146">
        <v>326.92397599999998</v>
      </c>
      <c r="C56" s="147">
        <v>49.492000000000004</v>
      </c>
      <c r="D56" s="147">
        <v>778.68838058200004</v>
      </c>
      <c r="E56" s="148">
        <v>75.29795</v>
      </c>
      <c r="F56" s="148">
        <f>SUM(C56,D56,E56)</f>
        <v>903.47833058200001</v>
      </c>
      <c r="G56" s="151" t="s">
        <v>2</v>
      </c>
      <c r="H56" s="147">
        <v>85.721159999999998</v>
      </c>
      <c r="I56" s="147">
        <f t="shared" si="5"/>
        <v>817.75717058200007</v>
      </c>
      <c r="J56" s="191">
        <f t="shared" si="6"/>
        <v>2.5013679956651456</v>
      </c>
      <c r="K56" s="192">
        <f t="shared" si="7"/>
        <v>1.8807278162895831</v>
      </c>
      <c r="L56"/>
    </row>
    <row r="57" spans="1:12" ht="12" customHeight="1" x14ac:dyDescent="0.2">
      <c r="A57" s="119">
        <v>2019</v>
      </c>
      <c r="B57" s="120">
        <v>328.475998</v>
      </c>
      <c r="C57" s="174">
        <v>75.760000000000005</v>
      </c>
      <c r="D57" s="121">
        <v>805.71161464500005</v>
      </c>
      <c r="E57" s="175">
        <v>85.721159999999998</v>
      </c>
      <c r="F57" s="122">
        <f>SUM(C57,D57,E57)</f>
        <v>967.1927746450001</v>
      </c>
      <c r="G57" s="128" t="s">
        <v>2</v>
      </c>
      <c r="H57" s="174">
        <v>101.13187000000001</v>
      </c>
      <c r="I57" s="121">
        <f t="shared" si="5"/>
        <v>866.06090464500005</v>
      </c>
      <c r="J57" s="189">
        <f t="shared" si="6"/>
        <v>2.6366033132350815</v>
      </c>
      <c r="K57" s="190">
        <f t="shared" si="7"/>
        <v>1.9824085061917904</v>
      </c>
      <c r="L57"/>
    </row>
    <row r="58" spans="1:12" ht="12" customHeight="1" thickBot="1" x14ac:dyDescent="0.25">
      <c r="A58" s="159">
        <v>2020</v>
      </c>
      <c r="B58" s="160">
        <v>330.11398000000003</v>
      </c>
      <c r="C58" s="171">
        <v>50.120000000000005</v>
      </c>
      <c r="D58" s="125">
        <v>813.44154817800006</v>
      </c>
      <c r="E58" s="172">
        <v>101.13187000000001</v>
      </c>
      <c r="F58" s="173">
        <f>SUM(C58,D58,E58)</f>
        <v>964.69341817800012</v>
      </c>
      <c r="G58" s="161" t="s">
        <v>2</v>
      </c>
      <c r="H58" s="171">
        <v>94.320940000000007</v>
      </c>
      <c r="I58" s="121">
        <f t="shared" si="5"/>
        <v>870.37247817800016</v>
      </c>
      <c r="J58" s="189">
        <f t="shared" si="6"/>
        <v>2.6365816987756778</v>
      </c>
      <c r="K58" s="190">
        <f t="shared" si="7"/>
        <v>1.9823922547185546</v>
      </c>
      <c r="L58"/>
    </row>
    <row r="59" spans="1:12" ht="12" customHeight="1" thickTop="1" x14ac:dyDescent="0.2">
      <c r="A59" s="260" t="s">
        <v>4</v>
      </c>
      <c r="B59" s="261"/>
      <c r="C59" s="261"/>
      <c r="D59" s="261"/>
      <c r="E59" s="261"/>
      <c r="F59" s="261"/>
      <c r="G59" s="261"/>
      <c r="H59" s="261"/>
      <c r="I59" s="261"/>
      <c r="J59" s="261"/>
      <c r="K59" s="262"/>
    </row>
    <row r="60" spans="1:12" ht="12" customHeight="1" x14ac:dyDescent="0.2">
      <c r="A60" s="308"/>
      <c r="B60" s="309"/>
      <c r="C60" s="309"/>
      <c r="D60" s="309"/>
      <c r="E60" s="309"/>
      <c r="F60" s="309"/>
      <c r="G60" s="309"/>
      <c r="H60" s="309"/>
      <c r="I60" s="309"/>
      <c r="J60" s="309"/>
      <c r="K60" s="310"/>
    </row>
    <row r="61" spans="1:12" ht="12" customHeight="1" x14ac:dyDescent="0.2">
      <c r="A61" s="299" t="s">
        <v>80</v>
      </c>
      <c r="B61" s="300"/>
      <c r="C61" s="300"/>
      <c r="D61" s="300"/>
      <c r="E61" s="300"/>
      <c r="F61" s="300"/>
      <c r="G61" s="300"/>
      <c r="H61" s="300"/>
      <c r="I61" s="300"/>
      <c r="J61" s="300"/>
      <c r="K61" s="301"/>
    </row>
    <row r="62" spans="1:12" ht="12" customHeight="1" x14ac:dyDescent="0.2">
      <c r="A62" s="299"/>
      <c r="B62" s="300"/>
      <c r="C62" s="300"/>
      <c r="D62" s="300"/>
      <c r="E62" s="300"/>
      <c r="F62" s="300"/>
      <c r="G62" s="300"/>
      <c r="H62" s="300"/>
      <c r="I62" s="300"/>
      <c r="J62" s="300"/>
      <c r="K62" s="301"/>
    </row>
    <row r="63" spans="1:12" ht="12" customHeight="1" x14ac:dyDescent="0.2">
      <c r="A63" s="320"/>
      <c r="B63" s="321"/>
      <c r="C63" s="321"/>
      <c r="D63" s="321"/>
      <c r="E63" s="321"/>
      <c r="F63" s="321"/>
      <c r="G63" s="321"/>
      <c r="H63" s="321"/>
      <c r="I63" s="321"/>
      <c r="J63" s="321"/>
      <c r="K63" s="322"/>
    </row>
    <row r="64" spans="1:12" ht="12" customHeight="1" x14ac:dyDescent="0.2">
      <c r="A64" s="290" t="s">
        <v>63</v>
      </c>
      <c r="B64" s="291"/>
      <c r="C64" s="291"/>
      <c r="D64" s="291"/>
      <c r="E64" s="291"/>
      <c r="F64" s="291"/>
      <c r="G64" s="291"/>
      <c r="H64" s="291"/>
      <c r="I64" s="291"/>
      <c r="J64" s="291"/>
      <c r="K64" s="292"/>
    </row>
  </sheetData>
  <mergeCells count="23">
    <mergeCell ref="B2:B6"/>
    <mergeCell ref="F3:F6"/>
    <mergeCell ref="J1:K1"/>
    <mergeCell ref="A1:I1"/>
    <mergeCell ref="J4:J6"/>
    <mergeCell ref="C3:C6"/>
    <mergeCell ref="D3:D6"/>
    <mergeCell ref="K4:K6"/>
    <mergeCell ref="A2:A6"/>
    <mergeCell ref="A64:K64"/>
    <mergeCell ref="A59:K59"/>
    <mergeCell ref="A60:K60"/>
    <mergeCell ref="A61:K62"/>
    <mergeCell ref="A63:K63"/>
    <mergeCell ref="J7:K7"/>
    <mergeCell ref="J3:K3"/>
    <mergeCell ref="G2:H2"/>
    <mergeCell ref="E3:E6"/>
    <mergeCell ref="I3:I6"/>
    <mergeCell ref="I2:K2"/>
    <mergeCell ref="H3:H6"/>
    <mergeCell ref="G3:G6"/>
    <mergeCell ref="C7:I7"/>
  </mergeCells>
  <phoneticPr fontId="5" type="noConversion"/>
  <printOptions horizontalCentered="1" verticalCentered="1"/>
  <pageMargins left="0.75" right="0.75" top="0.75" bottom="0.75" header="0.5" footer="0.5"/>
  <pageSetup scale="82"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pageSetUpPr autoPageBreaks="0" fitToPage="1"/>
  </sheetPr>
  <dimension ref="A1:L67"/>
  <sheetViews>
    <sheetView showOutlineSymbols="0" zoomScaleNormal="100" workbookViewId="0">
      <pane ySplit="7" topLeftCell="A8" activePane="bottomLeft" state="frozen"/>
      <selection pane="bottomLeft" sqref="A1:I1"/>
    </sheetView>
  </sheetViews>
  <sheetFormatPr defaultColWidth="12.7109375" defaultRowHeight="12" customHeight="1" x14ac:dyDescent="0.2"/>
  <cols>
    <col min="1" max="1" width="12.7109375" style="24" customWidth="1"/>
    <col min="2" max="2" width="12.7109375" style="16" customWidth="1"/>
    <col min="3" max="9" width="12.7109375" style="17" customWidth="1"/>
    <col min="10" max="10" width="12.7109375" style="21" customWidth="1"/>
    <col min="11" max="12" width="12.7109375" style="18" customWidth="1"/>
    <col min="13" max="16384" width="12.7109375" style="19"/>
  </cols>
  <sheetData>
    <row r="1" spans="1:12" s="57" customFormat="1" ht="12" customHeight="1" thickBot="1" x14ac:dyDescent="0.25">
      <c r="A1" s="266" t="s">
        <v>49</v>
      </c>
      <c r="B1" s="266"/>
      <c r="C1" s="266"/>
      <c r="D1" s="266"/>
      <c r="E1" s="266"/>
      <c r="F1" s="266"/>
      <c r="G1" s="266"/>
      <c r="H1" s="266"/>
      <c r="I1" s="266"/>
      <c r="J1" s="227" t="s">
        <v>32</v>
      </c>
      <c r="K1" s="227"/>
      <c r="L1" s="56"/>
    </row>
    <row r="2" spans="1:12" ht="12" customHeight="1" thickTop="1" x14ac:dyDescent="0.2">
      <c r="A2" s="282" t="s">
        <v>0</v>
      </c>
      <c r="B2" s="274" t="s">
        <v>18</v>
      </c>
      <c r="C2" s="38" t="s">
        <v>1</v>
      </c>
      <c r="D2" s="39"/>
      <c r="E2" s="39"/>
      <c r="F2" s="39"/>
      <c r="G2" s="272" t="s">
        <v>44</v>
      </c>
      <c r="H2" s="273"/>
      <c r="I2" s="272" t="s">
        <v>43</v>
      </c>
      <c r="J2" s="273"/>
      <c r="K2" s="273"/>
    </row>
    <row r="3" spans="1:12" ht="12" customHeight="1" x14ac:dyDescent="0.2">
      <c r="A3" s="283"/>
      <c r="B3" s="275"/>
      <c r="C3" s="279" t="s">
        <v>19</v>
      </c>
      <c r="D3" s="279" t="s">
        <v>20</v>
      </c>
      <c r="E3" s="279" t="s">
        <v>21</v>
      </c>
      <c r="F3" s="279" t="s">
        <v>22</v>
      </c>
      <c r="G3" s="279" t="s">
        <v>23</v>
      </c>
      <c r="H3" s="279" t="s">
        <v>24</v>
      </c>
      <c r="I3" s="293" t="s">
        <v>37</v>
      </c>
      <c r="J3" s="288" t="s">
        <v>17</v>
      </c>
      <c r="K3" s="289"/>
      <c r="L3" s="20"/>
    </row>
    <row r="4" spans="1:12" ht="12" customHeight="1" x14ac:dyDescent="0.2">
      <c r="A4" s="283"/>
      <c r="B4" s="275"/>
      <c r="C4" s="280"/>
      <c r="D4" s="280"/>
      <c r="E4" s="280"/>
      <c r="F4" s="280"/>
      <c r="G4" s="280"/>
      <c r="H4" s="280"/>
      <c r="I4" s="294"/>
      <c r="J4" s="314" t="s">
        <v>3</v>
      </c>
      <c r="K4" s="311" t="s">
        <v>16</v>
      </c>
    </row>
    <row r="5" spans="1:12" ht="12" customHeight="1" x14ac:dyDescent="0.2">
      <c r="A5" s="283"/>
      <c r="B5" s="275"/>
      <c r="C5" s="280"/>
      <c r="D5" s="280"/>
      <c r="E5" s="280"/>
      <c r="F5" s="280"/>
      <c r="G5" s="280"/>
      <c r="H5" s="280"/>
      <c r="I5" s="294"/>
      <c r="J5" s="277"/>
      <c r="K5" s="312"/>
    </row>
    <row r="6" spans="1:12" ht="12" customHeight="1" x14ac:dyDescent="0.2">
      <c r="A6" s="284"/>
      <c r="B6" s="276"/>
      <c r="C6" s="281"/>
      <c r="D6" s="281"/>
      <c r="E6" s="281"/>
      <c r="F6" s="281"/>
      <c r="G6" s="281"/>
      <c r="H6" s="281"/>
      <c r="I6" s="295"/>
      <c r="J6" s="278"/>
      <c r="K6" s="313"/>
    </row>
    <row r="7" spans="1:12" ht="12" customHeight="1" x14ac:dyDescent="0.2">
      <c r="A7" s="73"/>
      <c r="B7" s="76" t="s">
        <v>33</v>
      </c>
      <c r="C7" s="267" t="s">
        <v>35</v>
      </c>
      <c r="D7" s="268"/>
      <c r="E7" s="268"/>
      <c r="F7" s="268"/>
      <c r="G7" s="268"/>
      <c r="H7" s="268"/>
      <c r="I7" s="268"/>
      <c r="J7" s="269" t="s">
        <v>36</v>
      </c>
      <c r="K7" s="269"/>
      <c r="L7"/>
    </row>
    <row r="8" spans="1:12" ht="12" customHeight="1" x14ac:dyDescent="0.2">
      <c r="A8" s="42">
        <v>1970</v>
      </c>
      <c r="B8" s="69">
        <v>205.05199999999999</v>
      </c>
      <c r="C8" s="43">
        <v>314.95828</v>
      </c>
      <c r="D8" s="46" t="s">
        <v>2</v>
      </c>
      <c r="E8" s="45">
        <v>173.89008000000001</v>
      </c>
      <c r="F8" s="45">
        <f t="shared" ref="F8:F57" si="0">SUM(C8,D8,E8)</f>
        <v>488.84836000000001</v>
      </c>
      <c r="G8" s="46">
        <v>1.83456</v>
      </c>
      <c r="H8" s="44">
        <v>199.76138</v>
      </c>
      <c r="I8" s="43">
        <f t="shared" ref="I8:I50" si="1">F8-SUM(G8,H8)</f>
        <v>287.25242000000003</v>
      </c>
      <c r="J8" s="183">
        <f t="shared" ref="J8:J50" si="2">IF(I8=0,0,IF(B8=0,0,I8/B8))</f>
        <v>1.4008759729239415</v>
      </c>
      <c r="K8" s="184">
        <f>J8/1.82</f>
        <v>0.76971207303513267</v>
      </c>
    </row>
    <row r="9" spans="1:12" ht="12" customHeight="1" x14ac:dyDescent="0.2">
      <c r="A9" s="78">
        <v>1971</v>
      </c>
      <c r="B9" s="79">
        <v>207.661</v>
      </c>
      <c r="C9" s="80">
        <v>261.49942000000004</v>
      </c>
      <c r="D9" s="83" t="s">
        <v>2</v>
      </c>
      <c r="E9" s="82">
        <v>199.76138</v>
      </c>
      <c r="F9" s="82">
        <f t="shared" si="0"/>
        <v>461.26080000000002</v>
      </c>
      <c r="G9" s="81">
        <v>1.0119200000000002</v>
      </c>
      <c r="H9" s="81">
        <v>181.25380000000001</v>
      </c>
      <c r="I9" s="80">
        <f t="shared" si="1"/>
        <v>278.99508000000003</v>
      </c>
      <c r="J9" s="185">
        <f t="shared" si="2"/>
        <v>1.3435121664636116</v>
      </c>
      <c r="K9" s="186">
        <f t="shared" ref="K9:K44" si="3">J9/1.82</f>
        <v>0.73819349805692946</v>
      </c>
    </row>
    <row r="10" spans="1:12" ht="12" customHeight="1" x14ac:dyDescent="0.2">
      <c r="A10" s="78">
        <v>1972</v>
      </c>
      <c r="B10" s="79">
        <v>209.89599999999999</v>
      </c>
      <c r="C10" s="80">
        <v>301.89978000000002</v>
      </c>
      <c r="D10" s="83" t="s">
        <v>2</v>
      </c>
      <c r="E10" s="82">
        <v>181.25380000000001</v>
      </c>
      <c r="F10" s="82">
        <f t="shared" si="0"/>
        <v>483.15358000000003</v>
      </c>
      <c r="G10" s="81">
        <v>1.5597400000000001</v>
      </c>
      <c r="H10" s="81">
        <v>176.39258000000001</v>
      </c>
      <c r="I10" s="80">
        <f t="shared" si="1"/>
        <v>305.20126000000005</v>
      </c>
      <c r="J10" s="185">
        <f t="shared" si="2"/>
        <v>1.4540594389602473</v>
      </c>
      <c r="K10" s="186">
        <f t="shared" si="3"/>
        <v>0.79893375767046548</v>
      </c>
    </row>
    <row r="11" spans="1:12" ht="12" customHeight="1" x14ac:dyDescent="0.2">
      <c r="A11" s="78">
        <v>1973</v>
      </c>
      <c r="B11" s="79">
        <v>211.90899999999999</v>
      </c>
      <c r="C11" s="80">
        <v>421.67216000000002</v>
      </c>
      <c r="D11" s="83" t="s">
        <v>2</v>
      </c>
      <c r="E11" s="82">
        <v>176.4</v>
      </c>
      <c r="F11" s="82">
        <f t="shared" si="0"/>
        <v>598.07216000000005</v>
      </c>
      <c r="G11" s="81">
        <v>3.8365600000000004</v>
      </c>
      <c r="H11" s="81">
        <v>218.94964000000002</v>
      </c>
      <c r="I11" s="80">
        <f t="shared" si="1"/>
        <v>375.28596000000005</v>
      </c>
      <c r="J11" s="185">
        <f t="shared" si="2"/>
        <v>1.7709769759660989</v>
      </c>
      <c r="K11" s="186">
        <f t="shared" si="3"/>
        <v>0.97306427250884553</v>
      </c>
    </row>
    <row r="12" spans="1:12" ht="12" customHeight="1" x14ac:dyDescent="0.2">
      <c r="A12" s="78">
        <v>1974</v>
      </c>
      <c r="B12" s="79">
        <v>213.85400000000001</v>
      </c>
      <c r="C12" s="80">
        <v>451.50741999999997</v>
      </c>
      <c r="D12" s="83" t="s">
        <v>2</v>
      </c>
      <c r="E12" s="82">
        <v>218.9</v>
      </c>
      <c r="F12" s="82">
        <f t="shared" si="0"/>
        <v>670.40742</v>
      </c>
      <c r="G12" s="81">
        <v>5.5473600000000003</v>
      </c>
      <c r="H12" s="81">
        <v>284.10928000000001</v>
      </c>
      <c r="I12" s="80">
        <f t="shared" si="1"/>
        <v>380.75077999999996</v>
      </c>
      <c r="J12" s="185">
        <f t="shared" si="2"/>
        <v>1.7804239340858714</v>
      </c>
      <c r="K12" s="186">
        <f t="shared" si="3"/>
        <v>0.97825490883839084</v>
      </c>
    </row>
    <row r="13" spans="1:12" ht="12" customHeight="1" x14ac:dyDescent="0.2">
      <c r="A13" s="78">
        <v>1975</v>
      </c>
      <c r="B13" s="79">
        <v>215.97300000000001</v>
      </c>
      <c r="C13" s="80">
        <v>301.88157999999999</v>
      </c>
      <c r="D13" s="83" t="s">
        <v>2</v>
      </c>
      <c r="E13" s="82">
        <v>284.10000000000002</v>
      </c>
      <c r="F13" s="82">
        <f t="shared" si="0"/>
        <v>585.98158000000001</v>
      </c>
      <c r="G13" s="83">
        <v>3.9639600000000002</v>
      </c>
      <c r="H13" s="81">
        <v>237.1824</v>
      </c>
      <c r="I13" s="80">
        <f t="shared" si="1"/>
        <v>344.83521999999999</v>
      </c>
      <c r="J13" s="185">
        <f t="shared" si="2"/>
        <v>1.596658934218629</v>
      </c>
      <c r="K13" s="186">
        <f t="shared" si="3"/>
        <v>0.87728512869155439</v>
      </c>
    </row>
    <row r="14" spans="1:12" ht="12" customHeight="1" x14ac:dyDescent="0.2">
      <c r="A14" s="42">
        <v>1976</v>
      </c>
      <c r="B14" s="69">
        <v>218.035</v>
      </c>
      <c r="C14" s="43">
        <v>329.92413999999997</v>
      </c>
      <c r="D14" s="46" t="s">
        <v>2</v>
      </c>
      <c r="E14" s="45">
        <v>237.2</v>
      </c>
      <c r="F14" s="45">
        <f t="shared" si="0"/>
        <v>567.1241399999999</v>
      </c>
      <c r="G14" s="44">
        <v>8.6704800000000013</v>
      </c>
      <c r="H14" s="43">
        <v>201.60322000000002</v>
      </c>
      <c r="I14" s="43">
        <f t="shared" si="1"/>
        <v>356.85043999999988</v>
      </c>
      <c r="J14" s="183">
        <f t="shared" si="2"/>
        <v>1.6366658563992014</v>
      </c>
      <c r="K14" s="184">
        <f t="shared" si="3"/>
        <v>0.89926695406549517</v>
      </c>
    </row>
    <row r="15" spans="1:12" ht="12" customHeight="1" x14ac:dyDescent="0.2">
      <c r="A15" s="42">
        <v>1977</v>
      </c>
      <c r="B15" s="69">
        <v>220.23899999999998</v>
      </c>
      <c r="C15" s="43">
        <v>480.05958000000004</v>
      </c>
      <c r="D15" s="46" t="s">
        <v>2</v>
      </c>
      <c r="E15" s="45">
        <v>201.6</v>
      </c>
      <c r="F15" s="45">
        <f t="shared" si="0"/>
        <v>681.65958000000001</v>
      </c>
      <c r="G15" s="44">
        <v>10.070060000000002</v>
      </c>
      <c r="H15" s="43">
        <v>282.52588000000003</v>
      </c>
      <c r="I15" s="43">
        <f t="shared" si="1"/>
        <v>389.06363999999996</v>
      </c>
      <c r="J15" s="183">
        <f t="shared" si="2"/>
        <v>1.7665519730837862</v>
      </c>
      <c r="K15" s="184">
        <f t="shared" si="3"/>
        <v>0.9706329522438385</v>
      </c>
    </row>
    <row r="16" spans="1:12" ht="12" customHeight="1" x14ac:dyDescent="0.2">
      <c r="A16" s="42">
        <v>1978</v>
      </c>
      <c r="B16" s="69">
        <v>222.58500000000001</v>
      </c>
      <c r="C16" s="43">
        <v>433.9153</v>
      </c>
      <c r="D16" s="46" t="s">
        <v>2</v>
      </c>
      <c r="E16" s="45">
        <v>282.5</v>
      </c>
      <c r="F16" s="45">
        <f t="shared" si="0"/>
        <v>716.4153</v>
      </c>
      <c r="G16" s="44">
        <v>24.10772</v>
      </c>
      <c r="H16" s="43">
        <v>297.91034000000002</v>
      </c>
      <c r="I16" s="43">
        <f t="shared" si="1"/>
        <v>394.39724000000001</v>
      </c>
      <c r="J16" s="183">
        <f t="shared" si="2"/>
        <v>1.7718949614753914</v>
      </c>
      <c r="K16" s="184">
        <f t="shared" si="3"/>
        <v>0.97356866015131394</v>
      </c>
    </row>
    <row r="17" spans="1:11" ht="12" customHeight="1" x14ac:dyDescent="0.2">
      <c r="A17" s="42">
        <v>1979</v>
      </c>
      <c r="B17" s="69">
        <v>225.05500000000001</v>
      </c>
      <c r="C17" s="43">
        <v>478.80559999999997</v>
      </c>
      <c r="D17" s="46" t="s">
        <v>2</v>
      </c>
      <c r="E17" s="45">
        <v>297.89999999999998</v>
      </c>
      <c r="F17" s="45">
        <f t="shared" si="0"/>
        <v>776.7056</v>
      </c>
      <c r="G17" s="44">
        <v>32.497920000000001</v>
      </c>
      <c r="H17" s="43">
        <v>320.87510000000003</v>
      </c>
      <c r="I17" s="43">
        <f t="shared" si="1"/>
        <v>423.33257999999995</v>
      </c>
      <c r="J17" s="183">
        <f t="shared" si="2"/>
        <v>1.8810183288529467</v>
      </c>
      <c r="K17" s="184">
        <f t="shared" si="3"/>
        <v>1.0335265543148058</v>
      </c>
    </row>
    <row r="18" spans="1:11" ht="12" customHeight="1" x14ac:dyDescent="0.2">
      <c r="A18" s="42">
        <v>1980</v>
      </c>
      <c r="B18" s="69">
        <v>227.726</v>
      </c>
      <c r="C18" s="43">
        <v>347.9</v>
      </c>
      <c r="D18" s="46" t="s">
        <v>2</v>
      </c>
      <c r="E18" s="45">
        <v>320.89999999999998</v>
      </c>
      <c r="F18" s="45">
        <f t="shared" si="0"/>
        <v>668.8</v>
      </c>
      <c r="G18" s="46">
        <v>34.1</v>
      </c>
      <c r="H18" s="43">
        <v>250.6</v>
      </c>
      <c r="I18" s="43">
        <f t="shared" si="1"/>
        <v>384.09999999999997</v>
      </c>
      <c r="J18" s="183">
        <f t="shared" si="2"/>
        <v>1.6866760931997222</v>
      </c>
      <c r="K18" s="184">
        <f t="shared" si="3"/>
        <v>0.92674510615369354</v>
      </c>
    </row>
    <row r="19" spans="1:11" ht="12" customHeight="1" x14ac:dyDescent="0.2">
      <c r="A19" s="78">
        <v>1981</v>
      </c>
      <c r="B19" s="79">
        <v>229.96600000000001</v>
      </c>
      <c r="C19" s="80">
        <v>491.1</v>
      </c>
      <c r="D19" s="83" t="s">
        <v>2</v>
      </c>
      <c r="E19" s="82">
        <v>250.6</v>
      </c>
      <c r="F19" s="82">
        <f t="shared" si="0"/>
        <v>741.7</v>
      </c>
      <c r="G19" s="81">
        <v>34.4</v>
      </c>
      <c r="H19" s="80">
        <v>273.60000000000002</v>
      </c>
      <c r="I19" s="80">
        <f t="shared" si="1"/>
        <v>433.70000000000005</v>
      </c>
      <c r="J19" s="185">
        <f t="shared" si="2"/>
        <v>1.8859309637076787</v>
      </c>
      <c r="K19" s="186">
        <f t="shared" si="3"/>
        <v>1.0362258042349883</v>
      </c>
    </row>
    <row r="20" spans="1:11" ht="12" customHeight="1" x14ac:dyDescent="0.2">
      <c r="A20" s="78">
        <v>1982</v>
      </c>
      <c r="B20" s="79">
        <v>232.18799999999999</v>
      </c>
      <c r="C20" s="84">
        <v>540</v>
      </c>
      <c r="D20" s="83" t="s">
        <v>2</v>
      </c>
      <c r="E20" s="82">
        <v>273.60000000000002</v>
      </c>
      <c r="F20" s="82">
        <f t="shared" si="0"/>
        <v>813.6</v>
      </c>
      <c r="G20" s="81">
        <v>22</v>
      </c>
      <c r="H20" s="80">
        <v>386.3</v>
      </c>
      <c r="I20" s="80">
        <f t="shared" si="1"/>
        <v>405.3</v>
      </c>
      <c r="J20" s="185">
        <f t="shared" si="2"/>
        <v>1.7455682464210038</v>
      </c>
      <c r="K20" s="186">
        <f t="shared" si="3"/>
        <v>0.95910343209945259</v>
      </c>
    </row>
    <row r="21" spans="1:11" ht="12" customHeight="1" x14ac:dyDescent="0.2">
      <c r="A21" s="78">
        <v>1983</v>
      </c>
      <c r="B21" s="79">
        <v>234.30699999999999</v>
      </c>
      <c r="C21" s="84">
        <v>386.8</v>
      </c>
      <c r="D21" s="83" t="s">
        <v>2</v>
      </c>
      <c r="E21" s="82">
        <v>386.3</v>
      </c>
      <c r="F21" s="82">
        <f t="shared" si="0"/>
        <v>773.1</v>
      </c>
      <c r="G21" s="81">
        <v>12.1</v>
      </c>
      <c r="H21" s="80">
        <v>339.3</v>
      </c>
      <c r="I21" s="80">
        <f t="shared" si="1"/>
        <v>421.7</v>
      </c>
      <c r="J21" s="185">
        <f t="shared" si="2"/>
        <v>1.7997755082007794</v>
      </c>
      <c r="K21" s="186">
        <f t="shared" si="3"/>
        <v>0.98888764186856004</v>
      </c>
    </row>
    <row r="22" spans="1:11" ht="12" customHeight="1" x14ac:dyDescent="0.2">
      <c r="A22" s="78">
        <v>1984</v>
      </c>
      <c r="B22" s="79">
        <v>236.34800000000001</v>
      </c>
      <c r="C22" s="80">
        <v>465.2</v>
      </c>
      <c r="D22" s="83" t="s">
        <v>2</v>
      </c>
      <c r="E22" s="82">
        <v>339.3</v>
      </c>
      <c r="F22" s="82">
        <f t="shared" si="0"/>
        <v>804.5</v>
      </c>
      <c r="G22" s="81">
        <v>15</v>
      </c>
      <c r="H22" s="80">
        <v>298</v>
      </c>
      <c r="I22" s="80">
        <f t="shared" si="1"/>
        <v>491.5</v>
      </c>
      <c r="J22" s="185">
        <f t="shared" si="2"/>
        <v>2.0795606478582429</v>
      </c>
      <c r="K22" s="186">
        <f t="shared" si="3"/>
        <v>1.1426157405814521</v>
      </c>
    </row>
    <row r="23" spans="1:11" ht="12" customHeight="1" x14ac:dyDescent="0.2">
      <c r="A23" s="78">
        <v>1985</v>
      </c>
      <c r="B23" s="79">
        <v>238.46600000000001</v>
      </c>
      <c r="C23" s="80">
        <v>463.3</v>
      </c>
      <c r="D23" s="83" t="s">
        <v>2</v>
      </c>
      <c r="E23" s="82">
        <v>298</v>
      </c>
      <c r="F23" s="82">
        <f t="shared" si="0"/>
        <v>761.3</v>
      </c>
      <c r="G23" s="83">
        <v>10.1</v>
      </c>
      <c r="H23" s="80">
        <v>329.1</v>
      </c>
      <c r="I23" s="80">
        <f t="shared" si="1"/>
        <v>422.09999999999991</v>
      </c>
      <c r="J23" s="185">
        <f t="shared" si="2"/>
        <v>1.7700636568735162</v>
      </c>
      <c r="K23" s="186">
        <f t="shared" si="3"/>
        <v>0.97256244883160226</v>
      </c>
    </row>
    <row r="24" spans="1:11" ht="12" customHeight="1" x14ac:dyDescent="0.2">
      <c r="A24" s="42">
        <v>1986</v>
      </c>
      <c r="B24" s="69">
        <v>240.65100000000001</v>
      </c>
      <c r="C24" s="43">
        <v>492.1</v>
      </c>
      <c r="D24" s="46" t="s">
        <v>2</v>
      </c>
      <c r="E24" s="45">
        <v>329.1</v>
      </c>
      <c r="F24" s="45">
        <f t="shared" si="0"/>
        <v>821.2</v>
      </c>
      <c r="G24" s="44">
        <v>11</v>
      </c>
      <c r="H24" s="43">
        <v>379.9</v>
      </c>
      <c r="I24" s="43">
        <f t="shared" si="1"/>
        <v>430.30000000000007</v>
      </c>
      <c r="J24" s="183">
        <f t="shared" si="2"/>
        <v>1.788066536187259</v>
      </c>
      <c r="K24" s="184">
        <f t="shared" si="3"/>
        <v>0.98245414076223014</v>
      </c>
    </row>
    <row r="25" spans="1:11" ht="12" customHeight="1" x14ac:dyDescent="0.2">
      <c r="A25" s="42">
        <v>1987</v>
      </c>
      <c r="B25" s="69">
        <v>242.804</v>
      </c>
      <c r="C25" s="43">
        <v>536.20000000000005</v>
      </c>
      <c r="D25" s="46" t="s">
        <v>2</v>
      </c>
      <c r="E25" s="45">
        <v>379.9</v>
      </c>
      <c r="F25" s="45">
        <f t="shared" si="0"/>
        <v>916.1</v>
      </c>
      <c r="G25" s="44">
        <v>15.2</v>
      </c>
      <c r="H25" s="43">
        <v>390.2</v>
      </c>
      <c r="I25" s="43">
        <f t="shared" si="1"/>
        <v>510.70000000000005</v>
      </c>
      <c r="J25" s="183">
        <f t="shared" si="2"/>
        <v>2.1033426137954896</v>
      </c>
      <c r="K25" s="184">
        <f t="shared" si="3"/>
        <v>1.1556827548326865</v>
      </c>
    </row>
    <row r="26" spans="1:11" ht="12" customHeight="1" x14ac:dyDescent="0.2">
      <c r="A26" s="42">
        <v>1988</v>
      </c>
      <c r="B26" s="69">
        <v>245.02099999999999</v>
      </c>
      <c r="C26" s="43">
        <v>536.29999999999995</v>
      </c>
      <c r="D26" s="46" t="s">
        <v>2</v>
      </c>
      <c r="E26" s="45">
        <v>390.2</v>
      </c>
      <c r="F26" s="45">
        <f t="shared" si="0"/>
        <v>926.5</v>
      </c>
      <c r="G26" s="44">
        <v>32.9</v>
      </c>
      <c r="H26" s="43">
        <v>333.3</v>
      </c>
      <c r="I26" s="43">
        <f t="shared" si="1"/>
        <v>560.29999999999995</v>
      </c>
      <c r="J26" s="183">
        <f t="shared" si="2"/>
        <v>2.286742768987148</v>
      </c>
      <c r="K26" s="184">
        <f t="shared" si="3"/>
        <v>1.2564520708720592</v>
      </c>
    </row>
    <row r="27" spans="1:11" ht="12" customHeight="1" x14ac:dyDescent="0.2">
      <c r="A27" s="42">
        <v>1989</v>
      </c>
      <c r="B27" s="69">
        <v>247.34200000000001</v>
      </c>
      <c r="C27" s="43">
        <v>653.1</v>
      </c>
      <c r="D27" s="43">
        <v>7.3</v>
      </c>
      <c r="E27" s="45">
        <v>333.3</v>
      </c>
      <c r="F27" s="45">
        <f t="shared" si="0"/>
        <v>993.7</v>
      </c>
      <c r="G27" s="44">
        <v>2.8</v>
      </c>
      <c r="H27" s="43">
        <v>379.5</v>
      </c>
      <c r="I27" s="43">
        <f t="shared" si="1"/>
        <v>611.40000000000009</v>
      </c>
      <c r="J27" s="183">
        <f t="shared" si="2"/>
        <v>2.4718810392088688</v>
      </c>
      <c r="K27" s="184">
        <f t="shared" si="3"/>
        <v>1.3581763951697081</v>
      </c>
    </row>
    <row r="28" spans="1:11" ht="12" customHeight="1" x14ac:dyDescent="0.2">
      <c r="A28" s="42">
        <v>1990</v>
      </c>
      <c r="B28" s="69">
        <v>250.13200000000001</v>
      </c>
      <c r="C28" s="43">
        <v>598.4</v>
      </c>
      <c r="D28" s="43">
        <v>8.3000000000000007</v>
      </c>
      <c r="E28" s="45">
        <v>379.5</v>
      </c>
      <c r="F28" s="45">
        <f t="shared" si="0"/>
        <v>986.19999999999993</v>
      </c>
      <c r="G28" s="46">
        <v>7.2</v>
      </c>
      <c r="H28" s="43">
        <v>408.7</v>
      </c>
      <c r="I28" s="43">
        <f t="shared" si="1"/>
        <v>570.29999999999995</v>
      </c>
      <c r="J28" s="183">
        <f t="shared" si="2"/>
        <v>2.2799961620264497</v>
      </c>
      <c r="K28" s="184">
        <f t="shared" si="3"/>
        <v>1.2527451439705768</v>
      </c>
    </row>
    <row r="29" spans="1:11" ht="12" customHeight="1" x14ac:dyDescent="0.2">
      <c r="A29" s="78">
        <v>1991</v>
      </c>
      <c r="B29" s="79">
        <v>253.49299999999999</v>
      </c>
      <c r="C29" s="80">
        <v>578.79999999999995</v>
      </c>
      <c r="D29" s="80">
        <v>5.3</v>
      </c>
      <c r="E29" s="82">
        <v>408.7</v>
      </c>
      <c r="F29" s="82">
        <f t="shared" si="0"/>
        <v>992.8</v>
      </c>
      <c r="G29" s="81">
        <v>9.3000000000000007</v>
      </c>
      <c r="H29" s="80">
        <v>370.6</v>
      </c>
      <c r="I29" s="80">
        <f t="shared" si="1"/>
        <v>612.89999999999986</v>
      </c>
      <c r="J29" s="185">
        <f t="shared" si="2"/>
        <v>2.4178182435017925</v>
      </c>
      <c r="K29" s="186">
        <f t="shared" si="3"/>
        <v>1.3284715623636223</v>
      </c>
    </row>
    <row r="30" spans="1:11" ht="12" customHeight="1" x14ac:dyDescent="0.2">
      <c r="A30" s="78">
        <v>1992</v>
      </c>
      <c r="B30" s="79">
        <v>256.89400000000001</v>
      </c>
      <c r="C30" s="80">
        <v>675.6</v>
      </c>
      <c r="D30" s="80">
        <v>13.3</v>
      </c>
      <c r="E30" s="82">
        <v>370.6</v>
      </c>
      <c r="F30" s="82">
        <f t="shared" si="0"/>
        <v>1059.5</v>
      </c>
      <c r="G30" s="81">
        <v>4.5</v>
      </c>
      <c r="H30" s="80">
        <v>462.4</v>
      </c>
      <c r="I30" s="80">
        <f t="shared" si="1"/>
        <v>592.6</v>
      </c>
      <c r="J30" s="185">
        <f t="shared" si="2"/>
        <v>2.306788013733291</v>
      </c>
      <c r="K30" s="186">
        <f t="shared" si="3"/>
        <v>1.2674659416116982</v>
      </c>
    </row>
    <row r="31" spans="1:11" ht="12" customHeight="1" x14ac:dyDescent="0.2">
      <c r="A31" s="78">
        <v>1993</v>
      </c>
      <c r="B31" s="79">
        <v>260.255</v>
      </c>
      <c r="C31" s="80">
        <v>733.8</v>
      </c>
      <c r="D31" s="80">
        <v>11.2</v>
      </c>
      <c r="E31" s="82">
        <v>462.4</v>
      </c>
      <c r="F31" s="82">
        <f t="shared" si="0"/>
        <v>1207.4000000000001</v>
      </c>
      <c r="G31" s="81">
        <v>7.3</v>
      </c>
      <c r="H31" s="80">
        <v>475</v>
      </c>
      <c r="I31" s="80">
        <f t="shared" si="1"/>
        <v>725.10000000000014</v>
      </c>
      <c r="J31" s="185">
        <f t="shared" si="2"/>
        <v>2.7861136193348837</v>
      </c>
      <c r="K31" s="186">
        <f t="shared" si="3"/>
        <v>1.5308316589752107</v>
      </c>
    </row>
    <row r="32" spans="1:11" ht="12" customHeight="1" x14ac:dyDescent="0.2">
      <c r="A32" s="78">
        <v>1994</v>
      </c>
      <c r="B32" s="79">
        <v>263.43599999999998</v>
      </c>
      <c r="C32" s="80">
        <v>751.13</v>
      </c>
      <c r="D32" s="80">
        <v>10.8</v>
      </c>
      <c r="E32" s="82">
        <v>475</v>
      </c>
      <c r="F32" s="82">
        <f t="shared" si="0"/>
        <v>1236.9299999999998</v>
      </c>
      <c r="G32" s="81">
        <v>9.6</v>
      </c>
      <c r="H32" s="80">
        <v>493.5</v>
      </c>
      <c r="I32" s="80">
        <f t="shared" si="1"/>
        <v>733.82999999999981</v>
      </c>
      <c r="J32" s="185">
        <f t="shared" si="2"/>
        <v>2.7856101671753288</v>
      </c>
      <c r="K32" s="186">
        <f t="shared" si="3"/>
        <v>1.5305550369095213</v>
      </c>
    </row>
    <row r="33" spans="1:11" ht="12" customHeight="1" x14ac:dyDescent="0.2">
      <c r="A33" s="78">
        <v>1995</v>
      </c>
      <c r="B33" s="79">
        <v>266.55700000000002</v>
      </c>
      <c r="C33" s="80">
        <v>762.24511999999993</v>
      </c>
      <c r="D33" s="80">
        <v>5.3</v>
      </c>
      <c r="E33" s="82">
        <v>493.5</v>
      </c>
      <c r="F33" s="82">
        <f t="shared" si="0"/>
        <v>1261.0451199999998</v>
      </c>
      <c r="G33" s="83">
        <v>12.7</v>
      </c>
      <c r="H33" s="80">
        <v>559.91390000000001</v>
      </c>
      <c r="I33" s="80">
        <f t="shared" si="1"/>
        <v>688.43121999999971</v>
      </c>
      <c r="J33" s="185">
        <f t="shared" si="2"/>
        <v>2.5826792018217479</v>
      </c>
      <c r="K33" s="186">
        <f t="shared" si="3"/>
        <v>1.4190545064954658</v>
      </c>
    </row>
    <row r="34" spans="1:11" ht="12" customHeight="1" x14ac:dyDescent="0.2">
      <c r="A34" s="42">
        <v>1996</v>
      </c>
      <c r="B34" s="69">
        <v>269.66699999999997</v>
      </c>
      <c r="C34" s="43">
        <v>724.29993999999999</v>
      </c>
      <c r="D34" s="43">
        <v>5.2820203800000005</v>
      </c>
      <c r="E34" s="45">
        <v>559.9</v>
      </c>
      <c r="F34" s="45">
        <f t="shared" si="0"/>
        <v>1289.4819603799999</v>
      </c>
      <c r="G34" s="44">
        <v>12.235008240000001</v>
      </c>
      <c r="H34" s="43">
        <v>512.85962000000006</v>
      </c>
      <c r="I34" s="43">
        <f t="shared" si="1"/>
        <v>764.3873321399999</v>
      </c>
      <c r="J34" s="183">
        <f t="shared" si="2"/>
        <v>2.8345601506302218</v>
      </c>
      <c r="K34" s="184">
        <f t="shared" si="3"/>
        <v>1.5574506322144075</v>
      </c>
    </row>
    <row r="35" spans="1:11" ht="12" customHeight="1" x14ac:dyDescent="0.2">
      <c r="A35" s="42">
        <v>1997</v>
      </c>
      <c r="B35" s="69">
        <v>272.91199999999998</v>
      </c>
      <c r="C35" s="43">
        <v>744.46007999999995</v>
      </c>
      <c r="D35" s="43">
        <v>14.854832720000001</v>
      </c>
      <c r="E35" s="45">
        <v>512.85962000000006</v>
      </c>
      <c r="F35" s="45">
        <f t="shared" si="0"/>
        <v>1272.1745327200001</v>
      </c>
      <c r="G35" s="44">
        <v>22.622299700000003</v>
      </c>
      <c r="H35" s="43">
        <v>547.58339999999998</v>
      </c>
      <c r="I35" s="43">
        <f t="shared" si="1"/>
        <v>701.96883302000015</v>
      </c>
      <c r="J35" s="183">
        <f t="shared" si="2"/>
        <v>2.572143522527409</v>
      </c>
      <c r="K35" s="184">
        <f t="shared" si="3"/>
        <v>1.4132656717183565</v>
      </c>
    </row>
    <row r="36" spans="1:11" ht="12" customHeight="1" x14ac:dyDescent="0.2">
      <c r="A36" s="42">
        <v>1998</v>
      </c>
      <c r="B36" s="69">
        <v>276.11500000000001</v>
      </c>
      <c r="C36" s="43">
        <v>706.33108000000004</v>
      </c>
      <c r="D36" s="43">
        <v>11.256184940000001</v>
      </c>
      <c r="E36" s="45">
        <v>547.58339999999998</v>
      </c>
      <c r="F36" s="45">
        <f t="shared" si="0"/>
        <v>1265.1706649400001</v>
      </c>
      <c r="G36" s="44">
        <v>36.256600380000002</v>
      </c>
      <c r="H36" s="43">
        <v>467.0538600000001</v>
      </c>
      <c r="I36" s="43">
        <f t="shared" si="1"/>
        <v>761.86020455999994</v>
      </c>
      <c r="J36" s="183">
        <f t="shared" si="2"/>
        <v>2.7592133877551017</v>
      </c>
      <c r="K36" s="184">
        <f t="shared" si="3"/>
        <v>1.5160513119533525</v>
      </c>
    </row>
    <row r="37" spans="1:11" ht="12" customHeight="1" x14ac:dyDescent="0.2">
      <c r="A37" s="42">
        <v>1999</v>
      </c>
      <c r="B37" s="69">
        <v>279.29500000000002</v>
      </c>
      <c r="C37" s="43">
        <v>772.93761999999992</v>
      </c>
      <c r="D37" s="43">
        <v>10.807716920000001</v>
      </c>
      <c r="E37" s="45">
        <v>467.0538600000001</v>
      </c>
      <c r="F37" s="45">
        <f t="shared" si="0"/>
        <v>1250.79919692</v>
      </c>
      <c r="G37" s="44">
        <v>11.53073376</v>
      </c>
      <c r="H37" s="43">
        <v>559.09854000000007</v>
      </c>
      <c r="I37" s="43">
        <f t="shared" si="1"/>
        <v>680.16992315999994</v>
      </c>
      <c r="J37" s="183">
        <f t="shared" si="2"/>
        <v>2.4353100598292126</v>
      </c>
      <c r="K37" s="184">
        <f t="shared" si="3"/>
        <v>1.3380824504556112</v>
      </c>
    </row>
    <row r="38" spans="1:11" ht="12" customHeight="1" x14ac:dyDescent="0.2">
      <c r="A38" s="42">
        <v>2000</v>
      </c>
      <c r="B38" s="69">
        <v>282.38499999999999</v>
      </c>
      <c r="C38" s="43">
        <v>751.1940800000001</v>
      </c>
      <c r="D38" s="43">
        <v>17.957040920000001</v>
      </c>
      <c r="E38" s="45">
        <v>559.09854000000007</v>
      </c>
      <c r="F38" s="45">
        <f t="shared" si="0"/>
        <v>1328.2496609200002</v>
      </c>
      <c r="G38" s="44">
        <v>19.2403029</v>
      </c>
      <c r="H38" s="43">
        <v>537.58431999999993</v>
      </c>
      <c r="I38" s="43">
        <f t="shared" si="1"/>
        <v>771.42503802000033</v>
      </c>
      <c r="J38" s="183">
        <f t="shared" si="2"/>
        <v>2.7318201675726415</v>
      </c>
      <c r="K38" s="184">
        <f t="shared" si="3"/>
        <v>1.5010000920728799</v>
      </c>
    </row>
    <row r="39" spans="1:11" ht="12" customHeight="1" x14ac:dyDescent="0.2">
      <c r="A39" s="78">
        <v>2001</v>
      </c>
      <c r="B39" s="79">
        <v>285.30901899999998</v>
      </c>
      <c r="C39" s="80">
        <v>596.95680000000004</v>
      </c>
      <c r="D39" s="80">
        <v>16.90060918</v>
      </c>
      <c r="E39" s="82">
        <v>537.58431999999993</v>
      </c>
      <c r="F39" s="82">
        <f t="shared" si="0"/>
        <v>1151.44172918</v>
      </c>
      <c r="G39" s="81">
        <v>11.51414628</v>
      </c>
      <c r="H39" s="80">
        <v>502.66944000000001</v>
      </c>
      <c r="I39" s="80">
        <f t="shared" si="1"/>
        <v>637.25814290000005</v>
      </c>
      <c r="J39" s="185">
        <f t="shared" si="2"/>
        <v>2.2335716730356854</v>
      </c>
      <c r="K39" s="186">
        <f t="shared" si="3"/>
        <v>1.2272371829866402</v>
      </c>
    </row>
    <row r="40" spans="1:11" ht="12" customHeight="1" x14ac:dyDescent="0.2">
      <c r="A40" s="78">
        <v>2002</v>
      </c>
      <c r="B40" s="79">
        <v>288.10481800000002</v>
      </c>
      <c r="C40" s="80">
        <v>529.65</v>
      </c>
      <c r="D40" s="80">
        <v>18.884456500000002</v>
      </c>
      <c r="E40" s="82">
        <v>502.66944000000001</v>
      </c>
      <c r="F40" s="82">
        <f t="shared" si="0"/>
        <v>1051.2038965000002</v>
      </c>
      <c r="G40" s="81">
        <v>3.6083865999999998</v>
      </c>
      <c r="H40" s="80">
        <v>441.45191999999997</v>
      </c>
      <c r="I40" s="80">
        <f t="shared" si="1"/>
        <v>606.14358990000017</v>
      </c>
      <c r="J40" s="185">
        <f t="shared" si="2"/>
        <v>2.1038995255539259</v>
      </c>
      <c r="K40" s="186">
        <f t="shared" si="3"/>
        <v>1.1559887503043549</v>
      </c>
    </row>
    <row r="41" spans="1:11" ht="12" customHeight="1" x14ac:dyDescent="0.2">
      <c r="A41" s="78">
        <v>2003</v>
      </c>
      <c r="B41" s="79">
        <v>290.81963400000001</v>
      </c>
      <c r="C41" s="80">
        <v>593.43240000000003</v>
      </c>
      <c r="D41" s="80">
        <v>17.40808706</v>
      </c>
      <c r="E41" s="82">
        <v>441.45191999999997</v>
      </c>
      <c r="F41" s="82">
        <f t="shared" si="0"/>
        <v>1052.29240706</v>
      </c>
      <c r="G41" s="81">
        <v>3.0786119000000003</v>
      </c>
      <c r="H41" s="80">
        <v>460.09964000000002</v>
      </c>
      <c r="I41" s="80">
        <f t="shared" si="1"/>
        <v>589.11415515999988</v>
      </c>
      <c r="J41" s="185">
        <f t="shared" si="2"/>
        <v>2.0257028284410805</v>
      </c>
      <c r="K41" s="186">
        <f t="shared" si="3"/>
        <v>1.1130235321104838</v>
      </c>
    </row>
    <row r="42" spans="1:11" ht="12" customHeight="1" x14ac:dyDescent="0.2">
      <c r="A42" s="78">
        <v>2004</v>
      </c>
      <c r="B42" s="79">
        <v>293.46318500000001</v>
      </c>
      <c r="C42" s="80">
        <v>570.76800000000003</v>
      </c>
      <c r="D42" s="80">
        <v>29.602096159999999</v>
      </c>
      <c r="E42" s="82">
        <v>460.09964000000002</v>
      </c>
      <c r="F42" s="82">
        <f t="shared" si="0"/>
        <v>1060.4697361600001</v>
      </c>
      <c r="G42" s="81">
        <v>6.2405215600000004</v>
      </c>
      <c r="H42" s="80">
        <v>469.90397999999993</v>
      </c>
      <c r="I42" s="80">
        <f t="shared" si="1"/>
        <v>584.32523460000016</v>
      </c>
      <c r="J42" s="185">
        <f t="shared" si="2"/>
        <v>1.991136416651377</v>
      </c>
      <c r="K42" s="186">
        <f t="shared" si="3"/>
        <v>1.0940309981600973</v>
      </c>
    </row>
    <row r="43" spans="1:11" ht="12" customHeight="1" x14ac:dyDescent="0.2">
      <c r="A43" s="78">
        <v>2005</v>
      </c>
      <c r="B43" s="79">
        <v>296.186216</v>
      </c>
      <c r="C43" s="80">
        <v>605.49720000000002</v>
      </c>
      <c r="D43" s="80">
        <v>24.33727296</v>
      </c>
      <c r="E43" s="82">
        <v>469.90397999999993</v>
      </c>
      <c r="F43" s="82">
        <f t="shared" si="0"/>
        <v>1099.7384529599999</v>
      </c>
      <c r="G43" s="81">
        <v>4.1597956399999996</v>
      </c>
      <c r="H43" s="80">
        <v>508.13308000000006</v>
      </c>
      <c r="I43" s="80">
        <f t="shared" si="1"/>
        <v>587.44557731999987</v>
      </c>
      <c r="J43" s="185">
        <f t="shared" si="2"/>
        <v>1.9833656854578265</v>
      </c>
      <c r="K43" s="186">
        <f t="shared" si="3"/>
        <v>1.0897613656361684</v>
      </c>
    </row>
    <row r="44" spans="1:11" ht="12" customHeight="1" x14ac:dyDescent="0.2">
      <c r="A44" s="42">
        <v>2006</v>
      </c>
      <c r="B44" s="69">
        <v>298.99582500000002</v>
      </c>
      <c r="C44" s="43">
        <v>532.68600000000004</v>
      </c>
      <c r="D44" s="43">
        <v>24.857559999999999</v>
      </c>
      <c r="E44" s="45">
        <v>508.13308000000006</v>
      </c>
      <c r="F44" s="45">
        <f t="shared" si="0"/>
        <v>1065.6766400000001</v>
      </c>
      <c r="G44" s="44">
        <v>2.9561404599999999</v>
      </c>
      <c r="H44" s="43">
        <v>445.18656000000004</v>
      </c>
      <c r="I44" s="43">
        <f t="shared" si="1"/>
        <v>617.53393954000012</v>
      </c>
      <c r="J44" s="183">
        <f t="shared" si="2"/>
        <v>2.0653597405248054</v>
      </c>
      <c r="K44" s="184">
        <f t="shared" si="3"/>
        <v>1.1348130442443984</v>
      </c>
    </row>
    <row r="45" spans="1:11" ht="12" customHeight="1" x14ac:dyDescent="0.2">
      <c r="A45" s="42">
        <v>2007</v>
      </c>
      <c r="B45" s="69">
        <v>302.003917</v>
      </c>
      <c r="C45" s="43">
        <v>497.83800000000008</v>
      </c>
      <c r="D45" s="43">
        <v>20.03320956</v>
      </c>
      <c r="E45" s="45">
        <v>445.18656000000004</v>
      </c>
      <c r="F45" s="45">
        <f t="shared" si="0"/>
        <v>963.05776956000022</v>
      </c>
      <c r="G45" s="44">
        <v>15.152071480000002</v>
      </c>
      <c r="H45" s="43">
        <v>491.73487999999998</v>
      </c>
      <c r="I45" s="43">
        <f t="shared" si="1"/>
        <v>456.17081808000023</v>
      </c>
      <c r="J45" s="183">
        <f t="shared" si="2"/>
        <v>1.5104798063927105</v>
      </c>
      <c r="K45" s="184">
        <f t="shared" ref="K45:K50" si="4">J45/1.82</f>
        <v>0.82993395955643434</v>
      </c>
    </row>
    <row r="46" spans="1:11" ht="12" customHeight="1" x14ac:dyDescent="0.2">
      <c r="A46" s="42">
        <v>2008</v>
      </c>
      <c r="B46" s="69">
        <v>304.79776099999998</v>
      </c>
      <c r="C46" s="43">
        <v>530.28360000000009</v>
      </c>
      <c r="D46" s="43">
        <v>15.0007459077476</v>
      </c>
      <c r="E46" s="45">
        <v>491.73487999999998</v>
      </c>
      <c r="F46" s="45">
        <f t="shared" si="0"/>
        <v>1037.0192259077476</v>
      </c>
      <c r="G46" s="44">
        <v>8.8132550505999987</v>
      </c>
      <c r="H46" s="43">
        <v>558.47973999999999</v>
      </c>
      <c r="I46" s="43">
        <f t="shared" si="1"/>
        <v>469.72623085714758</v>
      </c>
      <c r="J46" s="183">
        <f t="shared" si="2"/>
        <v>1.5411078786013379</v>
      </c>
      <c r="K46" s="184">
        <f t="shared" si="4"/>
        <v>0.84676257066007576</v>
      </c>
    </row>
    <row r="47" spans="1:11" ht="12" customHeight="1" x14ac:dyDescent="0.2">
      <c r="A47" s="42">
        <v>2009</v>
      </c>
      <c r="B47" s="69">
        <v>307.43940600000002</v>
      </c>
      <c r="C47" s="43">
        <v>479.08080000000001</v>
      </c>
      <c r="D47" s="43">
        <v>14.2369117454564</v>
      </c>
      <c r="E47" s="45">
        <v>558.47973999999999</v>
      </c>
      <c r="F47" s="45">
        <f t="shared" si="0"/>
        <v>1051.7974517454563</v>
      </c>
      <c r="G47" s="44">
        <v>2.1644816741547999</v>
      </c>
      <c r="H47" s="43">
        <v>583.19715999999994</v>
      </c>
      <c r="I47" s="43">
        <f t="shared" si="1"/>
        <v>466.4358100713016</v>
      </c>
      <c r="J47" s="183">
        <f t="shared" si="2"/>
        <v>1.5171633855918314</v>
      </c>
      <c r="K47" s="184">
        <f t="shared" si="4"/>
        <v>0.8336062558196875</v>
      </c>
    </row>
    <row r="48" spans="1:11" ht="12" customHeight="1" x14ac:dyDescent="0.2">
      <c r="A48" s="42">
        <v>2010</v>
      </c>
      <c r="B48" s="69">
        <v>309.74127900000002</v>
      </c>
      <c r="C48" s="43">
        <v>426.53160000000003</v>
      </c>
      <c r="D48" s="43">
        <v>10.999459903832399</v>
      </c>
      <c r="E48" s="45">
        <v>583.19715999999994</v>
      </c>
      <c r="F48" s="45">
        <f t="shared" si="0"/>
        <v>1020.7282199038324</v>
      </c>
      <c r="G48" s="44">
        <v>0.98316845506879991</v>
      </c>
      <c r="H48" s="43">
        <v>564.83518000000004</v>
      </c>
      <c r="I48" s="43">
        <f t="shared" si="1"/>
        <v>454.90987144876351</v>
      </c>
      <c r="J48" s="183">
        <f t="shared" si="2"/>
        <v>1.4686769323011786</v>
      </c>
      <c r="K48" s="184">
        <f t="shared" si="4"/>
        <v>0.80696534741823001</v>
      </c>
    </row>
    <row r="49" spans="1:12" ht="12" customHeight="1" x14ac:dyDescent="0.2">
      <c r="A49" s="86">
        <v>2011</v>
      </c>
      <c r="B49" s="87">
        <v>311.97391399999998</v>
      </c>
      <c r="C49" s="88">
        <v>465.41879999999998</v>
      </c>
      <c r="D49" s="88">
        <v>14.753766121093999</v>
      </c>
      <c r="E49" s="89">
        <v>564.83518000000004</v>
      </c>
      <c r="F49" s="89">
        <f t="shared" si="0"/>
        <v>1045.007746121094</v>
      </c>
      <c r="G49" s="90">
        <v>2.49210685724</v>
      </c>
      <c r="H49" s="88">
        <v>552.53380000000004</v>
      </c>
      <c r="I49" s="88">
        <f t="shared" si="1"/>
        <v>489.981839263854</v>
      </c>
      <c r="J49" s="187">
        <f t="shared" si="2"/>
        <v>1.5705859281037646</v>
      </c>
      <c r="K49" s="188">
        <f t="shared" si="4"/>
        <v>0.86295930115591457</v>
      </c>
    </row>
    <row r="50" spans="1:12" ht="12" customHeight="1" x14ac:dyDescent="0.2">
      <c r="A50" s="86">
        <v>2012</v>
      </c>
      <c r="B50" s="87">
        <v>314.16755799999999</v>
      </c>
      <c r="C50" s="88">
        <v>440.02200000000005</v>
      </c>
      <c r="D50" s="88">
        <v>15.683774177271198</v>
      </c>
      <c r="E50" s="89">
        <v>552.53380000000004</v>
      </c>
      <c r="F50" s="89">
        <f t="shared" si="0"/>
        <v>1008.2395741772713</v>
      </c>
      <c r="G50" s="90">
        <v>1.4874318931471999</v>
      </c>
      <c r="H50" s="88">
        <v>626.38211999999999</v>
      </c>
      <c r="I50" s="88">
        <f t="shared" si="1"/>
        <v>380.37002228412405</v>
      </c>
      <c r="J50" s="187">
        <f t="shared" si="2"/>
        <v>1.2107234263956816</v>
      </c>
      <c r="K50" s="188">
        <f t="shared" si="4"/>
        <v>0.66523265186575908</v>
      </c>
      <c r="L50"/>
    </row>
    <row r="51" spans="1:12" ht="12" customHeight="1" x14ac:dyDescent="0.2">
      <c r="A51" s="86">
        <v>2013</v>
      </c>
      <c r="B51" s="87">
        <v>316.29476599999998</v>
      </c>
      <c r="C51" s="88">
        <v>464.57400000000001</v>
      </c>
      <c r="D51" s="88">
        <v>13.277356313821599</v>
      </c>
      <c r="E51" s="89">
        <v>626.38211999999999</v>
      </c>
      <c r="F51" s="89">
        <f t="shared" si="0"/>
        <v>1104.2334763138215</v>
      </c>
      <c r="G51" s="90">
        <v>2.4029511425919998</v>
      </c>
      <c r="H51" s="88">
        <v>578.40510000000006</v>
      </c>
      <c r="I51" s="88">
        <f t="shared" ref="I51:I57" si="5">F51-SUM(G51,H51)</f>
        <v>523.42542517122945</v>
      </c>
      <c r="J51" s="187">
        <f t="shared" ref="J51:J57" si="6">IF(I51=0,0,IF(B51=0,0,I51/B51))</f>
        <v>1.6548659081232773</v>
      </c>
      <c r="K51" s="188">
        <f t="shared" ref="K51:K57" si="7">J51/1.82</f>
        <v>0.90926698248531712</v>
      </c>
      <c r="L51"/>
    </row>
    <row r="52" spans="1:12" ht="12" customHeight="1" x14ac:dyDescent="0.2">
      <c r="A52" s="86">
        <v>2014</v>
      </c>
      <c r="B52" s="87">
        <v>318.576955</v>
      </c>
      <c r="C52" s="88">
        <v>424.80240000000003</v>
      </c>
      <c r="D52" s="88">
        <v>14.411022183157598</v>
      </c>
      <c r="E52" s="89">
        <v>578.40510000000006</v>
      </c>
      <c r="F52" s="89">
        <f t="shared" si="0"/>
        <v>1017.6185221831577</v>
      </c>
      <c r="G52" s="90">
        <v>1.8471162193483999</v>
      </c>
      <c r="H52" s="88">
        <v>634.78323999999998</v>
      </c>
      <c r="I52" s="88">
        <f t="shared" si="5"/>
        <v>380.98816596380925</v>
      </c>
      <c r="J52" s="187">
        <f t="shared" si="6"/>
        <v>1.1959062323381466</v>
      </c>
      <c r="K52" s="188">
        <f t="shared" si="7"/>
        <v>0.6570913364495311</v>
      </c>
      <c r="L52"/>
    </row>
    <row r="53" spans="1:12" ht="12" customHeight="1" x14ac:dyDescent="0.2">
      <c r="A53" s="86">
        <v>2015</v>
      </c>
      <c r="B53" s="87">
        <v>320.87070299999999</v>
      </c>
      <c r="C53" s="88">
        <v>388.08000000000004</v>
      </c>
      <c r="D53" s="88">
        <v>13.3375705266804</v>
      </c>
      <c r="E53" s="89">
        <v>634.78323999999998</v>
      </c>
      <c r="F53" s="89">
        <f t="shared" si="0"/>
        <v>1036.2008105266805</v>
      </c>
      <c r="G53" s="90">
        <v>1.8665683752716</v>
      </c>
      <c r="H53" s="88">
        <v>597.09104000000002</v>
      </c>
      <c r="I53" s="88">
        <f t="shared" si="5"/>
        <v>437.24320215140881</v>
      </c>
      <c r="J53" s="187">
        <f t="shared" si="6"/>
        <v>1.3626772343606852</v>
      </c>
      <c r="K53" s="188">
        <f t="shared" si="7"/>
        <v>0.74872375514323364</v>
      </c>
      <c r="L53"/>
    </row>
    <row r="54" spans="1:12" ht="12" customHeight="1" x14ac:dyDescent="0.2">
      <c r="A54" s="119">
        <v>2016</v>
      </c>
      <c r="B54" s="120">
        <v>323.16101099999997</v>
      </c>
      <c r="C54" s="121">
        <v>626.43504000000007</v>
      </c>
      <c r="D54" s="121">
        <v>34.390649314621598</v>
      </c>
      <c r="E54" s="122">
        <v>597.09104000000002</v>
      </c>
      <c r="F54" s="122">
        <f t="shared" si="0"/>
        <v>1257.9167293146215</v>
      </c>
      <c r="G54" s="128">
        <v>1.7704551444580001</v>
      </c>
      <c r="H54" s="121">
        <v>641.99225999999999</v>
      </c>
      <c r="I54" s="121">
        <f t="shared" si="5"/>
        <v>614.15401417016358</v>
      </c>
      <c r="J54" s="189">
        <f t="shared" si="6"/>
        <v>1.9004582646579344</v>
      </c>
      <c r="K54" s="190">
        <f t="shared" si="7"/>
        <v>1.0442078377241397</v>
      </c>
      <c r="L54"/>
    </row>
    <row r="55" spans="1:12" ht="12" customHeight="1" x14ac:dyDescent="0.2">
      <c r="A55" s="145">
        <v>2017</v>
      </c>
      <c r="B55" s="146">
        <v>325.20603</v>
      </c>
      <c r="C55" s="147">
        <v>669.20436000000007</v>
      </c>
      <c r="D55" s="147">
        <v>40.571680194245197</v>
      </c>
      <c r="E55" s="148">
        <v>641.99225999999999</v>
      </c>
      <c r="F55" s="148">
        <f t="shared" si="0"/>
        <v>1351.7683001942453</v>
      </c>
      <c r="G55" s="151">
        <v>2.3129608469968002</v>
      </c>
      <c r="H55" s="147">
        <v>559.48073999999997</v>
      </c>
      <c r="I55" s="147">
        <f t="shared" si="5"/>
        <v>789.9745993472485</v>
      </c>
      <c r="J55" s="191">
        <f t="shared" si="6"/>
        <v>2.4291511425764414</v>
      </c>
      <c r="K55" s="192">
        <f t="shared" si="7"/>
        <v>1.3346984299870557</v>
      </c>
      <c r="L55"/>
    </row>
    <row r="56" spans="1:12" ht="12" customHeight="1" x14ac:dyDescent="0.2">
      <c r="A56" s="145">
        <v>2018</v>
      </c>
      <c r="B56" s="146">
        <v>326.92397599999998</v>
      </c>
      <c r="C56" s="147">
        <v>603.33636000000013</v>
      </c>
      <c r="D56" s="147">
        <v>38.295063742535596</v>
      </c>
      <c r="E56" s="148">
        <v>559.48073999999997</v>
      </c>
      <c r="F56" s="148">
        <f t="shared" si="0"/>
        <v>1201.1121637425358</v>
      </c>
      <c r="G56" s="151">
        <v>0.79576490833839997</v>
      </c>
      <c r="H56" s="147">
        <v>431.00512000000003</v>
      </c>
      <c r="I56" s="147">
        <f t="shared" si="5"/>
        <v>769.31127883419731</v>
      </c>
      <c r="J56" s="191">
        <f t="shared" si="6"/>
        <v>2.3531809696153867</v>
      </c>
      <c r="K56" s="192">
        <f t="shared" si="7"/>
        <v>1.2929565767117508</v>
      </c>
      <c r="L56"/>
    </row>
    <row r="57" spans="1:12" ht="12" customHeight="1" x14ac:dyDescent="0.2">
      <c r="A57" s="145">
        <v>2019</v>
      </c>
      <c r="B57" s="146">
        <v>328.475998</v>
      </c>
      <c r="C57" s="210">
        <v>615.53712000000007</v>
      </c>
      <c r="D57" s="147">
        <v>36.165465947010397</v>
      </c>
      <c r="E57" s="211">
        <v>431.00512000000003</v>
      </c>
      <c r="F57" s="148">
        <f t="shared" si="0"/>
        <v>1082.7077059470105</v>
      </c>
      <c r="G57" s="151">
        <v>6.0803274536003995</v>
      </c>
      <c r="H57" s="210">
        <v>495.70794000000006</v>
      </c>
      <c r="I57" s="147">
        <f t="shared" si="5"/>
        <v>580.9194384934101</v>
      </c>
      <c r="J57" s="191">
        <f t="shared" si="6"/>
        <v>1.7685293355693223</v>
      </c>
      <c r="K57" s="192">
        <f t="shared" si="7"/>
        <v>0.97171941514797933</v>
      </c>
      <c r="L57"/>
    </row>
    <row r="58" spans="1:12" ht="12" customHeight="1" thickBot="1" x14ac:dyDescent="0.25">
      <c r="A58" s="207">
        <v>2020</v>
      </c>
      <c r="B58" s="208">
        <v>330.11398000000003</v>
      </c>
      <c r="C58" s="209" t="s">
        <v>2</v>
      </c>
      <c r="D58" s="209" t="s">
        <v>2</v>
      </c>
      <c r="E58" s="209" t="s">
        <v>2</v>
      </c>
      <c r="F58" s="209" t="s">
        <v>2</v>
      </c>
      <c r="G58" s="209" t="s">
        <v>2</v>
      </c>
      <c r="H58" s="209" t="s">
        <v>2</v>
      </c>
      <c r="I58" s="209" t="s">
        <v>2</v>
      </c>
      <c r="J58" s="209" t="s">
        <v>2</v>
      </c>
      <c r="K58" s="209" t="s">
        <v>2</v>
      </c>
      <c r="L58"/>
    </row>
    <row r="59" spans="1:12" ht="12" customHeight="1" thickTop="1" x14ac:dyDescent="0.2">
      <c r="A59" s="260" t="s">
        <v>4</v>
      </c>
      <c r="B59" s="261"/>
      <c r="C59" s="261"/>
      <c r="D59" s="261"/>
      <c r="E59" s="261"/>
      <c r="F59" s="261"/>
      <c r="G59" s="261"/>
      <c r="H59" s="261"/>
      <c r="I59" s="261"/>
      <c r="J59" s="261"/>
      <c r="K59" s="262"/>
      <c r="L59"/>
    </row>
    <row r="60" spans="1:12" ht="12" customHeight="1" x14ac:dyDescent="0.2">
      <c r="A60" s="315" t="s">
        <v>92</v>
      </c>
      <c r="B60" s="316"/>
      <c r="C60" s="316"/>
      <c r="D60" s="316"/>
      <c r="E60" s="316"/>
      <c r="F60" s="316"/>
      <c r="G60" s="316"/>
      <c r="H60" s="316"/>
      <c r="I60" s="316"/>
      <c r="J60" s="316"/>
      <c r="K60" s="317"/>
      <c r="L60"/>
    </row>
    <row r="61" spans="1:12" ht="12" customHeight="1" x14ac:dyDescent="0.2">
      <c r="A61" s="308"/>
      <c r="B61" s="309"/>
      <c r="C61" s="309"/>
      <c r="D61" s="309"/>
      <c r="E61" s="309"/>
      <c r="F61" s="309"/>
      <c r="G61" s="309"/>
      <c r="H61" s="309"/>
      <c r="I61" s="309"/>
      <c r="J61" s="309"/>
      <c r="K61" s="310"/>
    </row>
    <row r="62" spans="1:12" ht="12" customHeight="1" x14ac:dyDescent="0.2">
      <c r="A62" s="299" t="s">
        <v>81</v>
      </c>
      <c r="B62" s="300"/>
      <c r="C62" s="300"/>
      <c r="D62" s="300"/>
      <c r="E62" s="300"/>
      <c r="F62" s="300"/>
      <c r="G62" s="300"/>
      <c r="H62" s="300"/>
      <c r="I62" s="300"/>
      <c r="J62" s="300"/>
      <c r="K62" s="301"/>
    </row>
    <row r="63" spans="1:12" ht="12" customHeight="1" x14ac:dyDescent="0.2">
      <c r="A63" s="299"/>
      <c r="B63" s="300"/>
      <c r="C63" s="300"/>
      <c r="D63" s="300"/>
      <c r="E63" s="300"/>
      <c r="F63" s="300"/>
      <c r="G63" s="300"/>
      <c r="H63" s="300"/>
      <c r="I63" s="300"/>
      <c r="J63" s="300"/>
      <c r="K63" s="301"/>
    </row>
    <row r="64" spans="1:12" ht="12" customHeight="1" x14ac:dyDescent="0.2">
      <c r="A64" s="299"/>
      <c r="B64" s="300"/>
      <c r="C64" s="300"/>
      <c r="D64" s="300"/>
      <c r="E64" s="300"/>
      <c r="F64" s="300"/>
      <c r="G64" s="300"/>
      <c r="H64" s="300"/>
      <c r="I64" s="300"/>
      <c r="J64" s="300"/>
      <c r="K64" s="301"/>
    </row>
    <row r="65" spans="1:12" ht="12" customHeight="1" x14ac:dyDescent="0.2">
      <c r="A65" s="299"/>
      <c r="B65" s="300"/>
      <c r="C65" s="300"/>
      <c r="D65" s="300"/>
      <c r="E65" s="300"/>
      <c r="F65" s="300"/>
      <c r="G65" s="300"/>
      <c r="H65" s="300"/>
      <c r="I65" s="300"/>
      <c r="J65" s="300"/>
      <c r="K65" s="301"/>
    </row>
    <row r="66" spans="1:12" ht="12" customHeight="1" x14ac:dyDescent="0.2">
      <c r="A66" s="320"/>
      <c r="B66" s="321"/>
      <c r="C66" s="321"/>
      <c r="D66" s="321"/>
      <c r="E66" s="321"/>
      <c r="F66" s="321"/>
      <c r="G66" s="321"/>
      <c r="H66" s="321"/>
      <c r="I66" s="321"/>
      <c r="J66" s="321"/>
      <c r="K66" s="322"/>
    </row>
    <row r="67" spans="1:12" ht="12" customHeight="1" x14ac:dyDescent="0.2">
      <c r="A67" s="299" t="s">
        <v>63</v>
      </c>
      <c r="B67" s="300"/>
      <c r="C67" s="300"/>
      <c r="D67" s="300"/>
      <c r="E67" s="300"/>
      <c r="F67" s="300"/>
      <c r="G67" s="300"/>
      <c r="H67" s="300"/>
      <c r="I67" s="300"/>
      <c r="J67" s="300"/>
      <c r="K67" s="301"/>
      <c r="L67" s="19"/>
    </row>
  </sheetData>
  <mergeCells count="24">
    <mergeCell ref="A59:K59"/>
    <mergeCell ref="J7:K7"/>
    <mergeCell ref="C7:I7"/>
    <mergeCell ref="F3:F6"/>
    <mergeCell ref="G3:G6"/>
    <mergeCell ref="C3:C6"/>
    <mergeCell ref="D3:D6"/>
    <mergeCell ref="J4:J6"/>
    <mergeCell ref="K4:K6"/>
    <mergeCell ref="A67:K67"/>
    <mergeCell ref="A62:K65"/>
    <mergeCell ref="A66:K66"/>
    <mergeCell ref="A61:K61"/>
    <mergeCell ref="A60:K60"/>
    <mergeCell ref="J1:K1"/>
    <mergeCell ref="A1:I1"/>
    <mergeCell ref="A2:A6"/>
    <mergeCell ref="B2:B6"/>
    <mergeCell ref="G2:H2"/>
    <mergeCell ref="I2:K2"/>
    <mergeCell ref="I3:I6"/>
    <mergeCell ref="J3:K3"/>
    <mergeCell ref="H3:H6"/>
    <mergeCell ref="E3:E6"/>
  </mergeCells>
  <phoneticPr fontId="5" type="noConversion"/>
  <printOptions horizontalCentered="1" verticalCentered="1"/>
  <pageMargins left="0.75" right="0.75" top="0.75" bottom="0.75" header="0.5" footer="0.5"/>
  <pageSetup scale="82"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2</vt:i4>
      </vt:variant>
    </vt:vector>
  </HeadingPairs>
  <TitlesOfParts>
    <vt:vector size="17" baseType="lpstr">
      <vt:lpstr>TableOfContents</vt:lpstr>
      <vt:lpstr>FarmPcc</vt:lpstr>
      <vt:lpstr>ProcPcc</vt:lpstr>
      <vt:lpstr>Total</vt:lpstr>
      <vt:lpstr>Asparagus</vt:lpstr>
      <vt:lpstr>LimaBeans</vt:lpstr>
      <vt:lpstr>SnapBeans</vt:lpstr>
      <vt:lpstr>Broccoli</vt:lpstr>
      <vt:lpstr>Carrots</vt:lpstr>
      <vt:lpstr>Cauliflower</vt:lpstr>
      <vt:lpstr>SweetCorn</vt:lpstr>
      <vt:lpstr>GreenPeas</vt:lpstr>
      <vt:lpstr>Potatoes</vt:lpstr>
      <vt:lpstr>Spinach</vt:lpstr>
      <vt:lpstr>MiscFrozen</vt:lpstr>
      <vt:lpstr>FarmPcc!Print_Area</vt:lpstr>
      <vt:lpstr>FarmPcc!Print_Titles</vt:lpstr>
    </vt:vector>
  </TitlesOfParts>
  <Manager/>
  <Company>USDA, Economic Research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Vegetables (frozen)</dc:title>
  <dc:subject>Agricultural Economics</dc:subject>
  <dc:creator>Andrzej Blazejczyk; Linda Kantor</dc:creator>
  <cp:keywords>Frozen vegetables, food consumption, food availability, per capita, asparagus, lima beans, snap beans, broccoli, carrots, cauliflower, sweet corn, green peas, potatoes, spinach, U.S. Department of Agriculture, USDA, Economic Research Service, ERS</cp:keywords>
  <dc:description>Vegetables for freezing, farm weight: Per capita availability</dc:description>
  <cp:lastModifiedBy>Martin, Anikka - REE-ERS, Kansas City, MO</cp:lastModifiedBy>
  <cp:lastPrinted>2012-04-10T18:43:22Z</cp:lastPrinted>
  <dcterms:created xsi:type="dcterms:W3CDTF">1999-07-08T18:17:22Z</dcterms:created>
  <dcterms:modified xsi:type="dcterms:W3CDTF">2022-09-21T19:53:12Z</dcterms:modified>
  <cp:category>Food Availability</cp:category>
</cp:coreProperties>
</file>