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F:\ABE_205\"/>
    </mc:Choice>
  </mc:AlternateContent>
  <xr:revisionPtr revIDLastSave="0" documentId="13_ncr:1_{42F4159A-8AA2-4AA6-B9B5-2BB9F12BA551}" xr6:coauthVersionLast="47" xr6:coauthVersionMax="47" xr10:uidLastSave="{00000000-0000-0000-0000-000000000000}"/>
  <bookViews>
    <workbookView xWindow="23880" yWindow="-120" windowWidth="24240" windowHeight="13140" xr2:uid="{00000000-000D-0000-FFFF-FFFF00000000}"/>
  </bookViews>
  <sheets>
    <sheet name="data" sheetId="1" r:id="rId1"/>
  </sheets>
  <definedNames>
    <definedName name="_xlnm._FilterDatabase" localSheetId="0" hidden="1">data!$A$1:$O$1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</calcChain>
</file>

<file path=xl/sharedStrings.xml><?xml version="1.0" encoding="utf-8"?>
<sst xmlns="http://schemas.openxmlformats.org/spreadsheetml/2006/main" count="38584" uniqueCount="7248">
  <si>
    <t>Id</t>
  </si>
  <si>
    <t>Pdf Link</t>
  </si>
  <si>
    <t>Year</t>
  </si>
  <si>
    <t>Nebraska Test Number</t>
  </si>
  <si>
    <t>Nebraska Summary Number</t>
  </si>
  <si>
    <t>Manufacturer</t>
  </si>
  <si>
    <t>Make</t>
  </si>
  <si>
    <t>Model</t>
  </si>
  <si>
    <t>Transmission</t>
  </si>
  <si>
    <t>Chassis</t>
  </si>
  <si>
    <t>Fuel</t>
  </si>
  <si>
    <t>PTO HP</t>
  </si>
  <si>
    <t>Belt HP</t>
  </si>
  <si>
    <t>Drawbar HP</t>
  </si>
  <si>
    <t>Remarks</t>
  </si>
  <si>
    <t>2261</t>
  </si>
  <si>
    <t>S1224</t>
  </si>
  <si>
    <t>John Deere</t>
  </si>
  <si>
    <t>6140M</t>
  </si>
  <si>
    <t>PRPS 4</t>
  </si>
  <si>
    <t>FWA</t>
  </si>
  <si>
    <t>D</t>
  </si>
  <si>
    <t>112.0</t>
  </si>
  <si>
    <t>110.0</t>
  </si>
  <si>
    <t/>
  </si>
  <si>
    <t>2260</t>
  </si>
  <si>
    <t>S1223</t>
  </si>
  <si>
    <t>9R 490</t>
  </si>
  <si>
    <t>PSH</t>
  </si>
  <si>
    <t>4WD</t>
  </si>
  <si>
    <t>321.0</t>
  </si>
  <si>
    <t>382.0</t>
  </si>
  <si>
    <t>partial power PTO</t>
  </si>
  <si>
    <t>2259</t>
  </si>
  <si>
    <t>S1222</t>
  </si>
  <si>
    <t>9R 440</t>
  </si>
  <si>
    <t>340.0</t>
  </si>
  <si>
    <t>2258</t>
  </si>
  <si>
    <t>S1221</t>
  </si>
  <si>
    <t>9R 390</t>
  </si>
  <si>
    <t>323.0</t>
  </si>
  <si>
    <t>296.0</t>
  </si>
  <si>
    <t>2257</t>
  </si>
  <si>
    <t>S1220</t>
  </si>
  <si>
    <t>5125M</t>
  </si>
  <si>
    <t>109.0</t>
  </si>
  <si>
    <t>100.0</t>
  </si>
  <si>
    <t>2256</t>
  </si>
  <si>
    <t>S1219</t>
  </si>
  <si>
    <t>5115M</t>
  </si>
  <si>
    <t>MAN</t>
  </si>
  <si>
    <t>101.0</t>
  </si>
  <si>
    <t>96.0</t>
  </si>
  <si>
    <t>2255</t>
  </si>
  <si>
    <t>5100M</t>
  </si>
  <si>
    <t>86.0</t>
  </si>
  <si>
    <t>2254</t>
  </si>
  <si>
    <t>5090M</t>
  </si>
  <si>
    <t>75.0</t>
  </si>
  <si>
    <t>2241</t>
  </si>
  <si>
    <t>S1201</t>
  </si>
  <si>
    <t>Versatile</t>
  </si>
  <si>
    <t>Kubota</t>
  </si>
  <si>
    <t>M8-251</t>
  </si>
  <si>
    <t>CVT</t>
  </si>
  <si>
    <t>224.0</t>
  </si>
  <si>
    <t>198.0</t>
  </si>
  <si>
    <t>2240</t>
  </si>
  <si>
    <t>S1200</t>
  </si>
  <si>
    <t>M8-231</t>
  </si>
  <si>
    <t>213.0</t>
  </si>
  <si>
    <t>183.0</t>
  </si>
  <si>
    <t>2239</t>
  </si>
  <si>
    <t>S1199</t>
  </si>
  <si>
    <t>M8-211</t>
  </si>
  <si>
    <t>200.0</t>
  </si>
  <si>
    <t>171.0</t>
  </si>
  <si>
    <t>2253</t>
  </si>
  <si>
    <t>S1213</t>
  </si>
  <si>
    <t>9RX 590</t>
  </si>
  <si>
    <t>4TD</t>
  </si>
  <si>
    <t>320.0</t>
  </si>
  <si>
    <t>453.0</t>
  </si>
  <si>
    <t xml:space="preserve"> four track chassis, partial power PTO</t>
  </si>
  <si>
    <t>2252</t>
  </si>
  <si>
    <t>S1212</t>
  </si>
  <si>
    <t>9RX 540</t>
  </si>
  <si>
    <t>319.0</t>
  </si>
  <si>
    <t>409.0</t>
  </si>
  <si>
    <t>2251</t>
  </si>
  <si>
    <t>S1211</t>
  </si>
  <si>
    <t>9RX 490</t>
  </si>
  <si>
    <t>374.0</t>
  </si>
  <si>
    <t>2250</t>
  </si>
  <si>
    <t>S1210</t>
  </si>
  <si>
    <t>9RT 570</t>
  </si>
  <si>
    <t>Crawler</t>
  </si>
  <si>
    <t>307.0</t>
  </si>
  <si>
    <t>443.0</t>
  </si>
  <si>
    <t xml:space="preserve"> partial power PTO</t>
  </si>
  <si>
    <t>2249</t>
  </si>
  <si>
    <t>S1209</t>
  </si>
  <si>
    <t>9RT 540</t>
  </si>
  <si>
    <t>304.0</t>
  </si>
  <si>
    <t>403.0</t>
  </si>
  <si>
    <t>2248</t>
  </si>
  <si>
    <t>S1208</t>
  </si>
  <si>
    <t>9RT 470</t>
  </si>
  <si>
    <t>305.0</t>
  </si>
  <si>
    <t>361.0</t>
  </si>
  <si>
    <t>S1218</t>
  </si>
  <si>
    <t>AGCO</t>
  </si>
  <si>
    <t>Fendt</t>
  </si>
  <si>
    <t>724 Vario</t>
  </si>
  <si>
    <t>204.0</t>
  </si>
  <si>
    <t>175.0</t>
  </si>
  <si>
    <t>S1217</t>
  </si>
  <si>
    <t>718 Vario</t>
  </si>
  <si>
    <t>152.0</t>
  </si>
  <si>
    <t>131.0</t>
  </si>
  <si>
    <t>S1216</t>
  </si>
  <si>
    <t>714 Vario</t>
  </si>
  <si>
    <t>116.0</t>
  </si>
  <si>
    <t>98.0</t>
  </si>
  <si>
    <t>S1215</t>
  </si>
  <si>
    <t>314 Vario</t>
  </si>
  <si>
    <t>123.0</t>
  </si>
  <si>
    <t>102.0</t>
  </si>
  <si>
    <t>S1214</t>
  </si>
  <si>
    <t>313 Vario</t>
  </si>
  <si>
    <t>105.0</t>
  </si>
  <si>
    <t>93.0</t>
  </si>
  <si>
    <t>2243A</t>
  </si>
  <si>
    <t>S1203A</t>
  </si>
  <si>
    <t>CNH Industrial America</t>
  </si>
  <si>
    <t>New Holland</t>
  </si>
  <si>
    <t>T8 435 Ultra Command Smartrax</t>
  </si>
  <si>
    <t>half track</t>
  </si>
  <si>
    <t>350.0</t>
  </si>
  <si>
    <t>294.0</t>
  </si>
  <si>
    <t>tested as Case IH Magnum 400 Rowtrac</t>
  </si>
  <si>
    <t>2242A</t>
  </si>
  <si>
    <t>S1202A</t>
  </si>
  <si>
    <t>T8 435 Ultra Command</t>
  </si>
  <si>
    <t>309.0</t>
  </si>
  <si>
    <t>tested as Case IH Mgnum 400</t>
  </si>
  <si>
    <t>2179A</t>
  </si>
  <si>
    <t>S1103A</t>
  </si>
  <si>
    <t>7R 210</t>
  </si>
  <si>
    <t>182.0</t>
  </si>
  <si>
    <t>170.0</t>
  </si>
  <si>
    <t>e23 Transmisssion, tested as John Deere 7210R</t>
  </si>
  <si>
    <t>2090A</t>
  </si>
  <si>
    <t>S939A</t>
  </si>
  <si>
    <t>7R 230</t>
  </si>
  <si>
    <t>179.0</t>
  </si>
  <si>
    <t>e23 Transmisssion, tested as John Deere 7230R</t>
  </si>
  <si>
    <t>2085A</t>
  </si>
  <si>
    <t>S934A</t>
  </si>
  <si>
    <t>7R 250</t>
  </si>
  <si>
    <t>214.0</t>
  </si>
  <si>
    <t>191.0</t>
  </si>
  <si>
    <t>e23 Transmisssion, tested as John Deere 7250R</t>
  </si>
  <si>
    <t>2084A</t>
  </si>
  <si>
    <t>S933A</t>
  </si>
  <si>
    <t>7R 270</t>
  </si>
  <si>
    <t>227.0</t>
  </si>
  <si>
    <t>203.0</t>
  </si>
  <si>
    <t>e23 Transmisssion, tested as John Deere 7270R</t>
  </si>
  <si>
    <t>2247</t>
  </si>
  <si>
    <t>S1207</t>
  </si>
  <si>
    <t>1167 Vario MT</t>
  </si>
  <si>
    <t>598.0</t>
  </si>
  <si>
    <t>490.0</t>
  </si>
  <si>
    <t>2246</t>
  </si>
  <si>
    <t>S1206</t>
  </si>
  <si>
    <t>1162 Vario MT</t>
  </si>
  <si>
    <t>575.0</t>
  </si>
  <si>
    <t>476.0</t>
  </si>
  <si>
    <t>2245</t>
  </si>
  <si>
    <t>S1205</t>
  </si>
  <si>
    <t>1156 Vario MT</t>
  </si>
  <si>
    <t>520.0</t>
  </si>
  <si>
    <t>436.0</t>
  </si>
  <si>
    <t>2244</t>
  </si>
  <si>
    <t>S1204</t>
  </si>
  <si>
    <t>1151 Vario MT</t>
  </si>
  <si>
    <t>477.0</t>
  </si>
  <si>
    <t>398.0</t>
  </si>
  <si>
    <t>2243</t>
  </si>
  <si>
    <t>S1203</t>
  </si>
  <si>
    <t>Case-IH</t>
  </si>
  <si>
    <t>Magnum 400 RowTrac</t>
  </si>
  <si>
    <t>2242</t>
  </si>
  <si>
    <t>S1202</t>
  </si>
  <si>
    <t>Magnum 400</t>
  </si>
  <si>
    <t>2238</t>
  </si>
  <si>
    <t>S1190</t>
  </si>
  <si>
    <t>7R 350</t>
  </si>
  <si>
    <t>271.0</t>
  </si>
  <si>
    <t>263.0</t>
  </si>
  <si>
    <t>2237</t>
  </si>
  <si>
    <t>S1189</t>
  </si>
  <si>
    <t>8RX 340</t>
  </si>
  <si>
    <t>FTA</t>
  </si>
  <si>
    <t>312.0</t>
  </si>
  <si>
    <t>261.0</t>
  </si>
  <si>
    <t>e23 Transmission, four track chassis</t>
  </si>
  <si>
    <t>2236</t>
  </si>
  <si>
    <t>S1188</t>
  </si>
  <si>
    <t>8RX 310</t>
  </si>
  <si>
    <t>284.0</t>
  </si>
  <si>
    <t>237.0</t>
  </si>
  <si>
    <t>2235</t>
  </si>
  <si>
    <t>S1187</t>
  </si>
  <si>
    <t>8RT 340</t>
  </si>
  <si>
    <t>250.0</t>
  </si>
  <si>
    <t>e23 Transmission</t>
  </si>
  <si>
    <t>2234</t>
  </si>
  <si>
    <t>S1186</t>
  </si>
  <si>
    <t>8RT 310</t>
  </si>
  <si>
    <t>268.0</t>
  </si>
  <si>
    <t>234.0</t>
  </si>
  <si>
    <t>2233</t>
  </si>
  <si>
    <t>S1185</t>
  </si>
  <si>
    <t>8R 310</t>
  </si>
  <si>
    <t>280.0</t>
  </si>
  <si>
    <t>249.0</t>
  </si>
  <si>
    <t>2232</t>
  </si>
  <si>
    <t>S1184</t>
  </si>
  <si>
    <t>8R 280</t>
  </si>
  <si>
    <t>253.0</t>
  </si>
  <si>
    <t>225.0</t>
  </si>
  <si>
    <t>2231</t>
  </si>
  <si>
    <t>S1183</t>
  </si>
  <si>
    <t>8R 250</t>
  </si>
  <si>
    <t>2230</t>
  </si>
  <si>
    <t>S1182</t>
  </si>
  <si>
    <t>8R 230</t>
  </si>
  <si>
    <t>2229</t>
  </si>
  <si>
    <t>S1176</t>
  </si>
  <si>
    <t>CLAAS - Germany</t>
  </si>
  <si>
    <t>CLAAS</t>
  </si>
  <si>
    <t>Xerion 5000 T5</t>
  </si>
  <si>
    <t>serial numbers 784 00011 and higher</t>
  </si>
  <si>
    <t>S1193</t>
  </si>
  <si>
    <t>6130M</t>
  </si>
  <si>
    <t>94.0</t>
  </si>
  <si>
    <t>FT4, Engine Serial #4045U and Higher</t>
  </si>
  <si>
    <t>S1150A</t>
  </si>
  <si>
    <t>1050</t>
  </si>
  <si>
    <t>483.0</t>
  </si>
  <si>
    <t>413.0</t>
  </si>
  <si>
    <t>S1149A</t>
  </si>
  <si>
    <t>1046</t>
  </si>
  <si>
    <t>S1148A</t>
  </si>
  <si>
    <t>1042</t>
  </si>
  <si>
    <t>348.0</t>
  </si>
  <si>
    <t>S1147A</t>
  </si>
  <si>
    <t>1038</t>
  </si>
  <si>
    <t>365.0</t>
  </si>
  <si>
    <t>316.0</t>
  </si>
  <si>
    <t>2228</t>
  </si>
  <si>
    <t>S1175</t>
  </si>
  <si>
    <t>8RX 410</t>
  </si>
  <si>
    <t>338.0</t>
  </si>
  <si>
    <t>314.0</t>
  </si>
  <si>
    <t>e23 Transmission, four track chassis, partial power PTO</t>
  </si>
  <si>
    <t>2227</t>
  </si>
  <si>
    <t>S1174</t>
  </si>
  <si>
    <t>8RX 370</t>
  </si>
  <si>
    <t>341.0</t>
  </si>
  <si>
    <t>2226</t>
  </si>
  <si>
    <t>S1173</t>
  </si>
  <si>
    <t>8RT 410</t>
  </si>
  <si>
    <t>310.0</t>
  </si>
  <si>
    <t>e23 Transmission, partial power PTO</t>
  </si>
  <si>
    <t>2225</t>
  </si>
  <si>
    <t>S1172</t>
  </si>
  <si>
    <t>8RT 370</t>
  </si>
  <si>
    <t>324.0</t>
  </si>
  <si>
    <t>283.0</t>
  </si>
  <si>
    <t>2224</t>
  </si>
  <si>
    <t>S1171</t>
  </si>
  <si>
    <t>8R 410</t>
  </si>
  <si>
    <t>339.0</t>
  </si>
  <si>
    <t>330.0</t>
  </si>
  <si>
    <t>e23 Transmisssion, partial power PTO</t>
  </si>
  <si>
    <t>2223</t>
  </si>
  <si>
    <t>S1170</t>
  </si>
  <si>
    <t>8R 370</t>
  </si>
  <si>
    <t>325.0</t>
  </si>
  <si>
    <t>2222</t>
  </si>
  <si>
    <t>S1169</t>
  </si>
  <si>
    <t>8R 340</t>
  </si>
  <si>
    <t>303.0</t>
  </si>
  <si>
    <t>267.0</t>
  </si>
  <si>
    <t>e23 Transmisssion</t>
  </si>
  <si>
    <t>2221</t>
  </si>
  <si>
    <t>S1168</t>
  </si>
  <si>
    <t>7R 330</t>
  </si>
  <si>
    <t>264.0</t>
  </si>
  <si>
    <t>2220</t>
  </si>
  <si>
    <t>S1167</t>
  </si>
  <si>
    <t>7R 310</t>
  </si>
  <si>
    <t>273.0</t>
  </si>
  <si>
    <t>246.0</t>
  </si>
  <si>
    <t>2219</t>
  </si>
  <si>
    <t>S1166</t>
  </si>
  <si>
    <t>7R 290</t>
  </si>
  <si>
    <t>255.0</t>
  </si>
  <si>
    <t>231.0</t>
  </si>
  <si>
    <t>2218</t>
  </si>
  <si>
    <t>S1165</t>
  </si>
  <si>
    <t>M8-201</t>
  </si>
  <si>
    <t>164.0</t>
  </si>
  <si>
    <t>2217</t>
  </si>
  <si>
    <t>S1164</t>
  </si>
  <si>
    <t>M8-181</t>
  </si>
  <si>
    <t>163.0</t>
  </si>
  <si>
    <t>158.0</t>
  </si>
  <si>
    <t>S1198</t>
  </si>
  <si>
    <t>Withdrawn</t>
  </si>
  <si>
    <t>S1197</t>
  </si>
  <si>
    <t>6195M</t>
  </si>
  <si>
    <t>147.0</t>
  </si>
  <si>
    <t>S1196</t>
  </si>
  <si>
    <t>6175M</t>
  </si>
  <si>
    <t>146.0</t>
  </si>
  <si>
    <t>134.0</t>
  </si>
  <si>
    <t>S1195</t>
  </si>
  <si>
    <t>6155M</t>
  </si>
  <si>
    <t>130.0</t>
  </si>
  <si>
    <t>118.0</t>
  </si>
  <si>
    <t>S1194</t>
  </si>
  <si>
    <t>6145M</t>
  </si>
  <si>
    <t>115.0</t>
  </si>
  <si>
    <t>S1192</t>
  </si>
  <si>
    <t>6120M</t>
  </si>
  <si>
    <t>95.0</t>
  </si>
  <si>
    <t>87.0</t>
  </si>
  <si>
    <t>S1191</t>
  </si>
  <si>
    <t>6110M</t>
  </si>
  <si>
    <t>84.0</t>
  </si>
  <si>
    <t>80.0</t>
  </si>
  <si>
    <t>2209A</t>
  </si>
  <si>
    <t>CNH Industrial - India</t>
  </si>
  <si>
    <t>Workmaster 70</t>
  </si>
  <si>
    <t>2WD</t>
  </si>
  <si>
    <t>64.0</t>
  </si>
  <si>
    <t xml:space="preserve">tested as Case IH Farmall 70A </t>
  </si>
  <si>
    <t>2208A</t>
  </si>
  <si>
    <t>Workmaster 60</t>
  </si>
  <si>
    <t>58.0</t>
  </si>
  <si>
    <t>tested as Case IH Farmall 60A</t>
  </si>
  <si>
    <t>2216</t>
  </si>
  <si>
    <t>S1163</t>
  </si>
  <si>
    <t>Kubota - France</t>
  </si>
  <si>
    <t>M7-172</t>
  </si>
  <si>
    <t>126.0</t>
  </si>
  <si>
    <t>2215</t>
  </si>
  <si>
    <t>S1162</t>
  </si>
  <si>
    <t>M7-152</t>
  </si>
  <si>
    <t>125.0</t>
  </si>
  <si>
    <t>108.0</t>
  </si>
  <si>
    <t>2214</t>
  </si>
  <si>
    <t>S1161</t>
  </si>
  <si>
    <t>M7-132</t>
  </si>
  <si>
    <t>104.0</t>
  </si>
  <si>
    <t>2213</t>
  </si>
  <si>
    <t>2212</t>
  </si>
  <si>
    <t>2211</t>
  </si>
  <si>
    <t>S1157</t>
  </si>
  <si>
    <t>5125ML</t>
  </si>
  <si>
    <t>113.0</t>
  </si>
  <si>
    <t>97.0</t>
  </si>
  <si>
    <t>2210</t>
  </si>
  <si>
    <t>5090E</t>
  </si>
  <si>
    <t>77.0</t>
  </si>
  <si>
    <t>2209</t>
  </si>
  <si>
    <t>Farmall 70A</t>
  </si>
  <si>
    <t>2208</t>
  </si>
  <si>
    <t>Farmall 60A</t>
  </si>
  <si>
    <t>S1181</t>
  </si>
  <si>
    <t>AGCO Germany</t>
  </si>
  <si>
    <t>942 Gen 6</t>
  </si>
  <si>
    <t>371.0</t>
  </si>
  <si>
    <t>318.0</t>
  </si>
  <si>
    <t>S1180</t>
  </si>
  <si>
    <t>939 Gen 6</t>
  </si>
  <si>
    <t>346.0</t>
  </si>
  <si>
    <t>S1179</t>
  </si>
  <si>
    <t>936 Gen6</t>
  </si>
  <si>
    <t>275.0</t>
  </si>
  <si>
    <t>S1178</t>
  </si>
  <si>
    <t>933 Gen 6</t>
  </si>
  <si>
    <t>287.0</t>
  </si>
  <si>
    <t>S1177</t>
  </si>
  <si>
    <t>930 Gen 6</t>
  </si>
  <si>
    <t>258.0</t>
  </si>
  <si>
    <t>222.0</t>
  </si>
  <si>
    <t>S1160</t>
  </si>
  <si>
    <t>157.0</t>
  </si>
  <si>
    <t>2200A</t>
  </si>
  <si>
    <t>56.0</t>
  </si>
  <si>
    <t>tested as Case IH Farmall 70A</t>
  </si>
  <si>
    <t>2199A</t>
  </si>
  <si>
    <t>47.0</t>
  </si>
  <si>
    <t>2190A</t>
  </si>
  <si>
    <t>Workmaster 50</t>
  </si>
  <si>
    <t>46.0</t>
  </si>
  <si>
    <t>tested as Case IH Farmall 50A</t>
  </si>
  <si>
    <t>2207</t>
  </si>
  <si>
    <t>S1156</t>
  </si>
  <si>
    <t>Challenger</t>
  </si>
  <si>
    <t>MT743</t>
  </si>
  <si>
    <t>373.0</t>
  </si>
  <si>
    <t>2206</t>
  </si>
  <si>
    <t>S1155</t>
  </si>
  <si>
    <t>MT740</t>
  </si>
  <si>
    <t>345.0</t>
  </si>
  <si>
    <t>285.0</t>
  </si>
  <si>
    <t>2205</t>
  </si>
  <si>
    <t>S1154</t>
  </si>
  <si>
    <t>MT738</t>
  </si>
  <si>
    <t>2204</t>
  </si>
  <si>
    <t>2203</t>
  </si>
  <si>
    <t>S1153</t>
  </si>
  <si>
    <t>9420RX</t>
  </si>
  <si>
    <t>302.0</t>
  </si>
  <si>
    <t>4WD With Tracks, partial power PTO</t>
  </si>
  <si>
    <t>2202</t>
  </si>
  <si>
    <t>S1152</t>
  </si>
  <si>
    <t>6215R AutoQuad-Plus</t>
  </si>
  <si>
    <t>184.0</t>
  </si>
  <si>
    <t>Chassis Serial No. 1RW6215REJD033673 and higher</t>
  </si>
  <si>
    <t>2201</t>
  </si>
  <si>
    <t>S1151</t>
  </si>
  <si>
    <t>6195R AutoQuad-Plus</t>
  </si>
  <si>
    <t>154.0</t>
  </si>
  <si>
    <t>Chassis Serial No. 1RW6195RVJT033626 and higher</t>
  </si>
  <si>
    <t>2200</t>
  </si>
  <si>
    <t>2199</t>
  </si>
  <si>
    <t>2198</t>
  </si>
  <si>
    <t>S1146</t>
  </si>
  <si>
    <t>5125R</t>
  </si>
  <si>
    <t>114.0</t>
  </si>
  <si>
    <t>PFC</t>
  </si>
  <si>
    <t>2197</t>
  </si>
  <si>
    <t>S1145</t>
  </si>
  <si>
    <t>Open center</t>
  </si>
  <si>
    <t>2196</t>
  </si>
  <si>
    <t>S1144</t>
  </si>
  <si>
    <t>5115R</t>
  </si>
  <si>
    <t>92.0</t>
  </si>
  <si>
    <t>2195</t>
  </si>
  <si>
    <t>S1143</t>
  </si>
  <si>
    <t>91.0</t>
  </si>
  <si>
    <t>2194</t>
  </si>
  <si>
    <t>5100R</t>
  </si>
  <si>
    <t>2193</t>
  </si>
  <si>
    <t>88.0</t>
  </si>
  <si>
    <t>2192</t>
  </si>
  <si>
    <t>5090R</t>
  </si>
  <si>
    <t>2191</t>
  </si>
  <si>
    <t>2190</t>
  </si>
  <si>
    <t>Farmall 50A</t>
  </si>
  <si>
    <t>S1158</t>
  </si>
  <si>
    <t>6230R</t>
  </si>
  <si>
    <t>181.0</t>
  </si>
  <si>
    <t>S1150</t>
  </si>
  <si>
    <t>2189</t>
  </si>
  <si>
    <t>S1091</t>
  </si>
  <si>
    <t>M7-151</t>
  </si>
  <si>
    <t>140.0</t>
  </si>
  <si>
    <t>122.0</t>
  </si>
  <si>
    <t>2188</t>
  </si>
  <si>
    <t>S1119</t>
  </si>
  <si>
    <t>CASE</t>
  </si>
  <si>
    <t>Steiger 540 Quadtrac</t>
  </si>
  <si>
    <t>480.0</t>
  </si>
  <si>
    <t>423.0</t>
  </si>
  <si>
    <t>2187</t>
  </si>
  <si>
    <t>S1118</t>
  </si>
  <si>
    <t>Steiger 500 Quadtrac</t>
  </si>
  <si>
    <t>452.0</t>
  </si>
  <si>
    <t>2186</t>
  </si>
  <si>
    <t>S1117</t>
  </si>
  <si>
    <t>Steiger 470 Quadtrac</t>
  </si>
  <si>
    <t>422.0</t>
  </si>
  <si>
    <t>372.0</t>
  </si>
  <si>
    <t>2185</t>
  </si>
  <si>
    <t>S1116</t>
  </si>
  <si>
    <t>Steiger 470 Rowtrac</t>
  </si>
  <si>
    <t>419.0</t>
  </si>
  <si>
    <t>364.0</t>
  </si>
  <si>
    <t>2184</t>
  </si>
  <si>
    <t>S1115</t>
  </si>
  <si>
    <t>Steiger 420 Rowtrac</t>
  </si>
  <si>
    <t>368.0</t>
  </si>
  <si>
    <t>2183</t>
  </si>
  <si>
    <t>S1107</t>
  </si>
  <si>
    <t>CLAAS - France</t>
  </si>
  <si>
    <t>Axion 880</t>
  </si>
  <si>
    <t>228.0</t>
  </si>
  <si>
    <t>192.0</t>
  </si>
  <si>
    <t>2182</t>
  </si>
  <si>
    <t>S1106</t>
  </si>
  <si>
    <t>Axion 860</t>
  </si>
  <si>
    <t>233.0</t>
  </si>
  <si>
    <t>195.0</t>
  </si>
  <si>
    <t>2181</t>
  </si>
  <si>
    <t>S1105</t>
  </si>
  <si>
    <t>Axion 840</t>
  </si>
  <si>
    <t>217.0</t>
  </si>
  <si>
    <t>188.0</t>
  </si>
  <si>
    <t>2180</t>
  </si>
  <si>
    <t>S1104</t>
  </si>
  <si>
    <t>Axion 820</t>
  </si>
  <si>
    <t>199.0</t>
  </si>
  <si>
    <t>168.0</t>
  </si>
  <si>
    <t>2179</t>
  </si>
  <si>
    <t>S1103</t>
  </si>
  <si>
    <t>7210R</t>
  </si>
  <si>
    <t>2178</t>
  </si>
  <si>
    <t>S1092</t>
  </si>
  <si>
    <t>M7-171</t>
  </si>
  <si>
    <t>145.0</t>
  </si>
  <si>
    <t>137.0</t>
  </si>
  <si>
    <t>2177</t>
  </si>
  <si>
    <t>2176</t>
  </si>
  <si>
    <t>S1090</t>
  </si>
  <si>
    <t>M7-131</t>
  </si>
  <si>
    <t>2175</t>
  </si>
  <si>
    <t>S1089</t>
  </si>
  <si>
    <t>Xerion 5000</t>
  </si>
  <si>
    <t>445.0</t>
  </si>
  <si>
    <t>404.0</t>
  </si>
  <si>
    <t>2174</t>
  </si>
  <si>
    <t>S1088</t>
  </si>
  <si>
    <t>9620RX</t>
  </si>
  <si>
    <t>315.0</t>
  </si>
  <si>
    <t>494.0</t>
  </si>
  <si>
    <t>2173</t>
  </si>
  <si>
    <t>S1087</t>
  </si>
  <si>
    <t>9570RX</t>
  </si>
  <si>
    <t>446.0</t>
  </si>
  <si>
    <t>2172</t>
  </si>
  <si>
    <t>S1086</t>
  </si>
  <si>
    <t>8400R</t>
  </si>
  <si>
    <t>S1159</t>
  </si>
  <si>
    <t>6250R</t>
  </si>
  <si>
    <t>210.0</t>
  </si>
  <si>
    <t>S1149</t>
  </si>
  <si>
    <t>S1148</t>
  </si>
  <si>
    <t>S1147</t>
  </si>
  <si>
    <t>S1142</t>
  </si>
  <si>
    <t>6130R</t>
  </si>
  <si>
    <t>111.0</t>
  </si>
  <si>
    <t>S1141</t>
  </si>
  <si>
    <t>6120R</t>
  </si>
  <si>
    <t>99.0</t>
  </si>
  <si>
    <t>90.0</t>
  </si>
  <si>
    <t>S1140</t>
  </si>
  <si>
    <t>6110R</t>
  </si>
  <si>
    <t>82.0</t>
  </si>
  <si>
    <t>S1112</t>
  </si>
  <si>
    <t>119.0</t>
  </si>
  <si>
    <t>S1111</t>
  </si>
  <si>
    <t>117.0</t>
  </si>
  <si>
    <t>S1110</t>
  </si>
  <si>
    <t>103.0</t>
  </si>
  <si>
    <t>S1109</t>
  </si>
  <si>
    <t>S1108</t>
  </si>
  <si>
    <t>81.0</t>
  </si>
  <si>
    <t>2164A</t>
  </si>
  <si>
    <t>S1045A</t>
  </si>
  <si>
    <t>CNH America</t>
  </si>
  <si>
    <t>T9.700</t>
  </si>
  <si>
    <t>531.0</t>
  </si>
  <si>
    <t>tested as Case IH Steiger 620, partial power PTO</t>
  </si>
  <si>
    <t>2162A</t>
  </si>
  <si>
    <t>S1043A</t>
  </si>
  <si>
    <t>T9.645</t>
  </si>
  <si>
    <t>495.0</t>
  </si>
  <si>
    <t>tested as Case IH Steiger 580, partial power PTO</t>
  </si>
  <si>
    <t>2159A</t>
  </si>
  <si>
    <t>S1040A</t>
  </si>
  <si>
    <t>CNH-Mexico</t>
  </si>
  <si>
    <t>Farmall 140A</t>
  </si>
  <si>
    <t>tested as New Holland TS6.140</t>
  </si>
  <si>
    <t>2158A</t>
  </si>
  <si>
    <t>S1039A</t>
  </si>
  <si>
    <t>TS6.130</t>
  </si>
  <si>
    <t>tested as Case IH Farmall 130A</t>
  </si>
  <si>
    <t>2157A</t>
  </si>
  <si>
    <t>S1038A</t>
  </si>
  <si>
    <t>TS6.120</t>
  </si>
  <si>
    <t>2156A</t>
  </si>
  <si>
    <t>S1037A</t>
  </si>
  <si>
    <t>Farmall 110A</t>
  </si>
  <si>
    <t>tested as New Holland TS6.110</t>
  </si>
  <si>
    <t>2150A</t>
  </si>
  <si>
    <t>S1013A</t>
  </si>
  <si>
    <t>T8.435 SmartTrax</t>
  </si>
  <si>
    <t>252.0</t>
  </si>
  <si>
    <t>2149A</t>
  </si>
  <si>
    <t>S1012A</t>
  </si>
  <si>
    <t>Magnum 340 Rowtrac</t>
  </si>
  <si>
    <t>251.0</t>
  </si>
  <si>
    <t>2148A</t>
  </si>
  <si>
    <t>S1011A</t>
  </si>
  <si>
    <t>T8.380 SmartTrax</t>
  </si>
  <si>
    <t>2171</t>
  </si>
  <si>
    <t>S1052</t>
  </si>
  <si>
    <t>9520RX</t>
  </si>
  <si>
    <t>397.0</t>
  </si>
  <si>
    <t>2170</t>
  </si>
  <si>
    <t>S1051</t>
  </si>
  <si>
    <t>9470RX</t>
  </si>
  <si>
    <t>352.0</t>
  </si>
  <si>
    <t>2169</t>
  </si>
  <si>
    <t>S1050</t>
  </si>
  <si>
    <t>MT875E</t>
  </si>
  <si>
    <t>504.0</t>
  </si>
  <si>
    <t>2168</t>
  </si>
  <si>
    <t>S1049</t>
  </si>
  <si>
    <t>MT865E</t>
  </si>
  <si>
    <t>451.0</t>
  </si>
  <si>
    <t>392.0</t>
  </si>
  <si>
    <t>2167</t>
  </si>
  <si>
    <t>S1048</t>
  </si>
  <si>
    <t>MT855E</t>
  </si>
  <si>
    <t>360.0</t>
  </si>
  <si>
    <t>2166</t>
  </si>
  <si>
    <t>S1047</t>
  </si>
  <si>
    <t>MT845E</t>
  </si>
  <si>
    <t>369.0</t>
  </si>
  <si>
    <t>2165</t>
  </si>
  <si>
    <t>S1046</t>
  </si>
  <si>
    <t>Steiger 620 Quadtrac</t>
  </si>
  <si>
    <t>479.0</t>
  </si>
  <si>
    <t>507.0</t>
  </si>
  <si>
    <t>2164</t>
  </si>
  <si>
    <t>S1045</t>
  </si>
  <si>
    <t>Steiger 620</t>
  </si>
  <si>
    <t>2163</t>
  </si>
  <si>
    <t>S1044</t>
  </si>
  <si>
    <t>Steiger 580 Quadtrac</t>
  </si>
  <si>
    <t>475.0</t>
  </si>
  <si>
    <t>460.0</t>
  </si>
  <si>
    <t>2162</t>
  </si>
  <si>
    <t>S1043</t>
  </si>
  <si>
    <t>Steiger 580</t>
  </si>
  <si>
    <t>2161</t>
  </si>
  <si>
    <t>S1042</t>
  </si>
  <si>
    <t>Steiger 500 Rowtrac</t>
  </si>
  <si>
    <t>449.0</t>
  </si>
  <si>
    <t>2160</t>
  </si>
  <si>
    <t>S1041</t>
  </si>
  <si>
    <t>Steiger 370 Rowtrac</t>
  </si>
  <si>
    <t>322.0</t>
  </si>
  <si>
    <t>2159</t>
  </si>
  <si>
    <t>S1040</t>
  </si>
  <si>
    <t>TS6.140</t>
  </si>
  <si>
    <t>2158</t>
  </si>
  <si>
    <t>S1039</t>
  </si>
  <si>
    <t>Farmall 130A</t>
  </si>
  <si>
    <t>2157</t>
  </si>
  <si>
    <t>S1038</t>
  </si>
  <si>
    <t>Farmall 120A</t>
  </si>
  <si>
    <t>2156</t>
  </si>
  <si>
    <t>S1037</t>
  </si>
  <si>
    <t>TS6.110</t>
  </si>
  <si>
    <t>2155</t>
  </si>
  <si>
    <t>S1036</t>
  </si>
  <si>
    <t>M6-141</t>
  </si>
  <si>
    <t>106.0</t>
  </si>
  <si>
    <t>2154</t>
  </si>
  <si>
    <t>S1035</t>
  </si>
  <si>
    <t>M6-131</t>
  </si>
  <si>
    <t>2153</t>
  </si>
  <si>
    <t>M6-111</t>
  </si>
  <si>
    <t>2152</t>
  </si>
  <si>
    <t>M5-111</t>
  </si>
  <si>
    <t>2151</t>
  </si>
  <si>
    <t>S1014</t>
  </si>
  <si>
    <t>Xerion 4500</t>
  </si>
  <si>
    <t>415.0</t>
  </si>
  <si>
    <t>375.0</t>
  </si>
  <si>
    <t>2150</t>
  </si>
  <si>
    <t>S1013</t>
  </si>
  <si>
    <t>Magnum 380 Rowtrac</t>
  </si>
  <si>
    <t>2149</t>
  </si>
  <si>
    <t>S1012</t>
  </si>
  <si>
    <t>T8.410 SmartTrax</t>
  </si>
  <si>
    <t>2148</t>
  </si>
  <si>
    <t>S1011</t>
  </si>
  <si>
    <t>Magnum 310 Rowtrac</t>
  </si>
  <si>
    <t>2147</t>
  </si>
  <si>
    <t>S1010</t>
  </si>
  <si>
    <t>6155R AutoQuad-Plus</t>
  </si>
  <si>
    <t>2146</t>
  </si>
  <si>
    <t>S1009</t>
  </si>
  <si>
    <t>6145R AutoQuad-Plus</t>
  </si>
  <si>
    <t>107.0</t>
  </si>
  <si>
    <t>2145</t>
  </si>
  <si>
    <t>S1008</t>
  </si>
  <si>
    <t>John Deere Mexico</t>
  </si>
  <si>
    <t>6135E</t>
  </si>
  <si>
    <t>2144</t>
  </si>
  <si>
    <t>S1007</t>
  </si>
  <si>
    <t>6120E</t>
  </si>
  <si>
    <t>89.0</t>
  </si>
  <si>
    <t>2143</t>
  </si>
  <si>
    <t>6105E</t>
  </si>
  <si>
    <t>83.0</t>
  </si>
  <si>
    <t>2142</t>
  </si>
  <si>
    <t>5100E</t>
  </si>
  <si>
    <t>Serial Number 400000 and higher</t>
  </si>
  <si>
    <t>2141</t>
  </si>
  <si>
    <t>5085E</t>
  </si>
  <si>
    <t>72.0</t>
  </si>
  <si>
    <t>2140</t>
  </si>
  <si>
    <t>5075E</t>
  </si>
  <si>
    <t>61.0</t>
  </si>
  <si>
    <t>Serial Numbers EXXXXXXX and higher</t>
  </si>
  <si>
    <t>2139</t>
  </si>
  <si>
    <t>63.0</t>
  </si>
  <si>
    <t>2138</t>
  </si>
  <si>
    <t>5065E</t>
  </si>
  <si>
    <t>59.0</t>
  </si>
  <si>
    <t>Serial Number EXXXXXXX and higher</t>
  </si>
  <si>
    <t>2137</t>
  </si>
  <si>
    <t>5055E</t>
  </si>
  <si>
    <t>50.0</t>
  </si>
  <si>
    <t>S1139</t>
  </si>
  <si>
    <t>CNH INDUSTRIAL</t>
  </si>
  <si>
    <t>NEW HOLLAND</t>
  </si>
  <si>
    <t>T4.120</t>
  </si>
  <si>
    <t>76.0</t>
  </si>
  <si>
    <t>S1138</t>
  </si>
  <si>
    <t>T4.110</t>
  </si>
  <si>
    <t>73.0</t>
  </si>
  <si>
    <t>S1137</t>
  </si>
  <si>
    <t>T4.100</t>
  </si>
  <si>
    <t>79.0</t>
  </si>
  <si>
    <t>66.0</t>
  </si>
  <si>
    <t>S1136</t>
  </si>
  <si>
    <t>T4.90</t>
  </si>
  <si>
    <t>51.0</t>
  </si>
  <si>
    <t>S1135</t>
  </si>
  <si>
    <t>CNH EUROPE</t>
  </si>
  <si>
    <t>FARMALL 120C</t>
  </si>
  <si>
    <t>S1134</t>
  </si>
  <si>
    <t>FARMALL 110C</t>
  </si>
  <si>
    <t>S1133</t>
  </si>
  <si>
    <t>FARMALL 100C</t>
  </si>
  <si>
    <t>S1132</t>
  </si>
  <si>
    <t>FARMALL 90C</t>
  </si>
  <si>
    <t>S1131</t>
  </si>
  <si>
    <t>T5.120</t>
  </si>
  <si>
    <t>S1130</t>
  </si>
  <si>
    <t>T5.110</t>
  </si>
  <si>
    <t>71.0</t>
  </si>
  <si>
    <t>S1129</t>
  </si>
  <si>
    <t>FARMALL 120U</t>
  </si>
  <si>
    <t>S1128</t>
  </si>
  <si>
    <t>FARMALL 110U</t>
  </si>
  <si>
    <t>S1127</t>
  </si>
  <si>
    <t>MT495E</t>
  </si>
  <si>
    <t>138.0</t>
  </si>
  <si>
    <t>S1125</t>
  </si>
  <si>
    <t>MT485E</t>
  </si>
  <si>
    <t>132.0</t>
  </si>
  <si>
    <t>S1124</t>
  </si>
  <si>
    <t>MT475E</t>
  </si>
  <si>
    <t>S1123</t>
  </si>
  <si>
    <t>Massey Ferguson</t>
  </si>
  <si>
    <t>6716S</t>
  </si>
  <si>
    <t>S1122</t>
  </si>
  <si>
    <t>6715S</t>
  </si>
  <si>
    <t>S1121</t>
  </si>
  <si>
    <t>S1120</t>
  </si>
  <si>
    <t>6714S</t>
  </si>
  <si>
    <t>S1114</t>
  </si>
  <si>
    <t>161.0</t>
  </si>
  <si>
    <t>148.0</t>
  </si>
  <si>
    <t>S1113</t>
  </si>
  <si>
    <t>149.0</t>
  </si>
  <si>
    <t>S1102</t>
  </si>
  <si>
    <t>T6.180</t>
  </si>
  <si>
    <t>S1101</t>
  </si>
  <si>
    <t>T6.175</t>
  </si>
  <si>
    <t>121.0</t>
  </si>
  <si>
    <t>S1100</t>
  </si>
  <si>
    <t>T6.165</t>
  </si>
  <si>
    <t>S1099</t>
  </si>
  <si>
    <t>T6.155</t>
  </si>
  <si>
    <t>S1098</t>
  </si>
  <si>
    <t>T6.145</t>
  </si>
  <si>
    <t>S1097</t>
  </si>
  <si>
    <t>MAXXUM 150</t>
  </si>
  <si>
    <t>S1096</t>
  </si>
  <si>
    <t>MAXXUM 145</t>
  </si>
  <si>
    <t>S1095</t>
  </si>
  <si>
    <t>MAXXUM 135</t>
  </si>
  <si>
    <t>S1094</t>
  </si>
  <si>
    <t>MAXXUM 125</t>
  </si>
  <si>
    <t>S1093</t>
  </si>
  <si>
    <t>MAXXUM 115</t>
  </si>
  <si>
    <t>S1085</t>
  </si>
  <si>
    <t>PUMA 240</t>
  </si>
  <si>
    <t>211.0</t>
  </si>
  <si>
    <t>173.0</t>
  </si>
  <si>
    <t>2nd PTO test - alt eng speed</t>
  </si>
  <si>
    <t>S1084</t>
  </si>
  <si>
    <t>PUMA 220</t>
  </si>
  <si>
    <t>156.0</t>
  </si>
  <si>
    <t>S1083</t>
  </si>
  <si>
    <t>PUMA 200</t>
  </si>
  <si>
    <t>176.0</t>
  </si>
  <si>
    <t>S1082</t>
  </si>
  <si>
    <t>PUMA 185</t>
  </si>
  <si>
    <t>159.0</t>
  </si>
  <si>
    <t>S1081</t>
  </si>
  <si>
    <t>Puma 165</t>
  </si>
  <si>
    <t>S1080</t>
  </si>
  <si>
    <t>PUMA 150</t>
  </si>
  <si>
    <t>S1079</t>
  </si>
  <si>
    <t>T7.270</t>
  </si>
  <si>
    <t>S1078</t>
  </si>
  <si>
    <t>T7.260</t>
  </si>
  <si>
    <t>185.0</t>
  </si>
  <si>
    <t>S1077</t>
  </si>
  <si>
    <t>T7.245</t>
  </si>
  <si>
    <t>167.0</t>
  </si>
  <si>
    <t>S1076</t>
  </si>
  <si>
    <t>T7.230</t>
  </si>
  <si>
    <t>143.0</t>
  </si>
  <si>
    <t>S1075</t>
  </si>
  <si>
    <t>T7.210</t>
  </si>
  <si>
    <t>129.0</t>
  </si>
  <si>
    <t>S1074</t>
  </si>
  <si>
    <t>T7.190</t>
  </si>
  <si>
    <t>S1073</t>
  </si>
  <si>
    <t>T7.175</t>
  </si>
  <si>
    <t>S1072</t>
  </si>
  <si>
    <t>MT545E</t>
  </si>
  <si>
    <t>S1071</t>
  </si>
  <si>
    <t>S1070</t>
  </si>
  <si>
    <t>MT535E</t>
  </si>
  <si>
    <t>S1069</t>
  </si>
  <si>
    <t>141.0</t>
  </si>
  <si>
    <t>S1068</t>
  </si>
  <si>
    <t>MT525E</t>
  </si>
  <si>
    <t>S1067</t>
  </si>
  <si>
    <t>S1066</t>
  </si>
  <si>
    <t>136.0</t>
  </si>
  <si>
    <t>S1065</t>
  </si>
  <si>
    <t>MT515E</t>
  </si>
  <si>
    <t>S1064A</t>
  </si>
  <si>
    <t>7718S</t>
  </si>
  <si>
    <t>S1064</t>
  </si>
  <si>
    <t>7718</t>
  </si>
  <si>
    <t>S1063A</t>
  </si>
  <si>
    <t>S1063</t>
  </si>
  <si>
    <t>S1062A</t>
  </si>
  <si>
    <t>7716S</t>
  </si>
  <si>
    <t>DYNA VT transmission</t>
  </si>
  <si>
    <t>S1062</t>
  </si>
  <si>
    <t>7716</t>
  </si>
  <si>
    <t>S1061A</t>
  </si>
  <si>
    <t>S1061</t>
  </si>
  <si>
    <t>S1060A</t>
  </si>
  <si>
    <t>7715S</t>
  </si>
  <si>
    <t>S1060</t>
  </si>
  <si>
    <t>7715</t>
  </si>
  <si>
    <t>S1059A</t>
  </si>
  <si>
    <t>S1059</t>
  </si>
  <si>
    <t>S1058A</t>
  </si>
  <si>
    <t>S1058</t>
  </si>
  <si>
    <t>S1057A</t>
  </si>
  <si>
    <t>7714S</t>
  </si>
  <si>
    <t>S1057</t>
  </si>
  <si>
    <t>7714</t>
  </si>
  <si>
    <t>S1056</t>
  </si>
  <si>
    <t>T7.315</t>
  </si>
  <si>
    <t>226.0</t>
  </si>
  <si>
    <t>tested as Case IH Optum 300</t>
  </si>
  <si>
    <t>S1055</t>
  </si>
  <si>
    <t>T7.290</t>
  </si>
  <si>
    <t>202.0</t>
  </si>
  <si>
    <t>tested as Case IH Optum 270</t>
  </si>
  <si>
    <t>S1054</t>
  </si>
  <si>
    <t>OPTUM 300 CVX</t>
  </si>
  <si>
    <t>S1053</t>
  </si>
  <si>
    <t>OPTUM 270 CVX</t>
  </si>
  <si>
    <t>S1034</t>
  </si>
  <si>
    <t>MT595E</t>
  </si>
  <si>
    <t>215.0</t>
  </si>
  <si>
    <t>166.0</t>
  </si>
  <si>
    <t>tested as Massey Ferguson 7726 Dyna VT</t>
  </si>
  <si>
    <t>S1033</t>
  </si>
  <si>
    <t>MT585E</t>
  </si>
  <si>
    <t>201.0</t>
  </si>
  <si>
    <t>tested as Massey Ferguson 7724 Dyna VT</t>
  </si>
  <si>
    <t>S1032</t>
  </si>
  <si>
    <t>MT575E</t>
  </si>
  <si>
    <t>142.0</t>
  </si>
  <si>
    <t>tested as Massey Ferguson 7722 Dyna VT</t>
  </si>
  <si>
    <t>S1031</t>
  </si>
  <si>
    <t>MT565E</t>
  </si>
  <si>
    <t>178.0</t>
  </si>
  <si>
    <t>tested as Massey Ferguson 7720 Dyna VT</t>
  </si>
  <si>
    <t>S1030</t>
  </si>
  <si>
    <t>MT555E</t>
  </si>
  <si>
    <t>tested as Massey Ferguson 7719 Dyna VT</t>
  </si>
  <si>
    <t>S1029A</t>
  </si>
  <si>
    <t>7726S</t>
  </si>
  <si>
    <t>S1029</t>
  </si>
  <si>
    <t>7726</t>
  </si>
  <si>
    <t>S1028A</t>
  </si>
  <si>
    <t>7724S</t>
  </si>
  <si>
    <t>S1028</t>
  </si>
  <si>
    <t>7724</t>
  </si>
  <si>
    <t>S1027A</t>
  </si>
  <si>
    <t>7722S</t>
  </si>
  <si>
    <t>S1027</t>
  </si>
  <si>
    <t>7722</t>
  </si>
  <si>
    <t>S1026A</t>
  </si>
  <si>
    <t>7720S Dyna VT</t>
  </si>
  <si>
    <t>S1026</t>
  </si>
  <si>
    <t>7720 Dyna VT</t>
  </si>
  <si>
    <t>S1025</t>
  </si>
  <si>
    <t>7719 Dyna VT</t>
  </si>
  <si>
    <t>S1021</t>
  </si>
  <si>
    <t>tested as Massey Ferguson 7720 Dyna 6</t>
  </si>
  <si>
    <t>S1020</t>
  </si>
  <si>
    <t>151.0</t>
  </si>
  <si>
    <t>tested as Massey Ferguson 7719 Dyna 6</t>
  </si>
  <si>
    <t>S1016A</t>
  </si>
  <si>
    <t>7720S Dyna 6</t>
  </si>
  <si>
    <t>S1016</t>
  </si>
  <si>
    <t>7720 Dyna 6</t>
  </si>
  <si>
    <t>S1015</t>
  </si>
  <si>
    <t>7719 Dyna 6</t>
  </si>
  <si>
    <t>2126A</t>
  </si>
  <si>
    <t>S982A</t>
  </si>
  <si>
    <t>T8.435</t>
  </si>
  <si>
    <t>274.0</t>
  </si>
  <si>
    <t>2125A</t>
  </si>
  <si>
    <t>S988A</t>
  </si>
  <si>
    <t>Magnum 340</t>
  </si>
  <si>
    <t>301.0</t>
  </si>
  <si>
    <t>259.0</t>
  </si>
  <si>
    <t>Serial Numbers ZERF04500 and higher</t>
  </si>
  <si>
    <t>2124A</t>
  </si>
  <si>
    <t>S987A</t>
  </si>
  <si>
    <t>CNH Industrial</t>
  </si>
  <si>
    <t>T8.380</t>
  </si>
  <si>
    <t>2123A</t>
  </si>
  <si>
    <t>S986A</t>
  </si>
  <si>
    <t>T8.350</t>
  </si>
  <si>
    <t>242.0</t>
  </si>
  <si>
    <t>2122A</t>
  </si>
  <si>
    <t>S985A</t>
  </si>
  <si>
    <t>Magnum 250</t>
  </si>
  <si>
    <t>2136</t>
  </si>
  <si>
    <t>S1006</t>
  </si>
  <si>
    <t>6175R AutoQuad-Plus</t>
  </si>
  <si>
    <t>2135</t>
  </si>
  <si>
    <t>S1005</t>
  </si>
  <si>
    <t>9620R</t>
  </si>
  <si>
    <t>2134</t>
  </si>
  <si>
    <t>S1004</t>
  </si>
  <si>
    <t>9570RT</t>
  </si>
  <si>
    <t>441.0</t>
  </si>
  <si>
    <t>2133</t>
  </si>
  <si>
    <t>S1003</t>
  </si>
  <si>
    <t>9570R</t>
  </si>
  <si>
    <t>313.0</t>
  </si>
  <si>
    <t>450.0</t>
  </si>
  <si>
    <t>2132</t>
  </si>
  <si>
    <t>S1002</t>
  </si>
  <si>
    <t>8370RT</t>
  </si>
  <si>
    <t>282.0</t>
  </si>
  <si>
    <t>2131</t>
  </si>
  <si>
    <t>S1001</t>
  </si>
  <si>
    <t>8370R</t>
  </si>
  <si>
    <t>333.0</t>
  </si>
  <si>
    <t>297.0</t>
  </si>
  <si>
    <t>2130</t>
  </si>
  <si>
    <t>S1000</t>
  </si>
  <si>
    <t>8345R</t>
  </si>
  <si>
    <t>276.0</t>
  </si>
  <si>
    <t>2129</t>
  </si>
  <si>
    <t>S999</t>
  </si>
  <si>
    <t>8320RT</t>
  </si>
  <si>
    <t>278.0</t>
  </si>
  <si>
    <t>241.0</t>
  </si>
  <si>
    <t>Chassis Serial Numbers 912001 and higher</t>
  </si>
  <si>
    <t>2128</t>
  </si>
  <si>
    <t>Tong Yang Moolsan</t>
  </si>
  <si>
    <t>Cabela's</t>
  </si>
  <si>
    <t>LM75</t>
  </si>
  <si>
    <t>2127</t>
  </si>
  <si>
    <t>LM55H</t>
  </si>
  <si>
    <t>Hyd</t>
  </si>
  <si>
    <t>44.0</t>
  </si>
  <si>
    <t>2126</t>
  </si>
  <si>
    <t>S982</t>
  </si>
  <si>
    <t>Magnum 380</t>
  </si>
  <si>
    <t>2125</t>
  </si>
  <si>
    <t>S988</t>
  </si>
  <si>
    <t>T8.410</t>
  </si>
  <si>
    <t>2124</t>
  </si>
  <si>
    <t>S987</t>
  </si>
  <si>
    <t>Magnum 310</t>
  </si>
  <si>
    <t>2123</t>
  </si>
  <si>
    <t>S986</t>
  </si>
  <si>
    <t>Magnum 280</t>
  </si>
  <si>
    <t>2122</t>
  </si>
  <si>
    <t>S985</t>
  </si>
  <si>
    <t>T8.320</t>
  </si>
  <si>
    <t>2121</t>
  </si>
  <si>
    <t>S981</t>
  </si>
  <si>
    <t>Magnum 240</t>
  </si>
  <si>
    <t>207.0</t>
  </si>
  <si>
    <t>186.0</t>
  </si>
  <si>
    <t>Chassis Serial Numbers ZERH02500 and higher</t>
  </si>
  <si>
    <t>2120</t>
  </si>
  <si>
    <t>S980</t>
  </si>
  <si>
    <t>Magnum 220</t>
  </si>
  <si>
    <t>2119</t>
  </si>
  <si>
    <t>S979</t>
  </si>
  <si>
    <t>Magnum 200</t>
  </si>
  <si>
    <t>155.0</t>
  </si>
  <si>
    <t>2118</t>
  </si>
  <si>
    <t>S978</t>
  </si>
  <si>
    <t>Magnum 180</t>
  </si>
  <si>
    <t>160.0</t>
  </si>
  <si>
    <t>139.0</t>
  </si>
  <si>
    <t>2117</t>
  </si>
  <si>
    <t>S977</t>
  </si>
  <si>
    <t>Chassis Serial Numbers 700000 and higher</t>
  </si>
  <si>
    <t>2116</t>
  </si>
  <si>
    <t>2115</t>
  </si>
  <si>
    <t>5085M</t>
  </si>
  <si>
    <t>2114</t>
  </si>
  <si>
    <t>5075M</t>
  </si>
  <si>
    <t>60.0</t>
  </si>
  <si>
    <t>2113</t>
  </si>
  <si>
    <t>S976</t>
  </si>
  <si>
    <t>7310R</t>
  </si>
  <si>
    <t>272.0</t>
  </si>
  <si>
    <t>2112</t>
  </si>
  <si>
    <t>S975</t>
  </si>
  <si>
    <t>9520RT</t>
  </si>
  <si>
    <t>306.0</t>
  </si>
  <si>
    <t>401.0</t>
  </si>
  <si>
    <t>2111</t>
  </si>
  <si>
    <t>S974</t>
  </si>
  <si>
    <t>9520R</t>
  </si>
  <si>
    <t>326.0</t>
  </si>
  <si>
    <t>2110</t>
  </si>
  <si>
    <t>S973</t>
  </si>
  <si>
    <t>9470RT</t>
  </si>
  <si>
    <t>311.0</t>
  </si>
  <si>
    <t>359.0</t>
  </si>
  <si>
    <t>2109</t>
  </si>
  <si>
    <t>S972</t>
  </si>
  <si>
    <t>9470R</t>
  </si>
  <si>
    <t>334.0</t>
  </si>
  <si>
    <t>370.0</t>
  </si>
  <si>
    <t>2108</t>
  </si>
  <si>
    <t>S971</t>
  </si>
  <si>
    <t>9420R</t>
  </si>
  <si>
    <t>331.0</t>
  </si>
  <si>
    <t>2107</t>
  </si>
  <si>
    <t>S970</t>
  </si>
  <si>
    <t>9370R</t>
  </si>
  <si>
    <t>292.0</t>
  </si>
  <si>
    <t>2106</t>
  </si>
  <si>
    <t>S984</t>
  </si>
  <si>
    <t>2105</t>
  </si>
  <si>
    <t>S983</t>
  </si>
  <si>
    <t>S998</t>
  </si>
  <si>
    <t>MT685E</t>
  </si>
  <si>
    <t>tested as Massey Ferguson 8737 Diesel, TECHSTAR transmission</t>
  </si>
  <si>
    <t>S997</t>
  </si>
  <si>
    <t>MT675E</t>
  </si>
  <si>
    <t>tested as Massey Ferguson 8735 Diesel, TECHSTAR transmission</t>
  </si>
  <si>
    <t>S996</t>
  </si>
  <si>
    <t>MT665E</t>
  </si>
  <si>
    <t>tested as Massey Ferguson 8732 Diesel, TECHSTAR transmission</t>
  </si>
  <si>
    <t>S995</t>
  </si>
  <si>
    <t>MT655E</t>
  </si>
  <si>
    <t>197.0</t>
  </si>
  <si>
    <t>tested as Massey Ferguson 8730 Diesel, TECHSTAR transmission</t>
  </si>
  <si>
    <t>S994</t>
  </si>
  <si>
    <t>MT645E</t>
  </si>
  <si>
    <t>tested as Massey Ferguson 8727 Diesel, TECHSTAR transmission</t>
  </si>
  <si>
    <t>S993A</t>
  </si>
  <si>
    <t>8737S</t>
  </si>
  <si>
    <t>S993</t>
  </si>
  <si>
    <t>8737</t>
  </si>
  <si>
    <t>S992A</t>
  </si>
  <si>
    <t>8735S</t>
  </si>
  <si>
    <t>S992</t>
  </si>
  <si>
    <t>8735</t>
  </si>
  <si>
    <t>S991A</t>
  </si>
  <si>
    <t>8732S</t>
  </si>
  <si>
    <t>S991</t>
  </si>
  <si>
    <t>8732</t>
  </si>
  <si>
    <t>S990A</t>
  </si>
  <si>
    <t>8730S</t>
  </si>
  <si>
    <t>S990</t>
  </si>
  <si>
    <t>8730</t>
  </si>
  <si>
    <t>S989A</t>
  </si>
  <si>
    <t>8727S</t>
  </si>
  <si>
    <t>S989</t>
  </si>
  <si>
    <t>8727</t>
  </si>
  <si>
    <t>S1024</t>
  </si>
  <si>
    <t>208.0</t>
  </si>
  <si>
    <t>169.0</t>
  </si>
  <si>
    <t>S1023</t>
  </si>
  <si>
    <t>S1022</t>
  </si>
  <si>
    <t>S1019A</t>
  </si>
  <si>
    <t>S1019</t>
  </si>
  <si>
    <t>S1018A</t>
  </si>
  <si>
    <t>S1018</t>
  </si>
  <si>
    <t>S1017A</t>
  </si>
  <si>
    <t>S1017</t>
  </si>
  <si>
    <t>2104A</t>
  </si>
  <si>
    <t>S969A</t>
  </si>
  <si>
    <t>AGCO France</t>
  </si>
  <si>
    <t>MT575D AP6</t>
  </si>
  <si>
    <t>tested as Massey Ferguson 7622 Dyna 6</t>
  </si>
  <si>
    <t>2096A</t>
  </si>
  <si>
    <t>S961A</t>
  </si>
  <si>
    <t>T9.600</t>
  </si>
  <si>
    <t>tested as Case IH Steiger 540</t>
  </si>
  <si>
    <t>2094A</t>
  </si>
  <si>
    <t>S959A</t>
  </si>
  <si>
    <t>T9.530</t>
  </si>
  <si>
    <t>417.0</t>
  </si>
  <si>
    <t>387.0</t>
  </si>
  <si>
    <t>tested as Case IH Steiger 470</t>
  </si>
  <si>
    <t>2093A</t>
  </si>
  <si>
    <t>S958A</t>
  </si>
  <si>
    <t>T9.480</t>
  </si>
  <si>
    <t>367.0</t>
  </si>
  <si>
    <t>2092A</t>
  </si>
  <si>
    <t>S957A</t>
  </si>
  <si>
    <t>T9.435</t>
  </si>
  <si>
    <t>300.0</t>
  </si>
  <si>
    <t>tested as Case IH Steiger 370</t>
  </si>
  <si>
    <t>2086A</t>
  </si>
  <si>
    <t>S935A</t>
  </si>
  <si>
    <t>T8.420</t>
  </si>
  <si>
    <t>Tested as Magnum 370</t>
  </si>
  <si>
    <t>2104</t>
  </si>
  <si>
    <t>S969</t>
  </si>
  <si>
    <t>7622 Dyna 6</t>
  </si>
  <si>
    <t>2103</t>
  </si>
  <si>
    <t>S968</t>
  </si>
  <si>
    <t>8345RT</t>
  </si>
  <si>
    <t>257.0</t>
  </si>
  <si>
    <t>Chassis Serial Numers 912001 and higher</t>
  </si>
  <si>
    <t>2102</t>
  </si>
  <si>
    <t>S967</t>
  </si>
  <si>
    <t>293.0</t>
  </si>
  <si>
    <t>2101</t>
  </si>
  <si>
    <t>S966</t>
  </si>
  <si>
    <t>8320R</t>
  </si>
  <si>
    <t>281.0</t>
  </si>
  <si>
    <t>Chassis Serial Numbers 90001 and higher</t>
  </si>
  <si>
    <t>2100</t>
  </si>
  <si>
    <t>S965</t>
  </si>
  <si>
    <t>8295R</t>
  </si>
  <si>
    <t>260.0</t>
  </si>
  <si>
    <t>238.0</t>
  </si>
  <si>
    <t>2099</t>
  </si>
  <si>
    <t>S964</t>
  </si>
  <si>
    <t>8270R</t>
  </si>
  <si>
    <t>2098</t>
  </si>
  <si>
    <t>S963</t>
  </si>
  <si>
    <t>8245R</t>
  </si>
  <si>
    <t>2097</t>
  </si>
  <si>
    <t>S962</t>
  </si>
  <si>
    <t>T9.565</t>
  </si>
  <si>
    <t>2096</t>
  </si>
  <si>
    <t>S961</t>
  </si>
  <si>
    <t>Case IH Steiger</t>
  </si>
  <si>
    <t>540</t>
  </si>
  <si>
    <t>2095</t>
  </si>
  <si>
    <t>S960</t>
  </si>
  <si>
    <t>500</t>
  </si>
  <si>
    <t>416.0</t>
  </si>
  <si>
    <t>Chassis Serial Numbers ZEF300001 and higher</t>
  </si>
  <si>
    <t>2094</t>
  </si>
  <si>
    <t>S959</t>
  </si>
  <si>
    <t>470</t>
  </si>
  <si>
    <t>2093</t>
  </si>
  <si>
    <t>S958</t>
  </si>
  <si>
    <t>420</t>
  </si>
  <si>
    <t>2092</t>
  </si>
  <si>
    <t>S957</t>
  </si>
  <si>
    <t>370</t>
  </si>
  <si>
    <t>2091</t>
  </si>
  <si>
    <t>S940</t>
  </si>
  <si>
    <t>7290R</t>
  </si>
  <si>
    <t>223.0</t>
  </si>
  <si>
    <t>2090</t>
  </si>
  <si>
    <t>S939</t>
  </si>
  <si>
    <t>7230R</t>
  </si>
  <si>
    <t>2089</t>
  </si>
  <si>
    <t>S938</t>
  </si>
  <si>
    <t>MT775E</t>
  </si>
  <si>
    <t>2088</t>
  </si>
  <si>
    <t>S937</t>
  </si>
  <si>
    <t>MT765E</t>
  </si>
  <si>
    <t>2087</t>
  </si>
  <si>
    <t>S936</t>
  </si>
  <si>
    <t>MT755E</t>
  </si>
  <si>
    <t>2086</t>
  </si>
  <si>
    <t>S935</t>
  </si>
  <si>
    <t>Magnum 370</t>
  </si>
  <si>
    <t>2085</t>
  </si>
  <si>
    <t>S934</t>
  </si>
  <si>
    <t>7250R</t>
  </si>
  <si>
    <t>2084</t>
  </si>
  <si>
    <t>S933</t>
  </si>
  <si>
    <t>7270R</t>
  </si>
  <si>
    <t>2083</t>
  </si>
  <si>
    <t>S932</t>
  </si>
  <si>
    <t>245.0</t>
  </si>
  <si>
    <t>2082</t>
  </si>
  <si>
    <t>S931</t>
  </si>
  <si>
    <t>177.0</t>
  </si>
  <si>
    <t>S956</t>
  </si>
  <si>
    <t>MT485D</t>
  </si>
  <si>
    <t>S955</t>
  </si>
  <si>
    <t>6615</t>
  </si>
  <si>
    <t>S948</t>
  </si>
  <si>
    <t>CNH-Italy</t>
  </si>
  <si>
    <t>T4.115</t>
  </si>
  <si>
    <t>S945</t>
  </si>
  <si>
    <t>T4.85</t>
  </si>
  <si>
    <t>S944</t>
  </si>
  <si>
    <t>Farmall 115C</t>
  </si>
  <si>
    <t>S941</t>
  </si>
  <si>
    <t>Farmall 85C</t>
  </si>
  <si>
    <t>2054A</t>
  </si>
  <si>
    <t>Turk Traktor ve Ziraat Mak</t>
  </si>
  <si>
    <t>Farmall 75C</t>
  </si>
  <si>
    <t>67.0</t>
  </si>
  <si>
    <t>Tested as New Holland T4.75</t>
  </si>
  <si>
    <t>2081</t>
  </si>
  <si>
    <t>S897</t>
  </si>
  <si>
    <t>6170M</t>
  </si>
  <si>
    <t>144.0</t>
  </si>
  <si>
    <t>2080</t>
  </si>
  <si>
    <t>S896</t>
  </si>
  <si>
    <t>6150M</t>
  </si>
  <si>
    <t>124.0</t>
  </si>
  <si>
    <t>2079</t>
  </si>
  <si>
    <t>S895</t>
  </si>
  <si>
    <t>2078</t>
  </si>
  <si>
    <t>S894</t>
  </si>
  <si>
    <t>6125M</t>
  </si>
  <si>
    <t>2077</t>
  </si>
  <si>
    <t>S893</t>
  </si>
  <si>
    <t>6115M</t>
  </si>
  <si>
    <t>2076</t>
  </si>
  <si>
    <t>S892</t>
  </si>
  <si>
    <t>6105M</t>
  </si>
  <si>
    <t>2075</t>
  </si>
  <si>
    <t>2074</t>
  </si>
  <si>
    <t>2073</t>
  </si>
  <si>
    <t>S891</t>
  </si>
  <si>
    <t>CNH</t>
  </si>
  <si>
    <t>500 Quadtrac</t>
  </si>
  <si>
    <t>384.0</t>
  </si>
  <si>
    <t>2072</t>
  </si>
  <si>
    <t>S890</t>
  </si>
  <si>
    <t>450 Quadtrac</t>
  </si>
  <si>
    <t>402.0</t>
  </si>
  <si>
    <t>351.0</t>
  </si>
  <si>
    <t>2071</t>
  </si>
  <si>
    <t>S889</t>
  </si>
  <si>
    <t>Steiger 450 Rowtrac</t>
  </si>
  <si>
    <t>2070</t>
  </si>
  <si>
    <t>S888</t>
  </si>
  <si>
    <t>Steiger 400 Rowtrac</t>
  </si>
  <si>
    <t>2069</t>
  </si>
  <si>
    <t>S887</t>
  </si>
  <si>
    <t>Steiger 350 Rowtrac</t>
  </si>
  <si>
    <t>2068</t>
  </si>
  <si>
    <t>S886</t>
  </si>
  <si>
    <t>400</t>
  </si>
  <si>
    <t>317.0</t>
  </si>
  <si>
    <t>2067</t>
  </si>
  <si>
    <t>S885</t>
  </si>
  <si>
    <t>450</t>
  </si>
  <si>
    <t>2066</t>
  </si>
  <si>
    <t>S884</t>
  </si>
  <si>
    <t>375</t>
  </si>
  <si>
    <t>291.0</t>
  </si>
  <si>
    <t>2065</t>
  </si>
  <si>
    <t>M9960</t>
  </si>
  <si>
    <t>2064</t>
  </si>
  <si>
    <t>S883</t>
  </si>
  <si>
    <t>M135GX</t>
  </si>
  <si>
    <t>2063</t>
  </si>
  <si>
    <t>M110GX</t>
  </si>
  <si>
    <t>2062</t>
  </si>
  <si>
    <t>S882</t>
  </si>
  <si>
    <t>MT765D</t>
  </si>
  <si>
    <t>2061</t>
  </si>
  <si>
    <t>S881</t>
  </si>
  <si>
    <t>MT755D</t>
  </si>
  <si>
    <t>2060</t>
  </si>
  <si>
    <t>S880</t>
  </si>
  <si>
    <t>6150R</t>
  </si>
  <si>
    <t>2059</t>
  </si>
  <si>
    <t>S879</t>
  </si>
  <si>
    <t>6140R</t>
  </si>
  <si>
    <t>2058</t>
  </si>
  <si>
    <t>S878</t>
  </si>
  <si>
    <t>6140D</t>
  </si>
  <si>
    <t>IT4</t>
  </si>
  <si>
    <t>2057</t>
  </si>
  <si>
    <t>S877</t>
  </si>
  <si>
    <t>6130D</t>
  </si>
  <si>
    <t>2056</t>
  </si>
  <si>
    <t>6115D</t>
  </si>
  <si>
    <t>2055</t>
  </si>
  <si>
    <t>6105D</t>
  </si>
  <si>
    <t>2054</t>
  </si>
  <si>
    <t>T4.75</t>
  </si>
  <si>
    <t>S954</t>
  </si>
  <si>
    <t>CNH-Europe</t>
  </si>
  <si>
    <t>T5.115</t>
  </si>
  <si>
    <t>S953</t>
  </si>
  <si>
    <t>T5.105</t>
  </si>
  <si>
    <t>70.0</t>
  </si>
  <si>
    <t>S952</t>
  </si>
  <si>
    <t>T5.95</t>
  </si>
  <si>
    <t>65.0</t>
  </si>
  <si>
    <t>S951</t>
  </si>
  <si>
    <t>Farmall 115U</t>
  </si>
  <si>
    <t>S950</t>
  </si>
  <si>
    <t>Farmall 105U</t>
  </si>
  <si>
    <t>S949</t>
  </si>
  <si>
    <t>Farmall 95U</t>
  </si>
  <si>
    <t>S947</t>
  </si>
  <si>
    <t>T4.105</t>
  </si>
  <si>
    <t>S946</t>
  </si>
  <si>
    <t>T4.95</t>
  </si>
  <si>
    <t>S943</t>
  </si>
  <si>
    <t>Farmall 105C</t>
  </si>
  <si>
    <t>S942</t>
  </si>
  <si>
    <t>Farmall 95C</t>
  </si>
  <si>
    <t>S930</t>
  </si>
  <si>
    <t>6125R</t>
  </si>
  <si>
    <t>S929</t>
  </si>
  <si>
    <t>6115R</t>
  </si>
  <si>
    <t>S928</t>
  </si>
  <si>
    <t>6105R</t>
  </si>
  <si>
    <t>78.0</t>
  </si>
  <si>
    <t>S927</t>
  </si>
  <si>
    <t>MT545D</t>
  </si>
  <si>
    <t>S926</t>
  </si>
  <si>
    <t>MT535D</t>
  </si>
  <si>
    <t>S925</t>
  </si>
  <si>
    <t>MT525D</t>
  </si>
  <si>
    <t>S924</t>
  </si>
  <si>
    <t>7618</t>
  </si>
  <si>
    <t>S923</t>
  </si>
  <si>
    <t>7616</t>
  </si>
  <si>
    <t>S922</t>
  </si>
  <si>
    <t>7615</t>
  </si>
  <si>
    <t>S921</t>
  </si>
  <si>
    <t>MT495D</t>
  </si>
  <si>
    <t>127.0</t>
  </si>
  <si>
    <t>S920</t>
  </si>
  <si>
    <t>S919</t>
  </si>
  <si>
    <t>MT475D</t>
  </si>
  <si>
    <t>S918</t>
  </si>
  <si>
    <t>6616</t>
  </si>
  <si>
    <t>S917</t>
  </si>
  <si>
    <t>S916</t>
  </si>
  <si>
    <t>6614</t>
  </si>
  <si>
    <t>S915</t>
  </si>
  <si>
    <t>S914</t>
  </si>
  <si>
    <t>128.0</t>
  </si>
  <si>
    <t>S913</t>
  </si>
  <si>
    <t>S912</t>
  </si>
  <si>
    <t>S911</t>
  </si>
  <si>
    <t>S910</t>
  </si>
  <si>
    <t>2053A</t>
  </si>
  <si>
    <t>S866A</t>
  </si>
  <si>
    <t>Tested as New Holland TS6.110</t>
  </si>
  <si>
    <t>2052A</t>
  </si>
  <si>
    <t>S865A</t>
  </si>
  <si>
    <t>Tested as New Holland TS6.120</t>
  </si>
  <si>
    <t>2051A</t>
  </si>
  <si>
    <t>S864A</t>
  </si>
  <si>
    <t>Farmall 125A</t>
  </si>
  <si>
    <t>Tested as New Holland TS6.125</t>
  </si>
  <si>
    <t>2050A</t>
  </si>
  <si>
    <t>S863A</t>
  </si>
  <si>
    <t>Tested as New Holland TS6.140</t>
  </si>
  <si>
    <t>2046A</t>
  </si>
  <si>
    <t>S846A</t>
  </si>
  <si>
    <t>T9.450</t>
  </si>
  <si>
    <t>354.0</t>
  </si>
  <si>
    <t>328.0</t>
  </si>
  <si>
    <t>Tested as Case IH Steiger 400</t>
  </si>
  <si>
    <t>2032A</t>
  </si>
  <si>
    <t>S826A</t>
  </si>
  <si>
    <t>MT595B</t>
  </si>
  <si>
    <t>196.0</t>
  </si>
  <si>
    <t>162.0</t>
  </si>
  <si>
    <t>Tested as Massey Ferguson 7499</t>
  </si>
  <si>
    <t>2031A</t>
  </si>
  <si>
    <t>S825A</t>
  </si>
  <si>
    <t>MT585B</t>
  </si>
  <si>
    <t>180.0</t>
  </si>
  <si>
    <t>Tested as Massey Ferguson 7497</t>
  </si>
  <si>
    <t>2020A</t>
  </si>
  <si>
    <t>S819A</t>
  </si>
  <si>
    <t>T8.360</t>
  </si>
  <si>
    <t>Tested as Case IH Magnum 315</t>
  </si>
  <si>
    <t>2019A</t>
  </si>
  <si>
    <t>S818A</t>
  </si>
  <si>
    <t>T8.330</t>
  </si>
  <si>
    <t>248.0</t>
  </si>
  <si>
    <t>Tested as Case IH Magnum 290</t>
  </si>
  <si>
    <t>2018A</t>
  </si>
  <si>
    <t>S817A</t>
  </si>
  <si>
    <t>Magnum 260</t>
  </si>
  <si>
    <t>219.0</t>
  </si>
  <si>
    <t>Tested as New Holland T8.300</t>
  </si>
  <si>
    <t>2017A</t>
  </si>
  <si>
    <t>S816A</t>
  </si>
  <si>
    <t>Magnum 235</t>
  </si>
  <si>
    <t>172.0</t>
  </si>
  <si>
    <t>Tested as New Holland T8.275</t>
  </si>
  <si>
    <t>2053</t>
  </si>
  <si>
    <t>S866</t>
  </si>
  <si>
    <t>2052</t>
  </si>
  <si>
    <t>S865</t>
  </si>
  <si>
    <t>2051</t>
  </si>
  <si>
    <t>S864</t>
  </si>
  <si>
    <t>TS6.125</t>
  </si>
  <si>
    <t>2050</t>
  </si>
  <si>
    <t>S863</t>
  </si>
  <si>
    <t>2049</t>
  </si>
  <si>
    <t>S849</t>
  </si>
  <si>
    <t>Steiger 600 Quadtrac</t>
  </si>
  <si>
    <t>2048</t>
  </si>
  <si>
    <t>S848</t>
  </si>
  <si>
    <t>Steiger 550 Quadtrac</t>
  </si>
  <si>
    <t>474.0</t>
  </si>
  <si>
    <t>434.0</t>
  </si>
  <si>
    <t>2047</t>
  </si>
  <si>
    <t>S847</t>
  </si>
  <si>
    <t>Steiger 550</t>
  </si>
  <si>
    <t>462.0</t>
  </si>
  <si>
    <t>2046</t>
  </si>
  <si>
    <t>S846</t>
  </si>
  <si>
    <t>Steiger 400</t>
  </si>
  <si>
    <t>2045</t>
  </si>
  <si>
    <t>S836</t>
  </si>
  <si>
    <t>9560RT</t>
  </si>
  <si>
    <t>433.0</t>
  </si>
  <si>
    <t>2044</t>
  </si>
  <si>
    <t>S835</t>
  </si>
  <si>
    <t>9560R</t>
  </si>
  <si>
    <t>454.0</t>
  </si>
  <si>
    <t>2043</t>
  </si>
  <si>
    <t>S834</t>
  </si>
  <si>
    <t>9510RT</t>
  </si>
  <si>
    <t>391.0</t>
  </si>
  <si>
    <t>2042</t>
  </si>
  <si>
    <t>S833</t>
  </si>
  <si>
    <t>9510R</t>
  </si>
  <si>
    <t>410.0</t>
  </si>
  <si>
    <t>2041</t>
  </si>
  <si>
    <t>S832</t>
  </si>
  <si>
    <t>9460RT</t>
  </si>
  <si>
    <t>353.0</t>
  </si>
  <si>
    <t>2040</t>
  </si>
  <si>
    <t>S831</t>
  </si>
  <si>
    <t>9460R</t>
  </si>
  <si>
    <t>2039</t>
  </si>
  <si>
    <t>S830</t>
  </si>
  <si>
    <t>9410R</t>
  </si>
  <si>
    <t>2038</t>
  </si>
  <si>
    <t>S837</t>
  </si>
  <si>
    <t>2037</t>
  </si>
  <si>
    <t>2036</t>
  </si>
  <si>
    <t>2035</t>
  </si>
  <si>
    <t>S829</t>
  </si>
  <si>
    <t>6210R</t>
  </si>
  <si>
    <t>2034</t>
  </si>
  <si>
    <t>S828</t>
  </si>
  <si>
    <t>6190R</t>
  </si>
  <si>
    <t>2033</t>
  </si>
  <si>
    <t>S827</t>
  </si>
  <si>
    <t>6170R</t>
  </si>
  <si>
    <t>135.0</t>
  </si>
  <si>
    <t>2032</t>
  </si>
  <si>
    <t>S826</t>
  </si>
  <si>
    <t>7499</t>
  </si>
  <si>
    <t>2031</t>
  </si>
  <si>
    <t>S825</t>
  </si>
  <si>
    <t>7497</t>
  </si>
  <si>
    <t>2030</t>
  </si>
  <si>
    <t>S824</t>
  </si>
  <si>
    <t>9360R</t>
  </si>
  <si>
    <t>279.0</t>
  </si>
  <si>
    <t>2029</t>
  </si>
  <si>
    <t>John Deere Germany</t>
  </si>
  <si>
    <t>6330</t>
  </si>
  <si>
    <t>2028</t>
  </si>
  <si>
    <t>6230</t>
  </si>
  <si>
    <t>2027</t>
  </si>
  <si>
    <t>5101E Ltd</t>
  </si>
  <si>
    <t>Serial Numbers 340000+</t>
  </si>
  <si>
    <t>2026</t>
  </si>
  <si>
    <t>5093E Ltd</t>
  </si>
  <si>
    <t>2025</t>
  </si>
  <si>
    <t>5083E Ltd</t>
  </si>
  <si>
    <t>2024</t>
  </si>
  <si>
    <t>S823</t>
  </si>
  <si>
    <t>7280R</t>
  </si>
  <si>
    <t>2023</t>
  </si>
  <si>
    <t>S822</t>
  </si>
  <si>
    <t>7260R</t>
  </si>
  <si>
    <t>220.0</t>
  </si>
  <si>
    <t>2022</t>
  </si>
  <si>
    <t>S821</t>
  </si>
  <si>
    <t>193.0</t>
  </si>
  <si>
    <t>2021</t>
  </si>
  <si>
    <t>S820</t>
  </si>
  <si>
    <t>7200R</t>
  </si>
  <si>
    <t>2020</t>
  </si>
  <si>
    <t>S819</t>
  </si>
  <si>
    <t>Magnum 315</t>
  </si>
  <si>
    <t>2019</t>
  </si>
  <si>
    <t>S818</t>
  </si>
  <si>
    <t>Magnum 290</t>
  </si>
  <si>
    <t>2018</t>
  </si>
  <si>
    <t>S817</t>
  </si>
  <si>
    <t>T8.300</t>
  </si>
  <si>
    <t>2017</t>
  </si>
  <si>
    <t>S816</t>
  </si>
  <si>
    <t>T8.275</t>
  </si>
  <si>
    <t>S909</t>
  </si>
  <si>
    <t>MT595D</t>
  </si>
  <si>
    <t>206.0</t>
  </si>
  <si>
    <t>S908</t>
  </si>
  <si>
    <t>MT585D</t>
  </si>
  <si>
    <t>S907</t>
  </si>
  <si>
    <t>MT565D</t>
  </si>
  <si>
    <t>S906</t>
  </si>
  <si>
    <t>MT555D</t>
  </si>
  <si>
    <t>S905</t>
  </si>
  <si>
    <t>S904</t>
  </si>
  <si>
    <t>MT515D</t>
  </si>
  <si>
    <t>S903</t>
  </si>
  <si>
    <t>7626</t>
  </si>
  <si>
    <t>S902</t>
  </si>
  <si>
    <t>7624</t>
  </si>
  <si>
    <t>S901</t>
  </si>
  <si>
    <t>7620</t>
  </si>
  <si>
    <t>S900</t>
  </si>
  <si>
    <t>7619</t>
  </si>
  <si>
    <t>S899</t>
  </si>
  <si>
    <t>S898</t>
  </si>
  <si>
    <t>7614</t>
  </si>
  <si>
    <t>S876</t>
  </si>
  <si>
    <t>MT685D</t>
  </si>
  <si>
    <t>S875</t>
  </si>
  <si>
    <t>MT675D</t>
  </si>
  <si>
    <t>290.0</t>
  </si>
  <si>
    <t>236.0</t>
  </si>
  <si>
    <t>S874</t>
  </si>
  <si>
    <t>MT665D</t>
  </si>
  <si>
    <t>S873</t>
  </si>
  <si>
    <t>MT655D</t>
  </si>
  <si>
    <t>S872</t>
  </si>
  <si>
    <t>MT645D</t>
  </si>
  <si>
    <t>216.0</t>
  </si>
  <si>
    <t>S871</t>
  </si>
  <si>
    <t>8690</t>
  </si>
  <si>
    <t>S870</t>
  </si>
  <si>
    <t>8680</t>
  </si>
  <si>
    <t>S869</t>
  </si>
  <si>
    <t>8670</t>
  </si>
  <si>
    <t>S868</t>
  </si>
  <si>
    <t>8660</t>
  </si>
  <si>
    <t>S867</t>
  </si>
  <si>
    <t>8650</t>
  </si>
  <si>
    <t>S862</t>
  </si>
  <si>
    <t>T6.120</t>
  </si>
  <si>
    <t>S861</t>
  </si>
  <si>
    <t>S860</t>
  </si>
  <si>
    <t>S859</t>
  </si>
  <si>
    <t>T6.160</t>
  </si>
  <si>
    <t>S858</t>
  </si>
  <si>
    <t>S857</t>
  </si>
  <si>
    <t>T6.150</t>
  </si>
  <si>
    <t>S856</t>
  </si>
  <si>
    <t>T6.140</t>
  </si>
  <si>
    <t>S855</t>
  </si>
  <si>
    <t>Maxxum 140</t>
  </si>
  <si>
    <t>S854</t>
  </si>
  <si>
    <t>Maxxum 130</t>
  </si>
  <si>
    <t>S853</t>
  </si>
  <si>
    <t>Maxxum 125</t>
  </si>
  <si>
    <t>S852</t>
  </si>
  <si>
    <t>Maxxum 120</t>
  </si>
  <si>
    <t>S851</t>
  </si>
  <si>
    <t>Maxxum 115</t>
  </si>
  <si>
    <t>S850</t>
  </si>
  <si>
    <t>Maxxum 110</t>
  </si>
  <si>
    <t>S845</t>
  </si>
  <si>
    <t>S844</t>
  </si>
  <si>
    <t>MT575D</t>
  </si>
  <si>
    <t>S843</t>
  </si>
  <si>
    <t>S842</t>
  </si>
  <si>
    <t>S841</t>
  </si>
  <si>
    <t>S840</t>
  </si>
  <si>
    <t>7622</t>
  </si>
  <si>
    <t>S839</t>
  </si>
  <si>
    <t>S838</t>
  </si>
  <si>
    <t>2014A</t>
  </si>
  <si>
    <t>CNH-India</t>
  </si>
  <si>
    <t>Farmall 75A</t>
  </si>
  <si>
    <t>Tested as New Holland Workmaster 75</t>
  </si>
  <si>
    <t>2013A</t>
  </si>
  <si>
    <t>Workmaster 65</t>
  </si>
  <si>
    <t>Tested as CNH Farmall 65A</t>
  </si>
  <si>
    <t>2012A</t>
  </si>
  <si>
    <t>Workmaster 55</t>
  </si>
  <si>
    <t>49.0</t>
  </si>
  <si>
    <t>Tested as CNH Farmall 55A</t>
  </si>
  <si>
    <t>2011A</t>
  </si>
  <si>
    <t>S794A</t>
  </si>
  <si>
    <t>T9.670</t>
  </si>
  <si>
    <t>Tested as Case IH Steiger 600, partial power PTO</t>
  </si>
  <si>
    <t>2009A</t>
  </si>
  <si>
    <t>S792A</t>
  </si>
  <si>
    <t>T9.505</t>
  </si>
  <si>
    <t>407.0</t>
  </si>
  <si>
    <t>356.0</t>
  </si>
  <si>
    <t>Tested as Case IH Steiger 450</t>
  </si>
  <si>
    <t>2008A</t>
  </si>
  <si>
    <t>S791A</t>
  </si>
  <si>
    <t>T9.390</t>
  </si>
  <si>
    <t>Tested as Case IH Steiger 350</t>
  </si>
  <si>
    <t>2004A</t>
  </si>
  <si>
    <t>S787A</t>
  </si>
  <si>
    <t>8310R</t>
  </si>
  <si>
    <t>235.0</t>
  </si>
  <si>
    <t>MY12, additional hitch lift test</t>
  </si>
  <si>
    <t>2003A</t>
  </si>
  <si>
    <t>S786A</t>
  </si>
  <si>
    <t>8285R</t>
  </si>
  <si>
    <t>2002A</t>
  </si>
  <si>
    <t>S785A</t>
  </si>
  <si>
    <t>8260R</t>
  </si>
  <si>
    <t>2001A</t>
  </si>
  <si>
    <t>S784A</t>
  </si>
  <si>
    <t>8235R</t>
  </si>
  <si>
    <t>2000A</t>
  </si>
  <si>
    <t>S783A</t>
  </si>
  <si>
    <t>8360RT</t>
  </si>
  <si>
    <t>256.0</t>
  </si>
  <si>
    <t>1999A</t>
  </si>
  <si>
    <t>S782A</t>
  </si>
  <si>
    <t>8335RT</t>
  </si>
  <si>
    <t>1998A</t>
  </si>
  <si>
    <t>S781A</t>
  </si>
  <si>
    <t>8310RT</t>
  </si>
  <si>
    <t>1996B</t>
  </si>
  <si>
    <t>S771B</t>
  </si>
  <si>
    <t>T7070</t>
  </si>
  <si>
    <t>1996A</t>
  </si>
  <si>
    <t>S771A</t>
  </si>
  <si>
    <t>Puma 225</t>
  </si>
  <si>
    <t>1991A</t>
  </si>
  <si>
    <t>S759A</t>
  </si>
  <si>
    <t>8360R</t>
  </si>
  <si>
    <t>1990A</t>
  </si>
  <si>
    <t>S758A</t>
  </si>
  <si>
    <t>8335R</t>
  </si>
  <si>
    <t>2016</t>
  </si>
  <si>
    <t>S798</t>
  </si>
  <si>
    <t>T9.615</t>
  </si>
  <si>
    <t>473.0</t>
  </si>
  <si>
    <t>426.0</t>
  </si>
  <si>
    <t>2015</t>
  </si>
  <si>
    <t>S797</t>
  </si>
  <si>
    <t>T9.560</t>
  </si>
  <si>
    <t>2014</t>
  </si>
  <si>
    <t>Workmaster 75</t>
  </si>
  <si>
    <t>2013</t>
  </si>
  <si>
    <t>Farmall 65A</t>
  </si>
  <si>
    <t>2012</t>
  </si>
  <si>
    <t>Farmall 55A</t>
  </si>
  <si>
    <t>2011</t>
  </si>
  <si>
    <t>S794</t>
  </si>
  <si>
    <t>Steiger 600</t>
  </si>
  <si>
    <t>2010</t>
  </si>
  <si>
    <t>S793</t>
  </si>
  <si>
    <t>Steiger 500</t>
  </si>
  <si>
    <t>456.0</t>
  </si>
  <si>
    <t>411.0</t>
  </si>
  <si>
    <t>2009</t>
  </si>
  <si>
    <t>S792</t>
  </si>
  <si>
    <t>Steiger 450</t>
  </si>
  <si>
    <t>2008</t>
  </si>
  <si>
    <t>S791</t>
  </si>
  <si>
    <t>Steiger 350</t>
  </si>
  <si>
    <t>2007</t>
  </si>
  <si>
    <t>S790</t>
  </si>
  <si>
    <t>T8.390</t>
  </si>
  <si>
    <t>2006</t>
  </si>
  <si>
    <t>S789</t>
  </si>
  <si>
    <t>295.0</t>
  </si>
  <si>
    <t>2005</t>
  </si>
  <si>
    <t>S788</t>
  </si>
  <si>
    <t>7215R</t>
  </si>
  <si>
    <t>190.0</t>
  </si>
  <si>
    <t>2004</t>
  </si>
  <si>
    <t>S787</t>
  </si>
  <si>
    <t>2003</t>
  </si>
  <si>
    <t>S786</t>
  </si>
  <si>
    <t>2002</t>
  </si>
  <si>
    <t>S785</t>
  </si>
  <si>
    <t>2001</t>
  </si>
  <si>
    <t>S784</t>
  </si>
  <si>
    <t>2000</t>
  </si>
  <si>
    <t>S783</t>
  </si>
  <si>
    <t>1999</t>
  </si>
  <si>
    <t>S782</t>
  </si>
  <si>
    <t>1998</t>
  </si>
  <si>
    <t>S781</t>
  </si>
  <si>
    <t>1997</t>
  </si>
  <si>
    <t>S778</t>
  </si>
  <si>
    <t>305</t>
  </si>
  <si>
    <t>1996</t>
  </si>
  <si>
    <t>S771</t>
  </si>
  <si>
    <t>Magnum 225 T3</t>
  </si>
  <si>
    <t>1995</t>
  </si>
  <si>
    <t>S770</t>
  </si>
  <si>
    <t>Magnum 225</t>
  </si>
  <si>
    <t>Chassis S/N ZARH06086 and higher</t>
  </si>
  <si>
    <t>1994</t>
  </si>
  <si>
    <t>S769</t>
  </si>
  <si>
    <t>Magnum 210</t>
  </si>
  <si>
    <t>174.0</t>
  </si>
  <si>
    <t>1993</t>
  </si>
  <si>
    <t>S768</t>
  </si>
  <si>
    <t>Magnum 190</t>
  </si>
  <si>
    <t>189.0</t>
  </si>
  <si>
    <t>1992</t>
  </si>
  <si>
    <t>S767</t>
  </si>
  <si>
    <t>1991</t>
  </si>
  <si>
    <t>S759</t>
  </si>
  <si>
    <t>1990</t>
  </si>
  <si>
    <t>S758</t>
  </si>
  <si>
    <t>1989</t>
  </si>
  <si>
    <t>S757</t>
  </si>
  <si>
    <t>7130</t>
  </si>
  <si>
    <t>Chassis S/N 20001 and higher</t>
  </si>
  <si>
    <t>1988</t>
  </si>
  <si>
    <t>S756</t>
  </si>
  <si>
    <t>6430 Premiun</t>
  </si>
  <si>
    <t>Chassis S/N 634684 and higher</t>
  </si>
  <si>
    <t>1987</t>
  </si>
  <si>
    <t>S760</t>
  </si>
  <si>
    <t>6430</t>
  </si>
  <si>
    <t>1986</t>
  </si>
  <si>
    <t>6330 Premium</t>
  </si>
  <si>
    <t>1985</t>
  </si>
  <si>
    <t>6230 Premium</t>
  </si>
  <si>
    <t>Chassis S/N 624684 and higher</t>
  </si>
  <si>
    <t>1984</t>
  </si>
  <si>
    <t>6100D</t>
  </si>
  <si>
    <t>85.0</t>
  </si>
  <si>
    <t>Chassis S/N 020725 and higher</t>
  </si>
  <si>
    <t>1983</t>
  </si>
  <si>
    <t>Daedong-South Korea</t>
  </si>
  <si>
    <t>Bobcat</t>
  </si>
  <si>
    <t>CT450</t>
  </si>
  <si>
    <t>38.0</t>
  </si>
  <si>
    <t>Chassis S/N ABHM11001 and higher</t>
  </si>
  <si>
    <t>S815</t>
  </si>
  <si>
    <t>2nd PTO test - Boost mode</t>
  </si>
  <si>
    <t>S814</t>
  </si>
  <si>
    <t>T7.200</t>
  </si>
  <si>
    <t>PRPS 6</t>
  </si>
  <si>
    <t>S813</t>
  </si>
  <si>
    <t>T7.185</t>
  </si>
  <si>
    <t>S812</t>
  </si>
  <si>
    <t>T7.170</t>
  </si>
  <si>
    <t>S811</t>
  </si>
  <si>
    <t>Puma 160</t>
  </si>
  <si>
    <t>S810</t>
  </si>
  <si>
    <t>Puma 145</t>
  </si>
  <si>
    <t>S809</t>
  </si>
  <si>
    <t>Puma 130</t>
  </si>
  <si>
    <t>S808</t>
  </si>
  <si>
    <t>CNH-UK</t>
  </si>
  <si>
    <t>165.0</t>
  </si>
  <si>
    <t>S807</t>
  </si>
  <si>
    <t>CNH-Austria</t>
  </si>
  <si>
    <t>S806</t>
  </si>
  <si>
    <t>T7.250</t>
  </si>
  <si>
    <t>S805</t>
  </si>
  <si>
    <t>T7.235</t>
  </si>
  <si>
    <t>S804</t>
  </si>
  <si>
    <t>T7.220</t>
  </si>
  <si>
    <t>150.0</t>
  </si>
  <si>
    <t>S803</t>
  </si>
  <si>
    <t>Puma 230</t>
  </si>
  <si>
    <t>S802</t>
  </si>
  <si>
    <t>Puma 215</t>
  </si>
  <si>
    <t>S801</t>
  </si>
  <si>
    <t>Puma 200</t>
  </si>
  <si>
    <t>S800</t>
  </si>
  <si>
    <t>Puma 185</t>
  </si>
  <si>
    <t>S799</t>
  </si>
  <si>
    <t>Puma 170</t>
  </si>
  <si>
    <t>S796</t>
  </si>
  <si>
    <t>5475</t>
  </si>
  <si>
    <t>Sisu Engine</t>
  </si>
  <si>
    <t>S795</t>
  </si>
  <si>
    <t>5465</t>
  </si>
  <si>
    <t>1982</t>
  </si>
  <si>
    <t>TS6030</t>
  </si>
  <si>
    <t>1981</t>
  </si>
  <si>
    <t>TS6020</t>
  </si>
  <si>
    <t>1980</t>
  </si>
  <si>
    <t>S755</t>
  </si>
  <si>
    <t>M135X</t>
  </si>
  <si>
    <t>PRPS 8</t>
  </si>
  <si>
    <t>1979</t>
  </si>
  <si>
    <t>M100X</t>
  </si>
  <si>
    <t>1978</t>
  </si>
  <si>
    <t>2680HD</t>
  </si>
  <si>
    <t>1977</t>
  </si>
  <si>
    <t>2670HD</t>
  </si>
  <si>
    <t>1976</t>
  </si>
  <si>
    <t>2660HD</t>
  </si>
  <si>
    <t>1975</t>
  </si>
  <si>
    <t>2650HD</t>
  </si>
  <si>
    <t>62.0</t>
  </si>
  <si>
    <t>1974</t>
  </si>
  <si>
    <t>S742</t>
  </si>
  <si>
    <t>74.0</t>
  </si>
  <si>
    <t>1973</t>
  </si>
  <si>
    <t>S734</t>
  </si>
  <si>
    <t>240.0</t>
  </si>
  <si>
    <t>Infinitely Variable Transmission</t>
  </si>
  <si>
    <t>1972</t>
  </si>
  <si>
    <t>S733</t>
  </si>
  <si>
    <t>1971</t>
  </si>
  <si>
    <t>S732</t>
  </si>
  <si>
    <t>1970</t>
  </si>
  <si>
    <t>S731</t>
  </si>
  <si>
    <t>8295RT</t>
  </si>
  <si>
    <t>212.0</t>
  </si>
  <si>
    <t>1969</t>
  </si>
  <si>
    <t>S730</t>
  </si>
  <si>
    <t>1968</t>
  </si>
  <si>
    <t>S729</t>
  </si>
  <si>
    <t>1967</t>
  </si>
  <si>
    <t>S728</t>
  </si>
  <si>
    <t>1966</t>
  </si>
  <si>
    <t>S727</t>
  </si>
  <si>
    <t>8225R</t>
  </si>
  <si>
    <t>S780</t>
  </si>
  <si>
    <t>S779</t>
  </si>
  <si>
    <t>TYM</t>
  </si>
  <si>
    <t>T603</t>
  </si>
  <si>
    <t>37.0</t>
  </si>
  <si>
    <t>S777</t>
  </si>
  <si>
    <t>7480</t>
  </si>
  <si>
    <t>S776</t>
  </si>
  <si>
    <t>7475</t>
  </si>
  <si>
    <t>S775</t>
  </si>
  <si>
    <t>7465</t>
  </si>
  <si>
    <t>S774</t>
  </si>
  <si>
    <t>6480</t>
  </si>
  <si>
    <t>S773</t>
  </si>
  <si>
    <t>6475</t>
  </si>
  <si>
    <t>S772</t>
  </si>
  <si>
    <t>6465</t>
  </si>
  <si>
    <t>1931A</t>
  </si>
  <si>
    <t>S603A</t>
  </si>
  <si>
    <t>MT975C</t>
  </si>
  <si>
    <t>518.0</t>
  </si>
  <si>
    <t>466.0</t>
  </si>
  <si>
    <t>Tested as Challenger MT975B</t>
  </si>
  <si>
    <t>1930A</t>
  </si>
  <si>
    <t>S602A</t>
  </si>
  <si>
    <t>MT965C</t>
  </si>
  <si>
    <t>440.0</t>
  </si>
  <si>
    <t>396.0</t>
  </si>
  <si>
    <t>Tested as Challenger MT965B</t>
  </si>
  <si>
    <t>1929A</t>
  </si>
  <si>
    <t>S601A</t>
  </si>
  <si>
    <t>MT955C</t>
  </si>
  <si>
    <t>363.0</t>
  </si>
  <si>
    <t>Tested as Challenger MT955B</t>
  </si>
  <si>
    <t>1928A</t>
  </si>
  <si>
    <t>S600A</t>
  </si>
  <si>
    <t>MT945C</t>
  </si>
  <si>
    <t>327.0</t>
  </si>
  <si>
    <t>Tested as Challenger MT945B</t>
  </si>
  <si>
    <t>1905A</t>
  </si>
  <si>
    <t>Tested as John Deere 5603</t>
  </si>
  <si>
    <t>1862A</t>
  </si>
  <si>
    <t>S489A</t>
  </si>
  <si>
    <t>MT855C</t>
  </si>
  <si>
    <t>412.0</t>
  </si>
  <si>
    <t>358.0</t>
  </si>
  <si>
    <t>Tested as Challenger MT855B</t>
  </si>
  <si>
    <t>1861A</t>
  </si>
  <si>
    <t>S488A</t>
  </si>
  <si>
    <t>MT835C</t>
  </si>
  <si>
    <t>Tested as Challenger MT845B</t>
  </si>
  <si>
    <t>1859A</t>
  </si>
  <si>
    <t>S486A</t>
  </si>
  <si>
    <t>MT755C</t>
  </si>
  <si>
    <t>Tested as Challenger MT755B</t>
  </si>
  <si>
    <t>1846A</t>
  </si>
  <si>
    <t>S478A</t>
  </si>
  <si>
    <t>MT765C</t>
  </si>
  <si>
    <t>265.0</t>
  </si>
  <si>
    <t>Tested as Challenger MT765B</t>
  </si>
  <si>
    <t>1965</t>
  </si>
  <si>
    <t>S662</t>
  </si>
  <si>
    <t>MT875C</t>
  </si>
  <si>
    <t>521.0</t>
  </si>
  <si>
    <t>1964</t>
  </si>
  <si>
    <t>S661</t>
  </si>
  <si>
    <t>MT865C</t>
  </si>
  <si>
    <t>470.0</t>
  </si>
  <si>
    <t>1963</t>
  </si>
  <si>
    <t>S660</t>
  </si>
  <si>
    <t>1962</t>
  </si>
  <si>
    <t>5105M</t>
  </si>
  <si>
    <t>PRPS 2</t>
  </si>
  <si>
    <t>1961</t>
  </si>
  <si>
    <t>5095M</t>
  </si>
  <si>
    <t>1960</t>
  </si>
  <si>
    <t>1959</t>
  </si>
  <si>
    <t>1958</t>
  </si>
  <si>
    <t>5065M</t>
  </si>
  <si>
    <t>1957</t>
  </si>
  <si>
    <t>1956</t>
  </si>
  <si>
    <t>55.0</t>
  </si>
  <si>
    <t>1955</t>
  </si>
  <si>
    <t>1954</t>
  </si>
  <si>
    <t>5055D</t>
  </si>
  <si>
    <t>1953</t>
  </si>
  <si>
    <t>S640</t>
  </si>
  <si>
    <t>MT845C</t>
  </si>
  <si>
    <t>390.0</t>
  </si>
  <si>
    <t>1952</t>
  </si>
  <si>
    <t>S634</t>
  </si>
  <si>
    <t>7330</t>
  </si>
  <si>
    <t>1951</t>
  </si>
  <si>
    <t>S633</t>
  </si>
  <si>
    <t>1950</t>
  </si>
  <si>
    <t>S632</t>
  </si>
  <si>
    <t>1949</t>
  </si>
  <si>
    <t>S631</t>
  </si>
  <si>
    <t>1948</t>
  </si>
  <si>
    <t>1947</t>
  </si>
  <si>
    <t>1946</t>
  </si>
  <si>
    <t>4720</t>
  </si>
  <si>
    <t>S/N 67001 and higher</t>
  </si>
  <si>
    <t>1945</t>
  </si>
  <si>
    <t>4520</t>
  </si>
  <si>
    <t>54.0</t>
  </si>
  <si>
    <t>S/N 65001 and higher</t>
  </si>
  <si>
    <t>S761</t>
  </si>
  <si>
    <t>Farmall 70</t>
  </si>
  <si>
    <t>S754</t>
  </si>
  <si>
    <t>MT675C IEGR</t>
  </si>
  <si>
    <t>Tested as Massey Ferguson 8680</t>
  </si>
  <si>
    <t>S753</t>
  </si>
  <si>
    <t>MT665C IEGR</t>
  </si>
  <si>
    <t>254.0</t>
  </si>
  <si>
    <t>Tested as Massey Ferguson 8670</t>
  </si>
  <si>
    <t>S752</t>
  </si>
  <si>
    <t>MT655C IEGR</t>
  </si>
  <si>
    <t>Tested as Massey Ferguson 8660</t>
  </si>
  <si>
    <t>S751</t>
  </si>
  <si>
    <t>MT645C IEGR</t>
  </si>
  <si>
    <t>Tested as Massey Ferguson 8650</t>
  </si>
  <si>
    <t>S750</t>
  </si>
  <si>
    <t>DT275B</t>
  </si>
  <si>
    <t>S749</t>
  </si>
  <si>
    <t>DT250B</t>
  </si>
  <si>
    <t>S748</t>
  </si>
  <si>
    <t>DT225B</t>
  </si>
  <si>
    <t>S747</t>
  </si>
  <si>
    <t>DT205B</t>
  </si>
  <si>
    <t>S746</t>
  </si>
  <si>
    <t>8680 IEGR</t>
  </si>
  <si>
    <t>S745</t>
  </si>
  <si>
    <t>8670 IEGR</t>
  </si>
  <si>
    <t>S744</t>
  </si>
  <si>
    <t>8660 IEGR</t>
  </si>
  <si>
    <t>S743</t>
  </si>
  <si>
    <t>8650 IEGR</t>
  </si>
  <si>
    <t>S735</t>
  </si>
  <si>
    <t>Farmall 85U</t>
  </si>
  <si>
    <t>57.0</t>
  </si>
  <si>
    <t>68.0</t>
  </si>
  <si>
    <t>S714</t>
  </si>
  <si>
    <t>MT475B</t>
  </si>
  <si>
    <t>Tested as Massey Ferguson 5465 Diesel</t>
  </si>
  <si>
    <t>S713</t>
  </si>
  <si>
    <t>MT465B</t>
  </si>
  <si>
    <t>Tested as Massey Ferguson 5460 Diesel, S/N T025056 and higher</t>
  </si>
  <si>
    <t>S712</t>
  </si>
  <si>
    <t>MT455B</t>
  </si>
  <si>
    <t>Tested as Massey Ferguson 5455 Diesel, S/N T043084 and higher</t>
  </si>
  <si>
    <t>S711</t>
  </si>
  <si>
    <t>MT445B</t>
  </si>
  <si>
    <t>Tested as Massey Ferguson 5445 Diesel, S/N T177054 and higher</t>
  </si>
  <si>
    <t>S710</t>
  </si>
  <si>
    <t>MT425B</t>
  </si>
  <si>
    <t>Tested as Massey Ferguson 5425 Diesel, S/N T318019 and higher</t>
  </si>
  <si>
    <t>S709</t>
  </si>
  <si>
    <t>S708</t>
  </si>
  <si>
    <t>5470</t>
  </si>
  <si>
    <t>S/N S310050 and higher</t>
  </si>
  <si>
    <t>S707</t>
  </si>
  <si>
    <t>S/N S309067 and higher</t>
  </si>
  <si>
    <t>S706</t>
  </si>
  <si>
    <t>5460</t>
  </si>
  <si>
    <t>S/N S275031 and higher</t>
  </si>
  <si>
    <t>S705</t>
  </si>
  <si>
    <t>5455</t>
  </si>
  <si>
    <t>S/N T022073 and higher</t>
  </si>
  <si>
    <t>S704</t>
  </si>
  <si>
    <t>5445</t>
  </si>
  <si>
    <t>S/N T154036 and higher</t>
  </si>
  <si>
    <t>S703</t>
  </si>
  <si>
    <t>Massey Ferguson France</t>
  </si>
  <si>
    <t>5425</t>
  </si>
  <si>
    <t>S/N T273087 and higher</t>
  </si>
  <si>
    <t>S702</t>
  </si>
  <si>
    <t>MT545B</t>
  </si>
  <si>
    <t>Tested as Massey Ferguson 6480 Diesel, S/N S130040 and higher</t>
  </si>
  <si>
    <t>S701</t>
  </si>
  <si>
    <t>MT535B</t>
  </si>
  <si>
    <t>Tested as Massey Ferguson 6475 Diesel, S/N S172009 and higher</t>
  </si>
  <si>
    <t>S699</t>
  </si>
  <si>
    <t>6495</t>
  </si>
  <si>
    <t>S/N R184038 and higher</t>
  </si>
  <si>
    <t>S698</t>
  </si>
  <si>
    <t>S/N S045061 and higher</t>
  </si>
  <si>
    <t>S697</t>
  </si>
  <si>
    <t>S/N R165050 and higher</t>
  </si>
  <si>
    <t>S695</t>
  </si>
  <si>
    <t>RT155A</t>
  </si>
  <si>
    <t>Tested as Massey Ferguson 6495 Diesel</t>
  </si>
  <si>
    <t>S692</t>
  </si>
  <si>
    <t>LT85A</t>
  </si>
  <si>
    <t>1939A</t>
  </si>
  <si>
    <t>DX60</t>
  </si>
  <si>
    <t>Tested as New Holland T2420</t>
  </si>
  <si>
    <t>Farmall 60</t>
  </si>
  <si>
    <t>Tested As New Holland T2420</t>
  </si>
  <si>
    <t>1938A</t>
  </si>
  <si>
    <t>Farmall 50</t>
  </si>
  <si>
    <t>43.0</t>
  </si>
  <si>
    <t>Tested as New Holland T2330</t>
  </si>
  <si>
    <t>DX50</t>
  </si>
  <si>
    <t>1934A</t>
  </si>
  <si>
    <t>S610A</t>
  </si>
  <si>
    <t>Steiger 485</t>
  </si>
  <si>
    <t>400.0</t>
  </si>
  <si>
    <t>1899A</t>
  </si>
  <si>
    <t>S566A</t>
  </si>
  <si>
    <t>Magnum 245</t>
  </si>
  <si>
    <t>Also Tested As Case-IH MX 245</t>
  </si>
  <si>
    <t>1898A</t>
  </si>
  <si>
    <t>S565A</t>
  </si>
  <si>
    <t>Magnum 215</t>
  </si>
  <si>
    <t>Also Tested As Case-IH MX 215</t>
  </si>
  <si>
    <t>1944</t>
  </si>
  <si>
    <t>M108S</t>
  </si>
  <si>
    <t>1943</t>
  </si>
  <si>
    <t>S619</t>
  </si>
  <si>
    <t>9430T</t>
  </si>
  <si>
    <t>1942</t>
  </si>
  <si>
    <t>S618</t>
  </si>
  <si>
    <t>9430</t>
  </si>
  <si>
    <t>337.0</t>
  </si>
  <si>
    <t>343.0</t>
  </si>
  <si>
    <t>1941</t>
  </si>
  <si>
    <t>S617</t>
  </si>
  <si>
    <t>9330</t>
  </si>
  <si>
    <t>332.0</t>
  </si>
  <si>
    <t>1940</t>
  </si>
  <si>
    <t>S616</t>
  </si>
  <si>
    <t>9230</t>
  </si>
  <si>
    <t>1939</t>
  </si>
  <si>
    <t>T2420</t>
  </si>
  <si>
    <t>Boomer 4060</t>
  </si>
  <si>
    <t>1938</t>
  </si>
  <si>
    <t>TC50</t>
  </si>
  <si>
    <t>T2330</t>
  </si>
  <si>
    <t>Boomer 3050</t>
  </si>
  <si>
    <t>1937</t>
  </si>
  <si>
    <t>S612</t>
  </si>
  <si>
    <t>T8050</t>
  </si>
  <si>
    <t>1936</t>
  </si>
  <si>
    <t>S611</t>
  </si>
  <si>
    <t>Magnum 335</t>
  </si>
  <si>
    <t>277.0</t>
  </si>
  <si>
    <t>243.0</t>
  </si>
  <si>
    <t>1935</t>
  </si>
  <si>
    <t>S609</t>
  </si>
  <si>
    <t>TV6070</t>
  </si>
  <si>
    <t>1934</t>
  </si>
  <si>
    <t>S608</t>
  </si>
  <si>
    <t>T9050</t>
  </si>
  <si>
    <t>1933</t>
  </si>
  <si>
    <t>S604</t>
  </si>
  <si>
    <t>5480</t>
  </si>
  <si>
    <t>1932</t>
  </si>
  <si>
    <t>LT95A</t>
  </si>
  <si>
    <t>1931</t>
  </si>
  <si>
    <t>S603</t>
  </si>
  <si>
    <t>MT975B</t>
  </si>
  <si>
    <t>1930</t>
  </si>
  <si>
    <t>S602</t>
  </si>
  <si>
    <t>MT965B</t>
  </si>
  <si>
    <t>1929</t>
  </si>
  <si>
    <t>S601</t>
  </si>
  <si>
    <t>MT955B</t>
  </si>
  <si>
    <t>1928</t>
  </si>
  <si>
    <t>S600</t>
  </si>
  <si>
    <t>MT945B</t>
  </si>
  <si>
    <t>1927</t>
  </si>
  <si>
    <t>S597</t>
  </si>
  <si>
    <t>9630T</t>
  </si>
  <si>
    <t>no PTO</t>
  </si>
  <si>
    <t>1926</t>
  </si>
  <si>
    <t>S596</t>
  </si>
  <si>
    <t>9630</t>
  </si>
  <si>
    <t>427.0</t>
  </si>
  <si>
    <t>1925</t>
  </si>
  <si>
    <t>S595</t>
  </si>
  <si>
    <t>9530T</t>
  </si>
  <si>
    <t>366.0</t>
  </si>
  <si>
    <t>1924</t>
  </si>
  <si>
    <t>S594</t>
  </si>
  <si>
    <t>9530</t>
  </si>
  <si>
    <t>1923</t>
  </si>
  <si>
    <t>S593</t>
  </si>
  <si>
    <t>7430</t>
  </si>
  <si>
    <t>1922</t>
  </si>
  <si>
    <t>S592</t>
  </si>
  <si>
    <t>7230</t>
  </si>
  <si>
    <t>1921</t>
  </si>
  <si>
    <t>S591</t>
  </si>
  <si>
    <t>1920</t>
  </si>
  <si>
    <t>New Holland-India</t>
  </si>
  <si>
    <t>TT 75A</t>
  </si>
  <si>
    <t>1919</t>
  </si>
  <si>
    <t>TT 60A</t>
  </si>
  <si>
    <t>48.0</t>
  </si>
  <si>
    <t>1918</t>
  </si>
  <si>
    <t>TT 50A</t>
  </si>
  <si>
    <t>S766</t>
  </si>
  <si>
    <t>CNH Turkey</t>
  </si>
  <si>
    <t>TD5050</t>
  </si>
  <si>
    <t>S765</t>
  </si>
  <si>
    <t>TD5030</t>
  </si>
  <si>
    <t>S764</t>
  </si>
  <si>
    <t>Farmall 95</t>
  </si>
  <si>
    <t>S763</t>
  </si>
  <si>
    <t>Farmall 90</t>
  </si>
  <si>
    <t>S762</t>
  </si>
  <si>
    <t>Farmall 80</t>
  </si>
  <si>
    <t>S741</t>
  </si>
  <si>
    <t>T5070</t>
  </si>
  <si>
    <t>S740</t>
  </si>
  <si>
    <t>T5060</t>
  </si>
  <si>
    <t>S739</t>
  </si>
  <si>
    <t>T5050</t>
  </si>
  <si>
    <t>S738</t>
  </si>
  <si>
    <t>T5040</t>
  </si>
  <si>
    <t>S737</t>
  </si>
  <si>
    <t>S736</t>
  </si>
  <si>
    <t>S726</t>
  </si>
  <si>
    <t>T4050</t>
  </si>
  <si>
    <t>16 Speed</t>
  </si>
  <si>
    <t>S725</t>
  </si>
  <si>
    <t>12 Speed</t>
  </si>
  <si>
    <t>S724</t>
  </si>
  <si>
    <t>T4040</t>
  </si>
  <si>
    <t>S723</t>
  </si>
  <si>
    <t>S722</t>
  </si>
  <si>
    <t>T4030</t>
  </si>
  <si>
    <t>S721</t>
  </si>
  <si>
    <t>S720</t>
  </si>
  <si>
    <t>T4020</t>
  </si>
  <si>
    <t>S719</t>
  </si>
  <si>
    <t>S718</t>
  </si>
  <si>
    <t>S717</t>
  </si>
  <si>
    <t>S716</t>
  </si>
  <si>
    <t>S715</t>
  </si>
  <si>
    <t>Farmall 65C</t>
  </si>
  <si>
    <t>S687</t>
  </si>
  <si>
    <t>New Holland-Italy</t>
  </si>
  <si>
    <t>T6030 Elite AS</t>
  </si>
  <si>
    <t>S686</t>
  </si>
  <si>
    <t>T6070 Elite AS</t>
  </si>
  <si>
    <t>S685</t>
  </si>
  <si>
    <t>T6060 Elite AS</t>
  </si>
  <si>
    <t>S684</t>
  </si>
  <si>
    <t>T6050 Elite AS</t>
  </si>
  <si>
    <t>S682</t>
  </si>
  <si>
    <t>T6020 Elite AS</t>
  </si>
  <si>
    <t>S681</t>
  </si>
  <si>
    <t>Maxxum 140 Pro</t>
  </si>
  <si>
    <t>S680</t>
  </si>
  <si>
    <t>Maxxum 130 Pro</t>
  </si>
  <si>
    <t>S679</t>
  </si>
  <si>
    <t>Maxxum 125 Pro</t>
  </si>
  <si>
    <t>S677</t>
  </si>
  <si>
    <t>Maxxum 110 Pro</t>
  </si>
  <si>
    <t>S676</t>
  </si>
  <si>
    <t>T6080 Elite PC</t>
  </si>
  <si>
    <t>S675</t>
  </si>
  <si>
    <t>T6070 Elite PC</t>
  </si>
  <si>
    <t>S674</t>
  </si>
  <si>
    <t>T6050 Elite PC</t>
  </si>
  <si>
    <t>S673</t>
  </si>
  <si>
    <t>T6030 Elite PC</t>
  </si>
  <si>
    <t>S672</t>
  </si>
  <si>
    <t>Puma 155</t>
  </si>
  <si>
    <t>S671</t>
  </si>
  <si>
    <t>Puma 140</t>
  </si>
  <si>
    <t>S670</t>
  </si>
  <si>
    <t>Puma 125</t>
  </si>
  <si>
    <t>S669</t>
  </si>
  <si>
    <t>Puma 115</t>
  </si>
  <si>
    <t>S659</t>
  </si>
  <si>
    <t>MT675C SCR</t>
  </si>
  <si>
    <t>S658</t>
  </si>
  <si>
    <t>MT665C SCR</t>
  </si>
  <si>
    <t>218.0</t>
  </si>
  <si>
    <t>S657</t>
  </si>
  <si>
    <t>MT655C SCR</t>
  </si>
  <si>
    <t>194.0</t>
  </si>
  <si>
    <t>S656</t>
  </si>
  <si>
    <t>MT645C SCR</t>
  </si>
  <si>
    <t>Tested as Mssey Ferguson 8650</t>
  </si>
  <si>
    <t>S655</t>
  </si>
  <si>
    <t>S654</t>
  </si>
  <si>
    <t>S653</t>
  </si>
  <si>
    <t>S652</t>
  </si>
  <si>
    <t>S651</t>
  </si>
  <si>
    <t>S650</t>
  </si>
  <si>
    <t>S649</t>
  </si>
  <si>
    <t>S648</t>
  </si>
  <si>
    <t>S646</t>
  </si>
  <si>
    <t>Tested as Massey Ferguson 7480 Diesel</t>
  </si>
  <si>
    <t>S645</t>
  </si>
  <si>
    <t>Tested as Massey Ferguson 7475 Diesel</t>
  </si>
  <si>
    <t>S643</t>
  </si>
  <si>
    <t>S642</t>
  </si>
  <si>
    <t>S623A</t>
  </si>
  <si>
    <t>Tested as Case IH Puma 210</t>
  </si>
  <si>
    <t>S622A</t>
  </si>
  <si>
    <t>Tested as Case IH Puma 195</t>
  </si>
  <si>
    <t>S621A</t>
  </si>
  <si>
    <t>Tested as Case IH Puma 180</t>
  </si>
  <si>
    <t>S607</t>
  </si>
  <si>
    <t>AGCO S.A.</t>
  </si>
  <si>
    <t>MT575B</t>
  </si>
  <si>
    <t>S606</t>
  </si>
  <si>
    <t>MT565B</t>
  </si>
  <si>
    <t>S605</t>
  </si>
  <si>
    <t>MT555B</t>
  </si>
  <si>
    <t>1910A</t>
  </si>
  <si>
    <t>S583A</t>
  </si>
  <si>
    <t>TJ 480</t>
  </si>
  <si>
    <t>429.0</t>
  </si>
  <si>
    <t>Tested as Case-IH Steiger 480</t>
  </si>
  <si>
    <t>1909A</t>
  </si>
  <si>
    <t>S582A</t>
  </si>
  <si>
    <t>TJ 430</t>
  </si>
  <si>
    <t>Tested as Case-IH Steiger 430</t>
  </si>
  <si>
    <t>T9040</t>
  </si>
  <si>
    <t>1908A</t>
  </si>
  <si>
    <t>S581A</t>
  </si>
  <si>
    <t>TJ 380</t>
  </si>
  <si>
    <t>347.0</t>
  </si>
  <si>
    <t>Tested as Case-IH Steiger 380</t>
  </si>
  <si>
    <t>T9030</t>
  </si>
  <si>
    <t>1907A</t>
  </si>
  <si>
    <t>S580A</t>
  </si>
  <si>
    <t>TJ 330</t>
  </si>
  <si>
    <t>Tested as Case-IH Steiger 330</t>
  </si>
  <si>
    <t>T 9020</t>
  </si>
  <si>
    <t>1917</t>
  </si>
  <si>
    <t>Escorts Limited, Agri Machinery</t>
  </si>
  <si>
    <t>Farmtrac</t>
  </si>
  <si>
    <t>675 DTC</t>
  </si>
  <si>
    <t>8075</t>
  </si>
  <si>
    <t>Tested as Farmtrac 675 DTC</t>
  </si>
  <si>
    <t>1916</t>
  </si>
  <si>
    <t>S588</t>
  </si>
  <si>
    <t>Magnum 275</t>
  </si>
  <si>
    <t>229.0</t>
  </si>
  <si>
    <t>9.0 L engine. Chassis S/N Z7RZ05000 and higher</t>
  </si>
  <si>
    <t>1915</t>
  </si>
  <si>
    <t>S587</t>
  </si>
  <si>
    <t>TG305</t>
  </si>
  <si>
    <t>T8040</t>
  </si>
  <si>
    <t>Tested as TG 305</t>
  </si>
  <si>
    <t>1914</t>
  </si>
  <si>
    <t>S586</t>
  </si>
  <si>
    <t>TG275</t>
  </si>
  <si>
    <t>T8030</t>
  </si>
  <si>
    <t>Tested as TG 275</t>
  </si>
  <si>
    <t>1913</t>
  </si>
  <si>
    <t>S585</t>
  </si>
  <si>
    <t>MX305</t>
  </si>
  <si>
    <t>Tested as Magnum 305</t>
  </si>
  <si>
    <t>Magnum 305</t>
  </si>
  <si>
    <t>1912</t>
  </si>
  <si>
    <t>S584</t>
  </si>
  <si>
    <t>MX275</t>
  </si>
  <si>
    <t>Tested as Magnum 275</t>
  </si>
  <si>
    <t>1911</t>
  </si>
  <si>
    <t>S579</t>
  </si>
  <si>
    <t>Steiger 535 Quadtrac</t>
  </si>
  <si>
    <t>406.0</t>
  </si>
  <si>
    <t>Tested as Case-IH Steiger 530 Quadtrac</t>
  </si>
  <si>
    <t>Steiger 530 Quadtrac</t>
  </si>
  <si>
    <t>1910</t>
  </si>
  <si>
    <t>S578</t>
  </si>
  <si>
    <t>STX 480</t>
  </si>
  <si>
    <t>Steiger 480</t>
  </si>
  <si>
    <t>1909</t>
  </si>
  <si>
    <t>S577</t>
  </si>
  <si>
    <t>STX 430</t>
  </si>
  <si>
    <t>Steiger 435</t>
  </si>
  <si>
    <t>Steiger 430</t>
  </si>
  <si>
    <t>1908</t>
  </si>
  <si>
    <t>S576</t>
  </si>
  <si>
    <t>STX 380</t>
  </si>
  <si>
    <t>Steiger 385</t>
  </si>
  <si>
    <t>Steiger 380</t>
  </si>
  <si>
    <t>1907</t>
  </si>
  <si>
    <t>S575</t>
  </si>
  <si>
    <t>STX 330</t>
  </si>
  <si>
    <t>Steiger 335</t>
  </si>
  <si>
    <t>Steiger 330</t>
  </si>
  <si>
    <t>1906</t>
  </si>
  <si>
    <t>5625</t>
  </si>
  <si>
    <t>1905</t>
  </si>
  <si>
    <t>5603</t>
  </si>
  <si>
    <t>1904</t>
  </si>
  <si>
    <t>S570</t>
  </si>
  <si>
    <t>RT120A</t>
  </si>
  <si>
    <t>1903</t>
  </si>
  <si>
    <t>S569</t>
  </si>
  <si>
    <t>RT100A</t>
  </si>
  <si>
    <t>1902</t>
  </si>
  <si>
    <t>LT90A</t>
  </si>
  <si>
    <t>1901</t>
  </si>
  <si>
    <t>S568</t>
  </si>
  <si>
    <t>TG245</t>
  </si>
  <si>
    <t>T8020</t>
  </si>
  <si>
    <t>Tested as New Holland TG 245</t>
  </si>
  <si>
    <t>1900</t>
  </si>
  <si>
    <t>S567</t>
  </si>
  <si>
    <t>TG215</t>
  </si>
  <si>
    <t>T8010</t>
  </si>
  <si>
    <t>Tested as New Holland TG215</t>
  </si>
  <si>
    <t>1899</t>
  </si>
  <si>
    <t>S566</t>
  </si>
  <si>
    <t>MX245</t>
  </si>
  <si>
    <t>Tested as Magnum 245</t>
  </si>
  <si>
    <t>1898</t>
  </si>
  <si>
    <t>S565</t>
  </si>
  <si>
    <t>MX215</t>
  </si>
  <si>
    <t>Tested as Magnum 215</t>
  </si>
  <si>
    <t>1897</t>
  </si>
  <si>
    <t>S564</t>
  </si>
  <si>
    <t>7930 IVT</t>
  </si>
  <si>
    <t>1896</t>
  </si>
  <si>
    <t>S563</t>
  </si>
  <si>
    <t>7930 AQ</t>
  </si>
  <si>
    <t>1895</t>
  </si>
  <si>
    <t>S562</t>
  </si>
  <si>
    <t>7830</t>
  </si>
  <si>
    <t>1894</t>
  </si>
  <si>
    <t>S561</t>
  </si>
  <si>
    <t>7730</t>
  </si>
  <si>
    <t>153.0</t>
  </si>
  <si>
    <t>1893</t>
  </si>
  <si>
    <t>S560</t>
  </si>
  <si>
    <t>7630</t>
  </si>
  <si>
    <t>1892</t>
  </si>
  <si>
    <t>5403</t>
  </si>
  <si>
    <t>S700</t>
  </si>
  <si>
    <t>MT525B</t>
  </si>
  <si>
    <t>Tested as Massey Ferguson 6465 Diesel</t>
  </si>
  <si>
    <t>S696</t>
  </si>
  <si>
    <t>S694</t>
  </si>
  <si>
    <t>S693</t>
  </si>
  <si>
    <t>RT110A</t>
  </si>
  <si>
    <t>S691</t>
  </si>
  <si>
    <t>T6070 Plus</t>
  </si>
  <si>
    <t>S690</t>
  </si>
  <si>
    <t>T6050 Plus</t>
  </si>
  <si>
    <t>S689</t>
  </si>
  <si>
    <t>T6030 Plus</t>
  </si>
  <si>
    <t>S688</t>
  </si>
  <si>
    <t>T6020 Plus</t>
  </si>
  <si>
    <t>S683</t>
  </si>
  <si>
    <t>T6040 Elite AS</t>
  </si>
  <si>
    <t>S678</t>
  </si>
  <si>
    <t>Maxxum 120 Pro</t>
  </si>
  <si>
    <t>S668</t>
  </si>
  <si>
    <t>T6050 Delta</t>
  </si>
  <si>
    <t>S667</t>
  </si>
  <si>
    <t>T6030 Delta</t>
  </si>
  <si>
    <t>S666</t>
  </si>
  <si>
    <t>T6020 Delta</t>
  </si>
  <si>
    <t>S665</t>
  </si>
  <si>
    <t>Maxxum 125 Value</t>
  </si>
  <si>
    <t>S664</t>
  </si>
  <si>
    <t>Maxxum 115 Value</t>
  </si>
  <si>
    <t>S663</t>
  </si>
  <si>
    <t>Maxxum 110 Value</t>
  </si>
  <si>
    <t>S647</t>
  </si>
  <si>
    <t>Tested as Massey Ferguson 7495 Diesel</t>
  </si>
  <si>
    <t>S644</t>
  </si>
  <si>
    <t>Tested as Massey Ferguson 7465 Diesel</t>
  </si>
  <si>
    <t>S641</t>
  </si>
  <si>
    <t>S639</t>
  </si>
  <si>
    <t>RT140A</t>
  </si>
  <si>
    <t>Tested as Massey Ferguson 7490 Diesel</t>
  </si>
  <si>
    <t>S638</t>
  </si>
  <si>
    <t>Tested as Massey Ferguson 6490 Diesel</t>
  </si>
  <si>
    <t>S637</t>
  </si>
  <si>
    <t>6490</t>
  </si>
  <si>
    <t>S636</t>
  </si>
  <si>
    <t>6485</t>
  </si>
  <si>
    <t>S635</t>
  </si>
  <si>
    <t>7530</t>
  </si>
  <si>
    <t>S630</t>
  </si>
  <si>
    <t>S629</t>
  </si>
  <si>
    <t>S628</t>
  </si>
  <si>
    <t>S627</t>
  </si>
  <si>
    <t>T7060</t>
  </si>
  <si>
    <t>S626</t>
  </si>
  <si>
    <t>T7050</t>
  </si>
  <si>
    <t>S625</t>
  </si>
  <si>
    <t>T7040</t>
  </si>
  <si>
    <t>S624</t>
  </si>
  <si>
    <t>T7030</t>
  </si>
  <si>
    <t>S623</t>
  </si>
  <si>
    <t>Puma 210</t>
  </si>
  <si>
    <t>S622</t>
  </si>
  <si>
    <t>Puma 195</t>
  </si>
  <si>
    <t>S621</t>
  </si>
  <si>
    <t>Puma 180</t>
  </si>
  <si>
    <t>S620</t>
  </si>
  <si>
    <t>S615</t>
  </si>
  <si>
    <t>7495</t>
  </si>
  <si>
    <t>S614</t>
  </si>
  <si>
    <t>7490</t>
  </si>
  <si>
    <t>S613</t>
  </si>
  <si>
    <t>7485</t>
  </si>
  <si>
    <t>S599</t>
  </si>
  <si>
    <t>RT180A</t>
  </si>
  <si>
    <t>Tested as Massey Ferguson 6499</t>
  </si>
  <si>
    <t>S598</t>
  </si>
  <si>
    <t>6499</t>
  </si>
  <si>
    <t>S590</t>
  </si>
  <si>
    <t>6497</t>
  </si>
  <si>
    <t>S589</t>
  </si>
  <si>
    <t>RT165A</t>
  </si>
  <si>
    <t>Tested as Massey Ferguon 6497</t>
  </si>
  <si>
    <t>1891</t>
  </si>
  <si>
    <t>L5030</t>
  </si>
  <si>
    <t>45.0</t>
  </si>
  <si>
    <t>1890</t>
  </si>
  <si>
    <t>S557</t>
  </si>
  <si>
    <t>8530</t>
  </si>
  <si>
    <t>1889</t>
  </si>
  <si>
    <t>S556</t>
  </si>
  <si>
    <t>8430T</t>
  </si>
  <si>
    <t>1888</t>
  </si>
  <si>
    <t>S555</t>
  </si>
  <si>
    <t>8330T</t>
  </si>
  <si>
    <t>1887</t>
  </si>
  <si>
    <t>S554</t>
  </si>
  <si>
    <t>8330</t>
  </si>
  <si>
    <t>1886</t>
  </si>
  <si>
    <t>S553</t>
  </si>
  <si>
    <t>8230T</t>
  </si>
  <si>
    <t>1885</t>
  </si>
  <si>
    <t>S552</t>
  </si>
  <si>
    <t>8230</t>
  </si>
  <si>
    <t>1884</t>
  </si>
  <si>
    <t>S551</t>
  </si>
  <si>
    <t>8130</t>
  </si>
  <si>
    <t>1883</t>
  </si>
  <si>
    <t>LT75A</t>
  </si>
  <si>
    <t>1882</t>
  </si>
  <si>
    <t>S539</t>
  </si>
  <si>
    <t>McCormick</t>
  </si>
  <si>
    <t>XTX 215</t>
  </si>
  <si>
    <t>1881</t>
  </si>
  <si>
    <t>S538</t>
  </si>
  <si>
    <t>XTX 200</t>
  </si>
  <si>
    <t>2nd PTO test - "unboosted" mode</t>
  </si>
  <si>
    <t>MTX 185</t>
  </si>
  <si>
    <t>Tested as McCormick XTX 200, 2nd PTO test - "unboosted" mode</t>
  </si>
  <si>
    <t>1880</t>
  </si>
  <si>
    <t>S537</t>
  </si>
  <si>
    <t>XTX 185</t>
  </si>
  <si>
    <t>MTX 165</t>
  </si>
  <si>
    <t>Tested as McCormick XTX 185, 2nd PTO test - "unboosted" mode</t>
  </si>
  <si>
    <t>1878</t>
  </si>
  <si>
    <t>S535</t>
  </si>
  <si>
    <t>MT665B</t>
  </si>
  <si>
    <t>1877</t>
  </si>
  <si>
    <t>S534</t>
  </si>
  <si>
    <t>MT655B</t>
  </si>
  <si>
    <t>1876</t>
  </si>
  <si>
    <t>S533</t>
  </si>
  <si>
    <t>MT645B</t>
  </si>
  <si>
    <t>1875</t>
  </si>
  <si>
    <t>S532</t>
  </si>
  <si>
    <t>MT635B</t>
  </si>
  <si>
    <t>1874</t>
  </si>
  <si>
    <t>S528</t>
  </si>
  <si>
    <t>8430</t>
  </si>
  <si>
    <t>1873</t>
  </si>
  <si>
    <t>S527</t>
  </si>
  <si>
    <t>1872</t>
  </si>
  <si>
    <t>5303</t>
  </si>
  <si>
    <t>1871</t>
  </si>
  <si>
    <t>5203</t>
  </si>
  <si>
    <t>1870</t>
  </si>
  <si>
    <t>5103</t>
  </si>
  <si>
    <t>1865</t>
  </si>
  <si>
    <t>AGCO Brazil</t>
  </si>
  <si>
    <t>583</t>
  </si>
  <si>
    <t>Tested as Massey Ferguson 481</t>
  </si>
  <si>
    <t>1864</t>
  </si>
  <si>
    <t>573</t>
  </si>
  <si>
    <t>Tested as Massey Ferguson 471</t>
  </si>
  <si>
    <t>1852</t>
  </si>
  <si>
    <t>596</t>
  </si>
  <si>
    <t>Tested as Massey Ferguson 492</t>
  </si>
  <si>
    <t>1851</t>
  </si>
  <si>
    <t>593</t>
  </si>
  <si>
    <t>Tested as Massey Ferguson 491</t>
  </si>
  <si>
    <t>S559</t>
  </si>
  <si>
    <t>1879</t>
  </si>
  <si>
    <t>S536</t>
  </si>
  <si>
    <t>MT875B</t>
  </si>
  <si>
    <t>431.0</t>
  </si>
  <si>
    <t>1869</t>
  </si>
  <si>
    <t>5525</t>
  </si>
  <si>
    <t>1868</t>
  </si>
  <si>
    <t>1867</t>
  </si>
  <si>
    <t>5325</t>
  </si>
  <si>
    <t>1866</t>
  </si>
  <si>
    <t>5225</t>
  </si>
  <si>
    <t>481</t>
  </si>
  <si>
    <t>471</t>
  </si>
  <si>
    <t>1863</t>
  </si>
  <si>
    <t>451</t>
  </si>
  <si>
    <t>1862</t>
  </si>
  <si>
    <t>S489</t>
  </si>
  <si>
    <t>MT855B</t>
  </si>
  <si>
    <t>1861</t>
  </si>
  <si>
    <t>S488</t>
  </si>
  <si>
    <t>MT845B</t>
  </si>
  <si>
    <t>1860</t>
  </si>
  <si>
    <t>S487</t>
  </si>
  <si>
    <t>MT835B</t>
  </si>
  <si>
    <t>1859</t>
  </si>
  <si>
    <t>S486</t>
  </si>
  <si>
    <t>MT755B</t>
  </si>
  <si>
    <t>1858</t>
  </si>
  <si>
    <t>S485</t>
  </si>
  <si>
    <t>MTX 150</t>
  </si>
  <si>
    <t>1857</t>
  </si>
  <si>
    <t>S484</t>
  </si>
  <si>
    <t>MTX 135</t>
  </si>
  <si>
    <t>1856</t>
  </si>
  <si>
    <t>S483</t>
  </si>
  <si>
    <t>MTX 120</t>
  </si>
  <si>
    <t>1855</t>
  </si>
  <si>
    <t>1854</t>
  </si>
  <si>
    <t>1853</t>
  </si>
  <si>
    <t>4320</t>
  </si>
  <si>
    <t>41.0</t>
  </si>
  <si>
    <t>492</t>
  </si>
  <si>
    <t>491</t>
  </si>
  <si>
    <t>1850</t>
  </si>
  <si>
    <t>AGCO Italy</t>
  </si>
  <si>
    <t>GT75A</t>
  </si>
  <si>
    <t>1849</t>
  </si>
  <si>
    <t>GT55A</t>
  </si>
  <si>
    <t>1848</t>
  </si>
  <si>
    <t>1847</t>
  </si>
  <si>
    <t>S479</t>
  </si>
  <si>
    <t>MT865B</t>
  </si>
  <si>
    <t>455.0</t>
  </si>
  <si>
    <t>1846</t>
  </si>
  <si>
    <t>S478</t>
  </si>
  <si>
    <t>MT765B</t>
  </si>
  <si>
    <t>S574</t>
  </si>
  <si>
    <t>TN95DA</t>
  </si>
  <si>
    <t>S573</t>
  </si>
  <si>
    <t>TN85DA</t>
  </si>
  <si>
    <t>S572</t>
  </si>
  <si>
    <t>JX1095C</t>
  </si>
  <si>
    <t>S571</t>
  </si>
  <si>
    <t>JX1085C</t>
  </si>
  <si>
    <t>S550</t>
  </si>
  <si>
    <t>120.0</t>
  </si>
  <si>
    <t>S549</t>
  </si>
  <si>
    <t>S548</t>
  </si>
  <si>
    <t>8480</t>
  </si>
  <si>
    <t>S547</t>
  </si>
  <si>
    <t>8470</t>
  </si>
  <si>
    <t>S546</t>
  </si>
  <si>
    <t>8460</t>
  </si>
  <si>
    <t>205.0</t>
  </si>
  <si>
    <t>S545</t>
  </si>
  <si>
    <t>8450</t>
  </si>
  <si>
    <t>S543</t>
  </si>
  <si>
    <t>DT240A</t>
  </si>
  <si>
    <t>S542</t>
  </si>
  <si>
    <t>DT220A</t>
  </si>
  <si>
    <t>S541</t>
  </si>
  <si>
    <t>DT200A</t>
  </si>
  <si>
    <t>S540</t>
  </si>
  <si>
    <t>DT180A</t>
  </si>
  <si>
    <t>S530</t>
  </si>
  <si>
    <t>Case Europe</t>
  </si>
  <si>
    <t>JX1090U</t>
  </si>
  <si>
    <t>S519</t>
  </si>
  <si>
    <t>S518</t>
  </si>
  <si>
    <t>133.0</t>
  </si>
  <si>
    <t>S514</t>
  </si>
  <si>
    <t>Tested as Massey Ferguson 5435 Diesel</t>
  </si>
  <si>
    <t>S510</t>
  </si>
  <si>
    <t>5435</t>
  </si>
  <si>
    <t>S499</t>
  </si>
  <si>
    <t>New Holland UK</t>
  </si>
  <si>
    <t>TS125A</t>
  </si>
  <si>
    <t>S495</t>
  </si>
  <si>
    <t>MXU125</t>
  </si>
  <si>
    <t>Tested as New Holland TS125A</t>
  </si>
  <si>
    <t>S494</t>
  </si>
  <si>
    <t>MXU110</t>
  </si>
  <si>
    <t>1837C</t>
  </si>
  <si>
    <t>T2410</t>
  </si>
  <si>
    <t>Tested as Case IH DX 55</t>
  </si>
  <si>
    <t>Boomer 4055</t>
  </si>
  <si>
    <t>1837B</t>
  </si>
  <si>
    <t>Farmall 55</t>
  </si>
  <si>
    <t>1837A</t>
  </si>
  <si>
    <t>TC55DA</t>
  </si>
  <si>
    <t>1836A</t>
  </si>
  <si>
    <t>DX 48</t>
  </si>
  <si>
    <t>40.0</t>
  </si>
  <si>
    <t>Tested as New Holland TC 48DA</t>
  </si>
  <si>
    <t>1834A</t>
  </si>
  <si>
    <t>7820 Euro</t>
  </si>
  <si>
    <t>6.8 l engine</t>
  </si>
  <si>
    <t>1845</t>
  </si>
  <si>
    <t>S449</t>
  </si>
  <si>
    <t>9620T</t>
  </si>
  <si>
    <t>381.0</t>
  </si>
  <si>
    <t>1844</t>
  </si>
  <si>
    <t>S448</t>
  </si>
  <si>
    <t>9620</t>
  </si>
  <si>
    <t>1843</t>
  </si>
  <si>
    <t>S447</t>
  </si>
  <si>
    <t>RT150</t>
  </si>
  <si>
    <t>1842</t>
  </si>
  <si>
    <t>S446</t>
  </si>
  <si>
    <t>RT135</t>
  </si>
  <si>
    <t>1841</t>
  </si>
  <si>
    <t>LT90</t>
  </si>
  <si>
    <t>1840</t>
  </si>
  <si>
    <t>LT75</t>
  </si>
  <si>
    <t>1839</t>
  </si>
  <si>
    <t>5205</t>
  </si>
  <si>
    <t>Chassis S/N 52200 and higher</t>
  </si>
  <si>
    <t>1838</t>
  </si>
  <si>
    <t>5105</t>
  </si>
  <si>
    <t>Chassis S/N 512000 and higher</t>
  </si>
  <si>
    <t>1837</t>
  </si>
  <si>
    <t>DX 55</t>
  </si>
  <si>
    <t>1836</t>
  </si>
  <si>
    <t>TC48DA</t>
  </si>
  <si>
    <t>1835</t>
  </si>
  <si>
    <t>S427</t>
  </si>
  <si>
    <t>7920</t>
  </si>
  <si>
    <t>1834</t>
  </si>
  <si>
    <t>S426</t>
  </si>
  <si>
    <t>7820</t>
  </si>
  <si>
    <t>8.1 l engine</t>
  </si>
  <si>
    <t>1833</t>
  </si>
  <si>
    <t>S425</t>
  </si>
  <si>
    <t>7720</t>
  </si>
  <si>
    <t>S544</t>
  </si>
  <si>
    <t>Case U.K.</t>
  </si>
  <si>
    <t>MXU115 Ltd</t>
  </si>
  <si>
    <t>Tested as New Holland TS115A Diesel</t>
  </si>
  <si>
    <t>S531</t>
  </si>
  <si>
    <t>JX1100U</t>
  </si>
  <si>
    <t>69.0</t>
  </si>
  <si>
    <t>S529</t>
  </si>
  <si>
    <t>JX1080U</t>
  </si>
  <si>
    <t>S526</t>
  </si>
  <si>
    <t>TL 100A</t>
  </si>
  <si>
    <t>S525</t>
  </si>
  <si>
    <t>TL 90A</t>
  </si>
  <si>
    <t>S524</t>
  </si>
  <si>
    <t>TL 80A</t>
  </si>
  <si>
    <t>S523</t>
  </si>
  <si>
    <t>S522</t>
  </si>
  <si>
    <t>S520</t>
  </si>
  <si>
    <t>S517</t>
  </si>
  <si>
    <t>Tested as Massey Ferguson 5460 Diesel</t>
  </si>
  <si>
    <t>S516</t>
  </si>
  <si>
    <t>Tested as Massey Ferguson 5455 Diesel</t>
  </si>
  <si>
    <t>S515</t>
  </si>
  <si>
    <t>Tested as Massey Ferguson 5445 Diesel</t>
  </si>
  <si>
    <t>S513</t>
  </si>
  <si>
    <t>S512</t>
  </si>
  <si>
    <t>S511</t>
  </si>
  <si>
    <t>S509</t>
  </si>
  <si>
    <t>S508</t>
  </si>
  <si>
    <t>S507</t>
  </si>
  <si>
    <t>S506</t>
  </si>
  <si>
    <t>S505</t>
  </si>
  <si>
    <t>S504</t>
  </si>
  <si>
    <t>S500</t>
  </si>
  <si>
    <t>TS135A</t>
  </si>
  <si>
    <t>S498</t>
  </si>
  <si>
    <t>TS115A</t>
  </si>
  <si>
    <t>S497</t>
  </si>
  <si>
    <t>TS100A</t>
  </si>
  <si>
    <t>S496</t>
  </si>
  <si>
    <t>MXU135</t>
  </si>
  <si>
    <t>Tested as New Holland TS135A</t>
  </si>
  <si>
    <t>S493</t>
  </si>
  <si>
    <t>MXU100</t>
  </si>
  <si>
    <t>Tested as New Holland TS100A</t>
  </si>
  <si>
    <t>S492</t>
  </si>
  <si>
    <t>818 Vario</t>
  </si>
  <si>
    <t>S491</t>
  </si>
  <si>
    <t>817 Vario</t>
  </si>
  <si>
    <t>S490</t>
  </si>
  <si>
    <t>815 Vario</t>
  </si>
  <si>
    <t>S482</t>
  </si>
  <si>
    <t>6715</t>
  </si>
  <si>
    <t>S481</t>
  </si>
  <si>
    <t>6215</t>
  </si>
  <si>
    <t>S477</t>
  </si>
  <si>
    <t>RT120</t>
  </si>
  <si>
    <t>S476</t>
  </si>
  <si>
    <t>RT100</t>
  </si>
  <si>
    <t>S475</t>
  </si>
  <si>
    <t>Dynastep Transmission</t>
  </si>
  <si>
    <t>S474</t>
  </si>
  <si>
    <t>S473</t>
  </si>
  <si>
    <t>S472</t>
  </si>
  <si>
    <t>S471</t>
  </si>
  <si>
    <t>S470</t>
  </si>
  <si>
    <t>S469</t>
  </si>
  <si>
    <t>S468</t>
  </si>
  <si>
    <t>S467</t>
  </si>
  <si>
    <t>S466</t>
  </si>
  <si>
    <t>S465</t>
  </si>
  <si>
    <t>S464</t>
  </si>
  <si>
    <t>S463</t>
  </si>
  <si>
    <t>Turk Tractor ve Ziraat</t>
  </si>
  <si>
    <t>JX95</t>
  </si>
  <si>
    <t>S/N HFJ013287 and higher</t>
  </si>
  <si>
    <t>S462</t>
  </si>
  <si>
    <t>JX85</t>
  </si>
  <si>
    <t>S461</t>
  </si>
  <si>
    <t>JX75</t>
  </si>
  <si>
    <t>S460</t>
  </si>
  <si>
    <t>JX65</t>
  </si>
  <si>
    <t>S459</t>
  </si>
  <si>
    <t>JX55</t>
  </si>
  <si>
    <t>35.0</t>
  </si>
  <si>
    <t>39.0</t>
  </si>
  <si>
    <t>S458</t>
  </si>
  <si>
    <t>TN75DA</t>
  </si>
  <si>
    <t>S457</t>
  </si>
  <si>
    <t>TN75A</t>
  </si>
  <si>
    <t>S456</t>
  </si>
  <si>
    <t>TN70DA</t>
  </si>
  <si>
    <t>S455</t>
  </si>
  <si>
    <t>TN70A</t>
  </si>
  <si>
    <t>S454</t>
  </si>
  <si>
    <t>TN60DA</t>
  </si>
  <si>
    <t>S453</t>
  </si>
  <si>
    <t>TN60A</t>
  </si>
  <si>
    <t>S452</t>
  </si>
  <si>
    <t>JX1075C</t>
  </si>
  <si>
    <t>30 km/h trans.</t>
  </si>
  <si>
    <t>40 km/h trans.</t>
  </si>
  <si>
    <t>S451</t>
  </si>
  <si>
    <t>JX1070C</t>
  </si>
  <si>
    <t>S450</t>
  </si>
  <si>
    <t>JX1060C</t>
  </si>
  <si>
    <t>S221A</t>
  </si>
  <si>
    <t>Buhler Versatile</t>
  </si>
  <si>
    <t>Tested as New Holland 8970</t>
  </si>
  <si>
    <t>S220A</t>
  </si>
  <si>
    <t>Tested as New Holland 8870</t>
  </si>
  <si>
    <t>S219A</t>
  </si>
  <si>
    <t>Tested as New Holland 8770</t>
  </si>
  <si>
    <t>S218A</t>
  </si>
  <si>
    <t>Tested as New Holland 8670</t>
  </si>
  <si>
    <t>1782C</t>
  </si>
  <si>
    <t>MT645</t>
  </si>
  <si>
    <t>Tested as Massey Ferguson 8260 Diesel</t>
  </si>
  <si>
    <t>1781C</t>
  </si>
  <si>
    <t>MT635</t>
  </si>
  <si>
    <t>Tested as Massey Ferguson 8245 Diesel</t>
  </si>
  <si>
    <t>1832</t>
  </si>
  <si>
    <t>S420</t>
  </si>
  <si>
    <t>TG285</t>
  </si>
  <si>
    <t>1831</t>
  </si>
  <si>
    <t>S419</t>
  </si>
  <si>
    <t>TG255</t>
  </si>
  <si>
    <t>1830</t>
  </si>
  <si>
    <t>S418</t>
  </si>
  <si>
    <t>TG230</t>
  </si>
  <si>
    <t>1829</t>
  </si>
  <si>
    <t>S417</t>
  </si>
  <si>
    <t>TG210</t>
  </si>
  <si>
    <t>1828</t>
  </si>
  <si>
    <t>S416</t>
  </si>
  <si>
    <t>MX285</t>
  </si>
  <si>
    <t>1827</t>
  </si>
  <si>
    <t>S415</t>
  </si>
  <si>
    <t>MX255</t>
  </si>
  <si>
    <t>187.0</t>
  </si>
  <si>
    <t>1826</t>
  </si>
  <si>
    <t>S414</t>
  </si>
  <si>
    <t>MX230</t>
  </si>
  <si>
    <t>1825</t>
  </si>
  <si>
    <t>S413</t>
  </si>
  <si>
    <t>MX210</t>
  </si>
  <si>
    <t>1824</t>
  </si>
  <si>
    <t>S401</t>
  </si>
  <si>
    <t>MT845</t>
  </si>
  <si>
    <t>1823</t>
  </si>
  <si>
    <t>S400</t>
  </si>
  <si>
    <t>MT835</t>
  </si>
  <si>
    <t>1822</t>
  </si>
  <si>
    <t>S399</t>
  </si>
  <si>
    <t>MT745</t>
  </si>
  <si>
    <t>1821</t>
  </si>
  <si>
    <t>S398</t>
  </si>
  <si>
    <t>MT735</t>
  </si>
  <si>
    <t>1820</t>
  </si>
  <si>
    <t>S397</t>
  </si>
  <si>
    <t>8220</t>
  </si>
  <si>
    <t>1819</t>
  </si>
  <si>
    <t>S396</t>
  </si>
  <si>
    <t>8120</t>
  </si>
  <si>
    <t>1818</t>
  </si>
  <si>
    <t>S395</t>
  </si>
  <si>
    <t>7520</t>
  </si>
  <si>
    <t>1817</t>
  </si>
  <si>
    <t>S394</t>
  </si>
  <si>
    <t>7420</t>
  </si>
  <si>
    <t>1816</t>
  </si>
  <si>
    <t>S393</t>
  </si>
  <si>
    <t>7220</t>
  </si>
  <si>
    <t>S558</t>
  </si>
  <si>
    <t>S521</t>
  </si>
  <si>
    <t>S444</t>
  </si>
  <si>
    <t>S443</t>
  </si>
  <si>
    <t>6415</t>
  </si>
  <si>
    <t>S442</t>
  </si>
  <si>
    <t>716 Vario</t>
  </si>
  <si>
    <t>S441</t>
  </si>
  <si>
    <t>S440</t>
  </si>
  <si>
    <t>712 Vario</t>
  </si>
  <si>
    <t>S439</t>
  </si>
  <si>
    <t>MXM190</t>
  </si>
  <si>
    <t>S438</t>
  </si>
  <si>
    <t>TM190</t>
  </si>
  <si>
    <t>Tested as Case-IH MXM 190</t>
  </si>
  <si>
    <t>S437</t>
  </si>
  <si>
    <t>MXM175</t>
  </si>
  <si>
    <t>S436</t>
  </si>
  <si>
    <t>TM175</t>
  </si>
  <si>
    <t>Tested as Case-IH MXM 175</t>
  </si>
  <si>
    <t>S435</t>
  </si>
  <si>
    <t>MXM155</t>
  </si>
  <si>
    <t>Tested as New Holland TM155</t>
  </si>
  <si>
    <t>S434</t>
  </si>
  <si>
    <t>TM155</t>
  </si>
  <si>
    <t>S412</t>
  </si>
  <si>
    <t>412 Vario</t>
  </si>
  <si>
    <t>S360A</t>
  </si>
  <si>
    <t>AGCO England</t>
  </si>
  <si>
    <t>MT445</t>
  </si>
  <si>
    <t>Tested as Massey Ferguson 4233 Diesel</t>
  </si>
  <si>
    <t>S329</t>
  </si>
  <si>
    <t>McCormick Intr</t>
  </si>
  <si>
    <t>CX105</t>
  </si>
  <si>
    <t>Tested as Case IH CX 100</t>
  </si>
  <si>
    <t>C105</t>
  </si>
  <si>
    <t>S328</t>
  </si>
  <si>
    <t>CX95</t>
  </si>
  <si>
    <t>Tested as Case IH CX 90</t>
  </si>
  <si>
    <t>C95</t>
  </si>
  <si>
    <t>S327</t>
  </si>
  <si>
    <t>CX85</t>
  </si>
  <si>
    <t>Tested as Case IH CX 80</t>
  </si>
  <si>
    <t>C85</t>
  </si>
  <si>
    <t>S326</t>
  </si>
  <si>
    <t>CX75</t>
  </si>
  <si>
    <t>Tested as Case IH CX 70</t>
  </si>
  <si>
    <t>C75</t>
  </si>
  <si>
    <t>S323</t>
  </si>
  <si>
    <t>TV145</t>
  </si>
  <si>
    <t>HYD</t>
  </si>
  <si>
    <t>Tested as New Holland TV 140</t>
  </si>
  <si>
    <t>S321A</t>
  </si>
  <si>
    <t>MT665</t>
  </si>
  <si>
    <t>Tested as Massey Ferguson 8280 Diesel</t>
  </si>
  <si>
    <t>S320A</t>
  </si>
  <si>
    <t>MT655</t>
  </si>
  <si>
    <t>Tested as Massey Ferguson 8270 Diesel</t>
  </si>
  <si>
    <t>S319A</t>
  </si>
  <si>
    <t>MT565</t>
  </si>
  <si>
    <t>Tested as Massey Ferguson 8240 Diesel</t>
  </si>
  <si>
    <t>S305A</t>
  </si>
  <si>
    <t>MT545</t>
  </si>
  <si>
    <t>Tested as Massey Ferguson 6290 Diesel</t>
  </si>
  <si>
    <t>S303A</t>
  </si>
  <si>
    <t>MT535</t>
  </si>
  <si>
    <t>Tested as Massey Ferguson 6270 Diesel</t>
  </si>
  <si>
    <t>S279A</t>
  </si>
  <si>
    <t>MT465</t>
  </si>
  <si>
    <t>Tested as Massey Ferguson 4255 Diesel. 540 RPM Data</t>
  </si>
  <si>
    <t>Tested as Massey Ferguson 4255 Diesel. 1000 RPM Data</t>
  </si>
  <si>
    <t>S279</t>
  </si>
  <si>
    <t>Massey Ferguson UK</t>
  </si>
  <si>
    <t>4355</t>
  </si>
  <si>
    <t>Tested as Massey Ferguson 4255. 540 RPM Data</t>
  </si>
  <si>
    <t>Tested as Massey Ferguson 4255. 1000 RPM Data</t>
  </si>
  <si>
    <t>S278A</t>
  </si>
  <si>
    <t>MT455</t>
  </si>
  <si>
    <t>Tested as Massey Ferguson 4245 Diesel. 540 RPM Data</t>
  </si>
  <si>
    <t>Tested as Massey Ferguson 4245 Diesel. 1000 RPM Data</t>
  </si>
  <si>
    <t>S276A</t>
  </si>
  <si>
    <t>MT425</t>
  </si>
  <si>
    <t>Tested as Massey Ferguson 4225 Diesel. 540 RPM Data</t>
  </si>
  <si>
    <t>Tested as Massey Ferguson 4225 Diesel. 1000 RPM Data</t>
  </si>
  <si>
    <t>1815</t>
  </si>
  <si>
    <t>S381</t>
  </si>
  <si>
    <t>MT865</t>
  </si>
  <si>
    <t>444.0</t>
  </si>
  <si>
    <t>378.0</t>
  </si>
  <si>
    <t>1814</t>
  </si>
  <si>
    <t>S380</t>
  </si>
  <si>
    <t>MT855</t>
  </si>
  <si>
    <t>1813</t>
  </si>
  <si>
    <t>S379</t>
  </si>
  <si>
    <t>MT765</t>
  </si>
  <si>
    <t>221.0</t>
  </si>
  <si>
    <t>1812</t>
  </si>
  <si>
    <t>S378</t>
  </si>
  <si>
    <t>MT755</t>
  </si>
  <si>
    <t>1811</t>
  </si>
  <si>
    <t>S377</t>
  </si>
  <si>
    <t>9220</t>
  </si>
  <si>
    <t>1810</t>
  </si>
  <si>
    <t>S376</t>
  </si>
  <si>
    <t>9120</t>
  </si>
  <si>
    <t>244.0</t>
  </si>
  <si>
    <t>1809</t>
  </si>
  <si>
    <t>S375</t>
  </si>
  <si>
    <t>6603</t>
  </si>
  <si>
    <t>1808</t>
  </si>
  <si>
    <t>S374</t>
  </si>
  <si>
    <t>6403</t>
  </si>
  <si>
    <t>1807</t>
  </si>
  <si>
    <t>S373</t>
  </si>
  <si>
    <t>7810</t>
  </si>
  <si>
    <t>1806</t>
  </si>
  <si>
    <t>S372</t>
  </si>
  <si>
    <t>9520T</t>
  </si>
  <si>
    <t>1805</t>
  </si>
  <si>
    <t>S371</t>
  </si>
  <si>
    <t>9520</t>
  </si>
  <si>
    <t>1804</t>
  </si>
  <si>
    <t>S370</t>
  </si>
  <si>
    <t>9320T</t>
  </si>
  <si>
    <t>1803</t>
  </si>
  <si>
    <t>S369</t>
  </si>
  <si>
    <t>9320</t>
  </si>
  <si>
    <t>1802</t>
  </si>
  <si>
    <t>S368</t>
  </si>
  <si>
    <t>8520T</t>
  </si>
  <si>
    <t>1801</t>
  </si>
  <si>
    <t>S367</t>
  </si>
  <si>
    <t>8520</t>
  </si>
  <si>
    <t>1800</t>
  </si>
  <si>
    <t>S366</t>
  </si>
  <si>
    <t>8420</t>
  </si>
  <si>
    <t>1799</t>
  </si>
  <si>
    <t>S365</t>
  </si>
  <si>
    <t>8320T</t>
  </si>
  <si>
    <t>1798</t>
  </si>
  <si>
    <t>S364</t>
  </si>
  <si>
    <t>8320</t>
  </si>
  <si>
    <t>1791</t>
  </si>
  <si>
    <t>S353</t>
  </si>
  <si>
    <t>9420T</t>
  </si>
  <si>
    <t>299.0</t>
  </si>
  <si>
    <t>Tested as John Deere 9400T, partial power PTO</t>
  </si>
  <si>
    <t>1778</t>
  </si>
  <si>
    <t>S313</t>
  </si>
  <si>
    <t>8420T</t>
  </si>
  <si>
    <t>Tested as John Deere 8410T</t>
  </si>
  <si>
    <t>1733</t>
  </si>
  <si>
    <t>S233</t>
  </si>
  <si>
    <t>9420</t>
  </si>
  <si>
    <t>S433</t>
  </si>
  <si>
    <t>MXM140</t>
  </si>
  <si>
    <t>Tested as New Holland TM140</t>
  </si>
  <si>
    <t>S432</t>
  </si>
  <si>
    <t>TM140</t>
  </si>
  <si>
    <t>S431</t>
  </si>
  <si>
    <t>MXM130</t>
  </si>
  <si>
    <t>Tested as New Holland TM130</t>
  </si>
  <si>
    <t>S430</t>
  </si>
  <si>
    <t>TM130</t>
  </si>
  <si>
    <t>S429</t>
  </si>
  <si>
    <t>MXM120</t>
  </si>
  <si>
    <t>S428</t>
  </si>
  <si>
    <t>TM120</t>
  </si>
  <si>
    <t>Tested as Case IH MXM120</t>
  </si>
  <si>
    <t>Tested as Case-IH MXM120</t>
  </si>
  <si>
    <t>S424</t>
  </si>
  <si>
    <t>MTX 155</t>
  </si>
  <si>
    <t>S423</t>
  </si>
  <si>
    <t>MTX 140</t>
  </si>
  <si>
    <t>S422</t>
  </si>
  <si>
    <t>MTX 125</t>
  </si>
  <si>
    <t>S421</t>
  </si>
  <si>
    <t>MTX 110</t>
  </si>
  <si>
    <t>S411</t>
  </si>
  <si>
    <t>411 Vario</t>
  </si>
  <si>
    <t>S410</t>
  </si>
  <si>
    <t>410 Vario</t>
  </si>
  <si>
    <t>S409</t>
  </si>
  <si>
    <t>JX100U</t>
  </si>
  <si>
    <t>S408</t>
  </si>
  <si>
    <t>JX90U</t>
  </si>
  <si>
    <t>S407</t>
  </si>
  <si>
    <t>JX80U</t>
  </si>
  <si>
    <t>S406</t>
  </si>
  <si>
    <t>Tested as New Holland TD 95D (European model)</t>
  </si>
  <si>
    <t>S405</t>
  </si>
  <si>
    <t>Tested as New Holland TD 85D (European model)</t>
  </si>
  <si>
    <t>S404</t>
  </si>
  <si>
    <t>Tested as New Holland TD 75D (European model)</t>
  </si>
  <si>
    <t>S403</t>
  </si>
  <si>
    <t>Tested as New Holland TD 65D (European model)</t>
  </si>
  <si>
    <t>S402</t>
  </si>
  <si>
    <t>Tested as New Holland TD 55D (European model)</t>
  </si>
  <si>
    <t>S392</t>
  </si>
  <si>
    <t>7320</t>
  </si>
  <si>
    <t>Tested as John Deere 6620 Autoquad</t>
  </si>
  <si>
    <t>S387</t>
  </si>
  <si>
    <t>6420</t>
  </si>
  <si>
    <t>S386</t>
  </si>
  <si>
    <t>6320</t>
  </si>
  <si>
    <t>S385</t>
  </si>
  <si>
    <t>6220</t>
  </si>
  <si>
    <t>S384</t>
  </si>
  <si>
    <t>6120</t>
  </si>
  <si>
    <t>53.0</t>
  </si>
  <si>
    <t>S383</t>
  </si>
  <si>
    <t>RT130</t>
  </si>
  <si>
    <t>S382</t>
  </si>
  <si>
    <t>RT115</t>
  </si>
  <si>
    <t>S363</t>
  </si>
  <si>
    <t>8250</t>
  </si>
  <si>
    <t>S360</t>
  </si>
  <si>
    <t>4335</t>
  </si>
  <si>
    <t>Tested as Massey Ferguson 4233</t>
  </si>
  <si>
    <t>C100</t>
  </si>
  <si>
    <t>CX100</t>
  </si>
  <si>
    <t>CX90</t>
  </si>
  <si>
    <t>C90</t>
  </si>
  <si>
    <t>CX80</t>
  </si>
  <si>
    <t>C80</t>
  </si>
  <si>
    <t>CX70</t>
  </si>
  <si>
    <t>C70</t>
  </si>
  <si>
    <t>S322</t>
  </si>
  <si>
    <t>4360</t>
  </si>
  <si>
    <t>Tested as Massey Ferguson 4260</t>
  </si>
  <si>
    <t>S280</t>
  </si>
  <si>
    <t>4370</t>
  </si>
  <si>
    <t>Tested as Massey Ferguson 4270</t>
  </si>
  <si>
    <t>S278</t>
  </si>
  <si>
    <t>4345</t>
  </si>
  <si>
    <t>Tested as Massey Ferguson 4245</t>
  </si>
  <si>
    <t>S276</t>
  </si>
  <si>
    <t>4325</t>
  </si>
  <si>
    <t>42.0</t>
  </si>
  <si>
    <t>Tested as Massey Ferguson 4225</t>
  </si>
  <si>
    <t>1797</t>
  </si>
  <si>
    <t>S362</t>
  </si>
  <si>
    <t>TJ325</t>
  </si>
  <si>
    <t>Tested as Case IH STX 325</t>
  </si>
  <si>
    <t>STX325</t>
  </si>
  <si>
    <t>1796</t>
  </si>
  <si>
    <t>S361</t>
  </si>
  <si>
    <t>TJ275</t>
  </si>
  <si>
    <t>Tested as Case IH STX 275</t>
  </si>
  <si>
    <t>STX275</t>
  </si>
  <si>
    <t>1795</t>
  </si>
  <si>
    <t>S355</t>
  </si>
  <si>
    <t>White</t>
  </si>
  <si>
    <t>8810</t>
  </si>
  <si>
    <t>AGCO Allis</t>
  </si>
  <si>
    <t>9785</t>
  </si>
  <si>
    <t>Cummins Engine, Tested as White 8810</t>
  </si>
  <si>
    <t>DT225</t>
  </si>
  <si>
    <t>Tested as White 8810</t>
  </si>
  <si>
    <t>1794</t>
  </si>
  <si>
    <t>S354</t>
  </si>
  <si>
    <t>8710</t>
  </si>
  <si>
    <t>9775</t>
  </si>
  <si>
    <t>Cummins engine, Tested as White 8710</t>
  </si>
  <si>
    <t>DT200</t>
  </si>
  <si>
    <t>Tested as White 8710</t>
  </si>
  <si>
    <t>1793</t>
  </si>
  <si>
    <t>Massey Ferguson Italy</t>
  </si>
  <si>
    <t>1792</t>
  </si>
  <si>
    <t>9400T</t>
  </si>
  <si>
    <t>1790</t>
  </si>
  <si>
    <t>S352</t>
  </si>
  <si>
    <t>9300T</t>
  </si>
  <si>
    <t>269.0</t>
  </si>
  <si>
    <t>1789</t>
  </si>
  <si>
    <t>9200</t>
  </si>
  <si>
    <t>12.5 L engine, For Drawbar Performance see test 1731 JD 9200</t>
  </si>
  <si>
    <t>1785</t>
  </si>
  <si>
    <t>S337</t>
  </si>
  <si>
    <t>Quadtrac STX450</t>
  </si>
  <si>
    <t>399.0</t>
  </si>
  <si>
    <t>Tracklayer, Tested as Case IH STX 440 Quadtrac</t>
  </si>
  <si>
    <t>1784</t>
  </si>
  <si>
    <t>S336</t>
  </si>
  <si>
    <t>TJ450</t>
  </si>
  <si>
    <t>Tested as Case IH STX 440</t>
  </si>
  <si>
    <t>STX450</t>
  </si>
  <si>
    <t>1783</t>
  </si>
  <si>
    <t>S335</t>
  </si>
  <si>
    <t>TJ375</t>
  </si>
  <si>
    <t>Tested as Case IH STX 375</t>
  </si>
  <si>
    <t>1782</t>
  </si>
  <si>
    <t>S334</t>
  </si>
  <si>
    <t>9765</t>
  </si>
  <si>
    <t>Cummins Engine, Tested as White 8610</t>
  </si>
  <si>
    <t>DT180</t>
  </si>
  <si>
    <t>Tested as White 8610</t>
  </si>
  <si>
    <t>1781</t>
  </si>
  <si>
    <t>S333</t>
  </si>
  <si>
    <t>9755</t>
  </si>
  <si>
    <t>Cummins Engine, Tested as White 8510</t>
  </si>
  <si>
    <t>DT160</t>
  </si>
  <si>
    <t>Tested as White 8510</t>
  </si>
  <si>
    <t>1780</t>
  </si>
  <si>
    <t>S314</t>
  </si>
  <si>
    <t>8785</t>
  </si>
  <si>
    <t>Cummins engine, Tested as White 6810</t>
  </si>
  <si>
    <t>1769</t>
  </si>
  <si>
    <t>8745</t>
  </si>
  <si>
    <t>Cummins engine, Tested as White 6410</t>
  </si>
  <si>
    <t>LT70</t>
  </si>
  <si>
    <t>Tested as White 6410</t>
  </si>
  <si>
    <t>1763</t>
  </si>
  <si>
    <t>8775</t>
  </si>
  <si>
    <t>Cummins engine, Tested as White 6710</t>
  </si>
  <si>
    <t>RT 95</t>
  </si>
  <si>
    <t>Tested as White 6710</t>
  </si>
  <si>
    <t>1762</t>
  </si>
  <si>
    <t>8765</t>
  </si>
  <si>
    <t>Cummins engine, Tested as White 6510</t>
  </si>
  <si>
    <t>LT85</t>
  </si>
  <si>
    <t>Tested as White 6510</t>
  </si>
  <si>
    <t>1757</t>
  </si>
  <si>
    <t>5520</t>
  </si>
  <si>
    <t>Tested as John Deere 5510</t>
  </si>
  <si>
    <t>1756</t>
  </si>
  <si>
    <t>5420</t>
  </si>
  <si>
    <t>Tested as John Deere 5410</t>
  </si>
  <si>
    <t>1755</t>
  </si>
  <si>
    <t>5320</t>
  </si>
  <si>
    <t>Tested as John Deere 5310</t>
  </si>
  <si>
    <t>1754</t>
  </si>
  <si>
    <t>5220</t>
  </si>
  <si>
    <t>Tested as John Deere 5210</t>
  </si>
  <si>
    <t>1753</t>
  </si>
  <si>
    <t>S271</t>
  </si>
  <si>
    <t>RT145</t>
  </si>
  <si>
    <t>Tested as White 8410</t>
  </si>
  <si>
    <t>S391</t>
  </si>
  <si>
    <t>926 Vario</t>
  </si>
  <si>
    <t>S390</t>
  </si>
  <si>
    <t>924 Vario</t>
  </si>
  <si>
    <t>S389</t>
  </si>
  <si>
    <t>920 Vario</t>
  </si>
  <si>
    <t>S388</t>
  </si>
  <si>
    <t>918 Vario</t>
  </si>
  <si>
    <t>1794A</t>
  </si>
  <si>
    <t>Navistar Engine, For Drawbar Performance see White 8710 test 1794</t>
  </si>
  <si>
    <t>1782B</t>
  </si>
  <si>
    <t>8260</t>
  </si>
  <si>
    <t>For drawbar performance see White 8610 Test 1782</t>
  </si>
  <si>
    <t>1782A</t>
  </si>
  <si>
    <t>Navistar Engine, For Drawbar performance see White 8610 test 1782</t>
  </si>
  <si>
    <t>1781B</t>
  </si>
  <si>
    <t>8245</t>
  </si>
  <si>
    <t>For Drawbar performance see White 8510 Test 1781</t>
  </si>
  <si>
    <t>1781A</t>
  </si>
  <si>
    <t>Navistar Engine, For drawbar performance see White 8510 Test 1781</t>
  </si>
  <si>
    <t>1780A</t>
  </si>
  <si>
    <t>For drawbar performance see White 6810 test 1780, Sisu/Valmet engine</t>
  </si>
  <si>
    <t>1788</t>
  </si>
  <si>
    <t>S341</t>
  </si>
  <si>
    <t>7710</t>
  </si>
  <si>
    <t>Chassis S/N RW7710H030004 and higher</t>
  </si>
  <si>
    <t>1787</t>
  </si>
  <si>
    <t>S340</t>
  </si>
  <si>
    <t>7610</t>
  </si>
  <si>
    <t>Chassis S/N RW7610R030002 and higher</t>
  </si>
  <si>
    <t>1786</t>
  </si>
  <si>
    <t>S339</t>
  </si>
  <si>
    <t>7510</t>
  </si>
  <si>
    <t>Quadtrac STX440</t>
  </si>
  <si>
    <t>Tracklayer</t>
  </si>
  <si>
    <t>STX440</t>
  </si>
  <si>
    <t>STX375</t>
  </si>
  <si>
    <t>8610</t>
  </si>
  <si>
    <t>8510</t>
  </si>
  <si>
    <t>6810</t>
  </si>
  <si>
    <t>1779</t>
  </si>
  <si>
    <t>8410T</t>
  </si>
  <si>
    <t>1777</t>
  </si>
  <si>
    <t>S312</t>
  </si>
  <si>
    <t>8410</t>
  </si>
  <si>
    <t>1776</t>
  </si>
  <si>
    <t>S311</t>
  </si>
  <si>
    <t>8310T</t>
  </si>
  <si>
    <t>1775</t>
  </si>
  <si>
    <t>S310</t>
  </si>
  <si>
    <t>8310</t>
  </si>
  <si>
    <t>1774</t>
  </si>
  <si>
    <t>S309</t>
  </si>
  <si>
    <t>8210T</t>
  </si>
  <si>
    <t>1773</t>
  </si>
  <si>
    <t>S308</t>
  </si>
  <si>
    <t>8210</t>
  </si>
  <si>
    <t>1772</t>
  </si>
  <si>
    <t>S307</t>
  </si>
  <si>
    <t>8110</t>
  </si>
  <si>
    <t>1771</t>
  </si>
  <si>
    <t>1770</t>
  </si>
  <si>
    <t>6410</t>
  </si>
  <si>
    <t>1768</t>
  </si>
  <si>
    <t>1767</t>
  </si>
  <si>
    <t>S480</t>
  </si>
  <si>
    <t>M5700DT</t>
  </si>
  <si>
    <t>52.0</t>
  </si>
  <si>
    <t>12 speed</t>
  </si>
  <si>
    <t>4233</t>
  </si>
  <si>
    <t>S359</t>
  </si>
  <si>
    <t>TN70</t>
  </si>
  <si>
    <t>Tested as New Holland TN 70D</t>
  </si>
  <si>
    <t>TN70S</t>
  </si>
  <si>
    <t>TN70D</t>
  </si>
  <si>
    <t>Also New Holland TN 70 &amp; TN 70S</t>
  </si>
  <si>
    <t>S358</t>
  </si>
  <si>
    <t>TN65</t>
  </si>
  <si>
    <t>S357</t>
  </si>
  <si>
    <t>MX90C</t>
  </si>
  <si>
    <t>PRPS</t>
  </si>
  <si>
    <t>S356</t>
  </si>
  <si>
    <t>MX80C</t>
  </si>
  <si>
    <t>S351</t>
  </si>
  <si>
    <t>New Holland Canada</t>
  </si>
  <si>
    <t>9684</t>
  </si>
  <si>
    <t>S346</t>
  </si>
  <si>
    <t>TM165</t>
  </si>
  <si>
    <t>S345</t>
  </si>
  <si>
    <t>TM150</t>
  </si>
  <si>
    <t>S344</t>
  </si>
  <si>
    <t>TM135</t>
  </si>
  <si>
    <t>S343</t>
  </si>
  <si>
    <t>TM125</t>
  </si>
  <si>
    <t>S342</t>
  </si>
  <si>
    <t>TM115</t>
  </si>
  <si>
    <t>S315</t>
  </si>
  <si>
    <t>4253</t>
  </si>
  <si>
    <t>Tested as Massey Ferguson 4255</t>
  </si>
  <si>
    <t>4243</t>
  </si>
  <si>
    <t>1766</t>
  </si>
  <si>
    <t>S293</t>
  </si>
  <si>
    <t>MX220</t>
  </si>
  <si>
    <t>1765</t>
  </si>
  <si>
    <t>S292</t>
  </si>
  <si>
    <t>MX200</t>
  </si>
  <si>
    <t>1764</t>
  </si>
  <si>
    <t>S291</t>
  </si>
  <si>
    <t>MX180</t>
  </si>
  <si>
    <t>6710</t>
  </si>
  <si>
    <t>6510</t>
  </si>
  <si>
    <t>1761</t>
  </si>
  <si>
    <t>S275</t>
  </si>
  <si>
    <t>MX270</t>
  </si>
  <si>
    <t>1760</t>
  </si>
  <si>
    <t>S274</t>
  </si>
  <si>
    <t>MX240</t>
  </si>
  <si>
    <t>S503</t>
  </si>
  <si>
    <t>M120DT</t>
  </si>
  <si>
    <t>16 speed</t>
  </si>
  <si>
    <t>S350</t>
  </si>
  <si>
    <t>TL100</t>
  </si>
  <si>
    <t>S349</t>
  </si>
  <si>
    <t>TL 90</t>
  </si>
  <si>
    <t>S348</t>
  </si>
  <si>
    <t>TL 80</t>
  </si>
  <si>
    <t>S347</t>
  </si>
  <si>
    <t>TL 70</t>
  </si>
  <si>
    <t>S332</t>
  </si>
  <si>
    <t>TN75D</t>
  </si>
  <si>
    <t>Also New Holland TN 75S</t>
  </si>
  <si>
    <t>S331</t>
  </si>
  <si>
    <t>TN65D</t>
  </si>
  <si>
    <t>Also New Holland TN 65S</t>
  </si>
  <si>
    <t>S330</t>
  </si>
  <si>
    <t>TN55</t>
  </si>
  <si>
    <t>34.0</t>
  </si>
  <si>
    <t>S325</t>
  </si>
  <si>
    <t>CX60</t>
  </si>
  <si>
    <t>C60</t>
  </si>
  <si>
    <t>Tested as Case-IH CX 60</t>
  </si>
  <si>
    <t>S324</t>
  </si>
  <si>
    <t>CX50</t>
  </si>
  <si>
    <t>C50</t>
  </si>
  <si>
    <t>Tested as Case-IH CX 50</t>
  </si>
  <si>
    <t>TV140</t>
  </si>
  <si>
    <t>S319</t>
  </si>
  <si>
    <t>8240</t>
  </si>
  <si>
    <t>S318</t>
  </si>
  <si>
    <t>S317</t>
  </si>
  <si>
    <t>263</t>
  </si>
  <si>
    <t>S316</t>
  </si>
  <si>
    <t>243</t>
  </si>
  <si>
    <t>S305</t>
  </si>
  <si>
    <t>6290</t>
  </si>
  <si>
    <t>S304</t>
  </si>
  <si>
    <t>6280</t>
  </si>
  <si>
    <t>S302</t>
  </si>
  <si>
    <t>6265</t>
  </si>
  <si>
    <t>S296</t>
  </si>
  <si>
    <t>TS110</t>
  </si>
  <si>
    <t>24 speed</t>
  </si>
  <si>
    <t>S294</t>
  </si>
  <si>
    <t>TS 90</t>
  </si>
  <si>
    <t>S281</t>
  </si>
  <si>
    <t>9282</t>
  </si>
  <si>
    <t>9184</t>
  </si>
  <si>
    <t>Tested as New Holland 9282</t>
  </si>
  <si>
    <t>1703S</t>
  </si>
  <si>
    <t>S191</t>
  </si>
  <si>
    <t>4630 16x8</t>
  </si>
  <si>
    <t>Chassis S/N *091151B* and Higher</t>
  </si>
  <si>
    <t>1702S</t>
  </si>
  <si>
    <t>S190</t>
  </si>
  <si>
    <t>3930 8x8</t>
  </si>
  <si>
    <t>CHASSIS SERIAL NUMBERS *091151B* AND HIGHER</t>
  </si>
  <si>
    <t>1759</t>
  </si>
  <si>
    <t>S273</t>
  </si>
  <si>
    <t>1758</t>
  </si>
  <si>
    <t>S272</t>
  </si>
  <si>
    <t>9735</t>
  </si>
  <si>
    <t>5510</t>
  </si>
  <si>
    <t>5410</t>
  </si>
  <si>
    <t>5310</t>
  </si>
  <si>
    <t>5210</t>
  </si>
  <si>
    <t>1752</t>
  </si>
  <si>
    <t>S270</t>
  </si>
  <si>
    <t>9745</t>
  </si>
  <si>
    <t>1751</t>
  </si>
  <si>
    <t>S267</t>
  </si>
  <si>
    <t>Caterpillar</t>
  </si>
  <si>
    <t>Challenger 95E</t>
  </si>
  <si>
    <t>10 speed</t>
  </si>
  <si>
    <t>1750</t>
  </si>
  <si>
    <t>S266</t>
  </si>
  <si>
    <t>Challenger 85E</t>
  </si>
  <si>
    <t>1749</t>
  </si>
  <si>
    <t>S265</t>
  </si>
  <si>
    <t>Challenger 75E</t>
  </si>
  <si>
    <t>1748</t>
  </si>
  <si>
    <t>S264</t>
  </si>
  <si>
    <t>Challenger 65E</t>
  </si>
  <si>
    <t>1747</t>
  </si>
  <si>
    <t>S263</t>
  </si>
  <si>
    <t>8400T</t>
  </si>
  <si>
    <t>1746</t>
  </si>
  <si>
    <t>S262</t>
  </si>
  <si>
    <t>8300T</t>
  </si>
  <si>
    <t>1745</t>
  </si>
  <si>
    <t>S261</t>
  </si>
  <si>
    <t>8200T</t>
  </si>
  <si>
    <t>1744</t>
  </si>
  <si>
    <t>S260</t>
  </si>
  <si>
    <t>8100T</t>
  </si>
  <si>
    <t>S502</t>
  </si>
  <si>
    <t>M9000DT</t>
  </si>
  <si>
    <t>8 speed</t>
  </si>
  <si>
    <t>S501</t>
  </si>
  <si>
    <t>M6800DT</t>
  </si>
  <si>
    <t>S445</t>
  </si>
  <si>
    <t>Zetor</t>
  </si>
  <si>
    <t>10741</t>
  </si>
  <si>
    <t>PRPS 3</t>
  </si>
  <si>
    <t>Tested as Zetor 10641</t>
  </si>
  <si>
    <t>Tested as Case-IH CX 100</t>
  </si>
  <si>
    <t>Tested as Case-IH CX 90</t>
  </si>
  <si>
    <t>Tested as Case-IH CX 80</t>
  </si>
  <si>
    <t>Tested as Case-IH CX 70</t>
  </si>
  <si>
    <t>S321</t>
  </si>
  <si>
    <t>8280</t>
  </si>
  <si>
    <t>S320</t>
  </si>
  <si>
    <t>8270</t>
  </si>
  <si>
    <t>Tested as MF 8170</t>
  </si>
  <si>
    <t>8170</t>
  </si>
  <si>
    <t>S301</t>
  </si>
  <si>
    <t>6255</t>
  </si>
  <si>
    <t>S300</t>
  </si>
  <si>
    <t>6245</t>
  </si>
  <si>
    <t>S295</t>
  </si>
  <si>
    <t>TS100</t>
  </si>
  <si>
    <t>S290</t>
  </si>
  <si>
    <t>S289</t>
  </si>
  <si>
    <t>6310</t>
  </si>
  <si>
    <t>S288</t>
  </si>
  <si>
    <t>S287</t>
  </si>
  <si>
    <t>6210</t>
  </si>
  <si>
    <t>S286</t>
  </si>
  <si>
    <t>6110</t>
  </si>
  <si>
    <t>S283</t>
  </si>
  <si>
    <t>9682</t>
  </si>
  <si>
    <t>S282</t>
  </si>
  <si>
    <t>9482</t>
  </si>
  <si>
    <t>239.0</t>
  </si>
  <si>
    <t>4255</t>
  </si>
  <si>
    <t>540 RPM Shaft</t>
  </si>
  <si>
    <t>1000 RPM Shaft</t>
  </si>
  <si>
    <t>4245</t>
  </si>
  <si>
    <t>S277</t>
  </si>
  <si>
    <t>4235</t>
  </si>
  <si>
    <t>4225</t>
  </si>
  <si>
    <t>1743</t>
  </si>
  <si>
    <t>S243</t>
  </si>
  <si>
    <t>Belarus</t>
  </si>
  <si>
    <t>9345</t>
  </si>
  <si>
    <t>9311</t>
  </si>
  <si>
    <t>Tested as Belarus 9345</t>
  </si>
  <si>
    <t>9045</t>
  </si>
  <si>
    <t>9011</t>
  </si>
  <si>
    <t>1742</t>
  </si>
  <si>
    <t>S242</t>
  </si>
  <si>
    <t>8345</t>
  </si>
  <si>
    <t>8311</t>
  </si>
  <si>
    <t>Tested as Belarus 8045</t>
  </si>
  <si>
    <t>8045</t>
  </si>
  <si>
    <t>Tested as Belarus 8345</t>
  </si>
  <si>
    <t>8011</t>
  </si>
  <si>
    <t>1741</t>
  </si>
  <si>
    <t>S241</t>
  </si>
  <si>
    <t>7410</t>
  </si>
  <si>
    <t>1740</t>
  </si>
  <si>
    <t>S240</t>
  </si>
  <si>
    <t>1739</t>
  </si>
  <si>
    <t>S239</t>
  </si>
  <si>
    <t>7210</t>
  </si>
  <si>
    <t>1738</t>
  </si>
  <si>
    <t>S238</t>
  </si>
  <si>
    <t>1737</t>
  </si>
  <si>
    <t>S237</t>
  </si>
  <si>
    <t>8950</t>
  </si>
  <si>
    <t>1736</t>
  </si>
  <si>
    <t>S236</t>
  </si>
  <si>
    <t>8940</t>
  </si>
  <si>
    <t>1735</t>
  </si>
  <si>
    <t>S235</t>
  </si>
  <si>
    <t>8930</t>
  </si>
  <si>
    <t>1734</t>
  </si>
  <si>
    <t>S234</t>
  </si>
  <si>
    <t>8910</t>
  </si>
  <si>
    <t>9400</t>
  </si>
  <si>
    <t>1732</t>
  </si>
  <si>
    <t>S232</t>
  </si>
  <si>
    <t>9300</t>
  </si>
  <si>
    <t>1731</t>
  </si>
  <si>
    <t>S231</t>
  </si>
  <si>
    <t>10.5 L engine</t>
  </si>
  <si>
    <t>1730</t>
  </si>
  <si>
    <t>S230</t>
  </si>
  <si>
    <t>9100</t>
  </si>
  <si>
    <t>1729</t>
  </si>
  <si>
    <t>S229</t>
  </si>
  <si>
    <t>1728</t>
  </si>
  <si>
    <t>S228</t>
  </si>
  <si>
    <t>1727</t>
  </si>
  <si>
    <t>S227</t>
  </si>
  <si>
    <t>1726</t>
  </si>
  <si>
    <t>S226</t>
  </si>
  <si>
    <t>1725</t>
  </si>
  <si>
    <t>S225</t>
  </si>
  <si>
    <t>1724</t>
  </si>
  <si>
    <t>S224</t>
  </si>
  <si>
    <t>1723</t>
  </si>
  <si>
    <t>S223</t>
  </si>
  <si>
    <t>Challenger 85D</t>
  </si>
  <si>
    <t>1722</t>
  </si>
  <si>
    <t>S222</t>
  </si>
  <si>
    <t>Challenger 75D</t>
  </si>
  <si>
    <t>1709</t>
  </si>
  <si>
    <t>S204</t>
  </si>
  <si>
    <t>8920</t>
  </si>
  <si>
    <t>Tested as Case-IH 7220</t>
  </si>
  <si>
    <t>1655</t>
  </si>
  <si>
    <t>Minsk</t>
  </si>
  <si>
    <t>6345</t>
  </si>
  <si>
    <t>Tested as Belarus 572</t>
  </si>
  <si>
    <t>6311</t>
  </si>
  <si>
    <t>Tested as Belarus 570</t>
  </si>
  <si>
    <t>4263</t>
  </si>
  <si>
    <t>4260</t>
  </si>
  <si>
    <t>S306</t>
  </si>
  <si>
    <t>ZETOR</t>
  </si>
  <si>
    <t>7341</t>
  </si>
  <si>
    <t>7321</t>
  </si>
  <si>
    <t>Tested as Zetor 7341</t>
  </si>
  <si>
    <t>S303</t>
  </si>
  <si>
    <t>6270</t>
  </si>
  <si>
    <t>4270</t>
  </si>
  <si>
    <t>S269</t>
  </si>
  <si>
    <t>MX170</t>
  </si>
  <si>
    <t>S268</t>
  </si>
  <si>
    <t>MX150</t>
  </si>
  <si>
    <t>S257</t>
  </si>
  <si>
    <t>MX110</t>
  </si>
  <si>
    <t>S256</t>
  </si>
  <si>
    <t>MX100</t>
  </si>
  <si>
    <t>S255</t>
  </si>
  <si>
    <t>6180</t>
  </si>
  <si>
    <t>S254</t>
  </si>
  <si>
    <t>Challenger 55</t>
  </si>
  <si>
    <t>S252</t>
  </si>
  <si>
    <t>8360 23</t>
  </si>
  <si>
    <t>S250</t>
  </si>
  <si>
    <t>23 speed</t>
  </si>
  <si>
    <t>S248</t>
  </si>
  <si>
    <t>8160</t>
  </si>
  <si>
    <t>S247</t>
  </si>
  <si>
    <t>18 speed</t>
  </si>
  <si>
    <t>S244</t>
  </si>
  <si>
    <t>4835</t>
  </si>
  <si>
    <t>S200</t>
  </si>
  <si>
    <t>S199</t>
  </si>
  <si>
    <t>8150</t>
  </si>
  <si>
    <t>1721</t>
  </si>
  <si>
    <t>S216</t>
  </si>
  <si>
    <t>AGCOSTAR</t>
  </si>
  <si>
    <t>8425</t>
  </si>
  <si>
    <t>Cummins Engine, no PTO, Dyno performance obtained from transfer case output shaft</t>
  </si>
  <si>
    <t>1720</t>
  </si>
  <si>
    <t>S215</t>
  </si>
  <si>
    <t>8360</t>
  </si>
  <si>
    <t>1719</t>
  </si>
  <si>
    <t>S214</t>
  </si>
  <si>
    <t>1718</t>
  </si>
  <si>
    <t>S213</t>
  </si>
  <si>
    <t>9815</t>
  </si>
  <si>
    <t>1717</t>
  </si>
  <si>
    <t>S212</t>
  </si>
  <si>
    <t>5500</t>
  </si>
  <si>
    <t>1716</t>
  </si>
  <si>
    <t>S211</t>
  </si>
  <si>
    <t>925</t>
  </si>
  <si>
    <t>920</t>
  </si>
  <si>
    <t>Tested as Belarus 925</t>
  </si>
  <si>
    <t>905</t>
  </si>
  <si>
    <t>900</t>
  </si>
  <si>
    <t>1715</t>
  </si>
  <si>
    <t>S210</t>
  </si>
  <si>
    <t>532</t>
  </si>
  <si>
    <t>530</t>
  </si>
  <si>
    <t>1714</t>
  </si>
  <si>
    <t>S209</t>
  </si>
  <si>
    <t>Steiger</t>
  </si>
  <si>
    <t>9380</t>
  </si>
  <si>
    <t>S/N JEE0036501 and higher</t>
  </si>
  <si>
    <t>1713</t>
  </si>
  <si>
    <t>S208</t>
  </si>
  <si>
    <t>1712</t>
  </si>
  <si>
    <t>S207</t>
  </si>
  <si>
    <t>7250</t>
  </si>
  <si>
    <t>S/N JJA0065000 and higher</t>
  </si>
  <si>
    <t>1711</t>
  </si>
  <si>
    <t>S206</t>
  </si>
  <si>
    <t>7240</t>
  </si>
  <si>
    <t>1710</t>
  </si>
  <si>
    <t>S205</t>
  </si>
  <si>
    <t>1708</t>
  </si>
  <si>
    <t>S203</t>
  </si>
  <si>
    <t>9370</t>
  </si>
  <si>
    <t>286.0</t>
  </si>
  <si>
    <t>1707</t>
  </si>
  <si>
    <t>S202</t>
  </si>
  <si>
    <t>9350</t>
  </si>
  <si>
    <t>1706</t>
  </si>
  <si>
    <t>S201</t>
  </si>
  <si>
    <t>Challenger 65D</t>
  </si>
  <si>
    <t>S297</t>
  </si>
  <si>
    <t>Valmet</t>
  </si>
  <si>
    <t>8550</t>
  </si>
  <si>
    <t>S285</t>
  </si>
  <si>
    <t>SiSu - Finland</t>
  </si>
  <si>
    <t>S284</t>
  </si>
  <si>
    <t>9882</t>
  </si>
  <si>
    <t>Performance at Transmission Output Shaft</t>
  </si>
  <si>
    <t>S259</t>
  </si>
  <si>
    <t>MX135</t>
  </si>
  <si>
    <t>S258</t>
  </si>
  <si>
    <t>MX120</t>
  </si>
  <si>
    <t>S253</t>
  </si>
  <si>
    <t>8560 18</t>
  </si>
  <si>
    <t>S251</t>
  </si>
  <si>
    <t>S249</t>
  </si>
  <si>
    <t>S246</t>
  </si>
  <si>
    <t>6635</t>
  </si>
  <si>
    <t>S245</t>
  </si>
  <si>
    <t>5635</t>
  </si>
  <si>
    <t>S221</t>
  </si>
  <si>
    <t>8970</t>
  </si>
  <si>
    <t>S220</t>
  </si>
  <si>
    <t>8870</t>
  </si>
  <si>
    <t>S219</t>
  </si>
  <si>
    <t>8770</t>
  </si>
  <si>
    <t>S218</t>
  </si>
  <si>
    <t>S217</t>
  </si>
  <si>
    <t>S+L+H</t>
  </si>
  <si>
    <t>6045</t>
  </si>
  <si>
    <t>1705</t>
  </si>
  <si>
    <t>S193</t>
  </si>
  <si>
    <t>Ford</t>
  </si>
  <si>
    <t>7740 16x16</t>
  </si>
  <si>
    <t>1704</t>
  </si>
  <si>
    <t>S192</t>
  </si>
  <si>
    <t>5030 16x8</t>
  </si>
  <si>
    <t>1703</t>
  </si>
  <si>
    <t>Chassis S/N BD81699 and Higher</t>
  </si>
  <si>
    <t>1702</t>
  </si>
  <si>
    <t>CHASSIS SERIAL NUMBERS BE81400 AND HIGHER</t>
  </si>
  <si>
    <t>1701</t>
  </si>
  <si>
    <t>S189</t>
  </si>
  <si>
    <t>3930 8x2</t>
  </si>
  <si>
    <t>1700</t>
  </si>
  <si>
    <t>S188</t>
  </si>
  <si>
    <t>9695</t>
  </si>
  <si>
    <t>1699</t>
  </si>
  <si>
    <t>S187</t>
  </si>
  <si>
    <t>9675</t>
  </si>
  <si>
    <t>1698</t>
  </si>
  <si>
    <t>S186</t>
  </si>
  <si>
    <t>9655</t>
  </si>
  <si>
    <t>1697</t>
  </si>
  <si>
    <t>S185</t>
  </si>
  <si>
    <t>9635</t>
  </si>
  <si>
    <t>1696</t>
  </si>
  <si>
    <t>S182</t>
  </si>
  <si>
    <t>9240</t>
  </si>
  <si>
    <t>209.0</t>
  </si>
  <si>
    <t>1695</t>
  </si>
  <si>
    <t>S181</t>
  </si>
  <si>
    <t>6144</t>
  </si>
  <si>
    <t>1694</t>
  </si>
  <si>
    <t>S180</t>
  </si>
  <si>
    <t>6124</t>
  </si>
  <si>
    <t>1693</t>
  </si>
  <si>
    <t>S179</t>
  </si>
  <si>
    <t>9455</t>
  </si>
  <si>
    <t>1692</t>
  </si>
  <si>
    <t>S178</t>
  </si>
  <si>
    <t>9435</t>
  </si>
  <si>
    <t>1691</t>
  </si>
  <si>
    <t>S177</t>
  </si>
  <si>
    <t>8400</t>
  </si>
  <si>
    <t>1690</t>
  </si>
  <si>
    <t>S176</t>
  </si>
  <si>
    <t>8300</t>
  </si>
  <si>
    <t>CHASSIS SERIAL NUMBERS *RW8300P010001* AND HIGHER</t>
  </si>
  <si>
    <t>1689</t>
  </si>
  <si>
    <t>S175</t>
  </si>
  <si>
    <t>8200</t>
  </si>
  <si>
    <t>CHASSIS SERIAL NUMBERS *RW8200P010001* AND HIGHER</t>
  </si>
  <si>
    <t>1688</t>
  </si>
  <si>
    <t>S174</t>
  </si>
  <si>
    <t>8100</t>
  </si>
  <si>
    <t>(CHASSIS SERIAL NUMBERS *RW8100P010001* AND HIGHER)</t>
  </si>
  <si>
    <t>1687</t>
  </si>
  <si>
    <t>S173</t>
  </si>
  <si>
    <t>Challenger 85C</t>
  </si>
  <si>
    <t>1602</t>
  </si>
  <si>
    <t>Agrozet Zetor</t>
  </si>
  <si>
    <t>6340</t>
  </si>
  <si>
    <t>Tested as Zetor 7745</t>
  </si>
  <si>
    <t>1601</t>
  </si>
  <si>
    <t>4340</t>
  </si>
  <si>
    <t>Tested as Zetor 6245</t>
  </si>
  <si>
    <t>1571</t>
  </si>
  <si>
    <t>3340</t>
  </si>
  <si>
    <t>Tested as Zetor 5245</t>
  </si>
  <si>
    <t>3320</t>
  </si>
  <si>
    <t>S198</t>
  </si>
  <si>
    <t>8140</t>
  </si>
  <si>
    <t>S197</t>
  </si>
  <si>
    <t>S195</t>
  </si>
  <si>
    <t>Challenger 45</t>
  </si>
  <si>
    <t>S194</t>
  </si>
  <si>
    <t>Challenger 35</t>
  </si>
  <si>
    <t>S184</t>
  </si>
  <si>
    <t>S183</t>
  </si>
  <si>
    <t>1686</t>
  </si>
  <si>
    <t>S170</t>
  </si>
  <si>
    <t>6195</t>
  </si>
  <si>
    <t>1685</t>
  </si>
  <si>
    <t>S169</t>
  </si>
  <si>
    <t>6175</t>
  </si>
  <si>
    <t>1684</t>
  </si>
  <si>
    <t>S168</t>
  </si>
  <si>
    <t>9690</t>
  </si>
  <si>
    <t>1683</t>
  </si>
  <si>
    <t>S167</t>
  </si>
  <si>
    <t>9670</t>
  </si>
  <si>
    <t>1682</t>
  </si>
  <si>
    <t>S166</t>
  </si>
  <si>
    <t>J.I. Case</t>
  </si>
  <si>
    <t>1681</t>
  </si>
  <si>
    <t>S153</t>
  </si>
  <si>
    <t>7400</t>
  </si>
  <si>
    <t>1680</t>
  </si>
  <si>
    <t>S152</t>
  </si>
  <si>
    <t>1679</t>
  </si>
  <si>
    <t>S151</t>
  </si>
  <si>
    <t>7200</t>
  </si>
  <si>
    <t>1678</t>
  </si>
  <si>
    <t>S150</t>
  </si>
  <si>
    <t>1677</t>
  </si>
  <si>
    <t>S149</t>
  </si>
  <si>
    <t>6145</t>
  </si>
  <si>
    <t>1676</t>
  </si>
  <si>
    <t>S148</t>
  </si>
  <si>
    <t>6125</t>
  </si>
  <si>
    <t>1675</t>
  </si>
  <si>
    <t>S147</t>
  </si>
  <si>
    <t>9650</t>
  </si>
  <si>
    <t>1674</t>
  </si>
  <si>
    <t>S146</t>
  </si>
  <si>
    <t>1604</t>
  </si>
  <si>
    <t>4210</t>
  </si>
  <si>
    <t>Tested as Case IH 685</t>
  </si>
  <si>
    <t>S159</t>
  </si>
  <si>
    <t>6400</t>
  </si>
  <si>
    <t>S158</t>
  </si>
  <si>
    <t>S157</t>
  </si>
  <si>
    <t>6300</t>
  </si>
  <si>
    <t>S156</t>
  </si>
  <si>
    <t>S155</t>
  </si>
  <si>
    <t>6200</t>
  </si>
  <si>
    <t>S154</t>
  </si>
  <si>
    <t>1673</t>
  </si>
  <si>
    <t>S141</t>
  </si>
  <si>
    <t>1672</t>
  </si>
  <si>
    <t>S140</t>
  </si>
  <si>
    <t>1671</t>
  </si>
  <si>
    <t>S139</t>
  </si>
  <si>
    <t>1670</t>
  </si>
  <si>
    <t>S138</t>
  </si>
  <si>
    <t>8570</t>
  </si>
  <si>
    <t>1669</t>
  </si>
  <si>
    <t>S136</t>
  </si>
  <si>
    <t>7800</t>
  </si>
  <si>
    <t>1668</t>
  </si>
  <si>
    <t>S135</t>
  </si>
  <si>
    <t>1667</t>
  </si>
  <si>
    <t>S134</t>
  </si>
  <si>
    <t>7700</t>
  </si>
  <si>
    <t>1666</t>
  </si>
  <si>
    <t>S133</t>
  </si>
  <si>
    <t>1665</t>
  </si>
  <si>
    <t>S132</t>
  </si>
  <si>
    <t>7600</t>
  </si>
  <si>
    <t>1664</t>
  </si>
  <si>
    <t>S131</t>
  </si>
  <si>
    <t>1663</t>
  </si>
  <si>
    <t>S121</t>
  </si>
  <si>
    <t>Tested as Case IH 7150</t>
  </si>
  <si>
    <t>1612</t>
  </si>
  <si>
    <t>Tested as Case-IH 7140</t>
  </si>
  <si>
    <t>1611</t>
  </si>
  <si>
    <t>Tested as Case-IH 7130</t>
  </si>
  <si>
    <t>1609</t>
  </si>
  <si>
    <t>Tested as Case-IH 7110</t>
  </si>
  <si>
    <t>S299</t>
  </si>
  <si>
    <t>5660</t>
  </si>
  <si>
    <t>SAME Argon 60 VDT</t>
  </si>
  <si>
    <t>S298</t>
  </si>
  <si>
    <t>5650</t>
  </si>
  <si>
    <t>SAME Argon 50VDT</t>
  </si>
  <si>
    <t>S172</t>
  </si>
  <si>
    <t>3120T</t>
  </si>
  <si>
    <t>S171</t>
  </si>
  <si>
    <t>3075</t>
  </si>
  <si>
    <t>S145</t>
  </si>
  <si>
    <t>J.I. Case Germany</t>
  </si>
  <si>
    <t>5250</t>
  </si>
  <si>
    <t>S144</t>
  </si>
  <si>
    <t>5240</t>
  </si>
  <si>
    <t>S143</t>
  </si>
  <si>
    <t>5230</t>
  </si>
  <si>
    <t>S142</t>
  </si>
  <si>
    <t>7150</t>
  </si>
  <si>
    <t>1662</t>
  </si>
  <si>
    <t>S117</t>
  </si>
  <si>
    <t>5400</t>
  </si>
  <si>
    <t>1661</t>
  </si>
  <si>
    <t>S116</t>
  </si>
  <si>
    <t>5300</t>
  </si>
  <si>
    <t>1660</t>
  </si>
  <si>
    <t>S115</t>
  </si>
  <si>
    <t>5200</t>
  </si>
  <si>
    <t>1659</t>
  </si>
  <si>
    <t>S114</t>
  </si>
  <si>
    <t>9270</t>
  </si>
  <si>
    <t>1658</t>
  </si>
  <si>
    <t>S107</t>
  </si>
  <si>
    <t>Ford New Holland</t>
  </si>
  <si>
    <t>7740 16x4</t>
  </si>
  <si>
    <t>1657</t>
  </si>
  <si>
    <t>S106</t>
  </si>
  <si>
    <t>6640 16x4</t>
  </si>
  <si>
    <t>1656</t>
  </si>
  <si>
    <t>S105</t>
  </si>
  <si>
    <t>5640 16x4</t>
  </si>
  <si>
    <t>1654</t>
  </si>
  <si>
    <t>S099</t>
  </si>
  <si>
    <t>Challenger 75C</t>
  </si>
  <si>
    <t>Tested as Caterpillar Challenger 75</t>
  </si>
  <si>
    <t>1653</t>
  </si>
  <si>
    <t>S098</t>
  </si>
  <si>
    <t>Challenger 65C</t>
  </si>
  <si>
    <t>Tested as Challenger 65B</t>
  </si>
  <si>
    <t>S196</t>
  </si>
  <si>
    <t>6170</t>
  </si>
  <si>
    <t>S165</t>
  </si>
  <si>
    <t>Ford New Holland UK</t>
  </si>
  <si>
    <t>8340 16x16</t>
  </si>
  <si>
    <t>1000 pto data</t>
  </si>
  <si>
    <t>540 pto data</t>
  </si>
  <si>
    <t>S164</t>
  </si>
  <si>
    <t>8240 16x16</t>
  </si>
  <si>
    <t>S163</t>
  </si>
  <si>
    <t>7840 12x12</t>
  </si>
  <si>
    <t>S162</t>
  </si>
  <si>
    <t>7740 12x12</t>
  </si>
  <si>
    <t>S161</t>
  </si>
  <si>
    <t>6640 12x12</t>
  </si>
  <si>
    <t>S160</t>
  </si>
  <si>
    <t>5640 12x12</t>
  </si>
  <si>
    <t>S129</t>
  </si>
  <si>
    <t>396</t>
  </si>
  <si>
    <t>12 speed, 1000 pto data</t>
  </si>
  <si>
    <t>12 speed, 540 pto data</t>
  </si>
  <si>
    <t>S128</t>
  </si>
  <si>
    <t>393</t>
  </si>
  <si>
    <t>8 speed, 1000 pto data</t>
  </si>
  <si>
    <t>8 speed, 540 pto data</t>
  </si>
  <si>
    <t>S127</t>
  </si>
  <si>
    <t>253</t>
  </si>
  <si>
    <t>S126</t>
  </si>
  <si>
    <t>3690</t>
  </si>
  <si>
    <t>S111</t>
  </si>
  <si>
    <t>6105</t>
  </si>
  <si>
    <t>Tested as Lamborghini 115V DT</t>
  </si>
  <si>
    <t>S110</t>
  </si>
  <si>
    <t>Trattori Lamborghini</t>
  </si>
  <si>
    <t>6085</t>
  </si>
  <si>
    <t>Tsted as Lamborghinin 874 90DT</t>
  </si>
  <si>
    <t>S109</t>
  </si>
  <si>
    <t>6065C</t>
  </si>
  <si>
    <t>Tested as Lamborghini 674 70DT</t>
  </si>
  <si>
    <t>S108</t>
  </si>
  <si>
    <t>6065</t>
  </si>
  <si>
    <t>Tested as Lamborghini 674 70NDT</t>
  </si>
  <si>
    <t>S095</t>
  </si>
  <si>
    <t>8630CA</t>
  </si>
  <si>
    <t>Tested as SAME Antares 130</t>
  </si>
  <si>
    <t>S094</t>
  </si>
  <si>
    <t>Tested as SAME Antares 110VDT</t>
  </si>
  <si>
    <t>S039</t>
  </si>
  <si>
    <t>J.I. Case U.K.</t>
  </si>
  <si>
    <t>3230</t>
  </si>
  <si>
    <t>Tested as Case IH 585, 540 RPM PTO</t>
  </si>
  <si>
    <t>Tested as Case IH 585, 1000 RPM PTO</t>
  </si>
  <si>
    <t>S023</t>
  </si>
  <si>
    <t>4230</t>
  </si>
  <si>
    <t>Tested as Case IH 885</t>
  </si>
  <si>
    <t>S022</t>
  </si>
  <si>
    <t>3220</t>
  </si>
  <si>
    <t>36.0</t>
  </si>
  <si>
    <t>Tested as Case IH 485</t>
  </si>
  <si>
    <t>572</t>
  </si>
  <si>
    <t>570</t>
  </si>
  <si>
    <t>525</t>
  </si>
  <si>
    <t>505</t>
  </si>
  <si>
    <t>Challenger 75</t>
  </si>
  <si>
    <t>Challenger 65B</t>
  </si>
  <si>
    <t>1652</t>
  </si>
  <si>
    <t>S097</t>
  </si>
  <si>
    <t>9260</t>
  </si>
  <si>
    <t>1651</t>
  </si>
  <si>
    <t>S096</t>
  </si>
  <si>
    <t>9250</t>
  </si>
  <si>
    <t>266.0</t>
  </si>
  <si>
    <t>1650</t>
  </si>
  <si>
    <t>S088</t>
  </si>
  <si>
    <t>1649</t>
  </si>
  <si>
    <t>S087</t>
  </si>
  <si>
    <t>1648</t>
  </si>
  <si>
    <t>S086</t>
  </si>
  <si>
    <t>8830</t>
  </si>
  <si>
    <t>1647</t>
  </si>
  <si>
    <t>S085</t>
  </si>
  <si>
    <t>1646</t>
  </si>
  <si>
    <t>S084</t>
  </si>
  <si>
    <t>8630</t>
  </si>
  <si>
    <t>1645</t>
  </si>
  <si>
    <t>S083</t>
  </si>
  <si>
    <t>4630 8x2</t>
  </si>
  <si>
    <t>1644</t>
  </si>
  <si>
    <t>S082</t>
  </si>
  <si>
    <t>1643</t>
  </si>
  <si>
    <t>S081</t>
  </si>
  <si>
    <t>3430 8x2</t>
  </si>
  <si>
    <t>31.0</t>
  </si>
  <si>
    <t>1642</t>
  </si>
  <si>
    <t>S080</t>
  </si>
  <si>
    <t>3230 8x2</t>
  </si>
  <si>
    <t>32.0</t>
  </si>
  <si>
    <t>26.0</t>
  </si>
  <si>
    <t>1630</t>
  </si>
  <si>
    <t>S068</t>
  </si>
  <si>
    <t>4760</t>
  </si>
  <si>
    <t>Tested as John Deere 4755</t>
  </si>
  <si>
    <t>1629</t>
  </si>
  <si>
    <t>S067</t>
  </si>
  <si>
    <t>4560</t>
  </si>
  <si>
    <t>Tested as John Deere 4555</t>
  </si>
  <si>
    <t>1622</t>
  </si>
  <si>
    <t>S060</t>
  </si>
  <si>
    <t>4960</t>
  </si>
  <si>
    <t>Tested as John Deere 4955</t>
  </si>
  <si>
    <t>1621</t>
  </si>
  <si>
    <t>S059</t>
  </si>
  <si>
    <t>1620</t>
  </si>
  <si>
    <t>S058</t>
  </si>
  <si>
    <t>1608</t>
  </si>
  <si>
    <t>White New Idea</t>
  </si>
  <si>
    <t>195</t>
  </si>
  <si>
    <t>Tested as White 185</t>
  </si>
  <si>
    <t>1607</t>
  </si>
  <si>
    <t>170</t>
  </si>
  <si>
    <t>Tested as White 160</t>
  </si>
  <si>
    <t>695</t>
  </si>
  <si>
    <t>Tested as Case IH 685, 540 RPM PTO</t>
  </si>
  <si>
    <t>Tested as Case IH 685, 1000 RPM PTO</t>
  </si>
  <si>
    <t>S338</t>
  </si>
  <si>
    <t>Hurlimann</t>
  </si>
  <si>
    <t>6135</t>
  </si>
  <si>
    <t>S137</t>
  </si>
  <si>
    <t>9540</t>
  </si>
  <si>
    <t>S125</t>
  </si>
  <si>
    <t>3670</t>
  </si>
  <si>
    <t>S120</t>
  </si>
  <si>
    <t>Ford New Holland Canada</t>
  </si>
  <si>
    <t>Ford Versatile</t>
  </si>
  <si>
    <t>946</t>
  </si>
  <si>
    <t>PTO not available with this transmission, dyno test done at transmission output shaft</t>
  </si>
  <si>
    <t>S112</t>
  </si>
  <si>
    <t>SAME Trattori</t>
  </si>
  <si>
    <t>SAME Laser 100VDT</t>
  </si>
  <si>
    <t>Lamborghini</t>
  </si>
  <si>
    <t>115V DT</t>
  </si>
  <si>
    <t>S104</t>
  </si>
  <si>
    <t>4630 8x8</t>
  </si>
  <si>
    <t>S103</t>
  </si>
  <si>
    <t>S102</t>
  </si>
  <si>
    <t>3430 8x8</t>
  </si>
  <si>
    <t>S101</t>
  </si>
  <si>
    <t>3255</t>
  </si>
  <si>
    <t>S100</t>
  </si>
  <si>
    <t>3055</t>
  </si>
  <si>
    <t>S.A.M.E.</t>
  </si>
  <si>
    <t>Antares 110VDT</t>
  </si>
  <si>
    <t>S093</t>
  </si>
  <si>
    <t>6690</t>
  </si>
  <si>
    <t>Tested as SAME Antares 90VDT</t>
  </si>
  <si>
    <t>S092</t>
  </si>
  <si>
    <t>6680</t>
  </si>
  <si>
    <t>Tested as SAME Explorer 80DT</t>
  </si>
  <si>
    <t>5680</t>
  </si>
  <si>
    <t>S091</t>
  </si>
  <si>
    <t>5670</t>
  </si>
  <si>
    <t>Tested as SAME Explorer 70DT</t>
  </si>
  <si>
    <t>6670</t>
  </si>
  <si>
    <t>S090</t>
  </si>
  <si>
    <t>4660</t>
  </si>
  <si>
    <t>Tested as SAME Solar 60DT</t>
  </si>
  <si>
    <t>S089</t>
  </si>
  <si>
    <t>4650</t>
  </si>
  <si>
    <t>Tested as SAME Solar 50DT</t>
  </si>
  <si>
    <t>S044</t>
  </si>
  <si>
    <t>9280</t>
  </si>
  <si>
    <t>344.0</t>
  </si>
  <si>
    <t>S043</t>
  </si>
  <si>
    <t>308.0</t>
  </si>
  <si>
    <t>595</t>
  </si>
  <si>
    <t>Tested as IHC 584, 540 RPM PTO</t>
  </si>
  <si>
    <t>Tested as IHC 584, 1000 RPM PTO</t>
  </si>
  <si>
    <t>895</t>
  </si>
  <si>
    <t>Tested as IHC 885</t>
  </si>
  <si>
    <t>495</t>
  </si>
  <si>
    <t>Tested as IHC 485</t>
  </si>
  <si>
    <t>1641</t>
  </si>
  <si>
    <t>Kharkov Tractor Plant</t>
  </si>
  <si>
    <t>1640</t>
  </si>
  <si>
    <t>822</t>
  </si>
  <si>
    <t>540 PTO</t>
  </si>
  <si>
    <t>1000 PTO</t>
  </si>
  <si>
    <t>820</t>
  </si>
  <si>
    <t>802</t>
  </si>
  <si>
    <t>800</t>
  </si>
  <si>
    <t>1639</t>
  </si>
  <si>
    <t>1638</t>
  </si>
  <si>
    <t>Lipetsk</t>
  </si>
  <si>
    <t>420A</t>
  </si>
  <si>
    <t>400A</t>
  </si>
  <si>
    <t>1637</t>
  </si>
  <si>
    <t>80</t>
  </si>
  <si>
    <t>American</t>
  </si>
  <si>
    <t>1636</t>
  </si>
  <si>
    <t>60</t>
  </si>
  <si>
    <t>1616</t>
  </si>
  <si>
    <t>145</t>
  </si>
  <si>
    <t>Tested as White 140</t>
  </si>
  <si>
    <t>1615</t>
  </si>
  <si>
    <t>125</t>
  </si>
  <si>
    <t>Tested as White 120</t>
  </si>
  <si>
    <t>S130</t>
  </si>
  <si>
    <t>399</t>
  </si>
  <si>
    <t>S/N 5013R32341 and higher, 540 RPM PTO</t>
  </si>
  <si>
    <t>S/N 5013R32341 and higher, 1000 RPM PTO</t>
  </si>
  <si>
    <t>S124</t>
  </si>
  <si>
    <t>3660</t>
  </si>
  <si>
    <t>S123</t>
  </si>
  <si>
    <t>3140</t>
  </si>
  <si>
    <t>S122</t>
  </si>
  <si>
    <t>3120</t>
  </si>
  <si>
    <t>S119</t>
  </si>
  <si>
    <t>846</t>
  </si>
  <si>
    <t>S118</t>
  </si>
  <si>
    <t>9030</t>
  </si>
  <si>
    <t>Antares 130</t>
  </si>
  <si>
    <t>S077</t>
  </si>
  <si>
    <t>5140</t>
  </si>
  <si>
    <t>S076</t>
  </si>
  <si>
    <t>5130</t>
  </si>
  <si>
    <t>S073</t>
  </si>
  <si>
    <t>362</t>
  </si>
  <si>
    <t>1635</t>
  </si>
  <si>
    <t>Deutz-Allis</t>
  </si>
  <si>
    <t>9190</t>
  </si>
  <si>
    <t>1634</t>
  </si>
  <si>
    <t>9170</t>
  </si>
  <si>
    <t>1633</t>
  </si>
  <si>
    <t>9150</t>
  </si>
  <si>
    <t>1632</t>
  </si>
  <si>
    <t>S070</t>
  </si>
  <si>
    <t>8960</t>
  </si>
  <si>
    <t>1631</t>
  </si>
  <si>
    <t>S069</t>
  </si>
  <si>
    <t>8760</t>
  </si>
  <si>
    <t>4755</t>
  </si>
  <si>
    <t>4555</t>
  </si>
  <si>
    <t>1628</t>
  </si>
  <si>
    <t>S066</t>
  </si>
  <si>
    <t>4455</t>
  </si>
  <si>
    <t>1627</t>
  </si>
  <si>
    <t>S065</t>
  </si>
  <si>
    <t>1626</t>
  </si>
  <si>
    <t>S064</t>
  </si>
  <si>
    <t>4055</t>
  </si>
  <si>
    <t>1625</t>
  </si>
  <si>
    <t>S063</t>
  </si>
  <si>
    <t>1624</t>
  </si>
  <si>
    <t>S062</t>
  </si>
  <si>
    <t>1623</t>
  </si>
  <si>
    <t>S061</t>
  </si>
  <si>
    <t>8560</t>
  </si>
  <si>
    <t>4955</t>
  </si>
  <si>
    <t>1619</t>
  </si>
  <si>
    <t>S057</t>
  </si>
  <si>
    <t>1618</t>
  </si>
  <si>
    <t>S056</t>
  </si>
  <si>
    <t>1617</t>
  </si>
  <si>
    <t>S055</t>
  </si>
  <si>
    <t>S079</t>
  </si>
  <si>
    <t>390T</t>
  </si>
  <si>
    <t>S078</t>
  </si>
  <si>
    <t>276</t>
  </si>
  <si>
    <t>S075</t>
  </si>
  <si>
    <t>5120</t>
  </si>
  <si>
    <t>S074</t>
  </si>
  <si>
    <t>S072</t>
  </si>
  <si>
    <t>3680</t>
  </si>
  <si>
    <t>S071</t>
  </si>
  <si>
    <t>S034</t>
  </si>
  <si>
    <t>390</t>
  </si>
  <si>
    <t>SYNCHROMESH trans, S/N 5009N05288 and higher</t>
  </si>
  <si>
    <t>S033</t>
  </si>
  <si>
    <t>MULTIPOWER trans, S/N 5008N05287 and higher</t>
  </si>
  <si>
    <t>S032</t>
  </si>
  <si>
    <t>SYNCHROMESH trans, S/N 5007V49002 and higher</t>
  </si>
  <si>
    <t>S031</t>
  </si>
  <si>
    <t>MULTIPOWER trans, S/N 5006V49001 and higher</t>
  </si>
  <si>
    <t>140</t>
  </si>
  <si>
    <t>120</t>
  </si>
  <si>
    <t>1614</t>
  </si>
  <si>
    <t>100</t>
  </si>
  <si>
    <t>1613</t>
  </si>
  <si>
    <t>S053</t>
  </si>
  <si>
    <t>Challenger 65</t>
  </si>
  <si>
    <t>232.0</t>
  </si>
  <si>
    <t>S052</t>
  </si>
  <si>
    <t>7140</t>
  </si>
  <si>
    <t>S051</t>
  </si>
  <si>
    <t>1610</t>
  </si>
  <si>
    <t>S050</t>
  </si>
  <si>
    <t>7120</t>
  </si>
  <si>
    <t>S049</t>
  </si>
  <si>
    <t>7110</t>
  </si>
  <si>
    <t>185</t>
  </si>
  <si>
    <t>160</t>
  </si>
  <si>
    <t>S048</t>
  </si>
  <si>
    <t>TSS transmission</t>
  </si>
  <si>
    <t>S030</t>
  </si>
  <si>
    <t>360</t>
  </si>
  <si>
    <t>chassis S/N 5222U51139</t>
  </si>
  <si>
    <t>S/N 5222V06275 and higher</t>
  </si>
  <si>
    <t>S029</t>
  </si>
  <si>
    <t>chassis S/N 5221U52304</t>
  </si>
  <si>
    <t>S/N 5221U47226 and higher</t>
  </si>
  <si>
    <t>1589</t>
  </si>
  <si>
    <t>3155</t>
  </si>
  <si>
    <t>Tested as JD 3150</t>
  </si>
  <si>
    <t>874 90DT</t>
  </si>
  <si>
    <t>674 70 DT</t>
  </si>
  <si>
    <t>674 70NDT</t>
  </si>
  <si>
    <t>Explorer 90DT</t>
  </si>
  <si>
    <t>Explorer 80DT</t>
  </si>
  <si>
    <t>Solar 60DT</t>
  </si>
  <si>
    <t>Solar 50DT</t>
  </si>
  <si>
    <t>S047</t>
  </si>
  <si>
    <t>S046</t>
  </si>
  <si>
    <t>3650</t>
  </si>
  <si>
    <t>S045</t>
  </si>
  <si>
    <t>3630</t>
  </si>
  <si>
    <t>Lion 1000</t>
  </si>
  <si>
    <t>9180</t>
  </si>
  <si>
    <t>Panther 1000</t>
  </si>
  <si>
    <t>S042</t>
  </si>
  <si>
    <t>Cougar 1000</t>
  </si>
  <si>
    <t>S041</t>
  </si>
  <si>
    <t>Wildcat 1000</t>
  </si>
  <si>
    <t>9130</t>
  </si>
  <si>
    <t>S040</t>
  </si>
  <si>
    <t>Puma 1000</t>
  </si>
  <si>
    <t>9110</t>
  </si>
  <si>
    <t>S038</t>
  </si>
  <si>
    <t>S037</t>
  </si>
  <si>
    <t>S036</t>
  </si>
  <si>
    <t>398</t>
  </si>
  <si>
    <t>S035</t>
  </si>
  <si>
    <t>SYNCHROMESH trans, chassis S/N 5009U05056</t>
  </si>
  <si>
    <t>MULTIPOWER trans, chassis S/N 5008U47002</t>
  </si>
  <si>
    <t>SYNCHROMESH trans, chassis S/N 5007U39101</t>
  </si>
  <si>
    <t>MULTIPOWER trans, chassis S/N 5006U50235</t>
  </si>
  <si>
    <t>S028</t>
  </si>
  <si>
    <t>2555</t>
  </si>
  <si>
    <t>S027</t>
  </si>
  <si>
    <t>S026</t>
  </si>
  <si>
    <t>2355</t>
  </si>
  <si>
    <t>S025</t>
  </si>
  <si>
    <t>8 speed CS</t>
  </si>
  <si>
    <t>S024</t>
  </si>
  <si>
    <t>S014</t>
  </si>
  <si>
    <t>3090</t>
  </si>
  <si>
    <t>S013</t>
  </si>
  <si>
    <t>S012</t>
  </si>
  <si>
    <t>3070</t>
  </si>
  <si>
    <t>S011</t>
  </si>
  <si>
    <t>S010</t>
  </si>
  <si>
    <t>3060</t>
  </si>
  <si>
    <t>S009</t>
  </si>
  <si>
    <t>S008</t>
  </si>
  <si>
    <t>3050</t>
  </si>
  <si>
    <t>S007</t>
  </si>
  <si>
    <t>1606</t>
  </si>
  <si>
    <t>2955</t>
  </si>
  <si>
    <t>16 &amp; 8 speed</t>
  </si>
  <si>
    <t>1605</t>
  </si>
  <si>
    <t>2755</t>
  </si>
  <si>
    <t>685</t>
  </si>
  <si>
    <t>Serial number -B51023B018001- and higher, 540 RPM PTO, 16 &amp; 8 speed</t>
  </si>
  <si>
    <t>Serial number -B51023B018001- and higher, 1000 RPM PTO, 16 &amp; 8 speed</t>
  </si>
  <si>
    <t>1603</t>
  </si>
  <si>
    <t>Fiat Trattori</t>
  </si>
  <si>
    <t>Hesston</t>
  </si>
  <si>
    <t>160-90DT</t>
  </si>
  <si>
    <t>7745</t>
  </si>
  <si>
    <t>HSFD</t>
  </si>
  <si>
    <t>LSFD</t>
  </si>
  <si>
    <t>7711</t>
  </si>
  <si>
    <t>6211</t>
  </si>
  <si>
    <t>1600</t>
  </si>
  <si>
    <t>Valmet Do Brasil</t>
  </si>
  <si>
    <t>148 4X4</t>
  </si>
  <si>
    <t>1599</t>
  </si>
  <si>
    <t>980 4X4</t>
  </si>
  <si>
    <t>1598</t>
  </si>
  <si>
    <t>M8030DT</t>
  </si>
  <si>
    <t>1597</t>
  </si>
  <si>
    <t>M7030DT</t>
  </si>
  <si>
    <t>1596</t>
  </si>
  <si>
    <t>M6030DT</t>
  </si>
  <si>
    <t>1595</t>
  </si>
  <si>
    <t>M5030DT</t>
  </si>
  <si>
    <t>1594</t>
  </si>
  <si>
    <t>M4030DT</t>
  </si>
  <si>
    <t>1593</t>
  </si>
  <si>
    <t>COUGAR 1000</t>
  </si>
  <si>
    <t>230.0</t>
  </si>
  <si>
    <t>1592</t>
  </si>
  <si>
    <t>BEARCAT 1000</t>
  </si>
  <si>
    <t>1591</t>
  </si>
  <si>
    <t>4050</t>
  </si>
  <si>
    <t>S/N 4050P006510 and higher</t>
  </si>
  <si>
    <t>1590</t>
  </si>
  <si>
    <t>S/N 4050H006510 and higher</t>
  </si>
  <si>
    <t>3150</t>
  </si>
  <si>
    <t>1449</t>
  </si>
  <si>
    <t>Allis Chalmers</t>
  </si>
  <si>
    <t>8070</t>
  </si>
  <si>
    <t>Tested as Allis Chalmers 8070</t>
  </si>
  <si>
    <t>1448</t>
  </si>
  <si>
    <t>8050</t>
  </si>
  <si>
    <t>Tested as Allis Chalmers 8050</t>
  </si>
  <si>
    <t>1447</t>
  </si>
  <si>
    <t>8030</t>
  </si>
  <si>
    <t>Tested as Allis Chalmers 8030</t>
  </si>
  <si>
    <t>1446</t>
  </si>
  <si>
    <t>8010</t>
  </si>
  <si>
    <t>Tested as Allis Chalmers 8010</t>
  </si>
  <si>
    <t>Explorer 70DT</t>
  </si>
  <si>
    <t>885</t>
  </si>
  <si>
    <t>485</t>
  </si>
  <si>
    <t>S017</t>
  </si>
  <si>
    <t>S016</t>
  </si>
  <si>
    <t>S015</t>
  </si>
  <si>
    <t>S004</t>
  </si>
  <si>
    <t>Klockner-Humboldt-Deutz</t>
  </si>
  <si>
    <t>6250</t>
  </si>
  <si>
    <t>Deutz Fahr DX 3.30</t>
  </si>
  <si>
    <t>S003</t>
  </si>
  <si>
    <t>6240</t>
  </si>
  <si>
    <t>Deutz Fahr DX 3.10</t>
  </si>
  <si>
    <t>1588</t>
  </si>
  <si>
    <t>L3350</t>
  </si>
  <si>
    <t>27.0</t>
  </si>
  <si>
    <t>1587</t>
  </si>
  <si>
    <t>L2850</t>
  </si>
  <si>
    <t>24.0</t>
  </si>
  <si>
    <t>1586</t>
  </si>
  <si>
    <t>L2550</t>
  </si>
  <si>
    <t>23.0</t>
  </si>
  <si>
    <t>20.0</t>
  </si>
  <si>
    <t>1585</t>
  </si>
  <si>
    <t>L2250</t>
  </si>
  <si>
    <t>21.0</t>
  </si>
  <si>
    <t>17.0</t>
  </si>
  <si>
    <t>1584</t>
  </si>
  <si>
    <t>3594</t>
  </si>
  <si>
    <t>1583</t>
  </si>
  <si>
    <t>3394</t>
  </si>
  <si>
    <t>1582</t>
  </si>
  <si>
    <t>2394</t>
  </si>
  <si>
    <t>1581</t>
  </si>
  <si>
    <t>180-90DT</t>
  </si>
  <si>
    <t>1580</t>
  </si>
  <si>
    <t>100-90</t>
  </si>
  <si>
    <t>15 speed</t>
  </si>
  <si>
    <t>1579</t>
  </si>
  <si>
    <t>45-66DT</t>
  </si>
  <si>
    <t>1578</t>
  </si>
  <si>
    <t>COUGAR CR-1280</t>
  </si>
  <si>
    <t>20 speed</t>
  </si>
  <si>
    <t>1577</t>
  </si>
  <si>
    <t>COUGAR CR-1225</t>
  </si>
  <si>
    <t>1576</t>
  </si>
  <si>
    <t>Deutz-Fahr</t>
  </si>
  <si>
    <t>DX6.50</t>
  </si>
  <si>
    <t>Tested as Deutz Fahr DX 6.50</t>
  </si>
  <si>
    <t>1575</t>
  </si>
  <si>
    <t>DX4.70</t>
  </si>
  <si>
    <t>7085</t>
  </si>
  <si>
    <t>Deutz Fahr DX 4.70</t>
  </si>
  <si>
    <t>1574</t>
  </si>
  <si>
    <t>DX3.50</t>
  </si>
  <si>
    <t>6260</t>
  </si>
  <si>
    <t>Deutz Fahr DX 3.50</t>
  </si>
  <si>
    <t>1573</t>
  </si>
  <si>
    <t>Ford Motor Co.</t>
  </si>
  <si>
    <t>2810 8X2</t>
  </si>
  <si>
    <t>29.0</t>
  </si>
  <si>
    <t>1572</t>
  </si>
  <si>
    <t>7245</t>
  </si>
  <si>
    <t>7211</t>
  </si>
  <si>
    <t>Tested as Zetor 7245</t>
  </si>
  <si>
    <t>5245</t>
  </si>
  <si>
    <t>5211</t>
  </si>
  <si>
    <t>1570</t>
  </si>
  <si>
    <t>936</t>
  </si>
  <si>
    <t>12 speed, no PTO</t>
  </si>
  <si>
    <t>1569</t>
  </si>
  <si>
    <t>876</t>
  </si>
  <si>
    <t>1568</t>
  </si>
  <si>
    <t>856</t>
  </si>
  <si>
    <t>1567</t>
  </si>
  <si>
    <t>836</t>
  </si>
  <si>
    <t>1566</t>
  </si>
  <si>
    <t>1565</t>
  </si>
  <si>
    <t>1564</t>
  </si>
  <si>
    <t>130-90</t>
  </si>
  <si>
    <t>1563</t>
  </si>
  <si>
    <t>80-90</t>
  </si>
  <si>
    <t>1562</t>
  </si>
  <si>
    <t>70-90</t>
  </si>
  <si>
    <t>1561</t>
  </si>
  <si>
    <t>70-66DT</t>
  </si>
  <si>
    <t>1560</t>
  </si>
  <si>
    <t>55-66</t>
  </si>
  <si>
    <t>1559</t>
  </si>
  <si>
    <t>White Farm Equip.</t>
  </si>
  <si>
    <t>4-270</t>
  </si>
  <si>
    <t>1558</t>
  </si>
  <si>
    <t>4-225</t>
  </si>
  <si>
    <t>1557</t>
  </si>
  <si>
    <t>M8950DT</t>
  </si>
  <si>
    <t>FWA engaged, 24 speed</t>
  </si>
  <si>
    <t>FWA disengaged, 24 speed</t>
  </si>
  <si>
    <t>1556</t>
  </si>
  <si>
    <t>L4150</t>
  </si>
  <si>
    <t>FWA engaged, 8 speed</t>
  </si>
  <si>
    <t>FWA disengaged, 8 speed</t>
  </si>
  <si>
    <t>1555</t>
  </si>
  <si>
    <t>L3750</t>
  </si>
  <si>
    <t>30.0</t>
  </si>
  <si>
    <t>1554</t>
  </si>
  <si>
    <t>Toyosha</t>
  </si>
  <si>
    <t>1040</t>
  </si>
  <si>
    <t>22.0</t>
  </si>
  <si>
    <t>FWA engaged, 12 speed</t>
  </si>
  <si>
    <t>FWA disengaged, 12 speed</t>
  </si>
  <si>
    <t>1553</t>
  </si>
  <si>
    <t>1030</t>
  </si>
  <si>
    <t>18.0</t>
  </si>
  <si>
    <t>1552</t>
  </si>
  <si>
    <t>1020</t>
  </si>
  <si>
    <t>14.0</t>
  </si>
  <si>
    <t>1545</t>
  </si>
  <si>
    <t>6070</t>
  </si>
  <si>
    <t>Tested as Allis Chalmers 6070</t>
  </si>
  <si>
    <t>1398</t>
  </si>
  <si>
    <t>6080</t>
  </si>
  <si>
    <t>Tested as Allis Chalmers 6080</t>
  </si>
  <si>
    <t>1397</t>
  </si>
  <si>
    <t>6060</t>
  </si>
  <si>
    <t>Tested as Allis Chalmers 6060</t>
  </si>
  <si>
    <t>1330</t>
  </si>
  <si>
    <t>4894</t>
  </si>
  <si>
    <t>Tested as Case 4890</t>
  </si>
  <si>
    <t>1329</t>
  </si>
  <si>
    <t>4694</t>
  </si>
  <si>
    <t>Tested as Case 4690</t>
  </si>
  <si>
    <t>1328</t>
  </si>
  <si>
    <t>4494</t>
  </si>
  <si>
    <t>Tested as Case 4490</t>
  </si>
  <si>
    <t>1209</t>
  </si>
  <si>
    <t>David Brown</t>
  </si>
  <si>
    <t>Case</t>
  </si>
  <si>
    <t>1410</t>
  </si>
  <si>
    <t>Synchro, Tested as David Brown 1410</t>
  </si>
  <si>
    <t>1144</t>
  </si>
  <si>
    <t>990</t>
  </si>
  <si>
    <t>Tested as David Brown 990</t>
  </si>
  <si>
    <t>1142</t>
  </si>
  <si>
    <t>1210</t>
  </si>
  <si>
    <t>Tested as David Brown 1210</t>
  </si>
  <si>
    <t>1138</t>
  </si>
  <si>
    <t>Tested as David Brown 1212</t>
  </si>
  <si>
    <t>1137</t>
  </si>
  <si>
    <t>Tested as David Brown 885</t>
  </si>
  <si>
    <t>1136</t>
  </si>
  <si>
    <t>995</t>
  </si>
  <si>
    <t>Tested as David Brown 995</t>
  </si>
  <si>
    <t>Laser 100VDT</t>
  </si>
  <si>
    <t>S054</t>
  </si>
  <si>
    <t>Ford Motor Co  UK</t>
  </si>
  <si>
    <t>585</t>
  </si>
  <si>
    <t>Tested as IHC 584</t>
  </si>
  <si>
    <t>S006</t>
  </si>
  <si>
    <t>6275</t>
  </si>
  <si>
    <t>Deutz Fahr DX 3.90</t>
  </si>
  <si>
    <t>S005</t>
  </si>
  <si>
    <t>Deutz Fahr DX 3.70</t>
  </si>
  <si>
    <t>S002</t>
  </si>
  <si>
    <t>7145</t>
  </si>
  <si>
    <t>Deutz Fahr DX 7.10</t>
  </si>
  <si>
    <t>1551</t>
  </si>
  <si>
    <t>International</t>
  </si>
  <si>
    <t>IHC</t>
  </si>
  <si>
    <t>3088</t>
  </si>
  <si>
    <t>1550</t>
  </si>
  <si>
    <t>PANTHER IV SM-325</t>
  </si>
  <si>
    <t>20 speed, no PTO</t>
  </si>
  <si>
    <t>1549</t>
  </si>
  <si>
    <t>1548</t>
  </si>
  <si>
    <t>1547</t>
  </si>
  <si>
    <t>1546</t>
  </si>
  <si>
    <t>1544</t>
  </si>
  <si>
    <t>PANTHER IV CM-360</t>
  </si>
  <si>
    <t>1543</t>
  </si>
  <si>
    <t>PANTHER IV KM-325</t>
  </si>
  <si>
    <t>1542</t>
  </si>
  <si>
    <t>BEARCAT IV KM-225</t>
  </si>
  <si>
    <t>1541</t>
  </si>
  <si>
    <t>699</t>
  </si>
  <si>
    <t>1540</t>
  </si>
  <si>
    <t>698</t>
  </si>
  <si>
    <t>1539</t>
  </si>
  <si>
    <t>690</t>
  </si>
  <si>
    <t>1538</t>
  </si>
  <si>
    <t>670</t>
  </si>
  <si>
    <t>270</t>
  </si>
  <si>
    <t>Tested as MF 670</t>
  </si>
  <si>
    <t>1537</t>
  </si>
  <si>
    <t>TW-35</t>
  </si>
  <si>
    <t>1536</t>
  </si>
  <si>
    <t>TW-15</t>
  </si>
  <si>
    <t>1535</t>
  </si>
  <si>
    <t>1534</t>
  </si>
  <si>
    <t>1533</t>
  </si>
  <si>
    <t>140-90DT</t>
  </si>
  <si>
    <t>1532</t>
  </si>
  <si>
    <t>80-66DT</t>
  </si>
  <si>
    <t>1531</t>
  </si>
  <si>
    <t>60-66DT</t>
  </si>
  <si>
    <t>1530</t>
  </si>
  <si>
    <t>4994</t>
  </si>
  <si>
    <t>1529</t>
  </si>
  <si>
    <t>2594</t>
  </si>
  <si>
    <t>radial tires, 24 speed</t>
  </si>
  <si>
    <t>bias ply tires, 24 speed</t>
  </si>
  <si>
    <t>1528</t>
  </si>
  <si>
    <t>3294</t>
  </si>
  <si>
    <t>1527</t>
  </si>
  <si>
    <t>1526</t>
  </si>
  <si>
    <t>2294</t>
  </si>
  <si>
    <t>1525</t>
  </si>
  <si>
    <t>1524</t>
  </si>
  <si>
    <t>298</t>
  </si>
  <si>
    <t>Multipower 12 speed</t>
  </si>
  <si>
    <t>1523</t>
  </si>
  <si>
    <t>1522</t>
  </si>
  <si>
    <t>290</t>
  </si>
  <si>
    <t>1521</t>
  </si>
  <si>
    <t>1520</t>
  </si>
  <si>
    <t>250</t>
  </si>
  <si>
    <t>1519</t>
  </si>
  <si>
    <t>240</t>
  </si>
  <si>
    <t>1518</t>
  </si>
  <si>
    <t>256</t>
  </si>
  <si>
    <t>1517</t>
  </si>
  <si>
    <t>radial tires, 16 speed</t>
  </si>
  <si>
    <t>bias ply tires, 16 speed</t>
  </si>
  <si>
    <t>1516</t>
  </si>
  <si>
    <t>TW-25</t>
  </si>
  <si>
    <t>1515</t>
  </si>
  <si>
    <t>1514</t>
  </si>
  <si>
    <t>TW-5</t>
  </si>
  <si>
    <t>1513</t>
  </si>
  <si>
    <t>3545</t>
  </si>
  <si>
    <t>FWA engaged, 16 speed</t>
  </si>
  <si>
    <t>FWA disengaged, 16 speed</t>
  </si>
  <si>
    <t>1512</t>
  </si>
  <si>
    <t>3525</t>
  </si>
  <si>
    <t>1511</t>
  </si>
  <si>
    <t>3505</t>
  </si>
  <si>
    <t>1510</t>
  </si>
  <si>
    <t>Ishikawajima-Shibaura</t>
  </si>
  <si>
    <t>2110 SYNC</t>
  </si>
  <si>
    <t>Synchro</t>
  </si>
  <si>
    <t>1509</t>
  </si>
  <si>
    <t>1508</t>
  </si>
  <si>
    <t>1910 SYNC</t>
  </si>
  <si>
    <t>28.0</t>
  </si>
  <si>
    <t>25.0</t>
  </si>
  <si>
    <t>1507</t>
  </si>
  <si>
    <t>1378</t>
  </si>
  <si>
    <t>1194</t>
  </si>
  <si>
    <t>Tested as Case 1190</t>
  </si>
  <si>
    <t>1355</t>
  </si>
  <si>
    <t>Panther IV CS-325</t>
  </si>
  <si>
    <t>Auto PSH, TC</t>
  </si>
  <si>
    <t>Tested as Panther III PTA-325, no PTO</t>
  </si>
  <si>
    <t>Tested as 4890</t>
  </si>
  <si>
    <t>Tested as 4690</t>
  </si>
  <si>
    <t>Tested as 4490</t>
  </si>
  <si>
    <t>S113</t>
  </si>
  <si>
    <t>7650</t>
  </si>
  <si>
    <t>SAME Laser 150VDT</t>
  </si>
  <si>
    <t>S021</t>
  </si>
  <si>
    <t>Zavody Tazkeho</t>
  </si>
  <si>
    <t>16145</t>
  </si>
  <si>
    <t>S020</t>
  </si>
  <si>
    <t>12145</t>
  </si>
  <si>
    <t>S019</t>
  </si>
  <si>
    <t>12111</t>
  </si>
  <si>
    <t>S018</t>
  </si>
  <si>
    <t>10145</t>
  </si>
  <si>
    <t>1506</t>
  </si>
  <si>
    <t>Yanmar</t>
  </si>
  <si>
    <t>9 speed</t>
  </si>
  <si>
    <t>1505</t>
  </si>
  <si>
    <t>1450</t>
  </si>
  <si>
    <t>1504</t>
  </si>
  <si>
    <t>750</t>
  </si>
  <si>
    <t>15.0</t>
  </si>
  <si>
    <t>1503</t>
  </si>
  <si>
    <t>1710 SYNC</t>
  </si>
  <si>
    <t>1502</t>
  </si>
  <si>
    <t>1501</t>
  </si>
  <si>
    <t>1510 SYNC</t>
  </si>
  <si>
    <t>19.0</t>
  </si>
  <si>
    <t>16.0</t>
  </si>
  <si>
    <t>1500</t>
  </si>
  <si>
    <t>1499</t>
  </si>
  <si>
    <t>M7950DT</t>
  </si>
  <si>
    <t>1498</t>
  </si>
  <si>
    <t>M6950DT</t>
  </si>
  <si>
    <t>1497</t>
  </si>
  <si>
    <t>M5950DT</t>
  </si>
  <si>
    <t>1496</t>
  </si>
  <si>
    <t>M4950DT</t>
  </si>
  <si>
    <t>1495</t>
  </si>
  <si>
    <t>M4050DT</t>
  </si>
  <si>
    <t>1494</t>
  </si>
  <si>
    <t>3910 8X4</t>
  </si>
  <si>
    <t>1493</t>
  </si>
  <si>
    <t>3910 8X2</t>
  </si>
  <si>
    <t>1492</t>
  </si>
  <si>
    <t>2910 8X4</t>
  </si>
  <si>
    <t>1491</t>
  </si>
  <si>
    <t>2910 8X2</t>
  </si>
  <si>
    <t>1490</t>
  </si>
  <si>
    <t>1489</t>
  </si>
  <si>
    <t>1488</t>
  </si>
  <si>
    <t>1487</t>
  </si>
  <si>
    <t>2-88</t>
  </si>
  <si>
    <t>FWA engaged, 18 speed</t>
  </si>
  <si>
    <t>FWA disengaged, 18 speed</t>
  </si>
  <si>
    <t>1486</t>
  </si>
  <si>
    <t>Iseki &amp; Co.</t>
  </si>
  <si>
    <t>White-Iseki</t>
  </si>
  <si>
    <t>2-75</t>
  </si>
  <si>
    <t>1485</t>
  </si>
  <si>
    <t>666DT</t>
  </si>
  <si>
    <t>1484</t>
  </si>
  <si>
    <t>466DT</t>
  </si>
  <si>
    <t>1483</t>
  </si>
  <si>
    <t>875 Series 3</t>
  </si>
  <si>
    <t>S/N 80 054301 to 82057052</t>
  </si>
  <si>
    <t>1482</t>
  </si>
  <si>
    <t>835 Series 3</t>
  </si>
  <si>
    <t>1481</t>
  </si>
  <si>
    <t>2640</t>
  </si>
  <si>
    <t>1480</t>
  </si>
  <si>
    <t>Massey Ferguson Landini</t>
  </si>
  <si>
    <t>294</t>
  </si>
  <si>
    <t>1479</t>
  </si>
  <si>
    <t>274</t>
  </si>
  <si>
    <t>1478</t>
  </si>
  <si>
    <t>254</t>
  </si>
  <si>
    <t>1477</t>
  </si>
  <si>
    <t>1476</t>
  </si>
  <si>
    <t>4450</t>
  </si>
  <si>
    <t>1475</t>
  </si>
  <si>
    <t>4250</t>
  </si>
  <si>
    <t>1474</t>
  </si>
  <si>
    <t>1473</t>
  </si>
  <si>
    <t>2950</t>
  </si>
  <si>
    <t>1472</t>
  </si>
  <si>
    <t>2750</t>
  </si>
  <si>
    <t>1471</t>
  </si>
  <si>
    <t>2550</t>
  </si>
  <si>
    <t>1470</t>
  </si>
  <si>
    <t>2350</t>
  </si>
  <si>
    <t>1469</t>
  </si>
  <si>
    <t>1468</t>
  </si>
  <si>
    <t>2-110</t>
  </si>
  <si>
    <t>FWA engaged</t>
  </si>
  <si>
    <t>FWA disengaged</t>
  </si>
  <si>
    <t>1467</t>
  </si>
  <si>
    <t>2-65</t>
  </si>
  <si>
    <t>1466</t>
  </si>
  <si>
    <t>2-55</t>
  </si>
  <si>
    <t>1452</t>
  </si>
  <si>
    <t>COUGAR IV CM-250</t>
  </si>
  <si>
    <t>Tested as Cougar III ST-250, no PTO</t>
  </si>
  <si>
    <t>1414</t>
  </si>
  <si>
    <t>Bearcat IV CM-225</t>
  </si>
  <si>
    <t>Tested as Bearcat III ST-225, no PTO</t>
  </si>
  <si>
    <t>1413</t>
  </si>
  <si>
    <t>Cougar IV CS-280</t>
  </si>
  <si>
    <t>Tested as Cougar III PTA-280, no PTO</t>
  </si>
  <si>
    <t>1412</t>
  </si>
  <si>
    <t>Cougar IV CM-280</t>
  </si>
  <si>
    <t>Tested as Cougar III ST-280, no PTO</t>
  </si>
  <si>
    <t>1236</t>
  </si>
  <si>
    <t>PANTHER III CM-325</t>
  </si>
  <si>
    <t>Tested as Steiger Panther III ST-325, no PTO</t>
  </si>
  <si>
    <t>1465</t>
  </si>
  <si>
    <t>PANTHER KP-1325</t>
  </si>
  <si>
    <t>1464</t>
  </si>
  <si>
    <t>PANTHER CP-1400</t>
  </si>
  <si>
    <t>1463</t>
  </si>
  <si>
    <t>PANTHER KP-1400</t>
  </si>
  <si>
    <t>1462</t>
  </si>
  <si>
    <t>1150</t>
  </si>
  <si>
    <t>8 speed, no PTO</t>
  </si>
  <si>
    <t>1461</t>
  </si>
  <si>
    <t>4850</t>
  </si>
  <si>
    <t>radial tires, 15 speed</t>
  </si>
  <si>
    <t>bias ply tires, 15 speed</t>
  </si>
  <si>
    <t>1460</t>
  </si>
  <si>
    <t>1459</t>
  </si>
  <si>
    <t>1458</t>
  </si>
  <si>
    <t>1457</t>
  </si>
  <si>
    <t>1456</t>
  </si>
  <si>
    <t>PANTHER KP-1360</t>
  </si>
  <si>
    <t>1455</t>
  </si>
  <si>
    <t>PANTHER CP-1360</t>
  </si>
  <si>
    <t>1454</t>
  </si>
  <si>
    <t>1453</t>
  </si>
  <si>
    <t>PANTHER CP-1325</t>
  </si>
  <si>
    <t>COUGAR III ST-250</t>
  </si>
  <si>
    <t>1451</t>
  </si>
  <si>
    <t>1580 DT</t>
  </si>
  <si>
    <t>1180 DT</t>
  </si>
  <si>
    <t>1445</t>
  </si>
  <si>
    <t>6140</t>
  </si>
  <si>
    <t>33.0</t>
  </si>
  <si>
    <t>1444</t>
  </si>
  <si>
    <t>YM336D</t>
  </si>
  <si>
    <t>1443</t>
  </si>
  <si>
    <t>YM276D</t>
  </si>
  <si>
    <t>1442</t>
  </si>
  <si>
    <t>YM226D</t>
  </si>
  <si>
    <t>1441</t>
  </si>
  <si>
    <t>5488</t>
  </si>
  <si>
    <t>1440</t>
  </si>
  <si>
    <t>3688</t>
  </si>
  <si>
    <t>1439</t>
  </si>
  <si>
    <t>3488</t>
  </si>
  <si>
    <t>1438</t>
  </si>
  <si>
    <t>3288</t>
  </si>
  <si>
    <t>1437</t>
  </si>
  <si>
    <t>1250</t>
  </si>
  <si>
    <t>FWA engaged, 9 speed</t>
  </si>
  <si>
    <t>FWA disengaged, 9 speed</t>
  </si>
  <si>
    <t>1436</t>
  </si>
  <si>
    <t>1435</t>
  </si>
  <si>
    <t>1434</t>
  </si>
  <si>
    <t>8850</t>
  </si>
  <si>
    <t>1433</t>
  </si>
  <si>
    <t>7710 16X8</t>
  </si>
  <si>
    <t>7610 16x8</t>
  </si>
  <si>
    <t>1432</t>
  </si>
  <si>
    <t>7610 16X4</t>
  </si>
  <si>
    <t>7710 16x4</t>
  </si>
  <si>
    <t>1431</t>
  </si>
  <si>
    <t>6710 16x8</t>
  </si>
  <si>
    <t>6610 16X8</t>
  </si>
  <si>
    <t>1430</t>
  </si>
  <si>
    <t>6610 16X4</t>
  </si>
  <si>
    <t>6710 16x4</t>
  </si>
  <si>
    <t>1429</t>
  </si>
  <si>
    <t>5610 16X8</t>
  </si>
  <si>
    <t>1428</t>
  </si>
  <si>
    <t>5610 16X4</t>
  </si>
  <si>
    <t>1427</t>
  </si>
  <si>
    <t>4610 8X4</t>
  </si>
  <si>
    <t>1426</t>
  </si>
  <si>
    <t>4610 8X2</t>
  </si>
  <si>
    <t>1425</t>
  </si>
  <si>
    <t>4110 8X4</t>
  </si>
  <si>
    <t>1424</t>
  </si>
  <si>
    <t>4110 8X2</t>
  </si>
  <si>
    <t>1423</t>
  </si>
  <si>
    <t>3610 8X4</t>
  </si>
  <si>
    <t>1422</t>
  </si>
  <si>
    <t>3610 8X2</t>
  </si>
  <si>
    <t>1421</t>
  </si>
  <si>
    <t>2610 8X2</t>
  </si>
  <si>
    <t>1377</t>
  </si>
  <si>
    <t>6788</t>
  </si>
  <si>
    <t>Tested as IHC 3788</t>
  </si>
  <si>
    <t>1320</t>
  </si>
  <si>
    <t>6588</t>
  </si>
  <si>
    <t>Tested as IHC 3588</t>
  </si>
  <si>
    <t>1319</t>
  </si>
  <si>
    <t>6388</t>
  </si>
  <si>
    <t>Tested as IHC 3388</t>
  </si>
  <si>
    <t>1226</t>
  </si>
  <si>
    <t>3610</t>
  </si>
  <si>
    <t>G</t>
  </si>
  <si>
    <t>Tested as Ford 3600</t>
  </si>
  <si>
    <t>1222</t>
  </si>
  <si>
    <t>2310</t>
  </si>
  <si>
    <t>Tested as Ford 2600</t>
  </si>
  <si>
    <t>1207</t>
  </si>
  <si>
    <t>2610</t>
  </si>
  <si>
    <t>1001</t>
  </si>
  <si>
    <t>4610</t>
  </si>
  <si>
    <t>Tested as Ford 4000</t>
  </si>
  <si>
    <t>1420</t>
  </si>
  <si>
    <t>5288</t>
  </si>
  <si>
    <t>1419</t>
  </si>
  <si>
    <t>5088</t>
  </si>
  <si>
    <t>radial tires, 18 speed</t>
  </si>
  <si>
    <t>bias ply tires, 18 speed</t>
  </si>
  <si>
    <t>1418</t>
  </si>
  <si>
    <t>1417</t>
  </si>
  <si>
    <t>Universal Tractor Brasov</t>
  </si>
  <si>
    <t>Long</t>
  </si>
  <si>
    <t>610</t>
  </si>
  <si>
    <t>1416</t>
  </si>
  <si>
    <t>510DTC</t>
  </si>
  <si>
    <t>1415</t>
  </si>
  <si>
    <t>510</t>
  </si>
  <si>
    <t>BEARCAT III ST-225</t>
  </si>
  <si>
    <t>COUGAR III PTA-280</t>
  </si>
  <si>
    <t>10 speed, no PTO</t>
  </si>
  <si>
    <t>COUGAR III ST-280</t>
  </si>
  <si>
    <t>1411</t>
  </si>
  <si>
    <t>154-4</t>
  </si>
  <si>
    <t>1880DT</t>
  </si>
  <si>
    <t>1409</t>
  </si>
  <si>
    <t>1380DT</t>
  </si>
  <si>
    <t>1408</t>
  </si>
  <si>
    <t>1407</t>
  </si>
  <si>
    <t>L275 4WD</t>
  </si>
  <si>
    <t>1406</t>
  </si>
  <si>
    <t>L235 4WD</t>
  </si>
  <si>
    <t>1405</t>
  </si>
  <si>
    <t>DX-120</t>
  </si>
  <si>
    <t>Deutz</t>
  </si>
  <si>
    <t>1404</t>
  </si>
  <si>
    <t>DX-130</t>
  </si>
  <si>
    <t>1403</t>
  </si>
  <si>
    <t>1402</t>
  </si>
  <si>
    <t>1401</t>
  </si>
  <si>
    <t>1400</t>
  </si>
  <si>
    <t>Big Bud</t>
  </si>
  <si>
    <t>525/50</t>
  </si>
  <si>
    <t>PSH-TC</t>
  </si>
  <si>
    <t>421.0</t>
  </si>
  <si>
    <t>9 speed, no PTO</t>
  </si>
  <si>
    <t>1399</t>
  </si>
  <si>
    <t>2805</t>
  </si>
  <si>
    <t>1396</t>
  </si>
  <si>
    <t>2-62</t>
  </si>
  <si>
    <t>FWA engaged, 20 speed</t>
  </si>
  <si>
    <t>FWA disengaged, 20 speed</t>
  </si>
  <si>
    <t>1395</t>
  </si>
  <si>
    <t>2-45</t>
  </si>
  <si>
    <t>1394</t>
  </si>
  <si>
    <t>TSS</t>
  </si>
  <si>
    <t>1393</t>
  </si>
  <si>
    <t>8 speed TSS</t>
  </si>
  <si>
    <t>1392</t>
  </si>
  <si>
    <t>184-4</t>
  </si>
  <si>
    <t>1391</t>
  </si>
  <si>
    <t>4900</t>
  </si>
  <si>
    <t>1390</t>
  </si>
  <si>
    <t>1389</t>
  </si>
  <si>
    <t>2775</t>
  </si>
  <si>
    <t>1388</t>
  </si>
  <si>
    <t>786</t>
  </si>
  <si>
    <t>1387</t>
  </si>
  <si>
    <t>284</t>
  </si>
  <si>
    <t>1386</t>
  </si>
  <si>
    <t>780DT</t>
  </si>
  <si>
    <t>1385</t>
  </si>
  <si>
    <t>480-8DT</t>
  </si>
  <si>
    <t>1384</t>
  </si>
  <si>
    <t>1383</t>
  </si>
  <si>
    <t>1382</t>
  </si>
  <si>
    <t>1381</t>
  </si>
  <si>
    <t>1380</t>
  </si>
  <si>
    <t>1379</t>
  </si>
  <si>
    <t>1290</t>
  </si>
  <si>
    <t>1190</t>
  </si>
  <si>
    <t>1294</t>
  </si>
  <si>
    <t>780</t>
  </si>
  <si>
    <t>Tested as Fiat 780</t>
  </si>
  <si>
    <t>1292</t>
  </si>
  <si>
    <t>580DT</t>
  </si>
  <si>
    <t>Tested as Fiat 580</t>
  </si>
  <si>
    <t>3788</t>
  </si>
  <si>
    <t>1376</t>
  </si>
  <si>
    <t>884</t>
  </si>
  <si>
    <t>1375</t>
  </si>
  <si>
    <t>4-175</t>
  </si>
  <si>
    <t>1374</t>
  </si>
  <si>
    <t>2-35</t>
  </si>
  <si>
    <t>1373</t>
  </si>
  <si>
    <t>2-30</t>
  </si>
  <si>
    <t>1372</t>
  </si>
  <si>
    <t>L345DT</t>
  </si>
  <si>
    <t>1371</t>
  </si>
  <si>
    <t>L305DT</t>
  </si>
  <si>
    <t>1370</t>
  </si>
  <si>
    <t>L295DT</t>
  </si>
  <si>
    <t>1369</t>
  </si>
  <si>
    <t>M5500DT</t>
  </si>
  <si>
    <t>1368</t>
  </si>
  <si>
    <t>220-4</t>
  </si>
  <si>
    <t>1367</t>
  </si>
  <si>
    <t>220</t>
  </si>
  <si>
    <t>1366</t>
  </si>
  <si>
    <t>210-4</t>
  </si>
  <si>
    <t>1365</t>
  </si>
  <si>
    <t>210</t>
  </si>
  <si>
    <t>1364</t>
  </si>
  <si>
    <t>205-4</t>
  </si>
  <si>
    <t>12.0</t>
  </si>
  <si>
    <t>FWA engaged, 6 speed</t>
  </si>
  <si>
    <t>FWA disengaged, 6 speed</t>
  </si>
  <si>
    <t>1363</t>
  </si>
  <si>
    <t>205</t>
  </si>
  <si>
    <t>13.0</t>
  </si>
  <si>
    <t>6 speed</t>
  </si>
  <si>
    <t>1362</t>
  </si>
  <si>
    <t>4240</t>
  </si>
  <si>
    <t>1361</t>
  </si>
  <si>
    <t>8 speed, Syncro Range</t>
  </si>
  <si>
    <t>1360</t>
  </si>
  <si>
    <t>4040</t>
  </si>
  <si>
    <t>1359</t>
  </si>
  <si>
    <t>1358</t>
  </si>
  <si>
    <t>4640</t>
  </si>
  <si>
    <t>1357</t>
  </si>
  <si>
    <t>4440</t>
  </si>
  <si>
    <t>1356</t>
  </si>
  <si>
    <t>835</t>
  </si>
  <si>
    <t>PANTHER III PTA-325</t>
  </si>
  <si>
    <t>1354</t>
  </si>
  <si>
    <t>980DT</t>
  </si>
  <si>
    <t>1353</t>
  </si>
  <si>
    <t>880DT-5</t>
  </si>
  <si>
    <t>1352</t>
  </si>
  <si>
    <t>680DT</t>
  </si>
  <si>
    <t>1351</t>
  </si>
  <si>
    <t>2940</t>
  </si>
  <si>
    <t>1350</t>
  </si>
  <si>
    <t>1349</t>
  </si>
  <si>
    <t>M7500DT</t>
  </si>
  <si>
    <t>FWA engaged, 16 speed, also M7500</t>
  </si>
  <si>
    <t>FWA disengaged, 16 speed, also M7500</t>
  </si>
  <si>
    <t>1348</t>
  </si>
  <si>
    <t>M4500DT</t>
  </si>
  <si>
    <t>FWA engaged, 16 speed, also M4500</t>
  </si>
  <si>
    <t>FWA disengaged, 16 speed, also M4500</t>
  </si>
  <si>
    <t>1347</t>
  </si>
  <si>
    <t>Satoh Mitsubishi</t>
  </si>
  <si>
    <t>Satoh</t>
  </si>
  <si>
    <t>S750D</t>
  </si>
  <si>
    <t>FWA engaged, Stallion</t>
  </si>
  <si>
    <t>FWA disengaged, Stallion</t>
  </si>
  <si>
    <t>1346</t>
  </si>
  <si>
    <t>7010</t>
  </si>
  <si>
    <t>1345</t>
  </si>
  <si>
    <t>1344</t>
  </si>
  <si>
    <t>4880</t>
  </si>
  <si>
    <t>18 speed &amp; 12 speed</t>
  </si>
  <si>
    <t>1343</t>
  </si>
  <si>
    <t>4840</t>
  </si>
  <si>
    <t>1342</t>
  </si>
  <si>
    <t>4800</t>
  </si>
  <si>
    <t>1341</t>
  </si>
  <si>
    <t>Leyland Vehicles</t>
  </si>
  <si>
    <t>Leyland</t>
  </si>
  <si>
    <t>472</t>
  </si>
  <si>
    <t>272</t>
  </si>
  <si>
    <t>Tested as Leyland 472</t>
  </si>
  <si>
    <t>1340</t>
  </si>
  <si>
    <t>482</t>
  </si>
  <si>
    <t>FWA engaged,9 speed</t>
  </si>
  <si>
    <t>282</t>
  </si>
  <si>
    <t>Tested as Leyland 482</t>
  </si>
  <si>
    <t>1339</t>
  </si>
  <si>
    <t>886</t>
  </si>
  <si>
    <t>90 PTO HP 358 cid</t>
  </si>
  <si>
    <t>1338</t>
  </si>
  <si>
    <t>85 PTO HP 358 cid</t>
  </si>
  <si>
    <t>1337</t>
  </si>
  <si>
    <t>Hydro 86</t>
  </si>
  <si>
    <t>309 cid</t>
  </si>
  <si>
    <t>1336</t>
  </si>
  <si>
    <t>686</t>
  </si>
  <si>
    <t>1335</t>
  </si>
  <si>
    <t>1220</t>
  </si>
  <si>
    <t>6807</t>
  </si>
  <si>
    <t>Tested as Deutz 6806</t>
  </si>
  <si>
    <t>1219</t>
  </si>
  <si>
    <t>6207</t>
  </si>
  <si>
    <t>Tested as Deutz 6206</t>
  </si>
  <si>
    <t>1131</t>
  </si>
  <si>
    <t>4507</t>
  </si>
  <si>
    <t>Tested as Deutz 4506</t>
  </si>
  <si>
    <t>1334</t>
  </si>
  <si>
    <t>Kirov Plant</t>
  </si>
  <si>
    <t>7100</t>
  </si>
  <si>
    <t>1333</t>
  </si>
  <si>
    <t>1332</t>
  </si>
  <si>
    <t>875</t>
  </si>
  <si>
    <t>247.0</t>
  </si>
  <si>
    <t>S/N 78 052501 to 79054254</t>
  </si>
  <si>
    <t>1331</t>
  </si>
  <si>
    <t>555</t>
  </si>
  <si>
    <t>4890</t>
  </si>
  <si>
    <t>4690</t>
  </si>
  <si>
    <t>4490</t>
  </si>
  <si>
    <t>1327</t>
  </si>
  <si>
    <t>1326</t>
  </si>
  <si>
    <t>1325</t>
  </si>
  <si>
    <t>1324</t>
  </si>
  <si>
    <t>8640</t>
  </si>
  <si>
    <t>1323</t>
  </si>
  <si>
    <t>8440</t>
  </si>
  <si>
    <t>1322</t>
  </si>
  <si>
    <t>2705</t>
  </si>
  <si>
    <t>1321</t>
  </si>
  <si>
    <t>2675</t>
  </si>
  <si>
    <t>3588</t>
  </si>
  <si>
    <t>3388</t>
  </si>
  <si>
    <t>1318</t>
  </si>
  <si>
    <t>4-210</t>
  </si>
  <si>
    <t>1317</t>
  </si>
  <si>
    <t>4786</t>
  </si>
  <si>
    <t>1316</t>
  </si>
  <si>
    <t>Hydro 84</t>
  </si>
  <si>
    <t>1315</t>
  </si>
  <si>
    <t>784</t>
  </si>
  <si>
    <t>1314</t>
  </si>
  <si>
    <t>684</t>
  </si>
  <si>
    <t>1313</t>
  </si>
  <si>
    <t>584</t>
  </si>
  <si>
    <t>1312</t>
  </si>
  <si>
    <t>484</t>
  </si>
  <si>
    <t>1311</t>
  </si>
  <si>
    <t>2745</t>
  </si>
  <si>
    <t>24 &amp; 8 speed</t>
  </si>
  <si>
    <t>1310</t>
  </si>
  <si>
    <t>1309</t>
  </si>
  <si>
    <t>1308</t>
  </si>
  <si>
    <t>7045</t>
  </si>
  <si>
    <t>1307</t>
  </si>
  <si>
    <t>DX-160</t>
  </si>
  <si>
    <t>1306</t>
  </si>
  <si>
    <t>DX-110</t>
  </si>
  <si>
    <t>1305</t>
  </si>
  <si>
    <t>DX-90</t>
  </si>
  <si>
    <t>1304</t>
  </si>
  <si>
    <t>1303</t>
  </si>
  <si>
    <t>2590</t>
  </si>
  <si>
    <t>1302</t>
  </si>
  <si>
    <t>2390</t>
  </si>
  <si>
    <t>1301</t>
  </si>
  <si>
    <t>TW-10</t>
  </si>
  <si>
    <t>1300</t>
  </si>
  <si>
    <t>TW-20</t>
  </si>
  <si>
    <t>1299</t>
  </si>
  <si>
    <t>TW-30</t>
  </si>
  <si>
    <t>1298</t>
  </si>
  <si>
    <t>6 &amp; 8 speed</t>
  </si>
  <si>
    <t>International UK</t>
  </si>
  <si>
    <t>S001</t>
  </si>
  <si>
    <t>1297</t>
  </si>
  <si>
    <t>2290</t>
  </si>
  <si>
    <t>1296</t>
  </si>
  <si>
    <t>1295</t>
  </si>
  <si>
    <t>Fiat</t>
  </si>
  <si>
    <t>1293</t>
  </si>
  <si>
    <t>Zelezarna Store</t>
  </si>
  <si>
    <t>1291</t>
  </si>
  <si>
    <t>FW-20</t>
  </si>
  <si>
    <t>FW-40</t>
  </si>
  <si>
    <t>1289</t>
  </si>
  <si>
    <t>FW-60</t>
  </si>
  <si>
    <t>1288</t>
  </si>
  <si>
    <t>FW-30</t>
  </si>
  <si>
    <t>With &amp; Without PTO</t>
  </si>
  <si>
    <t>1287</t>
  </si>
  <si>
    <t>2-180</t>
  </si>
  <si>
    <t>1286</t>
  </si>
  <si>
    <t>L185DT</t>
  </si>
  <si>
    <t>1285</t>
  </si>
  <si>
    <t>L185</t>
  </si>
  <si>
    <t>1284</t>
  </si>
  <si>
    <t>L245DT</t>
  </si>
  <si>
    <t>1283</t>
  </si>
  <si>
    <t>L245</t>
  </si>
  <si>
    <t>1282</t>
  </si>
  <si>
    <t>TIGER III ST-470</t>
  </si>
  <si>
    <t>Tested as Steiger Tiger III ST-450, no PTO</t>
  </si>
  <si>
    <t>TIGER III ST-450</t>
  </si>
  <si>
    <t>1281</t>
  </si>
  <si>
    <t>950</t>
  </si>
  <si>
    <t>1280</t>
  </si>
  <si>
    <t>850</t>
  </si>
  <si>
    <t>1279</t>
  </si>
  <si>
    <t>1278</t>
  </si>
  <si>
    <t>1277</t>
  </si>
  <si>
    <t>1276</t>
  </si>
  <si>
    <t>2-155</t>
  </si>
  <si>
    <t>1275</t>
  </si>
  <si>
    <t>2-135</t>
  </si>
  <si>
    <t>1274</t>
  </si>
  <si>
    <t>PANTHER III PT-350</t>
  </si>
  <si>
    <t>PANTHER III ST-350</t>
  </si>
  <si>
    <t>Tested as Steiger Panther III PT-350</t>
  </si>
  <si>
    <t>1273</t>
  </si>
  <si>
    <t>COUGAR III ST-270</t>
  </si>
  <si>
    <t>Tested as Steiger Cougar III PT-270</t>
  </si>
  <si>
    <t>COUGAR III PT-270</t>
  </si>
  <si>
    <t>1272</t>
  </si>
  <si>
    <t>Tested as Steiger Bearcat III PT-225</t>
  </si>
  <si>
    <t>BEARCAT III PT-225</t>
  </si>
  <si>
    <t>1271</t>
  </si>
  <si>
    <t>5030</t>
  </si>
  <si>
    <t>1270</t>
  </si>
  <si>
    <t>5020</t>
  </si>
  <si>
    <t>1269</t>
  </si>
  <si>
    <t>Lamborghini Trattori</t>
  </si>
  <si>
    <t>1056DT</t>
  </si>
  <si>
    <t>1268</t>
  </si>
  <si>
    <t>TIGER 100DT</t>
  </si>
  <si>
    <t>1163</t>
  </si>
  <si>
    <t>910</t>
  </si>
  <si>
    <t>Tested as Long 900</t>
  </si>
  <si>
    <t>1109</t>
  </si>
  <si>
    <t>Uzina Tractorul</t>
  </si>
  <si>
    <t>560</t>
  </si>
  <si>
    <t>Tested as Long U550</t>
  </si>
  <si>
    <t>1108</t>
  </si>
  <si>
    <t>460</t>
  </si>
  <si>
    <t>Tested as Long U445</t>
  </si>
  <si>
    <t>1267</t>
  </si>
  <si>
    <t>1266</t>
  </si>
  <si>
    <t>1265</t>
  </si>
  <si>
    <t>1264</t>
  </si>
  <si>
    <t>1263</t>
  </si>
  <si>
    <t>1262</t>
  </si>
  <si>
    <t>1261</t>
  </si>
  <si>
    <t>1260</t>
  </si>
  <si>
    <t>7020</t>
  </si>
  <si>
    <t>1259</t>
  </si>
  <si>
    <t>1258</t>
  </si>
  <si>
    <t>1257</t>
  </si>
  <si>
    <t>Hydro 186</t>
  </si>
  <si>
    <t>1256</t>
  </si>
  <si>
    <t>4386</t>
  </si>
  <si>
    <t>1255</t>
  </si>
  <si>
    <t>986</t>
  </si>
  <si>
    <t>1254</t>
  </si>
  <si>
    <t>360 cid</t>
  </si>
  <si>
    <t>1253</t>
  </si>
  <si>
    <t>1252</t>
  </si>
  <si>
    <t>245</t>
  </si>
  <si>
    <t>1251</t>
  </si>
  <si>
    <t>255</t>
  </si>
  <si>
    <t>1249</t>
  </si>
  <si>
    <t>2840</t>
  </si>
  <si>
    <t>1248</t>
  </si>
  <si>
    <t>1247</t>
  </si>
  <si>
    <t>1086</t>
  </si>
  <si>
    <t>radial tires</t>
  </si>
  <si>
    <t>bias tires</t>
  </si>
  <si>
    <t>1246</t>
  </si>
  <si>
    <t>BEARCAT III ST-220</t>
  </si>
  <si>
    <t>1245</t>
  </si>
  <si>
    <t>8700</t>
  </si>
  <si>
    <t>1244</t>
  </si>
  <si>
    <t>6700</t>
  </si>
  <si>
    <t>1243</t>
  </si>
  <si>
    <t>9700</t>
  </si>
  <si>
    <t>1242</t>
  </si>
  <si>
    <t>1241</t>
  </si>
  <si>
    <t>2870</t>
  </si>
  <si>
    <t>1240</t>
  </si>
  <si>
    <t>5050</t>
  </si>
  <si>
    <t>1239</t>
  </si>
  <si>
    <t>1238</t>
  </si>
  <si>
    <t>1237</t>
  </si>
  <si>
    <t>WILDCAT III ST-210</t>
  </si>
  <si>
    <t>WILDCAT III RC-210</t>
  </si>
  <si>
    <t>Tested as Steiger Wildcat III ST-210, no PTO</t>
  </si>
  <si>
    <t>PANTHER III ST-325</t>
  </si>
  <si>
    <t>1235</t>
  </si>
  <si>
    <t>PANTHER III ST-310</t>
  </si>
  <si>
    <t>1234</t>
  </si>
  <si>
    <t>1233</t>
  </si>
  <si>
    <t>COUGAR III ST-251</t>
  </si>
  <si>
    <t>1232</t>
  </si>
  <si>
    <t>2-60</t>
  </si>
  <si>
    <t>1231</t>
  </si>
  <si>
    <t>2-50</t>
  </si>
  <si>
    <t>1216</t>
  </si>
  <si>
    <t>4586</t>
  </si>
  <si>
    <t>Tested as IHC 4568, no PTO</t>
  </si>
  <si>
    <t>1169</t>
  </si>
  <si>
    <t>PANTHER III ST-320</t>
  </si>
  <si>
    <t>270.0</t>
  </si>
  <si>
    <t>Tested as Steiger Tiger II, no PTO</t>
  </si>
  <si>
    <t>1106</t>
  </si>
  <si>
    <t>BISON</t>
  </si>
  <si>
    <t>Tested as Satoh S650G</t>
  </si>
  <si>
    <t>1085</t>
  </si>
  <si>
    <t>2440</t>
  </si>
  <si>
    <t>Tested as JD 2030</t>
  </si>
  <si>
    <t>1230</t>
  </si>
  <si>
    <t>5040</t>
  </si>
  <si>
    <t>1229</t>
  </si>
  <si>
    <t>7580</t>
  </si>
  <si>
    <t>1228</t>
  </si>
  <si>
    <t>Ishikawajima-Harima</t>
  </si>
  <si>
    <t>1000</t>
  </si>
  <si>
    <t>Tested as Ford 1600</t>
  </si>
  <si>
    <t>1227</t>
  </si>
  <si>
    <t>5600</t>
  </si>
  <si>
    <t>3600</t>
  </si>
  <si>
    <t>1225</t>
  </si>
  <si>
    <t>1224</t>
  </si>
  <si>
    <t>6600</t>
  </si>
  <si>
    <t>1223</t>
  </si>
  <si>
    <t>4600</t>
  </si>
  <si>
    <t>2600</t>
  </si>
  <si>
    <t>1221</t>
  </si>
  <si>
    <t>6806</t>
  </si>
  <si>
    <t>6206</t>
  </si>
  <si>
    <t>1218</t>
  </si>
  <si>
    <t>Spirit of '76</t>
  </si>
  <si>
    <t>Tested as Case 1570</t>
  </si>
  <si>
    <t>1217</t>
  </si>
  <si>
    <t>4568</t>
  </si>
  <si>
    <t>1215</t>
  </si>
  <si>
    <t>230</t>
  </si>
  <si>
    <t>1214</t>
  </si>
  <si>
    <t>1213</t>
  </si>
  <si>
    <t>2-85</t>
  </si>
  <si>
    <t>1212</t>
  </si>
  <si>
    <t>2-70</t>
  </si>
  <si>
    <t>1211</t>
  </si>
  <si>
    <t>Daimler-Benz</t>
  </si>
  <si>
    <t>UNIMOG 406</t>
  </si>
  <si>
    <t>M-B 4/94</t>
  </si>
  <si>
    <t>Hydrashift</t>
  </si>
  <si>
    <t>Hydrashift, Tested as David Brown 1412</t>
  </si>
  <si>
    <t>1208</t>
  </si>
  <si>
    <t>1206</t>
  </si>
  <si>
    <t>1205</t>
  </si>
  <si>
    <t>1204</t>
  </si>
  <si>
    <t>1203</t>
  </si>
  <si>
    <t>1202</t>
  </si>
  <si>
    <t>4100</t>
  </si>
  <si>
    <t>1201</t>
  </si>
  <si>
    <t>1157</t>
  </si>
  <si>
    <t>Tested as John Deere 2630</t>
  </si>
  <si>
    <t>1155</t>
  </si>
  <si>
    <t>Tested as Hydro 70</t>
  </si>
  <si>
    <t>1154</t>
  </si>
  <si>
    <t>1152</t>
  </si>
  <si>
    <t>Tested as IHC 666</t>
  </si>
  <si>
    <t>1151</t>
  </si>
  <si>
    <t>1125</t>
  </si>
  <si>
    <t>Tested as IHC 1466</t>
  </si>
  <si>
    <t>1116</t>
  </si>
  <si>
    <t>4186</t>
  </si>
  <si>
    <t>Tested as IHC 4166</t>
  </si>
  <si>
    <t>1200</t>
  </si>
  <si>
    <t>Vladimir Tractor Plant</t>
  </si>
  <si>
    <t>T-25A</t>
  </si>
  <si>
    <t>1199</t>
  </si>
  <si>
    <t>YM240</t>
  </si>
  <si>
    <t>1198</t>
  </si>
  <si>
    <t>L285</t>
  </si>
  <si>
    <t>1197</t>
  </si>
  <si>
    <t>7060</t>
  </si>
  <si>
    <t>1196</t>
  </si>
  <si>
    <t>7040</t>
  </si>
  <si>
    <t>1195</t>
  </si>
  <si>
    <t>7000</t>
  </si>
  <si>
    <t>235</t>
  </si>
  <si>
    <t>1193</t>
  </si>
  <si>
    <t>275</t>
  </si>
  <si>
    <t>1192</t>
  </si>
  <si>
    <t>1191</t>
  </si>
  <si>
    <t>1189</t>
  </si>
  <si>
    <t>1188</t>
  </si>
  <si>
    <t>265</t>
  </si>
  <si>
    <t>1187</t>
  </si>
  <si>
    <t>1186</t>
  </si>
  <si>
    <t>BUFFALO</t>
  </si>
  <si>
    <t>1185</t>
  </si>
  <si>
    <t>PANTER</t>
  </si>
  <si>
    <t>1184</t>
  </si>
  <si>
    <t>4-180</t>
  </si>
  <si>
    <t>1183</t>
  </si>
  <si>
    <t>1182</t>
  </si>
  <si>
    <t>2-150</t>
  </si>
  <si>
    <t>1181</t>
  </si>
  <si>
    <t>2-105</t>
  </si>
  <si>
    <t>1180</t>
  </si>
  <si>
    <t>1179</t>
  </si>
  <si>
    <t>1178</t>
  </si>
  <si>
    <t>British Leyland</t>
  </si>
  <si>
    <t>1177</t>
  </si>
  <si>
    <t>1176</t>
  </si>
  <si>
    <t>1175</t>
  </si>
  <si>
    <t>1174</t>
  </si>
  <si>
    <t>1173</t>
  </si>
  <si>
    <t>1172</t>
  </si>
  <si>
    <t>1171</t>
  </si>
  <si>
    <t>285</t>
  </si>
  <si>
    <t>998</t>
  </si>
  <si>
    <t>Tested as Ford 5000</t>
  </si>
  <si>
    <t>1170</t>
  </si>
  <si>
    <t>COUGAR II</t>
  </si>
  <si>
    <t>TIGER II</t>
  </si>
  <si>
    <t>1168</t>
  </si>
  <si>
    <t>7080</t>
  </si>
  <si>
    <t>1167</t>
  </si>
  <si>
    <t>1166</t>
  </si>
  <si>
    <t>1165</t>
  </si>
  <si>
    <t>2670</t>
  </si>
  <si>
    <t>1164</t>
  </si>
  <si>
    <t>1162</t>
  </si>
  <si>
    <t>BEARCAT II</t>
  </si>
  <si>
    <t>1161</t>
  </si>
  <si>
    <t>Oliver</t>
  </si>
  <si>
    <t>Tested as Minneapolis-Moline G955</t>
  </si>
  <si>
    <t>Minneapolis-Moline</t>
  </si>
  <si>
    <t>G955</t>
  </si>
  <si>
    <t>1160</t>
  </si>
  <si>
    <t>S/N 8736001 and higher</t>
  </si>
  <si>
    <t>1159</t>
  </si>
  <si>
    <t>4-150</t>
  </si>
  <si>
    <t>1158</t>
  </si>
  <si>
    <t>Hydro 100</t>
  </si>
  <si>
    <t>2630</t>
  </si>
  <si>
    <t>1156</t>
  </si>
  <si>
    <t>175</t>
  </si>
  <si>
    <t>1028</t>
  </si>
  <si>
    <t>6040</t>
  </si>
  <si>
    <t>Tested as Allis Chalmers 160</t>
  </si>
  <si>
    <t>Hydro 70</t>
  </si>
  <si>
    <t>Hydro 666</t>
  </si>
  <si>
    <t>1153</t>
  </si>
  <si>
    <t>4366</t>
  </si>
  <si>
    <t>666</t>
  </si>
  <si>
    <t>312 cid</t>
  </si>
  <si>
    <t>870</t>
  </si>
  <si>
    <t>S/N 8727601 and higher</t>
  </si>
  <si>
    <t>1149</t>
  </si>
  <si>
    <t>1148</t>
  </si>
  <si>
    <t>1147</t>
  </si>
  <si>
    <t>1146</t>
  </si>
  <si>
    <t>830</t>
  </si>
  <si>
    <t>3 cylinder</t>
  </si>
  <si>
    <t>1145</t>
  </si>
  <si>
    <t>L225</t>
  </si>
  <si>
    <t>1143</t>
  </si>
  <si>
    <t>1141</t>
  </si>
  <si>
    <t>2270</t>
  </si>
  <si>
    <t>Tested as Minneapolis-Moline G1355</t>
  </si>
  <si>
    <t>G1355</t>
  </si>
  <si>
    <t>1140</t>
  </si>
  <si>
    <t>1139</t>
  </si>
  <si>
    <t>MTZ 80</t>
  </si>
  <si>
    <t>1135</t>
  </si>
  <si>
    <t>1134</t>
  </si>
  <si>
    <t>1133</t>
  </si>
  <si>
    <t>1132</t>
  </si>
  <si>
    <t>1105</t>
  </si>
  <si>
    <t>4506</t>
  </si>
  <si>
    <t>1130</t>
  </si>
  <si>
    <t>13006</t>
  </si>
  <si>
    <t>1129</t>
  </si>
  <si>
    <t>674</t>
  </si>
  <si>
    <t>1128</t>
  </si>
  <si>
    <t>1127</t>
  </si>
  <si>
    <t>464</t>
  </si>
  <si>
    <t>1126</t>
  </si>
  <si>
    <t>S/N U0150000* and higher</t>
  </si>
  <si>
    <t>1124</t>
  </si>
  <si>
    <t>1066</t>
  </si>
  <si>
    <t>S/N 2610154U2300 and higher</t>
  </si>
  <si>
    <t>1123</t>
  </si>
  <si>
    <t>966</t>
  </si>
  <si>
    <t>S/N 2510161U1700 and higher</t>
  </si>
  <si>
    <t>1122</t>
  </si>
  <si>
    <t>9600</t>
  </si>
  <si>
    <t>1121</t>
  </si>
  <si>
    <t>8600</t>
  </si>
  <si>
    <t>1120</t>
  </si>
  <si>
    <t>7050</t>
  </si>
  <si>
    <t>1119</t>
  </si>
  <si>
    <t>7030</t>
  </si>
  <si>
    <t>1118</t>
  </si>
  <si>
    <t>S/N 2650118U0900 and higher</t>
  </si>
  <si>
    <t>1117</t>
  </si>
  <si>
    <t>766</t>
  </si>
  <si>
    <t>S/N 249018U09000 and higher</t>
  </si>
  <si>
    <t>4166</t>
  </si>
  <si>
    <t>1115</t>
  </si>
  <si>
    <t>354</t>
  </si>
  <si>
    <t>1114</t>
  </si>
  <si>
    <t>2470</t>
  </si>
  <si>
    <t>1113</t>
  </si>
  <si>
    <t>4630</t>
  </si>
  <si>
    <t>1112</t>
  </si>
  <si>
    <t>1111</t>
  </si>
  <si>
    <t>4030</t>
  </si>
  <si>
    <t>1110</t>
  </si>
  <si>
    <t>4430</t>
  </si>
  <si>
    <t>UTB</t>
  </si>
  <si>
    <t>U550</t>
  </si>
  <si>
    <t>U445</t>
  </si>
  <si>
    <t>Tested as long U445</t>
  </si>
  <si>
    <t>1107</t>
  </si>
  <si>
    <t>Massey Ferguson-Landini</t>
  </si>
  <si>
    <t>R9500 SPECIAL</t>
  </si>
  <si>
    <t>S650G</t>
  </si>
  <si>
    <t>10006</t>
  </si>
  <si>
    <t>1104</t>
  </si>
  <si>
    <t>5506</t>
  </si>
  <si>
    <t>1103</t>
  </si>
  <si>
    <t>1102</t>
  </si>
  <si>
    <t>1101</t>
  </si>
  <si>
    <t>1100</t>
  </si>
  <si>
    <t>6030</t>
  </si>
  <si>
    <t>1099</t>
  </si>
  <si>
    <t>574</t>
  </si>
  <si>
    <t>Rowcrop</t>
  </si>
  <si>
    <t>1098</t>
  </si>
  <si>
    <t>1097</t>
  </si>
  <si>
    <t>454</t>
  </si>
  <si>
    <t>1096</t>
  </si>
  <si>
    <t>1095</t>
  </si>
  <si>
    <t>1094</t>
  </si>
  <si>
    <t>1093</t>
  </si>
  <si>
    <t>1092</t>
  </si>
  <si>
    <t>1091</t>
  </si>
  <si>
    <t>6006</t>
  </si>
  <si>
    <t>1090</t>
  </si>
  <si>
    <t>887</t>
  </si>
  <si>
    <t>200</t>
  </si>
  <si>
    <t>Tested as Allis Chalmers 190XT</t>
  </si>
  <si>
    <t>733</t>
  </si>
  <si>
    <t>Tested as IHC B275</t>
  </si>
  <si>
    <t>1089</t>
  </si>
  <si>
    <t>770</t>
  </si>
  <si>
    <t>S/N 8765001and Higher</t>
  </si>
  <si>
    <t>1088</t>
  </si>
  <si>
    <t>1087</t>
  </si>
  <si>
    <t>1084</t>
  </si>
  <si>
    <t>1083</t>
  </si>
  <si>
    <t>1082</t>
  </si>
  <si>
    <t>1081</t>
  </si>
  <si>
    <t>1080</t>
  </si>
  <si>
    <t>1079</t>
  </si>
  <si>
    <t>BEARCAT</t>
  </si>
  <si>
    <t>1078</t>
  </si>
  <si>
    <t>970</t>
  </si>
  <si>
    <t>S/N 8675001 and higher</t>
  </si>
  <si>
    <t>1077</t>
  </si>
  <si>
    <t>S/N 8675001 to 8693001</t>
  </si>
  <si>
    <t>1076</t>
  </si>
  <si>
    <t>1075</t>
  </si>
  <si>
    <t>4006</t>
  </si>
  <si>
    <t>1074</t>
  </si>
  <si>
    <t>8006</t>
  </si>
  <si>
    <t>1073</t>
  </si>
  <si>
    <t>4620</t>
  </si>
  <si>
    <t>1072</t>
  </si>
  <si>
    <t>L260</t>
  </si>
  <si>
    <t>1071</t>
  </si>
  <si>
    <t>L210</t>
  </si>
  <si>
    <t>1070</t>
  </si>
  <si>
    <t>2655</t>
  </si>
  <si>
    <t>Tested as Minneapolis-Moline A4T-600</t>
  </si>
  <si>
    <t>A4T-1600</t>
  </si>
  <si>
    <t>1069</t>
  </si>
  <si>
    <t>Tested as Minneapolis-Moline G1350</t>
  </si>
  <si>
    <t>G1350</t>
  </si>
  <si>
    <t>1068</t>
  </si>
  <si>
    <t>1067</t>
  </si>
  <si>
    <t>Tested as Case 1070</t>
  </si>
  <si>
    <t>1065</t>
  </si>
  <si>
    <t>Landhandler</t>
  </si>
  <si>
    <t>1064</t>
  </si>
  <si>
    <t>1063</t>
  </si>
  <si>
    <t>1062</t>
  </si>
  <si>
    <t>1061</t>
  </si>
  <si>
    <t>1060</t>
  </si>
  <si>
    <t>1059</t>
  </si>
  <si>
    <t>1058</t>
  </si>
  <si>
    <t>1057</t>
  </si>
  <si>
    <t>G850</t>
  </si>
  <si>
    <t>Tested as Oliver 1755</t>
  </si>
  <si>
    <t>1056</t>
  </si>
  <si>
    <t>1055</t>
  </si>
  <si>
    <t>1054</t>
  </si>
  <si>
    <t>1053</t>
  </si>
  <si>
    <t>1052</t>
  </si>
  <si>
    <t>3000</t>
  </si>
  <si>
    <t>1051</t>
  </si>
  <si>
    <t>1049</t>
  </si>
  <si>
    <t>1048</t>
  </si>
  <si>
    <t>1047</t>
  </si>
  <si>
    <t>1026</t>
  </si>
  <si>
    <t>826</t>
  </si>
  <si>
    <t>1045</t>
  </si>
  <si>
    <t>1044</t>
  </si>
  <si>
    <t>Crop Hustler</t>
  </si>
  <si>
    <t>1043</t>
  </si>
  <si>
    <t>G750</t>
  </si>
  <si>
    <t>Tested as Oliver 1655</t>
  </si>
  <si>
    <t>1041</t>
  </si>
  <si>
    <t>G940</t>
  </si>
  <si>
    <t>Tested as Oliver 1855</t>
  </si>
  <si>
    <t>1039</t>
  </si>
  <si>
    <t>1037</t>
  </si>
  <si>
    <t>1036</t>
  </si>
  <si>
    <t>Tested as case 1070</t>
  </si>
  <si>
    <t>1035</t>
  </si>
  <si>
    <t>1034</t>
  </si>
  <si>
    <t>1033</t>
  </si>
  <si>
    <t>1032</t>
  </si>
  <si>
    <t>1031</t>
  </si>
  <si>
    <t>1029</t>
  </si>
  <si>
    <t>2544</t>
  </si>
  <si>
    <t>Industrial, Tested as IHC 544</t>
  </si>
  <si>
    <t>544</t>
  </si>
  <si>
    <t>Farmall</t>
  </si>
  <si>
    <t>1027</t>
  </si>
  <si>
    <t>9000</t>
  </si>
  <si>
    <t>8000</t>
  </si>
  <si>
    <t>1025</t>
  </si>
  <si>
    <t>S/N T313R025000 and higher</t>
  </si>
  <si>
    <t>1024</t>
  </si>
  <si>
    <t>4020</t>
  </si>
  <si>
    <t>S/N T213P201000 and higher</t>
  </si>
  <si>
    <t>1023</t>
  </si>
  <si>
    <t>4000</t>
  </si>
  <si>
    <t>1022</t>
  </si>
  <si>
    <t>1021</t>
  </si>
  <si>
    <t>180</t>
  </si>
  <si>
    <t>1019</t>
  </si>
  <si>
    <t>1018</t>
  </si>
  <si>
    <t>3800</t>
  </si>
  <si>
    <t>1017</t>
  </si>
  <si>
    <t>1016</t>
  </si>
  <si>
    <t>1015</t>
  </si>
  <si>
    <t>1014</t>
  </si>
  <si>
    <t>1013</t>
  </si>
  <si>
    <t>S/N T211P20100 and higher</t>
  </si>
  <si>
    <t>1012</t>
  </si>
  <si>
    <t>S/N T211P201000 and higher</t>
  </si>
  <si>
    <t>1011</t>
  </si>
  <si>
    <t>3020</t>
  </si>
  <si>
    <t>S/N T111P123000 and higher</t>
  </si>
  <si>
    <t>1010</t>
  </si>
  <si>
    <t>1009</t>
  </si>
  <si>
    <t>150</t>
  </si>
  <si>
    <t>Tested as Massey Ferguson 135</t>
  </si>
  <si>
    <t>135</t>
  </si>
  <si>
    <t>1008</t>
  </si>
  <si>
    <t>30 IND</t>
  </si>
  <si>
    <t>Industrial, tested as Massey Ferguson 165</t>
  </si>
  <si>
    <t>165</t>
  </si>
  <si>
    <t>1007</t>
  </si>
  <si>
    <t>1006</t>
  </si>
  <si>
    <t>1005</t>
  </si>
  <si>
    <t>1004</t>
  </si>
  <si>
    <t>1003</t>
  </si>
  <si>
    <t>2520</t>
  </si>
  <si>
    <t>1002</t>
  </si>
  <si>
    <t>980</t>
  </si>
  <si>
    <t>G950</t>
  </si>
  <si>
    <t>Tested as Minneapolis-Moline G900</t>
  </si>
  <si>
    <t>979</t>
  </si>
  <si>
    <t>LPG</t>
  </si>
  <si>
    <t>978</t>
  </si>
  <si>
    <t>954</t>
  </si>
  <si>
    <t>Tested as Minneapolis-Moline G1000</t>
  </si>
  <si>
    <t>G1050</t>
  </si>
  <si>
    <t>953</t>
  </si>
  <si>
    <t>944</t>
  </si>
  <si>
    <t>Tested as Oliver 1550</t>
  </si>
  <si>
    <t>G550</t>
  </si>
  <si>
    <t>943</t>
  </si>
  <si>
    <t>785</t>
  </si>
  <si>
    <t>Tested as Case 431</t>
  </si>
  <si>
    <t>774</t>
  </si>
  <si>
    <t>Tested as Case 441</t>
  </si>
  <si>
    <t>772</t>
  </si>
  <si>
    <t>Tested as Case 531</t>
  </si>
  <si>
    <t>771</t>
  </si>
  <si>
    <t>Tested as Case 541</t>
  </si>
  <si>
    <t>5000</t>
  </si>
  <si>
    <t>Select-O-Speed</t>
  </si>
  <si>
    <t>999</t>
  </si>
  <si>
    <t>997</t>
  </si>
  <si>
    <t>996</t>
  </si>
  <si>
    <t>994</t>
  </si>
  <si>
    <t>993</t>
  </si>
  <si>
    <t>992</t>
  </si>
  <si>
    <t>991</t>
  </si>
  <si>
    <t>989</t>
  </si>
  <si>
    <t>988</t>
  </si>
  <si>
    <t>987</t>
  </si>
  <si>
    <t>985</t>
  </si>
  <si>
    <t>444</t>
  </si>
  <si>
    <t>984</t>
  </si>
  <si>
    <t>983</t>
  </si>
  <si>
    <t>982</t>
  </si>
  <si>
    <t>Zaklady Mechaniczne</t>
  </si>
  <si>
    <t>Ursus</t>
  </si>
  <si>
    <t>C-350</t>
  </si>
  <si>
    <t>981</t>
  </si>
  <si>
    <t>C-335</t>
  </si>
  <si>
    <t>G900</t>
  </si>
  <si>
    <t>977</t>
  </si>
  <si>
    <t>Selectamatic</t>
  </si>
  <si>
    <t>976</t>
  </si>
  <si>
    <t>975</t>
  </si>
  <si>
    <t>G1000 VISTA</t>
  </si>
  <si>
    <t>974</t>
  </si>
  <si>
    <t>973</t>
  </si>
  <si>
    <t>972</t>
  </si>
  <si>
    <t>1950T</t>
  </si>
  <si>
    <t>971</t>
  </si>
  <si>
    <t>Farmall 1256</t>
  </si>
  <si>
    <t>969</t>
  </si>
  <si>
    <t>968</t>
  </si>
  <si>
    <t>Farmall 656</t>
  </si>
  <si>
    <t>967</t>
  </si>
  <si>
    <t>Also Series II</t>
  </si>
  <si>
    <t>965</t>
  </si>
  <si>
    <t>964</t>
  </si>
  <si>
    <t>963</t>
  </si>
  <si>
    <t>962</t>
  </si>
  <si>
    <t>961</t>
  </si>
  <si>
    <t>960</t>
  </si>
  <si>
    <t>ZKL-BRNO</t>
  </si>
  <si>
    <t>5511</t>
  </si>
  <si>
    <t>959</t>
  </si>
  <si>
    <t>958</t>
  </si>
  <si>
    <t>4 speed</t>
  </si>
  <si>
    <t>957</t>
  </si>
  <si>
    <t>756</t>
  </si>
  <si>
    <t>Tested as IHC 706</t>
  </si>
  <si>
    <t>956</t>
  </si>
  <si>
    <t>955</t>
  </si>
  <si>
    <t>911</t>
  </si>
  <si>
    <t>Tested as IHC 424</t>
  </si>
  <si>
    <t>FARMALL 706</t>
  </si>
  <si>
    <t>292 cid</t>
  </si>
  <si>
    <t>G1000</t>
  </si>
  <si>
    <t>952</t>
  </si>
  <si>
    <t>951</t>
  </si>
  <si>
    <t>International Canada</t>
  </si>
  <si>
    <t>949</t>
  </si>
  <si>
    <t>130</t>
  </si>
  <si>
    <t>948</t>
  </si>
  <si>
    <t>947</t>
  </si>
  <si>
    <t>880</t>
  </si>
  <si>
    <t>945</t>
  </si>
  <si>
    <t>942</t>
  </si>
  <si>
    <t>941</t>
  </si>
  <si>
    <t>940</t>
  </si>
  <si>
    <t>939</t>
  </si>
  <si>
    <t>938</t>
  </si>
  <si>
    <t>937</t>
  </si>
  <si>
    <t>935</t>
  </si>
  <si>
    <t>934</t>
  </si>
  <si>
    <t>933</t>
  </si>
  <si>
    <t>932</t>
  </si>
  <si>
    <t>926</t>
  </si>
  <si>
    <t>M670 SUPER</t>
  </si>
  <si>
    <t>Tested as Minneapolis-Moline M670</t>
  </si>
  <si>
    <t>924</t>
  </si>
  <si>
    <t>790</t>
  </si>
  <si>
    <t>Motec Industries</t>
  </si>
  <si>
    <t>JET STAR 3</t>
  </si>
  <si>
    <t>Tested as Minneapolis-Moline 4 Star</t>
  </si>
  <si>
    <t>789</t>
  </si>
  <si>
    <t>931</t>
  </si>
  <si>
    <t>930</t>
  </si>
  <si>
    <t>929</t>
  </si>
  <si>
    <t>190 XT</t>
  </si>
  <si>
    <t>928</t>
  </si>
  <si>
    <t>190</t>
  </si>
  <si>
    <t>927</t>
  </si>
  <si>
    <t>M670</t>
  </si>
  <si>
    <t>923</t>
  </si>
  <si>
    <t>922</t>
  </si>
  <si>
    <t>941 GP</t>
  </si>
  <si>
    <t>921</t>
  </si>
  <si>
    <t>841 CK</t>
  </si>
  <si>
    <t>919</t>
  </si>
  <si>
    <t>918</t>
  </si>
  <si>
    <t>931 GP</t>
  </si>
  <si>
    <t>917</t>
  </si>
  <si>
    <t>831 CK</t>
  </si>
  <si>
    <t>916</t>
  </si>
  <si>
    <t>2510</t>
  </si>
  <si>
    <t>915</t>
  </si>
  <si>
    <t>914</t>
  </si>
  <si>
    <t>913</t>
  </si>
  <si>
    <t>912</t>
  </si>
  <si>
    <t>FARMALL 656</t>
  </si>
  <si>
    <t>424</t>
  </si>
  <si>
    <t>909</t>
  </si>
  <si>
    <t>908</t>
  </si>
  <si>
    <t>907</t>
  </si>
  <si>
    <t>British Motor Co.</t>
  </si>
  <si>
    <t>Nuffield</t>
  </si>
  <si>
    <t>10-60</t>
  </si>
  <si>
    <t>906</t>
  </si>
  <si>
    <t>RV</t>
  </si>
  <si>
    <t>MAN, V belt</t>
  </si>
  <si>
    <t>8.0</t>
  </si>
  <si>
    <t>6.0</t>
  </si>
  <si>
    <t>10-42</t>
  </si>
  <si>
    <t>904</t>
  </si>
  <si>
    <t>D-21 SERIES II</t>
  </si>
  <si>
    <t>903</t>
  </si>
  <si>
    <t>902</t>
  </si>
  <si>
    <t>901</t>
  </si>
  <si>
    <t>899</t>
  </si>
  <si>
    <t>898</t>
  </si>
  <si>
    <t>897</t>
  </si>
  <si>
    <t>896</t>
  </si>
  <si>
    <t>894</t>
  </si>
  <si>
    <t>893</t>
  </si>
  <si>
    <t>892</t>
  </si>
  <si>
    <t>891</t>
  </si>
  <si>
    <t>890</t>
  </si>
  <si>
    <t>889</t>
  </si>
  <si>
    <t>888</t>
  </si>
  <si>
    <t>883</t>
  </si>
  <si>
    <t>882</t>
  </si>
  <si>
    <t>881</t>
  </si>
  <si>
    <t>879</t>
  </si>
  <si>
    <t>878</t>
  </si>
  <si>
    <t>6000</t>
  </si>
  <si>
    <t>Commander</t>
  </si>
  <si>
    <t>877</t>
  </si>
  <si>
    <t>874</t>
  </si>
  <si>
    <t>873</t>
  </si>
  <si>
    <t>872</t>
  </si>
  <si>
    <t>871</t>
  </si>
  <si>
    <t>869</t>
  </si>
  <si>
    <t>868</t>
  </si>
  <si>
    <t>867</t>
  </si>
  <si>
    <t>4011</t>
  </si>
  <si>
    <t>866</t>
  </si>
  <si>
    <t>865</t>
  </si>
  <si>
    <t>MAN, TC</t>
  </si>
  <si>
    <t>864</t>
  </si>
  <si>
    <t>FWD Wagner</t>
  </si>
  <si>
    <t>Wagner</t>
  </si>
  <si>
    <t>WA-4</t>
  </si>
  <si>
    <t>863</t>
  </si>
  <si>
    <t>U302</t>
  </si>
  <si>
    <t>862</t>
  </si>
  <si>
    <t>861</t>
  </si>
  <si>
    <t>806</t>
  </si>
  <si>
    <t>FARMALL 806</t>
  </si>
  <si>
    <t>Tested as IHC 806 LPG</t>
  </si>
  <si>
    <t>860</t>
  </si>
  <si>
    <t>706</t>
  </si>
  <si>
    <t>859</t>
  </si>
  <si>
    <t>Tested as IHC 806</t>
  </si>
  <si>
    <t>858</t>
  </si>
  <si>
    <t>857</t>
  </si>
  <si>
    <t>855</t>
  </si>
  <si>
    <t>D-21</t>
  </si>
  <si>
    <t>854</t>
  </si>
  <si>
    <t>25</t>
  </si>
  <si>
    <t>853</t>
  </si>
  <si>
    <t>852</t>
  </si>
  <si>
    <t>851</t>
  </si>
  <si>
    <t>Industrial, Tested as John Deere 3020</t>
  </si>
  <si>
    <t>600</t>
  </si>
  <si>
    <t>Industrial, Tested as John Deere 4020</t>
  </si>
  <si>
    <t>849</t>
  </si>
  <si>
    <t>848</t>
  </si>
  <si>
    <t>847</t>
  </si>
  <si>
    <t>Series B</t>
  </si>
  <si>
    <t>845</t>
  </si>
  <si>
    <t>844</t>
  </si>
  <si>
    <t>2000 SUPER DEXTA</t>
  </si>
  <si>
    <t>Super Dexta</t>
  </si>
  <si>
    <t>843</t>
  </si>
  <si>
    <t>842</t>
  </si>
  <si>
    <t>841</t>
  </si>
  <si>
    <t>840</t>
  </si>
  <si>
    <t>839</t>
  </si>
  <si>
    <t>838</t>
  </si>
  <si>
    <t>D-15 SERIES II</t>
  </si>
  <si>
    <t>837</t>
  </si>
  <si>
    <t>G705</t>
  </si>
  <si>
    <t>97</t>
  </si>
  <si>
    <t>Tested as Minneapolis-Moline G705</t>
  </si>
  <si>
    <t>834</t>
  </si>
  <si>
    <t>G706</t>
  </si>
  <si>
    <t>Tested as Minneapolis-Moline G706</t>
  </si>
  <si>
    <t>833</t>
  </si>
  <si>
    <t>758</t>
  </si>
  <si>
    <t>M602</t>
  </si>
  <si>
    <t>Tested as Minneapolis-Moline M5</t>
  </si>
  <si>
    <t>757</t>
  </si>
  <si>
    <t>Cockshutt</t>
  </si>
  <si>
    <t>Tested as Oliver 1800</t>
  </si>
  <si>
    <t>832</t>
  </si>
  <si>
    <t>831</t>
  </si>
  <si>
    <t>2010C</t>
  </si>
  <si>
    <t>829</t>
  </si>
  <si>
    <t>828</t>
  </si>
  <si>
    <t>5010</t>
  </si>
  <si>
    <t>827</t>
  </si>
  <si>
    <t>B414</t>
  </si>
  <si>
    <t>I2606</t>
  </si>
  <si>
    <t>Tested as IHC 606</t>
  </si>
  <si>
    <t>606</t>
  </si>
  <si>
    <t>825</t>
  </si>
  <si>
    <t>824</t>
  </si>
  <si>
    <t>1900 B</t>
  </si>
  <si>
    <t>Tested as Oliver 1900 B</t>
  </si>
  <si>
    <t>823</t>
  </si>
  <si>
    <t>3011</t>
  </si>
  <si>
    <t>90 SUPER</t>
  </si>
  <si>
    <t>821</t>
  </si>
  <si>
    <t>Kramer-Werke</t>
  </si>
  <si>
    <t>Kramer</t>
  </si>
  <si>
    <t>KL400</t>
  </si>
  <si>
    <t>504</t>
  </si>
  <si>
    <t>819</t>
  </si>
  <si>
    <t>818</t>
  </si>
  <si>
    <t>404</t>
  </si>
  <si>
    <t>817</t>
  </si>
  <si>
    <t>816</t>
  </si>
  <si>
    <t>815</t>
  </si>
  <si>
    <t>Frank G. Hough Co.</t>
  </si>
  <si>
    <t>4300</t>
  </si>
  <si>
    <t>814</t>
  </si>
  <si>
    <t>D-19</t>
  </si>
  <si>
    <t>813</t>
  </si>
  <si>
    <t>D-12</t>
  </si>
  <si>
    <t>812</t>
  </si>
  <si>
    <t>I-40</t>
  </si>
  <si>
    <t>Tested as Allis Chalmers D-10</t>
  </si>
  <si>
    <t>D-10</t>
  </si>
  <si>
    <t>Also Series III</t>
  </si>
  <si>
    <t>811</t>
  </si>
  <si>
    <t>810</t>
  </si>
  <si>
    <t>809</t>
  </si>
  <si>
    <t>Morris Motors</t>
  </si>
  <si>
    <t>808</t>
  </si>
  <si>
    <t>65</t>
  </si>
  <si>
    <t>807</t>
  </si>
  <si>
    <t>50</t>
  </si>
  <si>
    <t>TD-20</t>
  </si>
  <si>
    <t>805</t>
  </si>
  <si>
    <t>310E</t>
  </si>
  <si>
    <t>804</t>
  </si>
  <si>
    <t>C-325</t>
  </si>
  <si>
    <t>803</t>
  </si>
  <si>
    <t>1010RU</t>
  </si>
  <si>
    <t>801</t>
  </si>
  <si>
    <t>1010C</t>
  </si>
  <si>
    <t>2010RU</t>
  </si>
  <si>
    <t>799</t>
  </si>
  <si>
    <t>798</t>
  </si>
  <si>
    <t>797</t>
  </si>
  <si>
    <t>D-15</t>
  </si>
  <si>
    <t>796</t>
  </si>
  <si>
    <t>795</t>
  </si>
  <si>
    <t>794</t>
  </si>
  <si>
    <t>HD-3</t>
  </si>
  <si>
    <t>793</t>
  </si>
  <si>
    <t>H-3</t>
  </si>
  <si>
    <t>792</t>
  </si>
  <si>
    <t>GVI</t>
  </si>
  <si>
    <t>SUPER 90</t>
  </si>
  <si>
    <t>Tested as Minneapolis-Moline Gvi</t>
  </si>
  <si>
    <t>791</t>
  </si>
  <si>
    <t>4 STAR</t>
  </si>
  <si>
    <t>788</t>
  </si>
  <si>
    <t>630</t>
  </si>
  <si>
    <t>787</t>
  </si>
  <si>
    <t>630C TC</t>
  </si>
  <si>
    <t>630C</t>
  </si>
  <si>
    <t>531C TC</t>
  </si>
  <si>
    <t>531C</t>
  </si>
  <si>
    <t>431</t>
  </si>
  <si>
    <t>783</t>
  </si>
  <si>
    <t>727</t>
  </si>
  <si>
    <t>90</t>
  </si>
  <si>
    <t>Tested as Massey Ferguson 85</t>
  </si>
  <si>
    <t>726</t>
  </si>
  <si>
    <t>782</t>
  </si>
  <si>
    <t>741</t>
  </si>
  <si>
    <t>781</t>
  </si>
  <si>
    <t>741C TC</t>
  </si>
  <si>
    <t>741C</t>
  </si>
  <si>
    <t>841C TC</t>
  </si>
  <si>
    <t>841C</t>
  </si>
  <si>
    <t>779</t>
  </si>
  <si>
    <t>778</t>
  </si>
  <si>
    <t>777</t>
  </si>
  <si>
    <t>776</t>
  </si>
  <si>
    <t>TD-340</t>
  </si>
  <si>
    <t>775</t>
  </si>
  <si>
    <t>FARMALL 340</t>
  </si>
  <si>
    <t>441</t>
  </si>
  <si>
    <t>773</t>
  </si>
  <si>
    <t>640</t>
  </si>
  <si>
    <t>531</t>
  </si>
  <si>
    <t>541</t>
  </si>
  <si>
    <t>640C TC</t>
  </si>
  <si>
    <t>640C</t>
  </si>
  <si>
    <t>769</t>
  </si>
  <si>
    <t>541C TC</t>
  </si>
  <si>
    <t>541C</t>
  </si>
  <si>
    <t>768</t>
  </si>
  <si>
    <t>767</t>
  </si>
  <si>
    <t>765</t>
  </si>
  <si>
    <t>88</t>
  </si>
  <si>
    <t>85</t>
  </si>
  <si>
    <t>Tested as Massey Ferguson 88</t>
  </si>
  <si>
    <t>764</t>
  </si>
  <si>
    <t>3010</t>
  </si>
  <si>
    <t>763</t>
  </si>
  <si>
    <t>762</t>
  </si>
  <si>
    <t>761</t>
  </si>
  <si>
    <t>4010</t>
  </si>
  <si>
    <t>760</t>
  </si>
  <si>
    <t>759</t>
  </si>
  <si>
    <t>M5</t>
  </si>
  <si>
    <t>755</t>
  </si>
  <si>
    <t>TD-5</t>
  </si>
  <si>
    <t>754</t>
  </si>
  <si>
    <t>T-4</t>
  </si>
  <si>
    <t>753</t>
  </si>
  <si>
    <t>T-5</t>
  </si>
  <si>
    <t>752</t>
  </si>
  <si>
    <t>TD-25</t>
  </si>
  <si>
    <t>751</t>
  </si>
  <si>
    <t>TD-9</t>
  </si>
  <si>
    <t>TD-15</t>
  </si>
  <si>
    <t>749</t>
  </si>
  <si>
    <t>Rover Co., Ltd.</t>
  </si>
  <si>
    <t>Land-Rover</t>
  </si>
  <si>
    <t>748</t>
  </si>
  <si>
    <t>Zavody Jana Svermy</t>
  </si>
  <si>
    <t>50 SUPER</t>
  </si>
  <si>
    <t>747</t>
  </si>
  <si>
    <t>D-6</t>
  </si>
  <si>
    <t>746</t>
  </si>
  <si>
    <t>D-4</t>
  </si>
  <si>
    <t>745</t>
  </si>
  <si>
    <t>744</t>
  </si>
  <si>
    <t>35</t>
  </si>
  <si>
    <t>743</t>
  </si>
  <si>
    <t>731</t>
  </si>
  <si>
    <t>742</t>
  </si>
  <si>
    <t>731C TC</t>
  </si>
  <si>
    <t>731C</t>
  </si>
  <si>
    <t>740</t>
  </si>
  <si>
    <t>739</t>
  </si>
  <si>
    <t>738</t>
  </si>
  <si>
    <t>737</t>
  </si>
  <si>
    <t>736</t>
  </si>
  <si>
    <t>831C TC</t>
  </si>
  <si>
    <t>831C</t>
  </si>
  <si>
    <t>735</t>
  </si>
  <si>
    <t>734</t>
  </si>
  <si>
    <t>B275</t>
  </si>
  <si>
    <t>732</t>
  </si>
  <si>
    <t>David Bradley</t>
  </si>
  <si>
    <t>HANDIMAN</t>
  </si>
  <si>
    <t>PLAN+V Belt</t>
  </si>
  <si>
    <t>2.0</t>
  </si>
  <si>
    <t>0.6</t>
  </si>
  <si>
    <t>300 SUPER</t>
  </si>
  <si>
    <t>V-belt</t>
  </si>
  <si>
    <t>1.0</t>
  </si>
  <si>
    <t>730</t>
  </si>
  <si>
    <t>575 SUPER</t>
  </si>
  <si>
    <t>3.0</t>
  </si>
  <si>
    <t>729</t>
  </si>
  <si>
    <t>SUBURBAN</t>
  </si>
  <si>
    <t>728</t>
  </si>
  <si>
    <t>Porsche</t>
  </si>
  <si>
    <t>L318 SUPER</t>
  </si>
  <si>
    <t>725</t>
  </si>
  <si>
    <t>T-340</t>
  </si>
  <si>
    <t>724</t>
  </si>
  <si>
    <t>723</t>
  </si>
  <si>
    <t>722</t>
  </si>
  <si>
    <t>660</t>
  </si>
  <si>
    <t>721</t>
  </si>
  <si>
    <t>720</t>
  </si>
  <si>
    <t>440IC</t>
  </si>
  <si>
    <t>719</t>
  </si>
  <si>
    <t>440ICD</t>
  </si>
  <si>
    <t>718</t>
  </si>
  <si>
    <t>440I</t>
  </si>
  <si>
    <t>717</t>
  </si>
  <si>
    <t>440ID</t>
  </si>
  <si>
    <t>716</t>
  </si>
  <si>
    <t>435</t>
  </si>
  <si>
    <t>715</t>
  </si>
  <si>
    <t>714</t>
  </si>
  <si>
    <t>713</t>
  </si>
  <si>
    <t>712</t>
  </si>
  <si>
    <t>711</t>
  </si>
  <si>
    <t>D-8</t>
  </si>
  <si>
    <t>710</t>
  </si>
  <si>
    <t>D-7</t>
  </si>
  <si>
    <t>709</t>
  </si>
  <si>
    <t>310C</t>
  </si>
  <si>
    <t>708</t>
  </si>
  <si>
    <t>411-C</t>
  </si>
  <si>
    <t>707</t>
  </si>
  <si>
    <t>411-R</t>
  </si>
  <si>
    <t>Tested as Ford 681</t>
  </si>
  <si>
    <t>681</t>
  </si>
  <si>
    <t>671</t>
  </si>
  <si>
    <t>611</t>
  </si>
  <si>
    <t>705</t>
  </si>
  <si>
    <t>Tested as Ford 881</t>
  </si>
  <si>
    <t>Tested as ford 881</t>
  </si>
  <si>
    <t>704</t>
  </si>
  <si>
    <t>703</t>
  </si>
  <si>
    <t>702</t>
  </si>
  <si>
    <t>701</t>
  </si>
  <si>
    <t>700</t>
  </si>
  <si>
    <t>TR-14A</t>
  </si>
  <si>
    <t>L108 JUNIOR</t>
  </si>
  <si>
    <t>11.0</t>
  </si>
  <si>
    <t>9.0</t>
  </si>
  <si>
    <t>550</t>
  </si>
  <si>
    <t>697</t>
  </si>
  <si>
    <t>696</t>
  </si>
  <si>
    <t>910B</t>
  </si>
  <si>
    <t>811B TC</t>
  </si>
  <si>
    <t>811B</t>
  </si>
  <si>
    <t>694</t>
  </si>
  <si>
    <t>711B</t>
  </si>
  <si>
    <t>693</t>
  </si>
  <si>
    <t>701B</t>
  </si>
  <si>
    <t>692</t>
  </si>
  <si>
    <t>900B</t>
  </si>
  <si>
    <t>691</t>
  </si>
  <si>
    <t>TO-35</t>
  </si>
  <si>
    <t>689</t>
  </si>
  <si>
    <t>411B TC</t>
  </si>
  <si>
    <t>411B</t>
  </si>
  <si>
    <t>688</t>
  </si>
  <si>
    <t>211B</t>
  </si>
  <si>
    <t>687</t>
  </si>
  <si>
    <t>611B TC</t>
  </si>
  <si>
    <t>611B</t>
  </si>
  <si>
    <t>Tested as Ford 641</t>
  </si>
  <si>
    <t>641</t>
  </si>
  <si>
    <t>631</t>
  </si>
  <si>
    <t>621</t>
  </si>
  <si>
    <t>Fordson</t>
  </si>
  <si>
    <t>POWER MAJOR</t>
  </si>
  <si>
    <t>DEXTA</t>
  </si>
  <si>
    <t>627</t>
  </si>
  <si>
    <t>Tested as Ford 640</t>
  </si>
  <si>
    <t>683</t>
  </si>
  <si>
    <t>682</t>
  </si>
  <si>
    <t>680</t>
  </si>
  <si>
    <t>801B TC</t>
  </si>
  <si>
    <t>801B</t>
  </si>
  <si>
    <t>679</t>
  </si>
  <si>
    <t>678</t>
  </si>
  <si>
    <t>677</t>
  </si>
  <si>
    <t>460 UTILITY</t>
  </si>
  <si>
    <t>676</t>
  </si>
  <si>
    <t>675</t>
  </si>
  <si>
    <t>673</t>
  </si>
  <si>
    <t>672</t>
  </si>
  <si>
    <t>669</t>
  </si>
  <si>
    <t>668</t>
  </si>
  <si>
    <t>240 UTILITY</t>
  </si>
  <si>
    <t>667</t>
  </si>
  <si>
    <t>Tested as Farmall</t>
  </si>
  <si>
    <t>665</t>
  </si>
  <si>
    <t>340</t>
  </si>
  <si>
    <t>664</t>
  </si>
  <si>
    <t>HD-21A</t>
  </si>
  <si>
    <t>663</t>
  </si>
  <si>
    <t>UNIVERSAL 3</t>
  </si>
  <si>
    <t>662</t>
  </si>
  <si>
    <t>995 GM LUGMATIC</t>
  </si>
  <si>
    <t>661</t>
  </si>
  <si>
    <t>990 GM</t>
  </si>
  <si>
    <t>98</t>
  </si>
  <si>
    <t>Tested as Oliver 990 GM</t>
  </si>
  <si>
    <t>659</t>
  </si>
  <si>
    <t>658</t>
  </si>
  <si>
    <t>657</t>
  </si>
  <si>
    <t>656</t>
  </si>
  <si>
    <t>OC-4</t>
  </si>
  <si>
    <t>655</t>
  </si>
  <si>
    <t>654</t>
  </si>
  <si>
    <t>Tested as Ford 851</t>
  </si>
  <si>
    <t>653</t>
  </si>
  <si>
    <t>652</t>
  </si>
  <si>
    <t>5 STAR</t>
  </si>
  <si>
    <t>651</t>
  </si>
  <si>
    <t>650</t>
  </si>
  <si>
    <t>649</t>
  </si>
  <si>
    <t>648</t>
  </si>
  <si>
    <t>647</t>
  </si>
  <si>
    <t>646</t>
  </si>
  <si>
    <t>511B</t>
  </si>
  <si>
    <t>645</t>
  </si>
  <si>
    <t>D-14</t>
  </si>
  <si>
    <t>644</t>
  </si>
  <si>
    <t>D-17</t>
  </si>
  <si>
    <t>643</t>
  </si>
  <si>
    <t>Tested as Ford 651</t>
  </si>
  <si>
    <t>642</t>
  </si>
  <si>
    <t>639</t>
  </si>
  <si>
    <t>638</t>
  </si>
  <si>
    <t>A-B Bolinder-Munktell</t>
  </si>
  <si>
    <t>Volvo</t>
  </si>
  <si>
    <t>T55</t>
  </si>
  <si>
    <t>637</t>
  </si>
  <si>
    <t>T425</t>
  </si>
  <si>
    <t>634</t>
  </si>
  <si>
    <t>340 UTILITY</t>
  </si>
  <si>
    <t>Tested as IHC 330 Utility</t>
  </si>
  <si>
    <t>632</t>
  </si>
  <si>
    <t>2 cylinder, Tested as John Deere 820</t>
  </si>
  <si>
    <t>605</t>
  </si>
  <si>
    <t>Tested as John Deere 720</t>
  </si>
  <si>
    <t>601</t>
  </si>
  <si>
    <t>430C</t>
  </si>
  <si>
    <t>Tested as John Deere 420C</t>
  </si>
  <si>
    <t>430S</t>
  </si>
  <si>
    <t>TF</t>
  </si>
  <si>
    <t>Tested as John Deere 420S</t>
  </si>
  <si>
    <t>599</t>
  </si>
  <si>
    <t>430W</t>
  </si>
  <si>
    <t>Tested as John Deere 420W</t>
  </si>
  <si>
    <t>598</t>
  </si>
  <si>
    <t>Tested as John Deere 620</t>
  </si>
  <si>
    <t>597</t>
  </si>
  <si>
    <t>Tested as John Deere 520</t>
  </si>
  <si>
    <t>594</t>
  </si>
  <si>
    <t>591</t>
  </si>
  <si>
    <t>590</t>
  </si>
  <si>
    <t>387</t>
  </si>
  <si>
    <t>330</t>
  </si>
  <si>
    <t>Tested as JD M</t>
  </si>
  <si>
    <t>636</t>
  </si>
  <si>
    <t>635</t>
  </si>
  <si>
    <t>330 UTILITY</t>
  </si>
  <si>
    <t>633</t>
  </si>
  <si>
    <t>OC-15</t>
  </si>
  <si>
    <t>TR- 9</t>
  </si>
  <si>
    <t>TD-24</t>
  </si>
  <si>
    <t>629</t>
  </si>
  <si>
    <t>TD-18</t>
  </si>
  <si>
    <t>628</t>
  </si>
  <si>
    <t>Eimco</t>
  </si>
  <si>
    <t>105</t>
  </si>
  <si>
    <t>626</t>
  </si>
  <si>
    <t>625</t>
  </si>
  <si>
    <t>Someca</t>
  </si>
  <si>
    <t>45 SOM</t>
  </si>
  <si>
    <t>624</t>
  </si>
  <si>
    <t>335</t>
  </si>
  <si>
    <t>623</t>
  </si>
  <si>
    <t>622</t>
  </si>
  <si>
    <t>McCormick-Farmall</t>
  </si>
  <si>
    <t>350</t>
  </si>
  <si>
    <t>620</t>
  </si>
  <si>
    <t>619</t>
  </si>
  <si>
    <t>350 UTILITY</t>
  </si>
  <si>
    <t>618</t>
  </si>
  <si>
    <t>617</t>
  </si>
  <si>
    <t>616</t>
  </si>
  <si>
    <t>615</t>
  </si>
  <si>
    <t>614</t>
  </si>
  <si>
    <t>300B</t>
  </si>
  <si>
    <t>301</t>
  </si>
  <si>
    <t>613</t>
  </si>
  <si>
    <t>311</t>
  </si>
  <si>
    <t>612</t>
  </si>
  <si>
    <t>609</t>
  </si>
  <si>
    <t>608</t>
  </si>
  <si>
    <t>607</t>
  </si>
  <si>
    <t>Unimog</t>
  </si>
  <si>
    <t>30</t>
  </si>
  <si>
    <t>518</t>
  </si>
  <si>
    <t>Tested as McCormick-Deering Super WD-9</t>
  </si>
  <si>
    <t>604</t>
  </si>
  <si>
    <t>603</t>
  </si>
  <si>
    <t>Massey-Harris-Ferguson</t>
  </si>
  <si>
    <t>Massey-Harris</t>
  </si>
  <si>
    <t>333</t>
  </si>
  <si>
    <t>602</t>
  </si>
  <si>
    <t>420C</t>
  </si>
  <si>
    <t>420S</t>
  </si>
  <si>
    <t>420W</t>
  </si>
  <si>
    <t>520</t>
  </si>
  <si>
    <t>Ferguson</t>
  </si>
  <si>
    <t>40</t>
  </si>
  <si>
    <t>592</t>
  </si>
  <si>
    <t>589</t>
  </si>
  <si>
    <t>T-6</t>
  </si>
  <si>
    <t>588</t>
  </si>
  <si>
    <t>587</t>
  </si>
  <si>
    <t>TD-6</t>
  </si>
  <si>
    <t>586</t>
  </si>
  <si>
    <t>TD-14</t>
  </si>
  <si>
    <t>D-9</t>
  </si>
  <si>
    <t>582</t>
  </si>
  <si>
    <t>581</t>
  </si>
  <si>
    <t>HD-11B</t>
  </si>
  <si>
    <t>580</t>
  </si>
  <si>
    <t>HD-6B</t>
  </si>
  <si>
    <t>579</t>
  </si>
  <si>
    <t>445 UTILITY</t>
  </si>
  <si>
    <t>578</t>
  </si>
  <si>
    <t>445 UNIVERSAL</t>
  </si>
  <si>
    <t>577</t>
  </si>
  <si>
    <t>576</t>
  </si>
  <si>
    <t>575</t>
  </si>
  <si>
    <t>CUB</t>
  </si>
  <si>
    <t>10.0</t>
  </si>
  <si>
    <t>300 UTILITY</t>
  </si>
  <si>
    <t>300</t>
  </si>
  <si>
    <t>W-450</t>
  </si>
  <si>
    <t>Tested as IHC W-400</t>
  </si>
  <si>
    <t>W-400</t>
  </si>
  <si>
    <t>571</t>
  </si>
  <si>
    <t>535</t>
  </si>
  <si>
    <t>Tested as International W-400</t>
  </si>
  <si>
    <t>533</t>
  </si>
  <si>
    <t>Tested as McCormick-Deering WD-9 Super</t>
  </si>
  <si>
    <t>455</t>
  </si>
  <si>
    <t>Tested as Massey Harris 55</t>
  </si>
  <si>
    <t>452</t>
  </si>
  <si>
    <t>320</t>
  </si>
  <si>
    <t>569</t>
  </si>
  <si>
    <t>568</t>
  </si>
  <si>
    <t>GB</t>
  </si>
  <si>
    <t>567</t>
  </si>
  <si>
    <t>566</t>
  </si>
  <si>
    <t>411</t>
  </si>
  <si>
    <t>565</t>
  </si>
  <si>
    <t>401</t>
  </si>
  <si>
    <t>564</t>
  </si>
  <si>
    <t>563</t>
  </si>
  <si>
    <t>WD-45</t>
  </si>
  <si>
    <t>562</t>
  </si>
  <si>
    <t>561</t>
  </si>
  <si>
    <t>559</t>
  </si>
  <si>
    <t>PM-4 UNIVERSAL</t>
  </si>
  <si>
    <t>558</t>
  </si>
  <si>
    <t>DM-4 UNIVERSAL</t>
  </si>
  <si>
    <t>557</t>
  </si>
  <si>
    <t>99 SUPER</t>
  </si>
  <si>
    <t>556</t>
  </si>
  <si>
    <t>99 GM SUPER</t>
  </si>
  <si>
    <t>554</t>
  </si>
  <si>
    <t>553</t>
  </si>
  <si>
    <t>D-2</t>
  </si>
  <si>
    <t>552</t>
  </si>
  <si>
    <t>HD-16A</t>
  </si>
  <si>
    <t>551</t>
  </si>
  <si>
    <t>HD-16 AC</t>
  </si>
  <si>
    <t>HD-21 AC</t>
  </si>
  <si>
    <t>549</t>
  </si>
  <si>
    <t>OC-12</t>
  </si>
  <si>
    <t>548</t>
  </si>
  <si>
    <t>547</t>
  </si>
  <si>
    <t>546</t>
  </si>
  <si>
    <t>40S</t>
  </si>
  <si>
    <t>545</t>
  </si>
  <si>
    <t>66 SUPER</t>
  </si>
  <si>
    <t>543</t>
  </si>
  <si>
    <t>77 SUPER</t>
  </si>
  <si>
    <t>542</t>
  </si>
  <si>
    <t>77 HC SUPER</t>
  </si>
  <si>
    <t>66 HC SUPER</t>
  </si>
  <si>
    <t>539</t>
  </si>
  <si>
    <t>538</t>
  </si>
  <si>
    <t>537</t>
  </si>
  <si>
    <t>536</t>
  </si>
  <si>
    <t>534</t>
  </si>
  <si>
    <t>PACER 16</t>
  </si>
  <si>
    <t>529</t>
  </si>
  <si>
    <t>528</t>
  </si>
  <si>
    <t>70</t>
  </si>
  <si>
    <t>527</t>
  </si>
  <si>
    <t>88 SUPER</t>
  </si>
  <si>
    <t>526</t>
  </si>
  <si>
    <t>55 SUPER</t>
  </si>
  <si>
    <t>88 HC SUPER</t>
  </si>
  <si>
    <t>524</t>
  </si>
  <si>
    <t>55 HC SUPER</t>
  </si>
  <si>
    <t>523</t>
  </si>
  <si>
    <t>Harris</t>
  </si>
  <si>
    <t>FDW-C</t>
  </si>
  <si>
    <t>Continental Engine, no PTO</t>
  </si>
  <si>
    <t>522</t>
  </si>
  <si>
    <t>UB</t>
  </si>
  <si>
    <t>521</t>
  </si>
  <si>
    <t>U</t>
  </si>
  <si>
    <t>519</t>
  </si>
  <si>
    <t>GM Engine, no PTO</t>
  </si>
  <si>
    <t>McCormick-Deering</t>
  </si>
  <si>
    <t>Super WD-9</t>
  </si>
  <si>
    <t>517</t>
  </si>
  <si>
    <t>OC-6</t>
  </si>
  <si>
    <t>516</t>
  </si>
  <si>
    <t>515</t>
  </si>
  <si>
    <t>SUPER POWER</t>
  </si>
  <si>
    <t>514</t>
  </si>
  <si>
    <t>513</t>
  </si>
  <si>
    <t>512</t>
  </si>
  <si>
    <t>511</t>
  </si>
  <si>
    <t>DIST</t>
  </si>
  <si>
    <t>44 SPECIAL</t>
  </si>
  <si>
    <t>509</t>
  </si>
  <si>
    <t>33RT</t>
  </si>
  <si>
    <t>508</t>
  </si>
  <si>
    <t>507</t>
  </si>
  <si>
    <t>506</t>
  </si>
  <si>
    <t>40C</t>
  </si>
  <si>
    <t>503</t>
  </si>
  <si>
    <t>502</t>
  </si>
  <si>
    <t>Willys Motors, Inc.</t>
  </si>
  <si>
    <t>Willys</t>
  </si>
  <si>
    <t>FARM JEEP</t>
  </si>
  <si>
    <t>501</t>
  </si>
  <si>
    <t>New Fordson</t>
  </si>
  <si>
    <t>MAJOR</t>
  </si>
  <si>
    <t>499</t>
  </si>
  <si>
    <t>498</t>
  </si>
  <si>
    <t>Intercontinental</t>
  </si>
  <si>
    <t>DF</t>
  </si>
  <si>
    <t>Federal</t>
  </si>
  <si>
    <t>497</t>
  </si>
  <si>
    <t>SC</t>
  </si>
  <si>
    <t>496</t>
  </si>
  <si>
    <t>DA 50</t>
  </si>
  <si>
    <t>494</t>
  </si>
  <si>
    <t>JUBILEE</t>
  </si>
  <si>
    <t>Tested as Ford NAA</t>
  </si>
  <si>
    <t>NAA</t>
  </si>
  <si>
    <t>493</t>
  </si>
  <si>
    <t>H SUPER</t>
  </si>
  <si>
    <t>W-4 SUPER</t>
  </si>
  <si>
    <t>490</t>
  </si>
  <si>
    <t>489</t>
  </si>
  <si>
    <t>OC-18</t>
  </si>
  <si>
    <t>488</t>
  </si>
  <si>
    <t>Co-op</t>
  </si>
  <si>
    <t>E5</t>
  </si>
  <si>
    <t>Tested as Cockshutt 50</t>
  </si>
  <si>
    <t>487</t>
  </si>
  <si>
    <t>486</t>
  </si>
  <si>
    <t>SUPER W-6</t>
  </si>
  <si>
    <t>SUPER M</t>
  </si>
  <si>
    <t>483</t>
  </si>
  <si>
    <t>Engineering Products</t>
  </si>
  <si>
    <t>Economy</t>
  </si>
  <si>
    <t>SPECIAL</t>
  </si>
  <si>
    <t>5.0</t>
  </si>
  <si>
    <t>LA</t>
  </si>
  <si>
    <t>480</t>
  </si>
  <si>
    <t>479</t>
  </si>
  <si>
    <t>PH-53</t>
  </si>
  <si>
    <t>478</t>
  </si>
  <si>
    <t>SUPER WD-6</t>
  </si>
  <si>
    <t>477</t>
  </si>
  <si>
    <t>SUPER MD</t>
  </si>
  <si>
    <t>476</t>
  </si>
  <si>
    <t>475</t>
  </si>
  <si>
    <t>474</t>
  </si>
  <si>
    <t>E2</t>
  </si>
  <si>
    <t>Tested as Cockshutt 20</t>
  </si>
  <si>
    <t>20</t>
  </si>
  <si>
    <t>473</t>
  </si>
  <si>
    <t>Bolens</t>
  </si>
  <si>
    <t>12BB</t>
  </si>
  <si>
    <t>American Tractor</t>
  </si>
  <si>
    <t>Terratrac</t>
  </si>
  <si>
    <t>GT-30</t>
  </si>
  <si>
    <t>77 ROW CROP</t>
  </si>
  <si>
    <t>403</t>
  </si>
  <si>
    <t>MUSTANG</t>
  </si>
  <si>
    <t>Tested as Massey Harris 22RT</t>
  </si>
  <si>
    <t>469</t>
  </si>
  <si>
    <t>BF</t>
  </si>
  <si>
    <t>Avery</t>
  </si>
  <si>
    <t>468</t>
  </si>
  <si>
    <t>R</t>
  </si>
  <si>
    <t>467</t>
  </si>
  <si>
    <t>66 ROW CROP</t>
  </si>
  <si>
    <t>466</t>
  </si>
  <si>
    <t>Harry-Ferguson</t>
  </si>
  <si>
    <t>TO-30</t>
  </si>
  <si>
    <t>465</t>
  </si>
  <si>
    <t>HD-20</t>
  </si>
  <si>
    <t>HD-15</t>
  </si>
  <si>
    <t>463</t>
  </si>
  <si>
    <t>HD-9</t>
  </si>
  <si>
    <t>462</t>
  </si>
  <si>
    <t>461</t>
  </si>
  <si>
    <t>MD</t>
  </si>
  <si>
    <t>459</t>
  </si>
  <si>
    <t>WD-6</t>
  </si>
  <si>
    <t>458</t>
  </si>
  <si>
    <t>SUPER C</t>
  </si>
  <si>
    <t>457</t>
  </si>
  <si>
    <t>456</t>
  </si>
  <si>
    <t>GARDEN TRACTOR</t>
  </si>
  <si>
    <t>55</t>
  </si>
  <si>
    <t>Chrysler</t>
  </si>
  <si>
    <t>Dodge</t>
  </si>
  <si>
    <t>T137 POWER WAGON</t>
  </si>
  <si>
    <t>453</t>
  </si>
  <si>
    <t>CA</t>
  </si>
  <si>
    <t>99</t>
  </si>
  <si>
    <t>88 ROW CROP</t>
  </si>
  <si>
    <t>449</t>
  </si>
  <si>
    <t>The Lodge &amp; Shipley Co.</t>
  </si>
  <si>
    <t>Choremaster</t>
  </si>
  <si>
    <t>B</t>
  </si>
  <si>
    <t>Single Wheel</t>
  </si>
  <si>
    <t>0.7</t>
  </si>
  <si>
    <t>448</t>
  </si>
  <si>
    <t>MC</t>
  </si>
  <si>
    <t>447</t>
  </si>
  <si>
    <t>446</t>
  </si>
  <si>
    <t>TD-18A</t>
  </si>
  <si>
    <t>445</t>
  </si>
  <si>
    <t>TD-14A</t>
  </si>
  <si>
    <t>8NAN</t>
  </si>
  <si>
    <t>443</t>
  </si>
  <si>
    <t>8N</t>
  </si>
  <si>
    <t>442</t>
  </si>
  <si>
    <t>E4</t>
  </si>
  <si>
    <t>Tested as Cockshutt 40</t>
  </si>
  <si>
    <t>WD-9</t>
  </si>
  <si>
    <t>440</t>
  </si>
  <si>
    <t>WD</t>
  </si>
  <si>
    <t>439</t>
  </si>
  <si>
    <t>438</t>
  </si>
  <si>
    <t>Z</t>
  </si>
  <si>
    <t>437</t>
  </si>
  <si>
    <t>436</t>
  </si>
  <si>
    <t>DD</t>
  </si>
  <si>
    <t>DG</t>
  </si>
  <si>
    <t>434</t>
  </si>
  <si>
    <t>OC-3</t>
  </si>
  <si>
    <t>HG</t>
  </si>
  <si>
    <t>433</t>
  </si>
  <si>
    <t>Huber</t>
  </si>
  <si>
    <t>Tested as Global B</t>
  </si>
  <si>
    <t>Global</t>
  </si>
  <si>
    <t>432</t>
  </si>
  <si>
    <t>Willys Overland Motors</t>
  </si>
  <si>
    <t>Jeep</t>
  </si>
  <si>
    <t>Universal Jeep CJ-3A</t>
  </si>
  <si>
    <t>VAC</t>
  </si>
  <si>
    <t>430</t>
  </si>
  <si>
    <t>429</t>
  </si>
  <si>
    <t>AR</t>
  </si>
  <si>
    <t>428</t>
  </si>
  <si>
    <t>55 K</t>
  </si>
  <si>
    <t>427</t>
  </si>
  <si>
    <t>44K</t>
  </si>
  <si>
    <t>426</t>
  </si>
  <si>
    <t>44</t>
  </si>
  <si>
    <t>425</t>
  </si>
  <si>
    <t>77 HC ROW CROP</t>
  </si>
  <si>
    <t>Fate-Root-Heath</t>
  </si>
  <si>
    <t>Silver King</t>
  </si>
  <si>
    <t>370 3 WHEEL ROW CROP</t>
  </si>
  <si>
    <t>423</t>
  </si>
  <si>
    <t>MT</t>
  </si>
  <si>
    <t>422</t>
  </si>
  <si>
    <t>Corbitt</t>
  </si>
  <si>
    <t>G-50</t>
  </si>
  <si>
    <t>421</t>
  </si>
  <si>
    <t>Farmaster</t>
  </si>
  <si>
    <t>Mercer</t>
  </si>
  <si>
    <t>30CK</t>
  </si>
  <si>
    <t>FG-33</t>
  </si>
  <si>
    <t>D-26 / DE</t>
  </si>
  <si>
    <t>419</t>
  </si>
  <si>
    <t>30BD</t>
  </si>
  <si>
    <t>FD-33</t>
  </si>
  <si>
    <t>418</t>
  </si>
  <si>
    <t>417</t>
  </si>
  <si>
    <t>416</t>
  </si>
  <si>
    <t>415</t>
  </si>
  <si>
    <t>414</t>
  </si>
  <si>
    <t>U.S. Tractor Corp.</t>
  </si>
  <si>
    <t>Ustrac</t>
  </si>
  <si>
    <t>10-A</t>
  </si>
  <si>
    <t>413</t>
  </si>
  <si>
    <t>66 HC STANDARD</t>
  </si>
  <si>
    <t>412</t>
  </si>
  <si>
    <t>66 HC ROW CROP</t>
  </si>
  <si>
    <t>U STANDARD</t>
  </si>
  <si>
    <t>410</t>
  </si>
  <si>
    <t>A</t>
  </si>
  <si>
    <t>409</t>
  </si>
  <si>
    <t>30RT</t>
  </si>
  <si>
    <t>408</t>
  </si>
  <si>
    <t>Gibson</t>
  </si>
  <si>
    <t>I</t>
  </si>
  <si>
    <t>407</t>
  </si>
  <si>
    <t>H</t>
  </si>
  <si>
    <t>406</t>
  </si>
  <si>
    <t>405</t>
  </si>
  <si>
    <t>77 HC STANDARD</t>
  </si>
  <si>
    <t>22RT</t>
  </si>
  <si>
    <t>402</t>
  </si>
  <si>
    <t>LeRoi</t>
  </si>
  <si>
    <t>Centaur</t>
  </si>
  <si>
    <t>KV-48</t>
  </si>
  <si>
    <t>PONY</t>
  </si>
  <si>
    <t>16</t>
  </si>
  <si>
    <t>Tested as Massey Harris pony</t>
  </si>
  <si>
    <t>C-26</t>
  </si>
  <si>
    <t>397</t>
  </si>
  <si>
    <t>HD-19</t>
  </si>
  <si>
    <t>HD-5B</t>
  </si>
  <si>
    <t>395</t>
  </si>
  <si>
    <t>FARMALL C</t>
  </si>
  <si>
    <t>394</t>
  </si>
  <si>
    <t>392</t>
  </si>
  <si>
    <t>TO-20</t>
  </si>
  <si>
    <t>TE-20</t>
  </si>
  <si>
    <t>391</t>
  </si>
  <si>
    <t>88 HC STANDARD</t>
  </si>
  <si>
    <t>Ellinwood</t>
  </si>
  <si>
    <t>TIGER CAT</t>
  </si>
  <si>
    <t>4.0</t>
  </si>
  <si>
    <t>389</t>
  </si>
  <si>
    <t>44RT</t>
  </si>
  <si>
    <t>388</t>
  </si>
  <si>
    <t>88 HC ROW CROP</t>
  </si>
  <si>
    <t>M</t>
  </si>
  <si>
    <t>386</t>
  </si>
  <si>
    <t>FARMALL CUB</t>
  </si>
  <si>
    <t>385</t>
  </si>
  <si>
    <t>384</t>
  </si>
  <si>
    <t>383</t>
  </si>
  <si>
    <t>382</t>
  </si>
  <si>
    <t>Farmcrest</t>
  </si>
  <si>
    <t>Tested as Cockshutt 30</t>
  </si>
  <si>
    <t>E3</t>
  </si>
  <si>
    <t>381</t>
  </si>
  <si>
    <t>380</t>
  </si>
  <si>
    <t>379</t>
  </si>
  <si>
    <t>3000-1 BEAR CAT</t>
  </si>
  <si>
    <t>rubber tires</t>
  </si>
  <si>
    <t>steel wheels</t>
  </si>
  <si>
    <t>378</t>
  </si>
  <si>
    <t>377</t>
  </si>
  <si>
    <t>101R</t>
  </si>
  <si>
    <t>376</t>
  </si>
  <si>
    <t>COLT</t>
  </si>
  <si>
    <t>Tested as Massey-Harris 81R</t>
  </si>
  <si>
    <t>81R</t>
  </si>
  <si>
    <t>60 HC ROW CROP</t>
  </si>
  <si>
    <t>374</t>
  </si>
  <si>
    <t>373</t>
  </si>
  <si>
    <t>372</t>
  </si>
  <si>
    <t>T-9 TRACTRACTOR</t>
  </si>
  <si>
    <t>371</t>
  </si>
  <si>
    <t>W-9</t>
  </si>
  <si>
    <t>369</t>
  </si>
  <si>
    <t>368</t>
  </si>
  <si>
    <t>FARMALL MD</t>
  </si>
  <si>
    <t>367</t>
  </si>
  <si>
    <t>366</t>
  </si>
  <si>
    <t>365</t>
  </si>
  <si>
    <t>80 HC STANDARD</t>
  </si>
  <si>
    <t>364</t>
  </si>
  <si>
    <t>C</t>
  </si>
  <si>
    <t>363</t>
  </si>
  <si>
    <t>HD-14</t>
  </si>
  <si>
    <t>361</t>
  </si>
  <si>
    <t>HD-10W</t>
  </si>
  <si>
    <t>HD-7W</t>
  </si>
  <si>
    <t>359</t>
  </si>
  <si>
    <t>101R JUNIOR</t>
  </si>
  <si>
    <t>Tested as Massey-Harris 101R Junior</t>
  </si>
  <si>
    <t>358</t>
  </si>
  <si>
    <t>357</t>
  </si>
  <si>
    <t>356</t>
  </si>
  <si>
    <t>355</t>
  </si>
  <si>
    <t>W-6</t>
  </si>
  <si>
    <t>353</t>
  </si>
  <si>
    <t>W-4</t>
  </si>
  <si>
    <t>352</t>
  </si>
  <si>
    <t>M-M Twin City</t>
  </si>
  <si>
    <t>ZTU</t>
  </si>
  <si>
    <t>351</t>
  </si>
  <si>
    <t>70 HC ROW CROP</t>
  </si>
  <si>
    <t>349</t>
  </si>
  <si>
    <t>348</t>
  </si>
  <si>
    <t>VC</t>
  </si>
  <si>
    <t>347</t>
  </si>
  <si>
    <t>T-6 TRACTRACTOR</t>
  </si>
  <si>
    <t>346</t>
  </si>
  <si>
    <t>345</t>
  </si>
  <si>
    <t>TD-6 TRACTRACTOR</t>
  </si>
  <si>
    <t>344</t>
  </si>
  <si>
    <t>TD-9 TRACTRACTOR</t>
  </si>
  <si>
    <t>343</t>
  </si>
  <si>
    <t>TD-14 TRACTRACTOR</t>
  </si>
  <si>
    <t>342</t>
  </si>
  <si>
    <t>341</t>
  </si>
  <si>
    <t>RTU</t>
  </si>
  <si>
    <t>DC</t>
  </si>
  <si>
    <t>339</t>
  </si>
  <si>
    <t>Ferguson-Sherman</t>
  </si>
  <si>
    <t>Ford-Ferguson</t>
  </si>
  <si>
    <t>9N</t>
  </si>
  <si>
    <t>2N</t>
  </si>
  <si>
    <t>338</t>
  </si>
  <si>
    <t>L</t>
  </si>
  <si>
    <t>337</t>
  </si>
  <si>
    <t>WS</t>
  </si>
  <si>
    <t>336</t>
  </si>
  <si>
    <t>WK</t>
  </si>
  <si>
    <t>334</t>
  </si>
  <si>
    <t>FARMALL H</t>
  </si>
  <si>
    <t>332</t>
  </si>
  <si>
    <t>FARMALL SUPER B</t>
  </si>
  <si>
    <t>Tested as Farmall B</t>
  </si>
  <si>
    <t>FARMALL B</t>
  </si>
  <si>
    <t>331</t>
  </si>
  <si>
    <t>FARMALL SUPER A</t>
  </si>
  <si>
    <t>Tested as Farmall A</t>
  </si>
  <si>
    <t>FARMALL A</t>
  </si>
  <si>
    <t>329</t>
  </si>
  <si>
    <t>328</t>
  </si>
  <si>
    <t>FARMALL M</t>
  </si>
  <si>
    <t>327</t>
  </si>
  <si>
    <t>326</t>
  </si>
  <si>
    <t>Cleveland Tractor</t>
  </si>
  <si>
    <t>Cletrac</t>
  </si>
  <si>
    <t>FD</t>
  </si>
  <si>
    <t>325</t>
  </si>
  <si>
    <t>BD</t>
  </si>
  <si>
    <t>324</t>
  </si>
  <si>
    <t>323</t>
  </si>
  <si>
    <t>G GENERAL</t>
  </si>
  <si>
    <t>322</t>
  </si>
  <si>
    <t>321</t>
  </si>
  <si>
    <t>R-2</t>
  </si>
  <si>
    <t>319</t>
  </si>
  <si>
    <t>UTU</t>
  </si>
  <si>
    <t>318</t>
  </si>
  <si>
    <t>317</t>
  </si>
  <si>
    <t>GTB</t>
  </si>
  <si>
    <t>GTA</t>
  </si>
  <si>
    <t>GT</t>
  </si>
  <si>
    <t>316</t>
  </si>
  <si>
    <t>RC</t>
  </si>
  <si>
    <t>315</t>
  </si>
  <si>
    <t>TD-18 TRACTRACTOR</t>
  </si>
  <si>
    <t>314</t>
  </si>
  <si>
    <t>850 rpm</t>
  </si>
  <si>
    <t>313</t>
  </si>
  <si>
    <t>312</t>
  </si>
  <si>
    <t>UTS</t>
  </si>
  <si>
    <t>310</t>
  </si>
  <si>
    <t>309</t>
  </si>
  <si>
    <t>308</t>
  </si>
  <si>
    <t>307</t>
  </si>
  <si>
    <t>306</t>
  </si>
  <si>
    <t>101S</t>
  </si>
  <si>
    <t>304</t>
  </si>
  <si>
    <t>WC</t>
  </si>
  <si>
    <t>303</t>
  </si>
  <si>
    <t>302</t>
  </si>
  <si>
    <t>80 KD STANDARD</t>
  </si>
  <si>
    <t>80 KD ROW CROP</t>
  </si>
  <si>
    <t>299</t>
  </si>
  <si>
    <t>ALL-AROUND</t>
  </si>
  <si>
    <t>TD-40 TRACTRACTOR</t>
  </si>
  <si>
    <t>297</t>
  </si>
  <si>
    <t>FARMALL F-14</t>
  </si>
  <si>
    <t>296</t>
  </si>
  <si>
    <t>Graham-Paige Motors Corp.</t>
  </si>
  <si>
    <t>Graham-Bradley</t>
  </si>
  <si>
    <t>503.103</t>
  </si>
  <si>
    <t>295</t>
  </si>
  <si>
    <t>PACEMAKER TWIN POWER</t>
  </si>
  <si>
    <t>293</t>
  </si>
  <si>
    <t>CHALLENGER TWIN POWER</t>
  </si>
  <si>
    <t>292</t>
  </si>
  <si>
    <t>291</t>
  </si>
  <si>
    <t>LC</t>
  </si>
  <si>
    <t>ZT</t>
  </si>
  <si>
    <t>289</t>
  </si>
  <si>
    <t>CG</t>
  </si>
  <si>
    <t>288</t>
  </si>
  <si>
    <t>287</t>
  </si>
  <si>
    <t>L-0</t>
  </si>
  <si>
    <t>286</t>
  </si>
  <si>
    <t>S-0</t>
  </si>
  <si>
    <t>WK-0</t>
  </si>
  <si>
    <t>Oliver Hart-Parr</t>
  </si>
  <si>
    <t>70 KD STANDARD</t>
  </si>
  <si>
    <t>283</t>
  </si>
  <si>
    <t>70 HC STANDARD</t>
  </si>
  <si>
    <t>281</t>
  </si>
  <si>
    <t>T-40 TRACTRACTOR</t>
  </si>
  <si>
    <t>280</t>
  </si>
  <si>
    <t>279</t>
  </si>
  <si>
    <t>T-35 TRACTRACTOR</t>
  </si>
  <si>
    <t>278</t>
  </si>
  <si>
    <t>277</t>
  </si>
  <si>
    <t>TD-35 TRACTRACTOR</t>
  </si>
  <si>
    <t>FARMALL F-20</t>
  </si>
  <si>
    <t>Duplex Machinery</t>
  </si>
  <si>
    <t>#2</t>
  </si>
  <si>
    <t>#3</t>
  </si>
  <si>
    <t>273</t>
  </si>
  <si>
    <t>RD-4</t>
  </si>
  <si>
    <t>D4</t>
  </si>
  <si>
    <t>R-4</t>
  </si>
  <si>
    <t>271</t>
  </si>
  <si>
    <t>269</t>
  </si>
  <si>
    <t>WK-40</t>
  </si>
  <si>
    <t>1750 rpm</t>
  </si>
  <si>
    <t>268</t>
  </si>
  <si>
    <t>1600 rpm</t>
  </si>
  <si>
    <t>267</t>
  </si>
  <si>
    <t>70 KD ROW CROP</t>
  </si>
  <si>
    <t>266</t>
  </si>
  <si>
    <t>PACEMAKER</t>
  </si>
  <si>
    <t>CHALLENGER</t>
  </si>
  <si>
    <t>264</t>
  </si>
  <si>
    <t>262</t>
  </si>
  <si>
    <t>FG</t>
  </si>
  <si>
    <t>261</t>
  </si>
  <si>
    <t>EG</t>
  </si>
  <si>
    <t>260</t>
  </si>
  <si>
    <t>AG</t>
  </si>
  <si>
    <t>259</t>
  </si>
  <si>
    <t>BG</t>
  </si>
  <si>
    <t>258</t>
  </si>
  <si>
    <t>257</t>
  </si>
  <si>
    <t>RD-8</t>
  </si>
  <si>
    <t>1000 rpm</t>
  </si>
  <si>
    <t>D8</t>
  </si>
  <si>
    <t>RD-7</t>
  </si>
  <si>
    <t>69 HP</t>
  </si>
  <si>
    <t>61 HP</t>
  </si>
  <si>
    <t>252</t>
  </si>
  <si>
    <t>251</t>
  </si>
  <si>
    <t>3 wheel</t>
  </si>
  <si>
    <t>249</t>
  </si>
  <si>
    <t>KTA</t>
  </si>
  <si>
    <t>248</t>
  </si>
  <si>
    <t>MTA</t>
  </si>
  <si>
    <t>247</t>
  </si>
  <si>
    <t>246</t>
  </si>
  <si>
    <t>WD-40</t>
  </si>
  <si>
    <t>244</t>
  </si>
  <si>
    <t>RD-6</t>
  </si>
  <si>
    <t>242</t>
  </si>
  <si>
    <t>241</t>
  </si>
  <si>
    <t>239</t>
  </si>
  <si>
    <t>238</t>
  </si>
  <si>
    <t>UC</t>
  </si>
  <si>
    <t>237</t>
  </si>
  <si>
    <t>236</t>
  </si>
  <si>
    <t>234</t>
  </si>
  <si>
    <t>S.L. Allen &amp; Co.</t>
  </si>
  <si>
    <t>Planet</t>
  </si>
  <si>
    <t>PLANET JR. GARDEN TRACTOR</t>
  </si>
  <si>
    <t>garden tractor</t>
  </si>
  <si>
    <t>233</t>
  </si>
  <si>
    <t>JT</t>
  </si>
  <si>
    <t>232</t>
  </si>
  <si>
    <t>B, GP</t>
  </si>
  <si>
    <t>231</t>
  </si>
  <si>
    <t>W-12</t>
  </si>
  <si>
    <t>229</t>
  </si>
  <si>
    <t>K</t>
  </si>
  <si>
    <t>228</t>
  </si>
  <si>
    <t>22</t>
  </si>
  <si>
    <t>227</t>
  </si>
  <si>
    <t>R-3</t>
  </si>
  <si>
    <t>226</t>
  </si>
  <si>
    <t>225</t>
  </si>
  <si>
    <t>224</t>
  </si>
  <si>
    <t>R-5</t>
  </si>
  <si>
    <t>223</t>
  </si>
  <si>
    <t>222</t>
  </si>
  <si>
    <t>A, GP</t>
  </si>
  <si>
    <t>221</t>
  </si>
  <si>
    <t>F-20 FARMALL</t>
  </si>
  <si>
    <t>F-12 FARMALL</t>
  </si>
  <si>
    <t>219</t>
  </si>
  <si>
    <t>3-4 PLOW</t>
  </si>
  <si>
    <t>218</t>
  </si>
  <si>
    <t>75</t>
  </si>
  <si>
    <t>217</t>
  </si>
  <si>
    <t>216</t>
  </si>
  <si>
    <t>215</t>
  </si>
  <si>
    <t>SPECIAL K</t>
  </si>
  <si>
    <t>214</t>
  </si>
  <si>
    <t>213</t>
  </si>
  <si>
    <t>212</t>
  </si>
  <si>
    <t>211</t>
  </si>
  <si>
    <t>W-30</t>
  </si>
  <si>
    <t>209</t>
  </si>
  <si>
    <t>208</t>
  </si>
  <si>
    <t>207</t>
  </si>
  <si>
    <t>15</t>
  </si>
  <si>
    <t>206</t>
  </si>
  <si>
    <t>204</t>
  </si>
  <si>
    <t>203</t>
  </si>
  <si>
    <t>202</t>
  </si>
  <si>
    <t>201</t>
  </si>
  <si>
    <t>199</t>
  </si>
  <si>
    <t>T-20 TRACTRACTOR</t>
  </si>
  <si>
    <t>198</t>
  </si>
  <si>
    <t>F-30 FARMALL</t>
  </si>
  <si>
    <t>197</t>
  </si>
  <si>
    <t>MT UNIVERSAL</t>
  </si>
  <si>
    <t>196</t>
  </si>
  <si>
    <t>40-30</t>
  </si>
  <si>
    <t>194</t>
  </si>
  <si>
    <t>20 INDUSTRIAL</t>
  </si>
  <si>
    <t>193</t>
  </si>
  <si>
    <t>EK</t>
  </si>
  <si>
    <t>192</t>
  </si>
  <si>
    <t>Bradley</t>
  </si>
  <si>
    <t>GEN. PURP.</t>
  </si>
  <si>
    <t>191</t>
  </si>
  <si>
    <t>GP</t>
  </si>
  <si>
    <t>189</t>
  </si>
  <si>
    <t>UC ALL CROP</t>
  </si>
  <si>
    <t>188</t>
  </si>
  <si>
    <t>187</t>
  </si>
  <si>
    <t>Foote Bros.</t>
  </si>
  <si>
    <t>Bates</t>
  </si>
  <si>
    <t>45 STEEL MULE</t>
  </si>
  <si>
    <t>186</t>
  </si>
  <si>
    <t>35 STEEL MULE</t>
  </si>
  <si>
    <t>Advance Rumely</t>
  </si>
  <si>
    <t>Rumely</t>
  </si>
  <si>
    <t>6A</t>
  </si>
  <si>
    <t>184</t>
  </si>
  <si>
    <t>Eagle</t>
  </si>
  <si>
    <t>183</t>
  </si>
  <si>
    <t>also known as 3-5 plow, 28-44</t>
  </si>
  <si>
    <t>28-44</t>
  </si>
  <si>
    <t>also known as 3-5 plow, 90</t>
  </si>
  <si>
    <t>182</t>
  </si>
  <si>
    <t>80-60</t>
  </si>
  <si>
    <t>181</t>
  </si>
  <si>
    <t>Hart-Parr</t>
  </si>
  <si>
    <t>18-28</t>
  </si>
  <si>
    <t>2-3 plow</t>
  </si>
  <si>
    <t>179</t>
  </si>
  <si>
    <t>Monarch</t>
  </si>
  <si>
    <t>178</t>
  </si>
  <si>
    <t>177</t>
  </si>
  <si>
    <t>176</t>
  </si>
  <si>
    <t>18-27</t>
  </si>
  <si>
    <t>Row crop</t>
  </si>
  <si>
    <t>KT, 11-20</t>
  </si>
  <si>
    <t>174</t>
  </si>
  <si>
    <t>F</t>
  </si>
  <si>
    <t>173</t>
  </si>
  <si>
    <t>172</t>
  </si>
  <si>
    <t>171</t>
  </si>
  <si>
    <t>35-30</t>
  </si>
  <si>
    <t>U UNITED</t>
  </si>
  <si>
    <t>169</t>
  </si>
  <si>
    <t>CC</t>
  </si>
  <si>
    <t>168</t>
  </si>
  <si>
    <t>20-36</t>
  </si>
  <si>
    <t>Light Four</t>
  </si>
  <si>
    <t>167</t>
  </si>
  <si>
    <t>C, 17-27</t>
  </si>
  <si>
    <t>166</t>
  </si>
  <si>
    <t>Four Drive Tractor</t>
  </si>
  <si>
    <t>Four Drive</t>
  </si>
  <si>
    <t>E, 15-25</t>
  </si>
  <si>
    <t>164</t>
  </si>
  <si>
    <t>Wallis</t>
  </si>
  <si>
    <t>12-20</t>
  </si>
  <si>
    <t>12</t>
  </si>
  <si>
    <t>Tested as Wallis 12-20</t>
  </si>
  <si>
    <t>163</t>
  </si>
  <si>
    <t>Minneapolis Threshing Co</t>
  </si>
  <si>
    <t>Minneapolis</t>
  </si>
  <si>
    <t>39-57</t>
  </si>
  <si>
    <t>162</t>
  </si>
  <si>
    <t>27-42</t>
  </si>
  <si>
    <t>161</t>
  </si>
  <si>
    <t>A.D. Baker Co.</t>
  </si>
  <si>
    <t>Baker</t>
  </si>
  <si>
    <t>43-67</t>
  </si>
  <si>
    <t>10, 10-15</t>
  </si>
  <si>
    <t>159</t>
  </si>
  <si>
    <t>15, 15-20</t>
  </si>
  <si>
    <t>158</t>
  </si>
  <si>
    <t>Rock Island</t>
  </si>
  <si>
    <t>G2, 18-30</t>
  </si>
  <si>
    <t>157</t>
  </si>
  <si>
    <t>G2, 15-25</t>
  </si>
  <si>
    <t>156</t>
  </si>
  <si>
    <t>22-36</t>
  </si>
  <si>
    <t>15-30</t>
  </si>
  <si>
    <t>155</t>
  </si>
  <si>
    <t>L, 26-40</t>
  </si>
  <si>
    <t>154</t>
  </si>
  <si>
    <t>DO-ALL</t>
  </si>
  <si>
    <t>153</t>
  </si>
  <si>
    <t>10-20, GP</t>
  </si>
  <si>
    <t>152</t>
  </si>
  <si>
    <t>Minneapolis Steel &amp; Machinery Co.</t>
  </si>
  <si>
    <t>FT, 21-32</t>
  </si>
  <si>
    <t>151</t>
  </si>
  <si>
    <t>20-35 E</t>
  </si>
  <si>
    <t>20-35 A</t>
  </si>
  <si>
    <t>20, 20-25</t>
  </si>
  <si>
    <t>149</t>
  </si>
  <si>
    <t>40, 40-55</t>
  </si>
  <si>
    <t>148</t>
  </si>
  <si>
    <t>John Lauson Mfg.</t>
  </si>
  <si>
    <t>Lauson</t>
  </si>
  <si>
    <t>20-35,S12</t>
  </si>
  <si>
    <t>147</t>
  </si>
  <si>
    <t>6 TON</t>
  </si>
  <si>
    <t>146</t>
  </si>
  <si>
    <t>D, 15-27</t>
  </si>
  <si>
    <t>Rumely Oil Pull</t>
  </si>
  <si>
    <t>Y,30-50</t>
  </si>
  <si>
    <t>144</t>
  </si>
  <si>
    <t>18-35</t>
  </si>
  <si>
    <t>143</t>
  </si>
  <si>
    <t>X,25-40</t>
  </si>
  <si>
    <t>142</t>
  </si>
  <si>
    <t>10-20</t>
  </si>
  <si>
    <t>Also Regular</t>
  </si>
  <si>
    <t>141</t>
  </si>
  <si>
    <t>W,20-30</t>
  </si>
  <si>
    <t>28-50</t>
  </si>
  <si>
    <t>139</t>
  </si>
  <si>
    <t>F, 10 TON</t>
  </si>
  <si>
    <t>138</t>
  </si>
  <si>
    <t>Continental Cultor</t>
  </si>
  <si>
    <t>32</t>
  </si>
  <si>
    <t>137</t>
  </si>
  <si>
    <t>Shaw</t>
  </si>
  <si>
    <t>T-45</t>
  </si>
  <si>
    <t>136</t>
  </si>
  <si>
    <t>T-25</t>
  </si>
  <si>
    <t>40-62</t>
  </si>
  <si>
    <t>Super Four</t>
  </si>
  <si>
    <t>134</t>
  </si>
  <si>
    <t>20-30</t>
  </si>
  <si>
    <t>133</t>
  </si>
  <si>
    <t>132</t>
  </si>
  <si>
    <t>20-40</t>
  </si>
  <si>
    <t>131</t>
  </si>
  <si>
    <t>16-32</t>
  </si>
  <si>
    <t>129</t>
  </si>
  <si>
    <t>H,12-24</t>
  </si>
  <si>
    <t>128</t>
  </si>
  <si>
    <t>18-36</t>
  </si>
  <si>
    <t>127</t>
  </si>
  <si>
    <t>126</t>
  </si>
  <si>
    <t>A, 30-45</t>
  </si>
  <si>
    <t>124</t>
  </si>
  <si>
    <t>FORDSON</t>
  </si>
  <si>
    <t>123</t>
  </si>
  <si>
    <t>New Super Four</t>
  </si>
  <si>
    <t>122</t>
  </si>
  <si>
    <t>AT, 27-44</t>
  </si>
  <si>
    <t>121</t>
  </si>
  <si>
    <t>TY, 17-28</t>
  </si>
  <si>
    <t>20-27</t>
  </si>
  <si>
    <t>K, 15-25</t>
  </si>
  <si>
    <t>119</t>
  </si>
  <si>
    <t>118</t>
  </si>
  <si>
    <t>B, 17-30</t>
  </si>
  <si>
    <t>117</t>
  </si>
  <si>
    <t>FARMALL</t>
  </si>
  <si>
    <t>116</t>
  </si>
  <si>
    <t>R,25-45</t>
  </si>
  <si>
    <t>115</t>
  </si>
  <si>
    <t>Shaw-Enochs</t>
  </si>
  <si>
    <t>Shawnee</t>
  </si>
  <si>
    <t>114</t>
  </si>
  <si>
    <t>Heider</t>
  </si>
  <si>
    <t>15-27</t>
  </si>
  <si>
    <t>113</t>
  </si>
  <si>
    <t>C, 25-35</t>
  </si>
  <si>
    <t>112</t>
  </si>
  <si>
    <t>L,15-25</t>
  </si>
  <si>
    <t>111</t>
  </si>
  <si>
    <t>M,20-35</t>
  </si>
  <si>
    <t>110</t>
  </si>
  <si>
    <t>25-45</t>
  </si>
  <si>
    <t>109</t>
  </si>
  <si>
    <t>K, 18-32</t>
  </si>
  <si>
    <t>108</t>
  </si>
  <si>
    <t>D,6-60</t>
  </si>
  <si>
    <t>107</t>
  </si>
  <si>
    <t>E, 12-24</t>
  </si>
  <si>
    <t>106</t>
  </si>
  <si>
    <t>E, 16-30</t>
  </si>
  <si>
    <t>CL Best</t>
  </si>
  <si>
    <t>Best</t>
  </si>
  <si>
    <t>A60, 50-60</t>
  </si>
  <si>
    <t>104</t>
  </si>
  <si>
    <t>S30, 25-30</t>
  </si>
  <si>
    <t>103</t>
  </si>
  <si>
    <t>S,30-60</t>
  </si>
  <si>
    <t>102</t>
  </si>
  <si>
    <t>Waterloo Gas Engine Co.</t>
  </si>
  <si>
    <t>101</t>
  </si>
  <si>
    <t>Bear</t>
  </si>
  <si>
    <t>B, 25-35</t>
  </si>
  <si>
    <t>Best Tractor Co.</t>
  </si>
  <si>
    <t>30, 20-30</t>
  </si>
  <si>
    <t>60, 40-60</t>
  </si>
  <si>
    <t>40, 20-40</t>
  </si>
  <si>
    <t>96</t>
  </si>
  <si>
    <t>20-35</t>
  </si>
  <si>
    <t>95</t>
  </si>
  <si>
    <t>94</t>
  </si>
  <si>
    <t>Russell &amp; Co.</t>
  </si>
  <si>
    <t>Russell</t>
  </si>
  <si>
    <t>C,20-40</t>
  </si>
  <si>
    <t>Big Boss</t>
  </si>
  <si>
    <t>93</t>
  </si>
  <si>
    <t>C,15-30</t>
  </si>
  <si>
    <t>Little Boss</t>
  </si>
  <si>
    <t>92</t>
  </si>
  <si>
    <t>OK,15-27</t>
  </si>
  <si>
    <t>91</t>
  </si>
  <si>
    <t>40-72</t>
  </si>
  <si>
    <t>89</t>
  </si>
  <si>
    <t>15-25 TRACK RUNNER</t>
  </si>
  <si>
    <t>See Remarks</t>
  </si>
  <si>
    <t>2 wheels, 2 tracks</t>
  </si>
  <si>
    <t>87</t>
  </si>
  <si>
    <t>86</t>
  </si>
  <si>
    <t>Holt</t>
  </si>
  <si>
    <t>T-35, 15-25</t>
  </si>
  <si>
    <t>F, 9-16</t>
  </si>
  <si>
    <t>84</t>
  </si>
  <si>
    <t>Rogers Tractor &amp; Trailer Co.</t>
  </si>
  <si>
    <t>Rogers</t>
  </si>
  <si>
    <t>ROGERS</t>
  </si>
  <si>
    <t>Special A</t>
  </si>
  <si>
    <t>POWER PATROL</t>
  </si>
  <si>
    <t>7.0</t>
  </si>
  <si>
    <t>Tested no Enochs Shawnee 685, no PTO</t>
  </si>
  <si>
    <t>83</t>
  </si>
  <si>
    <t>22-38</t>
  </si>
  <si>
    <t>18-30</t>
  </si>
  <si>
    <t>82</t>
  </si>
  <si>
    <t>81</t>
  </si>
  <si>
    <t>F, 12-22 HP</t>
  </si>
  <si>
    <t>H, 16-30</t>
  </si>
  <si>
    <t>79</t>
  </si>
  <si>
    <t>20, 11-20</t>
  </si>
  <si>
    <t>78</t>
  </si>
  <si>
    <t>30-60, GIANT</t>
  </si>
  <si>
    <t>77</t>
  </si>
  <si>
    <t>30, 18-30</t>
  </si>
  <si>
    <t>76</t>
  </si>
  <si>
    <t>60, 35-55</t>
  </si>
  <si>
    <t>12-25</t>
  </si>
  <si>
    <t>74</t>
  </si>
  <si>
    <t>SUPER 4</t>
  </si>
  <si>
    <t>73</t>
  </si>
  <si>
    <t>H.A. Wetmore</t>
  </si>
  <si>
    <t>Wetmore</t>
  </si>
  <si>
    <t>72</t>
  </si>
  <si>
    <t>8-16</t>
  </si>
  <si>
    <t>71</t>
  </si>
  <si>
    <t>A ,17-30</t>
  </si>
  <si>
    <t>69</t>
  </si>
  <si>
    <t>Port Huron</t>
  </si>
  <si>
    <t>68</t>
  </si>
  <si>
    <t>STEEL MULE F 15-22</t>
  </si>
  <si>
    <t>2 front wheels, 2 rear tracks</t>
  </si>
  <si>
    <t>67</t>
  </si>
  <si>
    <t>66</t>
  </si>
  <si>
    <t>Square Turn</t>
  </si>
  <si>
    <t>Toro</t>
  </si>
  <si>
    <t>6-10</t>
  </si>
  <si>
    <t>64</t>
  </si>
  <si>
    <t>U.S. Tractor &amp; Machine Co.</t>
  </si>
  <si>
    <t>Uncle Sam</t>
  </si>
  <si>
    <t>63</t>
  </si>
  <si>
    <t>Townsend</t>
  </si>
  <si>
    <t>62</t>
  </si>
  <si>
    <t>Indiana Silo &amp; Tractor</t>
  </si>
  <si>
    <t>Indiana</t>
  </si>
  <si>
    <t>5-10</t>
  </si>
  <si>
    <t>61</t>
  </si>
  <si>
    <t>T-16, 40-60</t>
  </si>
  <si>
    <t>Steel Mule "D"</t>
  </si>
  <si>
    <t>59</t>
  </si>
  <si>
    <t>T-11, 25-40</t>
  </si>
  <si>
    <t>58</t>
  </si>
  <si>
    <t>57</t>
  </si>
  <si>
    <t>Single Row Cultivator</t>
  </si>
  <si>
    <t>56</t>
  </si>
  <si>
    <t>MoNArch</t>
  </si>
  <si>
    <t>54</t>
  </si>
  <si>
    <t>6-12</t>
  </si>
  <si>
    <t>53</t>
  </si>
  <si>
    <t>Electric Wheel Co.</t>
  </si>
  <si>
    <t>Allwork</t>
  </si>
  <si>
    <t>14-28</t>
  </si>
  <si>
    <t>52</t>
  </si>
  <si>
    <t>Kinnard &amp; Sons</t>
  </si>
  <si>
    <t>Flour City</t>
  </si>
  <si>
    <t>40-70</t>
  </si>
  <si>
    <t>51</t>
  </si>
  <si>
    <t>49</t>
  </si>
  <si>
    <t>15-25</t>
  </si>
  <si>
    <t>48</t>
  </si>
  <si>
    <t>40-65</t>
  </si>
  <si>
    <t>47</t>
  </si>
  <si>
    <t>Frick</t>
  </si>
  <si>
    <t>A, 12-20</t>
  </si>
  <si>
    <t>46</t>
  </si>
  <si>
    <t>C, 15-28</t>
  </si>
  <si>
    <t>45</t>
  </si>
  <si>
    <t>W, 12-20</t>
  </si>
  <si>
    <t>40-80</t>
  </si>
  <si>
    <t>renamed 45-65</t>
  </si>
  <si>
    <t>43</t>
  </si>
  <si>
    <t>25-50</t>
  </si>
  <si>
    <t>42</t>
  </si>
  <si>
    <t>41</t>
  </si>
  <si>
    <t>8-15</t>
  </si>
  <si>
    <t>Six Cylinder Motor Cultivator</t>
  </si>
  <si>
    <t>39</t>
  </si>
  <si>
    <t>7-14,C</t>
  </si>
  <si>
    <t>Six Cylinder</t>
  </si>
  <si>
    <t>38</t>
  </si>
  <si>
    <t>37</t>
  </si>
  <si>
    <t>Parrett Tractor Co.</t>
  </si>
  <si>
    <t>Parrett</t>
  </si>
  <si>
    <t>K, 15-30</t>
  </si>
  <si>
    <t>36</t>
  </si>
  <si>
    <t>Coleman</t>
  </si>
  <si>
    <t>B, 16-30</t>
  </si>
  <si>
    <t>34</t>
  </si>
  <si>
    <t>33</t>
  </si>
  <si>
    <t>Moline</t>
  </si>
  <si>
    <t>D 9-18 UNIVERSAL</t>
  </si>
  <si>
    <t>Aultman-Taylor</t>
  </si>
  <si>
    <t>22-45</t>
  </si>
  <si>
    <t>31</t>
  </si>
  <si>
    <t>30-60</t>
  </si>
  <si>
    <t>29</t>
  </si>
  <si>
    <t>La Crosse</t>
  </si>
  <si>
    <t>G, 12-24</t>
  </si>
  <si>
    <t>28</t>
  </si>
  <si>
    <t>Beeman</t>
  </si>
  <si>
    <t>27</t>
  </si>
  <si>
    <t>Samson</t>
  </si>
  <si>
    <t>26</t>
  </si>
  <si>
    <t>30, 15-30</t>
  </si>
  <si>
    <t>24</t>
  </si>
  <si>
    <t>23</t>
  </si>
  <si>
    <t>10-20 TITAN</t>
  </si>
  <si>
    <t>Gray</t>
  </si>
  <si>
    <t>Rear-drum, front-2 wheels</t>
  </si>
  <si>
    <t>21</t>
  </si>
  <si>
    <t>Wisconsin</t>
  </si>
  <si>
    <t>Emerson-Brantingham</t>
  </si>
  <si>
    <t>19</t>
  </si>
  <si>
    <t>18</t>
  </si>
  <si>
    <t>17</t>
  </si>
  <si>
    <t>D, 9-16</t>
  </si>
  <si>
    <t>C, 12-20</t>
  </si>
  <si>
    <t>35-70</t>
  </si>
  <si>
    <t>14</t>
  </si>
  <si>
    <t>22-44</t>
  </si>
  <si>
    <t>13</t>
  </si>
  <si>
    <t>11</t>
  </si>
  <si>
    <t>G,20-40</t>
  </si>
  <si>
    <t>10</t>
  </si>
  <si>
    <t>K,12-20</t>
  </si>
  <si>
    <t>9</t>
  </si>
  <si>
    <t>H,16-30</t>
  </si>
  <si>
    <t>8</t>
  </si>
  <si>
    <t>E,30-60</t>
  </si>
  <si>
    <t>7</t>
  </si>
  <si>
    <t>6</t>
  </si>
  <si>
    <t>3 wheel, 1 drive wheel</t>
  </si>
  <si>
    <t>5</t>
  </si>
  <si>
    <t>22-40</t>
  </si>
  <si>
    <t>4</t>
  </si>
  <si>
    <t>3</t>
  </si>
  <si>
    <t>10-18</t>
  </si>
  <si>
    <t>2</t>
  </si>
  <si>
    <t>1</t>
  </si>
  <si>
    <t>Waterloo Boy</t>
  </si>
  <si>
    <t>N, 12-25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</si>
</sst>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47"/>
  <sheetViews>
    <sheetView tabSelected="1" topLeftCell="A3726" workbookViewId="0">
      <selection activeCell="L3728" sqref="L3728"/>
    </sheetView>
  </sheetViews>
  <sheetFormatPr defaultRowHeight="15.7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</v>
      </c>
      <c r="B2" t="str">
        <f>HYPERLINK("https://digitalcommons.unl.edu/cgi/viewcontent.cgi?article=1040&amp;context=tractormuseumlit","Click for test report")</f>
        <v>Click for test report</v>
      </c>
      <c r="C2">
        <v>1920</v>
      </c>
      <c r="D2" t="s">
        <v>7245</v>
      </c>
      <c r="F2" t="s">
        <v>7059</v>
      </c>
      <c r="G2" t="s">
        <v>7246</v>
      </c>
      <c r="H2" t="s">
        <v>7247</v>
      </c>
      <c r="I2" t="s">
        <v>50</v>
      </c>
      <c r="J2" t="s">
        <v>348</v>
      </c>
      <c r="K2" t="s">
        <v>6821</v>
      </c>
      <c r="M2" t="s">
        <v>4590</v>
      </c>
      <c r="N2" t="s">
        <v>4621</v>
      </c>
      <c r="O2" t="s">
        <v>24</v>
      </c>
    </row>
    <row r="3" spans="1:15" x14ac:dyDescent="0.25">
      <c r="A3">
        <v>2</v>
      </c>
      <c r="B3" s="1" t="str">
        <f>HYPERLINK("https://digitalcommons.unl.edu/cgi/viewcontent.cgi?article=3688&amp;context=tractormuseumlit","Click for test report")</f>
        <v>Click for test report</v>
      </c>
      <c r="C3">
        <v>1920</v>
      </c>
      <c r="D3" t="s">
        <v>7244</v>
      </c>
      <c r="G3" t="s">
        <v>322</v>
      </c>
      <c r="O3" t="s">
        <v>24</v>
      </c>
    </row>
    <row r="4" spans="1:15" x14ac:dyDescent="0.25">
      <c r="A4">
        <v>3</v>
      </c>
      <c r="B4" t="str">
        <f>HYPERLINK("https://digitalcommons.unl.edu/cgi/viewcontent.cgi?article=1613&amp;context=tractormuseumlit","Click for test report")</f>
        <v>Click for test report</v>
      </c>
      <c r="C4">
        <v>1920</v>
      </c>
      <c r="D4" t="s">
        <v>7242</v>
      </c>
      <c r="F4" t="s">
        <v>3800</v>
      </c>
      <c r="G4" t="s">
        <v>4473</v>
      </c>
      <c r="H4" t="s">
        <v>7243</v>
      </c>
      <c r="I4" t="s">
        <v>50</v>
      </c>
      <c r="J4" t="s">
        <v>348</v>
      </c>
      <c r="K4" t="s">
        <v>6821</v>
      </c>
      <c r="M4" t="s">
        <v>4449</v>
      </c>
      <c r="N4" t="s">
        <v>6060</v>
      </c>
      <c r="O4" t="s">
        <v>24</v>
      </c>
    </row>
    <row r="5" spans="1:15" x14ac:dyDescent="0.25">
      <c r="A5">
        <v>4</v>
      </c>
      <c r="B5" t="str">
        <f>HYPERLINK("https://digitalcommons.unl.edu/cgi/viewcontent.cgi?article=1614&amp;context=tractormuseumlit","Click for test report")</f>
        <v>Click for test report</v>
      </c>
      <c r="C5">
        <v>1920</v>
      </c>
      <c r="D5" t="s">
        <v>7241</v>
      </c>
      <c r="F5" t="s">
        <v>3800</v>
      </c>
      <c r="G5" t="s">
        <v>4473</v>
      </c>
      <c r="H5" t="s">
        <v>7034</v>
      </c>
      <c r="I5" t="s">
        <v>50</v>
      </c>
      <c r="J5" t="s">
        <v>348</v>
      </c>
      <c r="K5" t="s">
        <v>6821</v>
      </c>
      <c r="M5" t="s">
        <v>4008</v>
      </c>
      <c r="N5" t="s">
        <v>4362</v>
      </c>
      <c r="O5" t="s">
        <v>24</v>
      </c>
    </row>
    <row r="6" spans="1:15" x14ac:dyDescent="0.25">
      <c r="A6">
        <v>5</v>
      </c>
      <c r="B6" t="str">
        <f>HYPERLINK("https://digitalcommons.unl.edu/cgi/viewcontent.cgi?article=1615&amp;context=tractormuseumlit","Click for test report")</f>
        <v>Click for test report</v>
      </c>
      <c r="C6">
        <v>1920</v>
      </c>
      <c r="D6" t="s">
        <v>7239</v>
      </c>
      <c r="F6" t="s">
        <v>3800</v>
      </c>
      <c r="G6" t="s">
        <v>4473</v>
      </c>
      <c r="H6" t="s">
        <v>7240</v>
      </c>
      <c r="I6" t="s">
        <v>50</v>
      </c>
      <c r="J6" t="s">
        <v>348</v>
      </c>
      <c r="K6" t="s">
        <v>6821</v>
      </c>
      <c r="M6" t="s">
        <v>1650</v>
      </c>
      <c r="N6" t="s">
        <v>4008</v>
      </c>
      <c r="O6" t="s">
        <v>24</v>
      </c>
    </row>
    <row r="7" spans="1:15" x14ac:dyDescent="0.25">
      <c r="A7">
        <v>6</v>
      </c>
      <c r="B7" t="str">
        <f>HYPERLINK("https://digitalcommons.unl.edu/cgi/viewcontent.cgi?article=1642&amp;context=tractormuseumlit","Click for test report")</f>
        <v>Click for test report</v>
      </c>
      <c r="C7">
        <v>1920</v>
      </c>
      <c r="D7" t="s">
        <v>7237</v>
      </c>
      <c r="F7" t="s">
        <v>3800</v>
      </c>
      <c r="G7" t="s">
        <v>4473</v>
      </c>
      <c r="H7" t="s">
        <v>6981</v>
      </c>
      <c r="I7" t="s">
        <v>50</v>
      </c>
      <c r="J7" t="s">
        <v>7084</v>
      </c>
      <c r="K7" t="s">
        <v>6821</v>
      </c>
      <c r="M7" t="s">
        <v>4444</v>
      </c>
      <c r="N7" t="s">
        <v>4621</v>
      </c>
      <c r="O7" t="s">
        <v>7238</v>
      </c>
    </row>
    <row r="8" spans="1:15" x14ac:dyDescent="0.25">
      <c r="A8">
        <v>7</v>
      </c>
      <c r="B8" t="str">
        <f>HYPERLINK("https://digitalcommons.unl.edu/cgi/viewcontent.cgi?article=3322&amp;context=tractormuseumlit","Click for test report")</f>
        <v>Click for test report</v>
      </c>
      <c r="C8">
        <v>1920</v>
      </c>
      <c r="D8" t="s">
        <v>7236</v>
      </c>
      <c r="F8" t="s">
        <v>3800</v>
      </c>
      <c r="G8" t="s">
        <v>4473</v>
      </c>
      <c r="H8" t="s">
        <v>7002</v>
      </c>
      <c r="I8" t="s">
        <v>50</v>
      </c>
      <c r="J8" t="s">
        <v>348</v>
      </c>
      <c r="K8" t="s">
        <v>6821</v>
      </c>
      <c r="M8" t="s">
        <v>3152</v>
      </c>
      <c r="N8" t="s">
        <v>4355</v>
      </c>
      <c r="O8" t="s">
        <v>24</v>
      </c>
    </row>
    <row r="9" spans="1:15" x14ac:dyDescent="0.25">
      <c r="A9">
        <v>8</v>
      </c>
      <c r="B9" t="str">
        <f>HYPERLINK("https://digitalcommons.unl.edu/cgi/viewcontent.cgi?article=1646&amp;context=tractormuseumlit","Click for test report")</f>
        <v>Click for test report</v>
      </c>
      <c r="C9">
        <v>1920</v>
      </c>
      <c r="D9" t="s">
        <v>7234</v>
      </c>
      <c r="F9" t="s">
        <v>6884</v>
      </c>
      <c r="G9" t="s">
        <v>6974</v>
      </c>
      <c r="H9" t="s">
        <v>7235</v>
      </c>
      <c r="I9" t="s">
        <v>50</v>
      </c>
      <c r="J9" t="s">
        <v>348</v>
      </c>
      <c r="K9" t="s">
        <v>6821</v>
      </c>
      <c r="M9" t="s">
        <v>58</v>
      </c>
      <c r="N9" t="s">
        <v>1650</v>
      </c>
      <c r="O9" t="s">
        <v>24</v>
      </c>
    </row>
    <row r="10" spans="1:15" x14ac:dyDescent="0.25">
      <c r="A10">
        <v>9</v>
      </c>
      <c r="B10" t="str">
        <f>HYPERLINK("https://digitalcommons.unl.edu/cgi/viewcontent.cgi?article=1647&amp;context=tractormuseumlit","Click for test report")</f>
        <v>Click for test report</v>
      </c>
      <c r="C10">
        <v>1920</v>
      </c>
      <c r="D10" t="s">
        <v>7232</v>
      </c>
      <c r="F10" t="s">
        <v>6884</v>
      </c>
      <c r="G10" t="s">
        <v>6974</v>
      </c>
      <c r="H10" t="s">
        <v>7233</v>
      </c>
      <c r="I10" t="s">
        <v>50</v>
      </c>
      <c r="J10" t="s">
        <v>348</v>
      </c>
      <c r="K10" t="s">
        <v>6821</v>
      </c>
      <c r="M10" t="s">
        <v>4745</v>
      </c>
      <c r="N10" t="s">
        <v>4444</v>
      </c>
      <c r="O10" t="s">
        <v>24</v>
      </c>
    </row>
    <row r="11" spans="1:15" x14ac:dyDescent="0.25">
      <c r="A11">
        <v>10</v>
      </c>
      <c r="B11" t="str">
        <f>HYPERLINK("https://digitalcommons.unl.edu/cgi/viewcontent.cgi?article=1616&amp;context=tractormuseumlit","Click for test report")</f>
        <v>Click for test report</v>
      </c>
      <c r="C11">
        <v>1920</v>
      </c>
      <c r="D11" t="s">
        <v>7230</v>
      </c>
      <c r="F11" t="s">
        <v>6884</v>
      </c>
      <c r="G11" t="s">
        <v>6974</v>
      </c>
      <c r="H11" t="s">
        <v>7231</v>
      </c>
      <c r="I11" t="s">
        <v>50</v>
      </c>
      <c r="J11" t="s">
        <v>348</v>
      </c>
      <c r="K11" t="s">
        <v>6821</v>
      </c>
      <c r="M11" t="s">
        <v>4590</v>
      </c>
      <c r="N11" t="s">
        <v>4621</v>
      </c>
      <c r="O11" t="s">
        <v>24</v>
      </c>
    </row>
    <row r="12" spans="1:15" x14ac:dyDescent="0.25">
      <c r="A12">
        <v>11</v>
      </c>
      <c r="B12" t="str">
        <f>HYPERLINK("https://digitalcommons.unl.edu/cgi/viewcontent.cgi?article=1617&amp;context=tractormuseumlit","Click for test report")</f>
        <v>Click for test report</v>
      </c>
      <c r="C12">
        <v>1920</v>
      </c>
      <c r="D12" t="s">
        <v>7228</v>
      </c>
      <c r="F12" t="s">
        <v>6884</v>
      </c>
      <c r="G12" t="s">
        <v>6974</v>
      </c>
      <c r="H12" t="s">
        <v>7229</v>
      </c>
      <c r="I12" t="s">
        <v>50</v>
      </c>
      <c r="J12" t="s">
        <v>348</v>
      </c>
      <c r="K12" t="s">
        <v>6821</v>
      </c>
      <c r="M12" t="s">
        <v>410</v>
      </c>
      <c r="N12" t="s">
        <v>4440</v>
      </c>
      <c r="O12" t="s">
        <v>24</v>
      </c>
    </row>
    <row r="13" spans="1:15" x14ac:dyDescent="0.25">
      <c r="A13">
        <v>12</v>
      </c>
      <c r="B13" t="str">
        <f>HYPERLINK("https://digitalcommons.unl.edu/cgi/viewcontent.cgi?article=1618&amp;context=tractormuseumlit","Click for test report")</f>
        <v>Click for test report</v>
      </c>
      <c r="C13">
        <v>1920</v>
      </c>
      <c r="D13" t="s">
        <v>6928</v>
      </c>
      <c r="F13" t="s">
        <v>6489</v>
      </c>
      <c r="G13" t="s">
        <v>6489</v>
      </c>
      <c r="H13" t="s">
        <v>7114</v>
      </c>
      <c r="I13" t="s">
        <v>50</v>
      </c>
      <c r="J13" t="s">
        <v>348</v>
      </c>
      <c r="K13" t="s">
        <v>6821</v>
      </c>
      <c r="M13" t="s">
        <v>4590</v>
      </c>
      <c r="N13" t="s">
        <v>4628</v>
      </c>
      <c r="O13" t="s">
        <v>6918</v>
      </c>
    </row>
    <row r="14" spans="1:15" x14ac:dyDescent="0.25">
      <c r="A14">
        <v>13</v>
      </c>
      <c r="B14" t="str">
        <f>HYPERLINK("https://digitalcommons.unl.edu/cgi/viewcontent.cgi?article=1619&amp;context=tractormuseumlit","Click for test report")</f>
        <v>Click for test report</v>
      </c>
      <c r="C14">
        <v>1920</v>
      </c>
      <c r="D14" t="s">
        <v>7227</v>
      </c>
      <c r="F14" t="s">
        <v>6931</v>
      </c>
      <c r="G14" t="s">
        <v>6932</v>
      </c>
      <c r="H14" t="s">
        <v>7114</v>
      </c>
      <c r="I14" t="s">
        <v>50</v>
      </c>
      <c r="J14" t="s">
        <v>348</v>
      </c>
      <c r="K14" t="s">
        <v>6821</v>
      </c>
      <c r="M14" t="s">
        <v>4013</v>
      </c>
      <c r="N14" t="s">
        <v>4628</v>
      </c>
      <c r="O14" t="s">
        <v>24</v>
      </c>
    </row>
    <row r="15" spans="1:15" x14ac:dyDescent="0.25">
      <c r="A15">
        <v>14</v>
      </c>
      <c r="B15" t="str">
        <f>HYPERLINK("https://digitalcommons.unl.edu/cgi/viewcontent.cgi?article=1620&amp;context=tractormuseumlit","Click for test report")</f>
        <v>Click for test report</v>
      </c>
      <c r="C15">
        <v>1920</v>
      </c>
      <c r="D15" t="s">
        <v>7225</v>
      </c>
      <c r="F15" t="s">
        <v>6931</v>
      </c>
      <c r="G15" t="s">
        <v>6932</v>
      </c>
      <c r="H15" t="s">
        <v>7226</v>
      </c>
      <c r="I15" t="s">
        <v>50</v>
      </c>
      <c r="J15" t="s">
        <v>348</v>
      </c>
      <c r="K15" t="s">
        <v>6821</v>
      </c>
      <c r="M15" t="s">
        <v>410</v>
      </c>
      <c r="N15" t="s">
        <v>4745</v>
      </c>
      <c r="O15" t="s">
        <v>24</v>
      </c>
    </row>
    <row r="16" spans="1:15" x14ac:dyDescent="0.25">
      <c r="A16">
        <v>15</v>
      </c>
      <c r="B16" t="str">
        <f>HYPERLINK("https://digitalcommons.unl.edu/cgi/viewcontent.cgi?article=1621&amp;context=tractormuseumlit","Click for test report")</f>
        <v>Click for test report</v>
      </c>
      <c r="C16">
        <v>1920</v>
      </c>
      <c r="D16" t="s">
        <v>6852</v>
      </c>
      <c r="F16" t="s">
        <v>6931</v>
      </c>
      <c r="G16" t="s">
        <v>6932</v>
      </c>
      <c r="H16" t="s">
        <v>7224</v>
      </c>
      <c r="I16" t="s">
        <v>50</v>
      </c>
      <c r="J16" t="s">
        <v>348</v>
      </c>
      <c r="K16" t="s">
        <v>6821</v>
      </c>
      <c r="M16" t="s">
        <v>1867</v>
      </c>
      <c r="N16" t="s">
        <v>3319</v>
      </c>
      <c r="O16" t="s">
        <v>24</v>
      </c>
    </row>
    <row r="17" spans="1:15" x14ac:dyDescent="0.25">
      <c r="A17">
        <v>16</v>
      </c>
      <c r="B17" t="str">
        <f>HYPERLINK("https://digitalcommons.unl.edu/cgi/viewcontent.cgi?article=1622&amp;context=tractormuseumlit","Click for test report")</f>
        <v>Click for test report</v>
      </c>
      <c r="C17">
        <v>1920</v>
      </c>
      <c r="D17" t="s">
        <v>6556</v>
      </c>
      <c r="F17" t="s">
        <v>6944</v>
      </c>
      <c r="G17" t="s">
        <v>7033</v>
      </c>
      <c r="H17" t="s">
        <v>7223</v>
      </c>
      <c r="I17" t="s">
        <v>50</v>
      </c>
      <c r="J17" t="s">
        <v>348</v>
      </c>
      <c r="K17" t="s">
        <v>6821</v>
      </c>
      <c r="M17" t="s">
        <v>4355</v>
      </c>
      <c r="N17" t="s">
        <v>4935</v>
      </c>
    </row>
    <row r="18" spans="1:15" x14ac:dyDescent="0.25">
      <c r="A18">
        <v>17</v>
      </c>
      <c r="B18" t="str">
        <f>HYPERLINK("https://digitalcommons.unl.edu/cgi/viewcontent.cgi?article=1623&amp;context=tractormuseumlit","Click for test report")</f>
        <v>Click for test report</v>
      </c>
      <c r="C18">
        <v>1920</v>
      </c>
      <c r="D18" t="s">
        <v>7221</v>
      </c>
      <c r="F18" t="s">
        <v>6944</v>
      </c>
      <c r="G18" t="s">
        <v>7033</v>
      </c>
      <c r="H18" t="s">
        <v>7222</v>
      </c>
      <c r="I18" t="s">
        <v>50</v>
      </c>
      <c r="J18" t="s">
        <v>348</v>
      </c>
      <c r="K18" t="s">
        <v>6821</v>
      </c>
      <c r="M18" t="s">
        <v>4627</v>
      </c>
      <c r="N18" t="s">
        <v>6060</v>
      </c>
      <c r="O18" t="s">
        <v>24</v>
      </c>
    </row>
    <row r="19" spans="1:15" x14ac:dyDescent="0.25">
      <c r="A19">
        <v>18</v>
      </c>
      <c r="B19" t="str">
        <f>HYPERLINK("https://digitalcommons.unl.edu/cgi/viewcontent.cgi?article=1624&amp;context=tractormuseumlit","Click for test report")</f>
        <v>Click for test report</v>
      </c>
      <c r="C19">
        <v>1920</v>
      </c>
      <c r="D19" t="s">
        <v>7220</v>
      </c>
      <c r="F19" t="s">
        <v>4395</v>
      </c>
      <c r="G19" t="s">
        <v>6088</v>
      </c>
      <c r="H19" t="s">
        <v>7013</v>
      </c>
      <c r="I19" t="s">
        <v>50</v>
      </c>
      <c r="J19" t="s">
        <v>348</v>
      </c>
      <c r="K19" t="s">
        <v>6821</v>
      </c>
      <c r="M19" t="s">
        <v>4627</v>
      </c>
      <c r="N19" t="s">
        <v>6061</v>
      </c>
    </row>
    <row r="20" spans="1:15" x14ac:dyDescent="0.25">
      <c r="A20">
        <v>19</v>
      </c>
      <c r="B20" t="str">
        <f>HYPERLINK("https://digitalcommons.unl.edu/cgi/viewcontent.cgi?article=1649&amp;context=tractormuseumlit","Click for test report")</f>
        <v>Click for test report</v>
      </c>
      <c r="C20">
        <v>1920</v>
      </c>
      <c r="D20" t="s">
        <v>7219</v>
      </c>
      <c r="F20" t="s">
        <v>6958</v>
      </c>
      <c r="G20" t="s">
        <v>6632</v>
      </c>
      <c r="H20" t="s">
        <v>6927</v>
      </c>
      <c r="I20" t="s">
        <v>50</v>
      </c>
      <c r="J20" t="s">
        <v>348</v>
      </c>
      <c r="K20" t="s">
        <v>6821</v>
      </c>
      <c r="M20" t="s">
        <v>4352</v>
      </c>
      <c r="N20" t="s">
        <v>4449</v>
      </c>
      <c r="O20" t="s">
        <v>24</v>
      </c>
    </row>
    <row r="21" spans="1:15" x14ac:dyDescent="0.25">
      <c r="A21">
        <v>20</v>
      </c>
      <c r="B21" t="str">
        <f>HYPERLINK("https://digitalcommons.unl.edu/cgi/viewcontent.cgi?article=1636&amp;context=tractormuseumlit","Click for test report")</f>
        <v>Click for test report</v>
      </c>
      <c r="C21">
        <v>1920</v>
      </c>
      <c r="D21" t="s">
        <v>6412</v>
      </c>
      <c r="F21" t="s">
        <v>7218</v>
      </c>
      <c r="G21" t="s">
        <v>7218</v>
      </c>
      <c r="H21" t="s">
        <v>6927</v>
      </c>
      <c r="I21" t="s">
        <v>50</v>
      </c>
      <c r="J21" t="s">
        <v>348</v>
      </c>
      <c r="K21" t="s">
        <v>6821</v>
      </c>
      <c r="M21" t="s">
        <v>4590</v>
      </c>
      <c r="N21" t="s">
        <v>4363</v>
      </c>
      <c r="O21" t="s">
        <v>24</v>
      </c>
    </row>
    <row r="22" spans="1:15" x14ac:dyDescent="0.25">
      <c r="A22">
        <v>21</v>
      </c>
      <c r="B22" t="str">
        <f>HYPERLINK("https://digitalcommons.unl.edu/cgi/viewcontent.cgi?article=1625&amp;context=tractormuseumlit","Click for test report")</f>
        <v>Click for test report</v>
      </c>
      <c r="C22">
        <v>1920</v>
      </c>
      <c r="D22" t="s">
        <v>7216</v>
      </c>
      <c r="F22" t="s">
        <v>7217</v>
      </c>
      <c r="G22" t="s">
        <v>7217</v>
      </c>
      <c r="H22" t="s">
        <v>7050</v>
      </c>
      <c r="I22" t="s">
        <v>50</v>
      </c>
      <c r="J22" t="s">
        <v>348</v>
      </c>
      <c r="K22" t="s">
        <v>6821</v>
      </c>
      <c r="M22" t="s">
        <v>4008</v>
      </c>
      <c r="N22" t="s">
        <v>4444</v>
      </c>
      <c r="O22" t="s">
        <v>24</v>
      </c>
    </row>
    <row r="23" spans="1:15" x14ac:dyDescent="0.25">
      <c r="A23">
        <v>22</v>
      </c>
      <c r="B23" t="str">
        <f>HYPERLINK("https://digitalcommons.unl.edu/cgi/viewcontent.cgi?article=1626&amp;context=tractormuseumlit","Click for test report")</f>
        <v>Click for test report</v>
      </c>
      <c r="C23">
        <v>1920</v>
      </c>
      <c r="D23" t="s">
        <v>6823</v>
      </c>
      <c r="F23" t="s">
        <v>7214</v>
      </c>
      <c r="G23" t="s">
        <v>7214</v>
      </c>
      <c r="H23" t="s">
        <v>7008</v>
      </c>
      <c r="I23" t="s">
        <v>50</v>
      </c>
      <c r="J23" t="s">
        <v>7084</v>
      </c>
      <c r="K23" t="s">
        <v>4809</v>
      </c>
      <c r="M23" t="s">
        <v>4012</v>
      </c>
      <c r="N23" t="s">
        <v>4627</v>
      </c>
      <c r="O23" t="s">
        <v>7215</v>
      </c>
    </row>
    <row r="24" spans="1:15" x14ac:dyDescent="0.25">
      <c r="A24">
        <v>23</v>
      </c>
      <c r="B24" t="str">
        <f>HYPERLINK("https://digitalcommons.unl.edu/cgi/viewcontent.cgi?article=1638&amp;context=tractormuseumlit","Click for test report")</f>
        <v>Click for test report</v>
      </c>
      <c r="C24">
        <v>1920</v>
      </c>
      <c r="D24" t="s">
        <v>7212</v>
      </c>
      <c r="F24" t="s">
        <v>4503</v>
      </c>
      <c r="G24" t="s">
        <v>4503</v>
      </c>
      <c r="H24" t="s">
        <v>7213</v>
      </c>
      <c r="I24" t="s">
        <v>50</v>
      </c>
      <c r="J24" t="s">
        <v>348</v>
      </c>
      <c r="K24" t="s">
        <v>6821</v>
      </c>
      <c r="M24" t="s">
        <v>4589</v>
      </c>
      <c r="N24" t="s">
        <v>4621</v>
      </c>
      <c r="O24" t="s">
        <v>24</v>
      </c>
    </row>
    <row r="25" spans="1:15" x14ac:dyDescent="0.25">
      <c r="A25">
        <v>24</v>
      </c>
      <c r="B25" t="str">
        <f>HYPERLINK("https://digitalcommons.unl.edu/cgi/viewcontent.cgi?article=1627&amp;context=tractormuseumlit","Click for test report")</f>
        <v>Click for test report</v>
      </c>
      <c r="C25">
        <v>1920</v>
      </c>
      <c r="D25" t="s">
        <v>7211</v>
      </c>
      <c r="F25" t="s">
        <v>4503</v>
      </c>
      <c r="G25" t="s">
        <v>4503</v>
      </c>
      <c r="H25" t="s">
        <v>6950</v>
      </c>
      <c r="I25" t="s">
        <v>50</v>
      </c>
      <c r="J25" t="s">
        <v>348</v>
      </c>
      <c r="K25" t="s">
        <v>6821</v>
      </c>
      <c r="M25" t="s">
        <v>3973</v>
      </c>
      <c r="N25" t="s">
        <v>4590</v>
      </c>
      <c r="O25" t="s">
        <v>24</v>
      </c>
    </row>
    <row r="26" spans="1:15" x14ac:dyDescent="0.25">
      <c r="A26">
        <v>25</v>
      </c>
      <c r="B26" t="str">
        <f>HYPERLINK("https://digitalcommons.unl.edu/cgi/viewcontent.cgi?article=1628&amp;context=tractormuseumlit","Click for test report")</f>
        <v>Click for test report</v>
      </c>
      <c r="C26">
        <v>1920</v>
      </c>
      <c r="D26" t="s">
        <v>5797</v>
      </c>
      <c r="F26" t="s">
        <v>4503</v>
      </c>
      <c r="G26" t="s">
        <v>4503</v>
      </c>
      <c r="H26" t="s">
        <v>7121</v>
      </c>
      <c r="I26" t="s">
        <v>50</v>
      </c>
      <c r="J26" t="s">
        <v>348</v>
      </c>
      <c r="K26" t="s">
        <v>6821</v>
      </c>
      <c r="M26" t="s">
        <v>4449</v>
      </c>
      <c r="N26" t="s">
        <v>6060</v>
      </c>
      <c r="O26" t="s">
        <v>24</v>
      </c>
    </row>
    <row r="27" spans="1:15" x14ac:dyDescent="0.25">
      <c r="A27">
        <v>26</v>
      </c>
      <c r="B27" t="str">
        <f>HYPERLINK("https://digitalcommons.unl.edu/cgi/viewcontent.cgi?article=1630&amp;context=tractormuseumlit","Click for test report")</f>
        <v>Click for test report</v>
      </c>
      <c r="C27">
        <v>1920</v>
      </c>
      <c r="D27" t="s">
        <v>7209</v>
      </c>
      <c r="F27" t="s">
        <v>6896</v>
      </c>
      <c r="G27" t="s">
        <v>6896</v>
      </c>
      <c r="H27" t="s">
        <v>7210</v>
      </c>
      <c r="I27" t="s">
        <v>50</v>
      </c>
      <c r="J27" t="s">
        <v>348</v>
      </c>
      <c r="K27" t="s">
        <v>6821</v>
      </c>
      <c r="M27" t="s">
        <v>4008</v>
      </c>
      <c r="N27" t="s">
        <v>4627</v>
      </c>
      <c r="O27" t="s">
        <v>24</v>
      </c>
    </row>
    <row r="28" spans="1:15" x14ac:dyDescent="0.25">
      <c r="A28">
        <v>27</v>
      </c>
      <c r="B28" t="str">
        <f>HYPERLINK("https://digitalcommons.unl.edu/cgi/viewcontent.cgi?article=1631&amp;context=tractormuseumlit","Click for test report")</f>
        <v>Click for test report</v>
      </c>
      <c r="C28">
        <v>1920</v>
      </c>
      <c r="D28" t="s">
        <v>7207</v>
      </c>
      <c r="F28" t="s">
        <v>7208</v>
      </c>
      <c r="G28" t="s">
        <v>7208</v>
      </c>
      <c r="H28" t="s">
        <v>6577</v>
      </c>
      <c r="I28" t="s">
        <v>50</v>
      </c>
      <c r="J28" t="s">
        <v>348</v>
      </c>
      <c r="K28" t="s">
        <v>6821</v>
      </c>
      <c r="M28" t="s">
        <v>4627</v>
      </c>
      <c r="N28" t="s">
        <v>6060</v>
      </c>
      <c r="O28" t="s">
        <v>24</v>
      </c>
    </row>
    <row r="29" spans="1:15" x14ac:dyDescent="0.25">
      <c r="A29">
        <v>28</v>
      </c>
      <c r="B29" t="str">
        <f>HYPERLINK("https://digitalcommons.unl.edu/cgi/viewcontent.cgi?article=1632&amp;context=tractormuseumlit","Click for test report")</f>
        <v>Click for test report</v>
      </c>
      <c r="C29">
        <v>1920</v>
      </c>
      <c r="D29" t="s">
        <v>7205</v>
      </c>
      <c r="F29" t="s">
        <v>7206</v>
      </c>
      <c r="G29" t="s">
        <v>7206</v>
      </c>
      <c r="H29" t="s">
        <v>4809</v>
      </c>
      <c r="I29" t="s">
        <v>50</v>
      </c>
      <c r="J29" t="s">
        <v>348</v>
      </c>
      <c r="K29" t="s">
        <v>4809</v>
      </c>
      <c r="M29" t="s">
        <v>6002</v>
      </c>
      <c r="N29" t="s">
        <v>6006</v>
      </c>
      <c r="O29" t="s">
        <v>24</v>
      </c>
    </row>
    <row r="30" spans="1:15" x14ac:dyDescent="0.25">
      <c r="A30">
        <v>29</v>
      </c>
      <c r="B30" t="str">
        <f>HYPERLINK("https://digitalcommons.unl.edu/cgi/viewcontent.cgi?article=1633&amp;context=tractormuseumlit","Click for test report")</f>
        <v>Click for test report</v>
      </c>
      <c r="C30">
        <v>1920</v>
      </c>
      <c r="D30" t="s">
        <v>7202</v>
      </c>
      <c r="F30" t="s">
        <v>7203</v>
      </c>
      <c r="G30" t="s">
        <v>7203</v>
      </c>
      <c r="H30" t="s">
        <v>7204</v>
      </c>
      <c r="I30" t="s">
        <v>50</v>
      </c>
      <c r="J30" t="s">
        <v>348</v>
      </c>
      <c r="K30" t="s">
        <v>6821</v>
      </c>
      <c r="M30" t="s">
        <v>4355</v>
      </c>
      <c r="N30" t="s">
        <v>4363</v>
      </c>
      <c r="O30" t="s">
        <v>24</v>
      </c>
    </row>
    <row r="31" spans="1:15" x14ac:dyDescent="0.25">
      <c r="A31">
        <v>30</v>
      </c>
      <c r="B31" t="str">
        <f>HYPERLINK("https://digitalcommons.unl.edu/cgi/viewcontent.cgi?article=1640&amp;context=tractormuseumlit","Click for test report")</f>
        <v>Click for test report</v>
      </c>
      <c r="C31">
        <v>1920</v>
      </c>
      <c r="D31" t="s">
        <v>6220</v>
      </c>
      <c r="F31" t="s">
        <v>7198</v>
      </c>
      <c r="G31" t="s">
        <v>7198</v>
      </c>
      <c r="H31" t="s">
        <v>7201</v>
      </c>
      <c r="I31" t="s">
        <v>50</v>
      </c>
      <c r="J31" t="s">
        <v>348</v>
      </c>
      <c r="K31" t="s">
        <v>4809</v>
      </c>
      <c r="M31" t="s">
        <v>344</v>
      </c>
      <c r="N31" t="s">
        <v>353</v>
      </c>
      <c r="O31" t="s">
        <v>24</v>
      </c>
    </row>
    <row r="32" spans="1:15" x14ac:dyDescent="0.25">
      <c r="A32">
        <v>31</v>
      </c>
      <c r="B32" t="str">
        <f>HYPERLINK("https://digitalcommons.unl.edu/cgi/viewcontent.cgi?article=1640&amp;context=tractormuseumlit","Click for test report")</f>
        <v>Click for test report</v>
      </c>
      <c r="C32">
        <v>1920</v>
      </c>
      <c r="D32" t="s">
        <v>6220</v>
      </c>
      <c r="F32" t="s">
        <v>7198</v>
      </c>
      <c r="G32" t="s">
        <v>7198</v>
      </c>
      <c r="H32" t="s">
        <v>7201</v>
      </c>
      <c r="I32" t="s">
        <v>50</v>
      </c>
      <c r="J32" t="s">
        <v>348</v>
      </c>
      <c r="K32" t="s">
        <v>6821</v>
      </c>
      <c r="M32" t="s">
        <v>58</v>
      </c>
      <c r="N32" t="s">
        <v>1970</v>
      </c>
      <c r="O32" t="s">
        <v>24</v>
      </c>
    </row>
    <row r="33" spans="1:15" x14ac:dyDescent="0.25">
      <c r="A33">
        <v>32</v>
      </c>
      <c r="B33" t="str">
        <f>HYPERLINK("https://digitalcommons.unl.edu/cgi/viewcontent.cgi?article=1651&amp;context=tractormuseumlit","Click for test report")</f>
        <v>Click for test report</v>
      </c>
      <c r="C33">
        <v>1920</v>
      </c>
      <c r="D33" t="s">
        <v>7200</v>
      </c>
      <c r="F33" t="s">
        <v>7198</v>
      </c>
      <c r="G33" t="s">
        <v>7198</v>
      </c>
      <c r="H33" t="s">
        <v>6950</v>
      </c>
      <c r="I33" t="s">
        <v>50</v>
      </c>
      <c r="J33" t="s">
        <v>348</v>
      </c>
      <c r="K33" t="s">
        <v>6821</v>
      </c>
      <c r="M33" t="s">
        <v>3388</v>
      </c>
      <c r="N33" t="s">
        <v>4362</v>
      </c>
      <c r="O33" t="s">
        <v>24</v>
      </c>
    </row>
    <row r="34" spans="1:15" x14ac:dyDescent="0.25">
      <c r="A34">
        <v>33</v>
      </c>
      <c r="B34" t="str">
        <f>HYPERLINK("https://digitalcommons.unl.edu/cgi/viewcontent.cgi?article=1653&amp;context=tractormuseumlit","Click for test report")</f>
        <v>Click for test report</v>
      </c>
      <c r="C34">
        <v>1920</v>
      </c>
      <c r="D34" t="s">
        <v>6990</v>
      </c>
      <c r="F34" t="s">
        <v>7198</v>
      </c>
      <c r="G34" t="s">
        <v>7198</v>
      </c>
      <c r="H34" t="s">
        <v>7199</v>
      </c>
      <c r="I34" t="s">
        <v>50</v>
      </c>
      <c r="J34" t="s">
        <v>348</v>
      </c>
      <c r="K34" t="s">
        <v>6821</v>
      </c>
      <c r="M34" t="s">
        <v>410</v>
      </c>
      <c r="N34" t="s">
        <v>4589</v>
      </c>
      <c r="O34" t="s">
        <v>24</v>
      </c>
    </row>
    <row r="35" spans="1:15" x14ac:dyDescent="0.25">
      <c r="A35">
        <v>34</v>
      </c>
      <c r="B35" t="str">
        <f>HYPERLINK("https://digitalcommons.unl.edu/cgi/viewcontent.cgi?article=1655&amp;context=tractormuseumlit","Click for test report")</f>
        <v>Click for test report</v>
      </c>
      <c r="C35">
        <v>1920</v>
      </c>
      <c r="D35" t="s">
        <v>7195</v>
      </c>
      <c r="F35" t="s">
        <v>7196</v>
      </c>
      <c r="G35" t="s">
        <v>5347</v>
      </c>
      <c r="H35" t="s">
        <v>7197</v>
      </c>
      <c r="I35" t="s">
        <v>50</v>
      </c>
      <c r="J35" t="s">
        <v>348</v>
      </c>
      <c r="K35" t="s">
        <v>4809</v>
      </c>
      <c r="M35" t="s">
        <v>4352</v>
      </c>
      <c r="N35" t="s">
        <v>4363</v>
      </c>
      <c r="O35" t="s">
        <v>24</v>
      </c>
    </row>
    <row r="36" spans="1:15" x14ac:dyDescent="0.25">
      <c r="A36">
        <v>35</v>
      </c>
      <c r="B36" t="str">
        <f>HYPERLINK("https://digitalcommons.unl.edu/cgi/viewcontent.cgi?article=3688&amp;context=tractormuseumlit","Click for test report")</f>
        <v>Click for test report</v>
      </c>
      <c r="C36">
        <v>1920</v>
      </c>
      <c r="D36" t="s">
        <v>7194</v>
      </c>
      <c r="G36" t="s">
        <v>322</v>
      </c>
      <c r="O36" t="s">
        <v>24</v>
      </c>
    </row>
    <row r="37" spans="1:15" x14ac:dyDescent="0.25">
      <c r="A37">
        <v>36</v>
      </c>
      <c r="B37" t="str">
        <f>HYPERLINK("https://digitalcommons.unl.edu/cgi/viewcontent.cgi?article=1657&amp;context=tractormuseumlit","Click for test report")</f>
        <v>Click for test report</v>
      </c>
      <c r="C37">
        <v>1920</v>
      </c>
      <c r="D37" t="s">
        <v>5982</v>
      </c>
      <c r="F37" t="s">
        <v>7192</v>
      </c>
      <c r="G37" t="s">
        <v>7192</v>
      </c>
      <c r="H37" t="s">
        <v>7193</v>
      </c>
      <c r="I37" t="s">
        <v>50</v>
      </c>
      <c r="J37" t="s">
        <v>348</v>
      </c>
      <c r="K37" t="s">
        <v>6821</v>
      </c>
      <c r="M37" t="s">
        <v>4440</v>
      </c>
      <c r="N37" t="s">
        <v>4621</v>
      </c>
      <c r="O37" t="s">
        <v>24</v>
      </c>
    </row>
    <row r="38" spans="1:15" x14ac:dyDescent="0.25">
      <c r="A38">
        <v>37</v>
      </c>
      <c r="B38" t="str">
        <f>HYPERLINK("https://digitalcommons.unl.edu/cgi/viewcontent.cgi?article=3688&amp;context=tractormuseumlit","Click for test report")</f>
        <v>Click for test report</v>
      </c>
      <c r="C38">
        <v>1920</v>
      </c>
      <c r="D38" t="s">
        <v>7191</v>
      </c>
      <c r="G38" t="s">
        <v>322</v>
      </c>
      <c r="O38" t="s">
        <v>24</v>
      </c>
    </row>
    <row r="39" spans="1:15" x14ac:dyDescent="0.25">
      <c r="A39">
        <v>38</v>
      </c>
      <c r="B39" t="str">
        <f>HYPERLINK("https://digitalcommons.unl.edu/cgi/viewcontent.cgi?article=1659&amp;context=tractormuseumlit","Click for test report")</f>
        <v>Click for test report</v>
      </c>
      <c r="C39">
        <v>1920</v>
      </c>
      <c r="D39" t="s">
        <v>7187</v>
      </c>
      <c r="F39" t="s">
        <v>7188</v>
      </c>
      <c r="G39" t="s">
        <v>7189</v>
      </c>
      <c r="H39" t="s">
        <v>7190</v>
      </c>
      <c r="I39" t="s">
        <v>50</v>
      </c>
      <c r="J39" t="s">
        <v>348</v>
      </c>
      <c r="K39" t="s">
        <v>6821</v>
      </c>
      <c r="M39" t="s">
        <v>4008</v>
      </c>
      <c r="N39" t="s">
        <v>4359</v>
      </c>
      <c r="O39" t="s">
        <v>24</v>
      </c>
    </row>
    <row r="40" spans="1:15" x14ac:dyDescent="0.25">
      <c r="A40">
        <v>39</v>
      </c>
      <c r="B40" t="str">
        <f>HYPERLINK("https://digitalcommons.unl.edu/cgi/viewcontent.cgi?article=3688&amp;context=tractormuseumlit","Click for test report")</f>
        <v>Click for test report</v>
      </c>
      <c r="C40">
        <v>1920</v>
      </c>
      <c r="D40" t="s">
        <v>7186</v>
      </c>
      <c r="G40" t="s">
        <v>322</v>
      </c>
      <c r="O40" t="s">
        <v>24</v>
      </c>
    </row>
    <row r="41" spans="1:15" x14ac:dyDescent="0.25">
      <c r="A41">
        <v>40</v>
      </c>
      <c r="B41" t="str">
        <f>HYPERLINK("https://digitalcommons.unl.edu/cgi/viewcontent.cgi?article=1661&amp;context=tractormuseumlit","Click for test report")</f>
        <v>Click for test report</v>
      </c>
      <c r="C41">
        <v>1920</v>
      </c>
      <c r="D41" t="s">
        <v>7183</v>
      </c>
      <c r="F41" t="s">
        <v>6425</v>
      </c>
      <c r="G41" t="s">
        <v>6425</v>
      </c>
      <c r="H41" t="s">
        <v>7184</v>
      </c>
      <c r="I41" t="s">
        <v>50</v>
      </c>
      <c r="J41" t="s">
        <v>348</v>
      </c>
      <c r="K41" t="s">
        <v>4809</v>
      </c>
      <c r="M41" t="s">
        <v>4452</v>
      </c>
      <c r="N41" t="s">
        <v>5739</v>
      </c>
      <c r="O41" t="s">
        <v>7185</v>
      </c>
    </row>
    <row r="42" spans="1:15" x14ac:dyDescent="0.25">
      <c r="A42">
        <v>41</v>
      </c>
      <c r="B42" t="str">
        <f>HYPERLINK("https://digitalcommons.unl.edu/cgi/viewcontent.cgi?article=1663&amp;context=tractormuseumlit","Click for test report")</f>
        <v>Click for test report</v>
      </c>
      <c r="C42">
        <v>1920</v>
      </c>
      <c r="D42" t="s">
        <v>6234</v>
      </c>
      <c r="F42" t="s">
        <v>6425</v>
      </c>
      <c r="G42" t="s">
        <v>6425</v>
      </c>
      <c r="H42" t="s">
        <v>7181</v>
      </c>
      <c r="I42" t="s">
        <v>50</v>
      </c>
      <c r="J42" t="s">
        <v>348</v>
      </c>
      <c r="K42" t="s">
        <v>4809</v>
      </c>
      <c r="M42" t="s">
        <v>4621</v>
      </c>
      <c r="N42" t="s">
        <v>5739</v>
      </c>
      <c r="O42" t="s">
        <v>7182</v>
      </c>
    </row>
    <row r="43" spans="1:15" x14ac:dyDescent="0.25">
      <c r="A43">
        <v>42</v>
      </c>
      <c r="B43" t="str">
        <f>HYPERLINK("https://digitalcommons.unl.edu/cgi/viewcontent.cgi?article=1665&amp;context=tractormuseumlit","Click for test report")</f>
        <v>Click for test report</v>
      </c>
      <c r="C43">
        <v>1920</v>
      </c>
      <c r="D43" t="s">
        <v>7180</v>
      </c>
      <c r="F43" t="s">
        <v>6425</v>
      </c>
      <c r="G43" t="s">
        <v>6425</v>
      </c>
      <c r="H43" t="s">
        <v>6927</v>
      </c>
      <c r="I43" t="s">
        <v>50</v>
      </c>
      <c r="J43" t="s">
        <v>348</v>
      </c>
      <c r="K43" t="s">
        <v>6821</v>
      </c>
      <c r="M43" t="s">
        <v>4355</v>
      </c>
      <c r="N43" t="s">
        <v>4363</v>
      </c>
      <c r="O43" t="s">
        <v>24</v>
      </c>
    </row>
    <row r="44" spans="1:15" x14ac:dyDescent="0.25">
      <c r="A44">
        <v>43</v>
      </c>
      <c r="B44" t="str">
        <f>HYPERLINK("https://digitalcommons.unl.edu/cgi/viewcontent.cgi?article=1668&amp;context=tractormuseumlit","Click for test report")</f>
        <v>Click for test report</v>
      </c>
      <c r="C44">
        <v>1920</v>
      </c>
      <c r="D44" t="s">
        <v>7179</v>
      </c>
      <c r="F44" t="s">
        <v>6425</v>
      </c>
      <c r="G44" t="s">
        <v>6425</v>
      </c>
      <c r="H44" t="s">
        <v>7158</v>
      </c>
      <c r="I44" t="s">
        <v>50</v>
      </c>
      <c r="J44" t="s">
        <v>348</v>
      </c>
      <c r="K44" t="s">
        <v>6821</v>
      </c>
      <c r="M44" t="s">
        <v>4008</v>
      </c>
      <c r="N44" t="s">
        <v>4362</v>
      </c>
      <c r="O44" t="s">
        <v>24</v>
      </c>
    </row>
    <row r="45" spans="1:15" x14ac:dyDescent="0.25">
      <c r="A45">
        <v>44</v>
      </c>
      <c r="B45" t="str">
        <f>HYPERLINK("https://digitalcommons.unl.edu/cgi/viewcontent.cgi?article=1670&amp;context=tractormuseumlit","Click for test report")</f>
        <v>Click for test report</v>
      </c>
      <c r="C45">
        <v>1920</v>
      </c>
      <c r="D45" t="s">
        <v>7177</v>
      </c>
      <c r="F45" t="s">
        <v>6425</v>
      </c>
      <c r="G45" t="s">
        <v>6425</v>
      </c>
      <c r="H45" t="s">
        <v>7178</v>
      </c>
      <c r="I45" t="s">
        <v>50</v>
      </c>
      <c r="J45" t="s">
        <v>348</v>
      </c>
      <c r="K45" t="s">
        <v>6821</v>
      </c>
      <c r="M45" t="s">
        <v>404</v>
      </c>
      <c r="N45" t="s">
        <v>4012</v>
      </c>
      <c r="O45" t="s">
        <v>24</v>
      </c>
    </row>
    <row r="46" spans="1:15" x14ac:dyDescent="0.25">
      <c r="A46">
        <v>45</v>
      </c>
      <c r="B46" t="str">
        <f>HYPERLINK("https://digitalcommons.unl.edu/cgi/viewcontent.cgi?article=1672&amp;context=tractormuseumlit","Click for test report")</f>
        <v>Click for test report</v>
      </c>
      <c r="C46">
        <v>1920</v>
      </c>
      <c r="D46" t="s">
        <v>6505</v>
      </c>
      <c r="F46" t="s">
        <v>6425</v>
      </c>
      <c r="G46" t="s">
        <v>6425</v>
      </c>
      <c r="H46" t="s">
        <v>7175</v>
      </c>
      <c r="I46" t="s">
        <v>50</v>
      </c>
      <c r="J46" t="s">
        <v>348</v>
      </c>
      <c r="K46" t="s">
        <v>4809</v>
      </c>
      <c r="M46" t="s">
        <v>2747</v>
      </c>
      <c r="N46" t="s">
        <v>1650</v>
      </c>
      <c r="O46" t="s">
        <v>7176</v>
      </c>
    </row>
    <row r="47" spans="1:15" x14ac:dyDescent="0.25">
      <c r="A47">
        <v>46</v>
      </c>
      <c r="B47" t="str">
        <f>HYPERLINK("https://digitalcommons.unl.edu/cgi/viewcontent.cgi?article=1674&amp;context=tractormuseumlit","Click for test report")</f>
        <v>Click for test report</v>
      </c>
      <c r="C47">
        <v>1920</v>
      </c>
      <c r="D47" t="s">
        <v>7173</v>
      </c>
      <c r="F47" t="s">
        <v>6678</v>
      </c>
      <c r="G47" t="s">
        <v>6679</v>
      </c>
      <c r="H47" t="s">
        <v>7174</v>
      </c>
      <c r="I47" t="s">
        <v>50</v>
      </c>
      <c r="J47" t="s">
        <v>96</v>
      </c>
      <c r="K47" t="s">
        <v>6821</v>
      </c>
      <c r="M47" t="s">
        <v>4355</v>
      </c>
      <c r="N47" t="s">
        <v>4621</v>
      </c>
      <c r="O47" t="s">
        <v>24</v>
      </c>
    </row>
    <row r="48" spans="1:15" x14ac:dyDescent="0.25">
      <c r="A48">
        <v>47</v>
      </c>
      <c r="B48" t="str">
        <f>HYPERLINK("https://digitalcommons.unl.edu/cgi/viewcontent.cgi?article=1675&amp;context=tractormuseumlit","Click for test report")</f>
        <v>Click for test report</v>
      </c>
      <c r="C48">
        <v>1920</v>
      </c>
      <c r="D48" t="s">
        <v>7171</v>
      </c>
      <c r="F48" t="s">
        <v>7169</v>
      </c>
      <c r="G48" t="s">
        <v>7169</v>
      </c>
      <c r="H48" t="s">
        <v>7172</v>
      </c>
      <c r="I48" t="s">
        <v>50</v>
      </c>
      <c r="J48" t="s">
        <v>348</v>
      </c>
      <c r="K48" t="s">
        <v>4809</v>
      </c>
      <c r="M48" t="s">
        <v>4440</v>
      </c>
      <c r="O48" t="s">
        <v>24</v>
      </c>
    </row>
    <row r="49" spans="1:15" x14ac:dyDescent="0.25">
      <c r="A49">
        <v>48</v>
      </c>
      <c r="B49" t="str">
        <f>HYPERLINK("https://digitalcommons.unl.edu/cgi/viewcontent.cgi?article=1675&amp;context=tractormuseumlit","Click for test report")</f>
        <v>Click for test report</v>
      </c>
      <c r="C49">
        <v>1920</v>
      </c>
      <c r="D49" t="s">
        <v>7171</v>
      </c>
      <c r="F49" t="s">
        <v>7169</v>
      </c>
      <c r="G49" t="s">
        <v>7169</v>
      </c>
      <c r="H49" t="s">
        <v>7172</v>
      </c>
      <c r="I49" t="s">
        <v>50</v>
      </c>
      <c r="J49" t="s">
        <v>348</v>
      </c>
      <c r="K49" t="s">
        <v>6821</v>
      </c>
      <c r="M49" t="s">
        <v>4397</v>
      </c>
      <c r="N49" t="s">
        <v>4627</v>
      </c>
      <c r="O49" t="s">
        <v>24</v>
      </c>
    </row>
    <row r="50" spans="1:15" x14ac:dyDescent="0.25">
      <c r="A50">
        <v>49</v>
      </c>
      <c r="B50" t="str">
        <f>HYPERLINK("https://digitalcommons.unl.edu/cgi/viewcontent.cgi?article=1677&amp;context=tractormuseumlit","Click for test report")</f>
        <v>Click for test report</v>
      </c>
      <c r="C50">
        <v>1920</v>
      </c>
      <c r="D50" t="s">
        <v>7168</v>
      </c>
      <c r="F50" t="s">
        <v>7169</v>
      </c>
      <c r="G50" t="s">
        <v>7169</v>
      </c>
      <c r="H50" t="s">
        <v>7170</v>
      </c>
      <c r="I50" t="s">
        <v>50</v>
      </c>
      <c r="J50" t="s">
        <v>348</v>
      </c>
      <c r="K50" t="s">
        <v>6821</v>
      </c>
      <c r="M50" t="s">
        <v>4444</v>
      </c>
      <c r="N50" t="s">
        <v>4452</v>
      </c>
      <c r="O50" t="s">
        <v>24</v>
      </c>
    </row>
    <row r="51" spans="1:15" x14ac:dyDescent="0.25">
      <c r="A51">
        <v>50</v>
      </c>
      <c r="B51" t="str">
        <f>HYPERLINK("https://digitalcommons.unl.edu/cgi/viewcontent.cgi?article=1679&amp;context=tractormuseumlit","Click for test report")</f>
        <v>Click for test report</v>
      </c>
      <c r="C51">
        <v>1920</v>
      </c>
      <c r="D51" t="s">
        <v>7166</v>
      </c>
      <c r="F51" t="s">
        <v>6958</v>
      </c>
      <c r="G51" t="s">
        <v>6632</v>
      </c>
      <c r="H51" t="s">
        <v>7167</v>
      </c>
      <c r="I51" t="s">
        <v>50</v>
      </c>
      <c r="J51" t="s">
        <v>348</v>
      </c>
      <c r="K51" t="s">
        <v>6821</v>
      </c>
      <c r="M51" t="s">
        <v>1350</v>
      </c>
      <c r="N51" t="s">
        <v>1650</v>
      </c>
      <c r="O51" t="s">
        <v>24</v>
      </c>
    </row>
    <row r="52" spans="1:15" x14ac:dyDescent="0.25">
      <c r="A52">
        <v>51</v>
      </c>
      <c r="B52" t="str">
        <f>HYPERLINK("https://digitalcommons.unl.edu/cgi/viewcontent.cgi?article=1681&amp;context=tractormuseumlit","Click for test report")</f>
        <v>Click for test report</v>
      </c>
      <c r="C52">
        <v>1920</v>
      </c>
      <c r="D52" t="s">
        <v>7164</v>
      </c>
      <c r="F52" t="s">
        <v>3800</v>
      </c>
      <c r="G52" t="s">
        <v>6926</v>
      </c>
      <c r="H52" t="s">
        <v>7165</v>
      </c>
      <c r="I52" t="s">
        <v>50</v>
      </c>
      <c r="J52" t="s">
        <v>348</v>
      </c>
      <c r="K52" t="s">
        <v>6821</v>
      </c>
      <c r="M52" t="s">
        <v>4352</v>
      </c>
      <c r="N52" t="s">
        <v>4449</v>
      </c>
      <c r="O52" t="s">
        <v>24</v>
      </c>
    </row>
    <row r="53" spans="1:15" x14ac:dyDescent="0.25">
      <c r="A53">
        <v>52</v>
      </c>
      <c r="B53" t="str">
        <f>HYPERLINK("https://digitalcommons.unl.edu/cgi/viewcontent.cgi?article=1681&amp;context=tractormuseumlit","Click for test report")</f>
        <v>Click for test report</v>
      </c>
      <c r="C53">
        <v>1920</v>
      </c>
      <c r="D53" t="s">
        <v>7164</v>
      </c>
      <c r="F53" t="s">
        <v>3800</v>
      </c>
      <c r="G53" t="s">
        <v>6926</v>
      </c>
      <c r="H53" t="s">
        <v>7165</v>
      </c>
      <c r="I53" t="s">
        <v>50</v>
      </c>
      <c r="J53" t="s">
        <v>348</v>
      </c>
      <c r="K53" t="s">
        <v>4809</v>
      </c>
      <c r="M53" t="s">
        <v>4397</v>
      </c>
      <c r="O53" t="s">
        <v>24</v>
      </c>
    </row>
    <row r="54" spans="1:15" x14ac:dyDescent="0.25">
      <c r="A54">
        <v>53</v>
      </c>
      <c r="B54" t="str">
        <f>HYPERLINK("https://digitalcommons.unl.edu/cgi/viewcontent.cgi?article=1683&amp;context=tractormuseumlit","Click for test report")</f>
        <v>Click for test report</v>
      </c>
      <c r="C54">
        <v>1920</v>
      </c>
      <c r="D54" t="s">
        <v>5880</v>
      </c>
      <c r="F54" t="s">
        <v>7160</v>
      </c>
      <c r="G54" t="s">
        <v>7161</v>
      </c>
      <c r="H54" t="s">
        <v>6977</v>
      </c>
      <c r="I54" t="s">
        <v>50</v>
      </c>
      <c r="J54" t="s">
        <v>348</v>
      </c>
      <c r="K54" t="s">
        <v>6821</v>
      </c>
      <c r="M54" t="s">
        <v>2825</v>
      </c>
      <c r="N54" t="s">
        <v>4627</v>
      </c>
      <c r="O54" t="s">
        <v>24</v>
      </c>
    </row>
    <row r="55" spans="1:15" x14ac:dyDescent="0.25">
      <c r="A55">
        <v>54</v>
      </c>
      <c r="B55" t="str">
        <f>HYPERLINK("https://digitalcommons.unl.edu/cgi/viewcontent.cgi?article=1685&amp;context=tractormuseumlit","Click for test report")</f>
        <v>Click for test report</v>
      </c>
      <c r="C55">
        <v>1920</v>
      </c>
      <c r="D55" t="s">
        <v>7163</v>
      </c>
      <c r="F55" t="s">
        <v>6967</v>
      </c>
      <c r="G55" t="s">
        <v>6968</v>
      </c>
      <c r="H55" t="s">
        <v>6950</v>
      </c>
      <c r="I55" t="s">
        <v>50</v>
      </c>
      <c r="J55" t="s">
        <v>348</v>
      </c>
      <c r="K55" t="s">
        <v>6821</v>
      </c>
      <c r="M55" t="s">
        <v>4012</v>
      </c>
      <c r="N55" t="s">
        <v>4013</v>
      </c>
      <c r="O55" t="s">
        <v>24</v>
      </c>
    </row>
    <row r="56" spans="1:15" x14ac:dyDescent="0.25">
      <c r="A56">
        <v>55</v>
      </c>
      <c r="B56" t="str">
        <f>HYPERLINK("https://digitalcommons.unl.edu/cgi/viewcontent.cgi?article=1688&amp;context=tractormuseumlit","Click for test report")</f>
        <v>Click for test report</v>
      </c>
      <c r="C56">
        <v>1920</v>
      </c>
      <c r="D56" t="s">
        <v>7159</v>
      </c>
      <c r="F56" t="s">
        <v>7160</v>
      </c>
      <c r="G56" t="s">
        <v>7161</v>
      </c>
      <c r="H56" t="s">
        <v>7162</v>
      </c>
      <c r="I56" t="s">
        <v>50</v>
      </c>
      <c r="J56" t="s">
        <v>348</v>
      </c>
      <c r="K56" t="s">
        <v>6821</v>
      </c>
      <c r="M56" t="s">
        <v>722</v>
      </c>
      <c r="N56" t="s">
        <v>3319</v>
      </c>
      <c r="O56" t="s">
        <v>24</v>
      </c>
    </row>
    <row r="57" spans="1:15" x14ac:dyDescent="0.25">
      <c r="A57">
        <v>56</v>
      </c>
      <c r="B57" t="str">
        <f>HYPERLINK("https://digitalcommons.unl.edu/cgi/viewcontent.cgi?article=1690&amp;context=tractormuseumlit","Click for test report")</f>
        <v>Click for test report</v>
      </c>
      <c r="C57">
        <v>1920</v>
      </c>
      <c r="D57" t="s">
        <v>7155</v>
      </c>
      <c r="F57" t="s">
        <v>7156</v>
      </c>
      <c r="G57" t="s">
        <v>7157</v>
      </c>
      <c r="H57" t="s">
        <v>7158</v>
      </c>
      <c r="I57" t="s">
        <v>50</v>
      </c>
      <c r="J57" t="s">
        <v>348</v>
      </c>
      <c r="K57" t="s">
        <v>6821</v>
      </c>
      <c r="M57" t="s">
        <v>4589</v>
      </c>
      <c r="N57" t="s">
        <v>4627</v>
      </c>
      <c r="O57" t="s">
        <v>24</v>
      </c>
    </row>
    <row r="58" spans="1:15" x14ac:dyDescent="0.25">
      <c r="A58">
        <v>57</v>
      </c>
      <c r="B58" t="str">
        <f>HYPERLINK("https://digitalcommons.unl.edu/cgi/viewcontent.cgi?article=1692&amp;context=tractormuseumlit","Click for test report")</f>
        <v>Click for test report</v>
      </c>
      <c r="C58">
        <v>1920</v>
      </c>
      <c r="D58" t="s">
        <v>7153</v>
      </c>
      <c r="F58" t="s">
        <v>4325</v>
      </c>
      <c r="G58" t="s">
        <v>4325</v>
      </c>
      <c r="H58" t="s">
        <v>7154</v>
      </c>
      <c r="I58" t="s">
        <v>50</v>
      </c>
      <c r="J58" t="s">
        <v>348</v>
      </c>
      <c r="K58" t="s">
        <v>4809</v>
      </c>
      <c r="M58" t="s">
        <v>4930</v>
      </c>
      <c r="N58" t="s">
        <v>5740</v>
      </c>
      <c r="O58" t="s">
        <v>24</v>
      </c>
    </row>
    <row r="59" spans="1:15" x14ac:dyDescent="0.25">
      <c r="A59">
        <v>58</v>
      </c>
      <c r="B59" t="str">
        <f>HYPERLINK("https://digitalcommons.unl.edu/cgi/viewcontent.cgi?article=1693&amp;context=tractormuseumlit","Click for test report")</f>
        <v>Click for test report</v>
      </c>
      <c r="C59">
        <v>1920</v>
      </c>
      <c r="D59" t="s">
        <v>6448</v>
      </c>
      <c r="F59" t="s">
        <v>4325</v>
      </c>
      <c r="G59" t="s">
        <v>4325</v>
      </c>
      <c r="H59" t="s">
        <v>7101</v>
      </c>
      <c r="I59" t="s">
        <v>50</v>
      </c>
      <c r="J59" t="s">
        <v>348</v>
      </c>
      <c r="K59" t="s">
        <v>6821</v>
      </c>
      <c r="M59" t="s">
        <v>4745</v>
      </c>
      <c r="N59" t="s">
        <v>4359</v>
      </c>
      <c r="O59" t="s">
        <v>24</v>
      </c>
    </row>
    <row r="60" spans="1:15" x14ac:dyDescent="0.25">
      <c r="A60">
        <v>59</v>
      </c>
      <c r="B60" t="str">
        <f>HYPERLINK("https://digitalcommons.unl.edu/cgi/viewcontent.cgi?article=1694&amp;context=tractormuseumlit","Click for test report")</f>
        <v>Click for test report</v>
      </c>
      <c r="C60">
        <v>1920</v>
      </c>
      <c r="D60" t="s">
        <v>7151</v>
      </c>
      <c r="F60" t="s">
        <v>6900</v>
      </c>
      <c r="G60" t="s">
        <v>7152</v>
      </c>
      <c r="H60" t="s">
        <v>7101</v>
      </c>
      <c r="I60" t="s">
        <v>50</v>
      </c>
      <c r="J60" t="s">
        <v>96</v>
      </c>
      <c r="K60" t="s">
        <v>6821</v>
      </c>
      <c r="M60" t="s">
        <v>4008</v>
      </c>
      <c r="N60" t="s">
        <v>4362</v>
      </c>
      <c r="O60" t="s">
        <v>24</v>
      </c>
    </row>
    <row r="61" spans="1:15" x14ac:dyDescent="0.25">
      <c r="A61">
        <v>60</v>
      </c>
      <c r="B61" t="str">
        <f>HYPERLINK("https://digitalcommons.unl.edu/cgi/viewcontent.cgi?article=1695&amp;context=tractormuseumlit","Click for test report")</f>
        <v>Click for test report</v>
      </c>
      <c r="C61">
        <v>1920</v>
      </c>
      <c r="D61" t="s">
        <v>7149</v>
      </c>
      <c r="F61" t="s">
        <v>6425</v>
      </c>
      <c r="G61" t="s">
        <v>6425</v>
      </c>
      <c r="H61" t="s">
        <v>7142</v>
      </c>
      <c r="I61" t="s">
        <v>50</v>
      </c>
      <c r="J61" t="s">
        <v>348</v>
      </c>
      <c r="K61" t="s">
        <v>4809</v>
      </c>
      <c r="M61" t="s">
        <v>6060</v>
      </c>
      <c r="N61" t="s">
        <v>5740</v>
      </c>
      <c r="O61" t="s">
        <v>7150</v>
      </c>
    </row>
    <row r="62" spans="1:15" x14ac:dyDescent="0.25">
      <c r="A62">
        <v>61</v>
      </c>
      <c r="B62" t="str">
        <f>HYPERLINK("https://digitalcommons.unl.edu/cgi/viewcontent.cgi?article=1697&amp;context=tractormuseumlit","Click for test report")</f>
        <v>Click for test report</v>
      </c>
      <c r="C62">
        <v>1920</v>
      </c>
      <c r="D62" t="s">
        <v>7148</v>
      </c>
      <c r="F62" t="s">
        <v>6425</v>
      </c>
      <c r="G62" t="s">
        <v>6425</v>
      </c>
      <c r="H62" t="s">
        <v>7008</v>
      </c>
      <c r="I62" t="s">
        <v>50</v>
      </c>
      <c r="J62" t="s">
        <v>348</v>
      </c>
      <c r="K62" t="s">
        <v>6821</v>
      </c>
      <c r="M62" t="s">
        <v>1009</v>
      </c>
      <c r="N62" t="s">
        <v>4352</v>
      </c>
      <c r="O62" t="s">
        <v>24</v>
      </c>
    </row>
    <row r="63" spans="1:15" x14ac:dyDescent="0.25">
      <c r="A63">
        <v>62</v>
      </c>
      <c r="B63" t="str">
        <f>HYPERLINK("https://digitalcommons.unl.edu/cgi/viewcontent.cgi?article=1698&amp;context=tractormuseumlit","Click for test report")</f>
        <v>Click for test report</v>
      </c>
      <c r="C63">
        <v>1920</v>
      </c>
      <c r="D63" t="s">
        <v>7146</v>
      </c>
      <c r="F63" t="s">
        <v>7088</v>
      </c>
      <c r="G63" t="s">
        <v>7088</v>
      </c>
      <c r="H63" t="s">
        <v>7147</v>
      </c>
      <c r="I63" t="s">
        <v>50</v>
      </c>
      <c r="J63" t="s">
        <v>96</v>
      </c>
      <c r="K63" t="s">
        <v>4809</v>
      </c>
      <c r="M63" t="s">
        <v>2825</v>
      </c>
      <c r="N63" t="s">
        <v>4745</v>
      </c>
      <c r="O63" t="s">
        <v>24</v>
      </c>
    </row>
    <row r="64" spans="1:15" x14ac:dyDescent="0.25">
      <c r="A64">
        <v>63</v>
      </c>
      <c r="B64" t="str">
        <f>HYPERLINK("https://digitalcommons.unl.edu/cgi/viewcontent.cgi?article=1700&amp;context=tractormuseumlit","Click for test report")</f>
        <v>Click for test report</v>
      </c>
      <c r="C64">
        <v>1920</v>
      </c>
      <c r="D64" t="s">
        <v>4115</v>
      </c>
      <c r="F64" t="s">
        <v>6880</v>
      </c>
      <c r="G64" t="s">
        <v>6880</v>
      </c>
      <c r="H64" t="s">
        <v>7145</v>
      </c>
      <c r="I64" t="s">
        <v>50</v>
      </c>
      <c r="J64" t="s">
        <v>7084</v>
      </c>
      <c r="K64" t="s">
        <v>6821</v>
      </c>
      <c r="M64" t="s">
        <v>4355</v>
      </c>
      <c r="N64" t="s">
        <v>4359</v>
      </c>
      <c r="O64" t="s">
        <v>7128</v>
      </c>
    </row>
    <row r="65" spans="1:15" x14ac:dyDescent="0.25">
      <c r="A65">
        <v>64</v>
      </c>
      <c r="B65" t="str">
        <f>HYPERLINK("https://digitalcommons.unl.edu/cgi/viewcontent.cgi?article=1701&amp;context=tractormuseumlit","Click for test report")</f>
        <v>Click for test report</v>
      </c>
      <c r="C65">
        <v>1920</v>
      </c>
      <c r="D65" t="s">
        <v>7143</v>
      </c>
      <c r="F65" t="s">
        <v>7088</v>
      </c>
      <c r="G65" t="s">
        <v>7088</v>
      </c>
      <c r="H65" t="s">
        <v>7144</v>
      </c>
      <c r="I65" t="s">
        <v>50</v>
      </c>
      <c r="J65" t="s">
        <v>96</v>
      </c>
      <c r="K65" t="s">
        <v>4809</v>
      </c>
      <c r="M65" t="s">
        <v>2029</v>
      </c>
      <c r="N65" t="s">
        <v>750</v>
      </c>
      <c r="O65" t="s">
        <v>24</v>
      </c>
    </row>
    <row r="66" spans="1:15" x14ac:dyDescent="0.25">
      <c r="A66">
        <v>65</v>
      </c>
      <c r="B66" t="str">
        <f>HYPERLINK("https://digitalcommons.unl.edu/cgi/viewcontent.cgi?article=1702&amp;context=tractormuseumlit","Click for test report")</f>
        <v>Click for test report</v>
      </c>
      <c r="C66">
        <v>1920</v>
      </c>
      <c r="D66" t="s">
        <v>7139</v>
      </c>
      <c r="F66" t="s">
        <v>7140</v>
      </c>
      <c r="G66" t="s">
        <v>7141</v>
      </c>
      <c r="H66" t="s">
        <v>7142</v>
      </c>
      <c r="I66" t="s">
        <v>50</v>
      </c>
      <c r="J66" t="s">
        <v>348</v>
      </c>
      <c r="K66" t="s">
        <v>4809</v>
      </c>
      <c r="M66" t="s">
        <v>6060</v>
      </c>
      <c r="N66" t="s">
        <v>6398</v>
      </c>
      <c r="O66" t="s">
        <v>24</v>
      </c>
    </row>
    <row r="67" spans="1:15" x14ac:dyDescent="0.25">
      <c r="A67">
        <v>66</v>
      </c>
      <c r="B67" t="str">
        <f>HYPERLINK("https://digitalcommons.unl.edu/cgi/viewcontent.cgi?article=1703&amp;context=tractormuseumlit","Click for test report")</f>
        <v>Click for test report</v>
      </c>
      <c r="C67">
        <v>1920</v>
      </c>
      <c r="D67" t="s">
        <v>7137</v>
      </c>
      <c r="F67" t="s">
        <v>7138</v>
      </c>
      <c r="G67" t="s">
        <v>7138</v>
      </c>
      <c r="H67" t="s">
        <v>6950</v>
      </c>
      <c r="I67" t="s">
        <v>50</v>
      </c>
      <c r="J67" t="s">
        <v>348</v>
      </c>
      <c r="K67" t="s">
        <v>6821</v>
      </c>
      <c r="M67" t="s">
        <v>4397</v>
      </c>
      <c r="N67" t="s">
        <v>4363</v>
      </c>
      <c r="O67" t="s">
        <v>24</v>
      </c>
    </row>
    <row r="68" spans="1:15" x14ac:dyDescent="0.25">
      <c r="A68">
        <v>67</v>
      </c>
      <c r="B68" t="str">
        <f>HYPERLINK("https://digitalcommons.unl.edu/cgi/viewcontent.cgi?article=1704&amp;context=tractormuseumlit","Click for test report")</f>
        <v>Click for test report</v>
      </c>
      <c r="C68">
        <v>1920</v>
      </c>
      <c r="D68" t="s">
        <v>7134</v>
      </c>
      <c r="F68" t="s">
        <v>7135</v>
      </c>
      <c r="G68" t="s">
        <v>7136</v>
      </c>
      <c r="H68" t="s">
        <v>6999</v>
      </c>
      <c r="I68" t="s">
        <v>50</v>
      </c>
      <c r="J68" t="s">
        <v>348</v>
      </c>
      <c r="K68" t="s">
        <v>6821</v>
      </c>
      <c r="M68" t="s">
        <v>4012</v>
      </c>
      <c r="N68" t="s">
        <v>4444</v>
      </c>
      <c r="O68" t="s">
        <v>24</v>
      </c>
    </row>
    <row r="69" spans="1:15" x14ac:dyDescent="0.25">
      <c r="A69">
        <v>68</v>
      </c>
      <c r="B69" t="str">
        <f>HYPERLINK("https://digitalcommons.unl.edu/cgi/viewcontent.cgi?article=1705&amp;context=tractormuseumlit","Click for test report")</f>
        <v>Click for test report</v>
      </c>
      <c r="C69">
        <v>1920</v>
      </c>
      <c r="D69" t="s">
        <v>5878</v>
      </c>
      <c r="F69" t="s">
        <v>7132</v>
      </c>
      <c r="G69" t="s">
        <v>7132</v>
      </c>
      <c r="H69" t="s">
        <v>7133</v>
      </c>
      <c r="I69" t="s">
        <v>50</v>
      </c>
      <c r="J69" t="s">
        <v>348</v>
      </c>
      <c r="K69" t="s">
        <v>4809</v>
      </c>
      <c r="M69" t="s">
        <v>4935</v>
      </c>
      <c r="N69" t="s">
        <v>6061</v>
      </c>
      <c r="O69" t="s">
        <v>24</v>
      </c>
    </row>
    <row r="70" spans="1:15" x14ac:dyDescent="0.25">
      <c r="A70">
        <v>69</v>
      </c>
      <c r="B70" t="str">
        <f>HYPERLINK("https://digitalcommons.unl.edu/cgi/viewcontent.cgi?article=1706&amp;context=tractormuseumlit","Click for test report")</f>
        <v>Click for test report</v>
      </c>
      <c r="C70">
        <v>1920</v>
      </c>
      <c r="D70" t="s">
        <v>7130</v>
      </c>
      <c r="F70" t="s">
        <v>7131</v>
      </c>
      <c r="G70" t="s">
        <v>7131</v>
      </c>
      <c r="H70" t="s">
        <v>6977</v>
      </c>
      <c r="I70" t="s">
        <v>50</v>
      </c>
      <c r="J70" t="s">
        <v>348</v>
      </c>
      <c r="K70" t="s">
        <v>4809</v>
      </c>
      <c r="M70" t="s">
        <v>3973</v>
      </c>
      <c r="O70" t="s">
        <v>24</v>
      </c>
    </row>
    <row r="71" spans="1:15" x14ac:dyDescent="0.25">
      <c r="A71">
        <v>70</v>
      </c>
      <c r="B71" t="str">
        <f>HYPERLINK("https://digitalcommons.unl.edu/cgi/viewcontent.cgi?article=1706&amp;context=tractormuseumlit","Click for test report")</f>
        <v>Click for test report</v>
      </c>
      <c r="C71">
        <v>1920</v>
      </c>
      <c r="D71" t="s">
        <v>7130</v>
      </c>
      <c r="F71" t="s">
        <v>7131</v>
      </c>
      <c r="G71" t="s">
        <v>7131</v>
      </c>
      <c r="H71" t="s">
        <v>6977</v>
      </c>
      <c r="I71" t="s">
        <v>50</v>
      </c>
      <c r="J71" t="s">
        <v>348</v>
      </c>
      <c r="K71" t="s">
        <v>6821</v>
      </c>
      <c r="M71" t="s">
        <v>4012</v>
      </c>
      <c r="N71" t="s">
        <v>4358</v>
      </c>
      <c r="O71" t="s">
        <v>24</v>
      </c>
    </row>
    <row r="72" spans="1:15" x14ac:dyDescent="0.25">
      <c r="A72">
        <v>71</v>
      </c>
      <c r="B72" t="str">
        <f>HYPERLINK("https://digitalcommons.unl.edu/cgi/viewcontent.cgi?article=1707&amp;context=tractormuseumlit","Click for test report")</f>
        <v>Click for test report</v>
      </c>
      <c r="C72">
        <v>1920</v>
      </c>
      <c r="D72" t="s">
        <v>7129</v>
      </c>
      <c r="F72" t="s">
        <v>6958</v>
      </c>
      <c r="G72" t="s">
        <v>6632</v>
      </c>
      <c r="H72" t="s">
        <v>7068</v>
      </c>
      <c r="I72" t="s">
        <v>50</v>
      </c>
      <c r="J72" t="s">
        <v>348</v>
      </c>
      <c r="K72" t="s">
        <v>6821</v>
      </c>
      <c r="M72" t="s">
        <v>410</v>
      </c>
      <c r="N72" t="s">
        <v>3388</v>
      </c>
      <c r="O72" t="s">
        <v>24</v>
      </c>
    </row>
    <row r="73" spans="1:15" x14ac:dyDescent="0.25">
      <c r="A73">
        <v>72</v>
      </c>
      <c r="B73" t="str">
        <f>HYPERLINK("https://digitalcommons.unl.edu/cgi/viewcontent.cgi?article=1708&amp;context=tractormuseumlit","Click for test report")</f>
        <v>Click for test report</v>
      </c>
      <c r="C73">
        <v>1920</v>
      </c>
      <c r="D73" t="s">
        <v>7126</v>
      </c>
      <c r="F73" t="s">
        <v>6880</v>
      </c>
      <c r="G73" t="s">
        <v>6880</v>
      </c>
      <c r="H73" t="s">
        <v>7127</v>
      </c>
      <c r="I73" t="s">
        <v>50</v>
      </c>
      <c r="J73" t="s">
        <v>7084</v>
      </c>
      <c r="K73" t="s">
        <v>4809</v>
      </c>
      <c r="M73" t="s">
        <v>4397</v>
      </c>
      <c r="N73" t="s">
        <v>4358</v>
      </c>
      <c r="O73" t="s">
        <v>7128</v>
      </c>
    </row>
    <row r="74" spans="1:15" x14ac:dyDescent="0.25">
      <c r="A74">
        <v>73</v>
      </c>
      <c r="B74" t="str">
        <f>HYPERLINK("https://digitalcommons.unl.edu/cgi/viewcontent.cgi?article=1709&amp;context=tractormuseumlit","Click for test report")</f>
        <v>Click for test report</v>
      </c>
      <c r="C74">
        <v>1920</v>
      </c>
      <c r="D74" t="s">
        <v>7124</v>
      </c>
      <c r="F74" t="s">
        <v>7125</v>
      </c>
      <c r="G74" t="s">
        <v>7125</v>
      </c>
      <c r="H74" t="s">
        <v>7114</v>
      </c>
      <c r="I74" t="s">
        <v>50</v>
      </c>
      <c r="J74" t="s">
        <v>348</v>
      </c>
      <c r="K74" t="s">
        <v>6821</v>
      </c>
      <c r="M74" t="s">
        <v>4589</v>
      </c>
      <c r="N74" t="s">
        <v>4359</v>
      </c>
      <c r="O74" t="s">
        <v>24</v>
      </c>
    </row>
    <row r="75" spans="1:15" x14ac:dyDescent="0.25">
      <c r="A75">
        <v>74</v>
      </c>
      <c r="B75" t="str">
        <f>HYPERLINK("https://digitalcommons.unl.edu/cgi/viewcontent.cgi?article=1710&amp;context=tractormuseumlit","Click for test report")</f>
        <v>Click for test report</v>
      </c>
      <c r="C75">
        <v>1921</v>
      </c>
      <c r="D75" t="s">
        <v>6322</v>
      </c>
      <c r="F75" t="s">
        <v>6931</v>
      </c>
      <c r="G75" t="s">
        <v>6932</v>
      </c>
      <c r="H75" t="s">
        <v>7123</v>
      </c>
      <c r="I75" t="s">
        <v>50</v>
      </c>
      <c r="J75" t="s">
        <v>348</v>
      </c>
      <c r="K75" t="s">
        <v>6821</v>
      </c>
      <c r="M75" t="s">
        <v>4008</v>
      </c>
      <c r="N75" t="s">
        <v>4627</v>
      </c>
      <c r="O75" t="s">
        <v>24</v>
      </c>
    </row>
    <row r="76" spans="1:15" x14ac:dyDescent="0.25">
      <c r="A76">
        <v>75</v>
      </c>
      <c r="B76" t="str">
        <f>HYPERLINK("https://digitalcommons.unl.edu/cgi/viewcontent.cgi?article=1711&amp;context=tractormuseumlit","Click for test report")</f>
        <v>Click for test report</v>
      </c>
      <c r="C76">
        <v>1921</v>
      </c>
      <c r="D76" t="s">
        <v>7122</v>
      </c>
      <c r="F76" t="s">
        <v>6425</v>
      </c>
      <c r="G76" t="s">
        <v>6425</v>
      </c>
      <c r="H76" t="s">
        <v>7114</v>
      </c>
      <c r="I76" t="s">
        <v>50</v>
      </c>
      <c r="J76" t="s">
        <v>348</v>
      </c>
      <c r="K76" t="s">
        <v>4809</v>
      </c>
      <c r="M76" t="s">
        <v>4590</v>
      </c>
      <c r="N76" t="s">
        <v>4935</v>
      </c>
      <c r="O76" t="s">
        <v>24</v>
      </c>
    </row>
    <row r="77" spans="1:15" x14ac:dyDescent="0.25">
      <c r="A77">
        <v>76</v>
      </c>
      <c r="B77" t="str">
        <f>HYPERLINK("https://digitalcommons.unl.edu/cgi/viewcontent.cgi?article=1712&amp;context=tractormuseumlit","Click for test report")</f>
        <v>Click for test report</v>
      </c>
      <c r="C77">
        <v>1921</v>
      </c>
      <c r="D77" t="s">
        <v>7120</v>
      </c>
      <c r="F77" t="s">
        <v>6425</v>
      </c>
      <c r="G77" t="s">
        <v>6425</v>
      </c>
      <c r="H77" t="s">
        <v>7121</v>
      </c>
      <c r="I77" t="s">
        <v>50</v>
      </c>
      <c r="J77" t="s">
        <v>348</v>
      </c>
      <c r="K77" t="s">
        <v>4809</v>
      </c>
      <c r="M77" t="s">
        <v>4628</v>
      </c>
      <c r="N77" t="s">
        <v>6061</v>
      </c>
      <c r="O77" t="s">
        <v>24</v>
      </c>
    </row>
    <row r="78" spans="1:15" x14ac:dyDescent="0.25">
      <c r="A78">
        <v>77</v>
      </c>
      <c r="B78" t="str">
        <f>HYPERLINK("https://digitalcommons.unl.edu/cgi/viewcontent.cgi?article=1713&amp;context=tractormuseumlit","Click for test report")</f>
        <v>Click for test report</v>
      </c>
      <c r="C78">
        <v>1921</v>
      </c>
      <c r="D78" t="s">
        <v>7117</v>
      </c>
      <c r="F78" t="s">
        <v>7118</v>
      </c>
      <c r="G78" t="s">
        <v>7119</v>
      </c>
      <c r="H78" t="s">
        <v>7114</v>
      </c>
      <c r="I78" t="s">
        <v>50</v>
      </c>
      <c r="J78" t="s">
        <v>348</v>
      </c>
      <c r="K78" t="s">
        <v>6821</v>
      </c>
      <c r="M78" t="s">
        <v>4352</v>
      </c>
      <c r="N78" t="s">
        <v>4628</v>
      </c>
      <c r="O78" t="s">
        <v>24</v>
      </c>
    </row>
    <row r="79" spans="1:15" x14ac:dyDescent="0.25">
      <c r="A79">
        <v>78</v>
      </c>
      <c r="B79" t="str">
        <f>HYPERLINK("https://digitalcommons.unl.edu/cgi/viewcontent.cgi?article=1714&amp;context=tractormuseumlit","Click for test report")</f>
        <v>Click for test report</v>
      </c>
      <c r="C79">
        <v>1921</v>
      </c>
      <c r="D79" t="s">
        <v>7115</v>
      </c>
      <c r="F79" t="s">
        <v>6489</v>
      </c>
      <c r="G79" t="s">
        <v>6489</v>
      </c>
      <c r="H79" t="s">
        <v>7116</v>
      </c>
      <c r="I79" t="s">
        <v>50</v>
      </c>
      <c r="J79" t="s">
        <v>348</v>
      </c>
      <c r="K79" t="s">
        <v>4809</v>
      </c>
      <c r="M79" t="s">
        <v>2826</v>
      </c>
      <c r="N79" t="s">
        <v>4013</v>
      </c>
      <c r="O79" t="s">
        <v>24</v>
      </c>
    </row>
    <row r="80" spans="1:15" x14ac:dyDescent="0.25">
      <c r="A80">
        <v>79</v>
      </c>
      <c r="B80" t="str">
        <f>HYPERLINK("https://digitalcommons.unl.edu/cgi/viewcontent.cgi?article=1715&amp;context=tractormuseumlit","Click for test report")</f>
        <v>Click for test report</v>
      </c>
      <c r="C80">
        <v>1921</v>
      </c>
      <c r="D80" t="s">
        <v>6839</v>
      </c>
      <c r="F80" t="s">
        <v>6967</v>
      </c>
      <c r="G80" t="s">
        <v>6968</v>
      </c>
      <c r="H80" t="s">
        <v>7114</v>
      </c>
      <c r="I80" t="s">
        <v>50</v>
      </c>
      <c r="J80" t="s">
        <v>348</v>
      </c>
      <c r="K80" t="s">
        <v>4809</v>
      </c>
      <c r="M80" t="s">
        <v>1893</v>
      </c>
      <c r="N80" t="s">
        <v>4359</v>
      </c>
      <c r="O80" t="s">
        <v>24</v>
      </c>
    </row>
    <row r="81" spans="1:15" x14ac:dyDescent="0.25">
      <c r="A81">
        <v>80</v>
      </c>
      <c r="B81" t="str">
        <f>HYPERLINK("https://digitalcommons.unl.edu/cgi/viewcontent.cgi?article=1716&amp;context=tractormuseumlit","Click for test report")</f>
        <v>Click for test report</v>
      </c>
      <c r="C81">
        <v>1921</v>
      </c>
      <c r="D81" t="s">
        <v>7112</v>
      </c>
      <c r="F81" t="s">
        <v>7051</v>
      </c>
      <c r="G81" t="s">
        <v>7052</v>
      </c>
      <c r="H81" t="s">
        <v>7113</v>
      </c>
      <c r="I81" t="s">
        <v>50</v>
      </c>
      <c r="J81" t="s">
        <v>96</v>
      </c>
      <c r="K81" t="s">
        <v>4809</v>
      </c>
      <c r="M81" t="s">
        <v>404</v>
      </c>
      <c r="N81" t="s">
        <v>735</v>
      </c>
      <c r="O81" t="s">
        <v>24</v>
      </c>
    </row>
    <row r="82" spans="1:15" x14ac:dyDescent="0.25">
      <c r="A82">
        <v>81</v>
      </c>
      <c r="B82" t="str">
        <f>HYPERLINK("https://digitalcommons.unl.edu/cgi/viewcontent.cgi?article=1717&amp;context=tractormuseumlit","Click for test report")</f>
        <v>Click for test report</v>
      </c>
      <c r="C82">
        <v>1921</v>
      </c>
      <c r="D82" t="s">
        <v>7110</v>
      </c>
      <c r="F82" t="s">
        <v>7051</v>
      </c>
      <c r="G82" t="s">
        <v>7052</v>
      </c>
      <c r="H82" t="s">
        <v>7111</v>
      </c>
      <c r="I82" t="s">
        <v>50</v>
      </c>
      <c r="J82" t="s">
        <v>96</v>
      </c>
      <c r="K82" t="s">
        <v>4809</v>
      </c>
      <c r="M82" t="s">
        <v>4440</v>
      </c>
      <c r="N82" t="s">
        <v>4355</v>
      </c>
      <c r="O82" t="s">
        <v>24</v>
      </c>
    </row>
    <row r="83" spans="1:15" x14ac:dyDescent="0.25">
      <c r="A83">
        <v>82</v>
      </c>
      <c r="B83" t="str">
        <f>HYPERLINK("https://digitalcommons.unl.edu/cgi/viewcontent.cgi?article=1718&amp;context=tractormuseumlit","Click for test report")</f>
        <v>Click for test report</v>
      </c>
      <c r="C83">
        <v>1921</v>
      </c>
      <c r="D83" t="s">
        <v>7108</v>
      </c>
      <c r="F83" t="s">
        <v>7071</v>
      </c>
      <c r="G83" t="s">
        <v>7072</v>
      </c>
      <c r="H83" t="s">
        <v>7109</v>
      </c>
      <c r="I83" t="s">
        <v>50</v>
      </c>
      <c r="J83" t="s">
        <v>348</v>
      </c>
      <c r="K83" t="s">
        <v>6821</v>
      </c>
      <c r="M83" t="s">
        <v>747</v>
      </c>
      <c r="N83" t="s">
        <v>2090</v>
      </c>
      <c r="O83" t="s">
        <v>24</v>
      </c>
    </row>
    <row r="84" spans="1:15" x14ac:dyDescent="0.25">
      <c r="A84">
        <v>83</v>
      </c>
      <c r="B84" t="str">
        <f>HYPERLINK("https://digitalcommons.unl.edu/cgi/viewcontent.cgi?article=1719&amp;context=tractormuseumlit","Click for test report")</f>
        <v>Click for test report</v>
      </c>
      <c r="C84">
        <v>1921</v>
      </c>
      <c r="D84" t="s">
        <v>7106</v>
      </c>
      <c r="F84" t="s">
        <v>6896</v>
      </c>
      <c r="G84" t="s">
        <v>6896</v>
      </c>
      <c r="H84" t="s">
        <v>7107</v>
      </c>
      <c r="I84" t="s">
        <v>50</v>
      </c>
      <c r="J84" t="s">
        <v>348</v>
      </c>
      <c r="K84" t="s">
        <v>6821</v>
      </c>
      <c r="M84" t="s">
        <v>4358</v>
      </c>
      <c r="N84" t="s">
        <v>4452</v>
      </c>
      <c r="O84" t="s">
        <v>24</v>
      </c>
    </row>
    <row r="85" spans="1:15" x14ac:dyDescent="0.25">
      <c r="A85">
        <v>84</v>
      </c>
      <c r="B85" t="str">
        <f>HYPERLINK("https://digitalcommons.unl.edu/cgi/viewcontent.cgi?article=1720&amp;context=tractormuseumlit","Click for test report")</f>
        <v>Click for test report</v>
      </c>
      <c r="C85">
        <v>1921</v>
      </c>
      <c r="D85" t="s">
        <v>4112</v>
      </c>
      <c r="F85" t="s">
        <v>6888</v>
      </c>
      <c r="G85" t="s">
        <v>6888</v>
      </c>
      <c r="H85" t="s">
        <v>7105</v>
      </c>
      <c r="I85" t="s">
        <v>50</v>
      </c>
      <c r="J85" t="s">
        <v>348</v>
      </c>
      <c r="K85" t="s">
        <v>6821</v>
      </c>
      <c r="M85" t="s">
        <v>4008</v>
      </c>
      <c r="N85" t="s">
        <v>4627</v>
      </c>
      <c r="O85" t="s">
        <v>24</v>
      </c>
    </row>
    <row r="86" spans="1:15" x14ac:dyDescent="0.25">
      <c r="A86">
        <v>85</v>
      </c>
      <c r="B86" t="str">
        <f>HYPERLINK("https://digitalcommons.unl.edu/cgi/viewcontent.cgi?article=1721&amp;context=tractormuseumlit","Click for test report")</f>
        <v>Click for test report</v>
      </c>
      <c r="C86">
        <v>1921</v>
      </c>
      <c r="D86" t="s">
        <v>7103</v>
      </c>
      <c r="F86" t="s">
        <v>6888</v>
      </c>
      <c r="G86" t="s">
        <v>6888</v>
      </c>
      <c r="H86" t="s">
        <v>7104</v>
      </c>
      <c r="I86" t="s">
        <v>50</v>
      </c>
      <c r="J86" t="s">
        <v>348</v>
      </c>
      <c r="K86" t="s">
        <v>6821</v>
      </c>
      <c r="M86" t="s">
        <v>4358</v>
      </c>
      <c r="N86" t="s">
        <v>4452</v>
      </c>
      <c r="O86" t="s">
        <v>24</v>
      </c>
    </row>
    <row r="87" spans="1:15" x14ac:dyDescent="0.25">
      <c r="A87">
        <v>86</v>
      </c>
      <c r="B87" t="str">
        <f>HYPERLINK("https://digitalcommons.unl.edu/cgi/viewcontent.cgi?article=1722&amp;context=tractormuseumlit","Click for test report")</f>
        <v>Click for test report</v>
      </c>
      <c r="C87">
        <v>1921</v>
      </c>
      <c r="D87" t="s">
        <v>7102</v>
      </c>
      <c r="F87" t="s">
        <v>4325</v>
      </c>
      <c r="G87" t="s">
        <v>4325</v>
      </c>
      <c r="H87" t="s">
        <v>6927</v>
      </c>
      <c r="I87" t="s">
        <v>50</v>
      </c>
      <c r="J87" t="s">
        <v>348</v>
      </c>
      <c r="K87" t="s">
        <v>4809</v>
      </c>
      <c r="M87" t="s">
        <v>4745</v>
      </c>
      <c r="N87" t="s">
        <v>4362</v>
      </c>
      <c r="O87" t="s">
        <v>24</v>
      </c>
    </row>
    <row r="88" spans="1:15" x14ac:dyDescent="0.25">
      <c r="A88">
        <v>87</v>
      </c>
      <c r="B88" t="str">
        <f>HYPERLINK("https://digitalcommons.unl.edu/cgi/viewcontent.cgi?article=1722&amp;context=tractormuseumlit","Click for test report")</f>
        <v>Click for test report</v>
      </c>
      <c r="C88">
        <v>1921</v>
      </c>
      <c r="D88" t="s">
        <v>7102</v>
      </c>
      <c r="F88" t="s">
        <v>4325</v>
      </c>
      <c r="G88" t="s">
        <v>4325</v>
      </c>
      <c r="H88" t="s">
        <v>7034</v>
      </c>
      <c r="I88" t="s">
        <v>50</v>
      </c>
      <c r="J88" t="s">
        <v>348</v>
      </c>
      <c r="K88" t="s">
        <v>4809</v>
      </c>
      <c r="M88" t="s">
        <v>4745</v>
      </c>
      <c r="N88" t="s">
        <v>4362</v>
      </c>
      <c r="O88" t="s">
        <v>24</v>
      </c>
    </row>
    <row r="89" spans="1:15" x14ac:dyDescent="0.25">
      <c r="A89">
        <v>88</v>
      </c>
      <c r="B89" t="str">
        <f>HYPERLINK("https://digitalcommons.unl.edu/cgi/viewcontent.cgi?article=1723&amp;context=tractormuseumlit","Click for test report")</f>
        <v>Click for test report</v>
      </c>
      <c r="C89">
        <v>1921</v>
      </c>
      <c r="D89" t="s">
        <v>7099</v>
      </c>
      <c r="F89" t="s">
        <v>4325</v>
      </c>
      <c r="G89" t="s">
        <v>4325</v>
      </c>
      <c r="H89" t="s">
        <v>7101</v>
      </c>
      <c r="I89" t="s">
        <v>50</v>
      </c>
      <c r="J89" t="s">
        <v>348</v>
      </c>
      <c r="K89" t="s">
        <v>4809</v>
      </c>
      <c r="M89" t="s">
        <v>2090</v>
      </c>
      <c r="N89" t="s">
        <v>4590</v>
      </c>
      <c r="O89" t="s">
        <v>24</v>
      </c>
    </row>
    <row r="90" spans="1:15" x14ac:dyDescent="0.25">
      <c r="A90">
        <v>89</v>
      </c>
      <c r="B90" t="str">
        <f>HYPERLINK("https://digitalcommons.unl.edu/cgi/viewcontent.cgi?article=1723&amp;context=tractormuseumlit","Click for test report")</f>
        <v>Click for test report</v>
      </c>
      <c r="C90">
        <v>1921</v>
      </c>
      <c r="D90" t="s">
        <v>7099</v>
      </c>
      <c r="F90" t="s">
        <v>4325</v>
      </c>
      <c r="G90" t="s">
        <v>4325</v>
      </c>
      <c r="H90" t="s">
        <v>7100</v>
      </c>
      <c r="I90" t="s">
        <v>50</v>
      </c>
      <c r="J90" t="s">
        <v>348</v>
      </c>
      <c r="K90" t="s">
        <v>4809</v>
      </c>
      <c r="M90" t="s">
        <v>2090</v>
      </c>
      <c r="N90" t="s">
        <v>4590</v>
      </c>
      <c r="O90" t="s">
        <v>24</v>
      </c>
    </row>
    <row r="91" spans="1:15" x14ac:dyDescent="0.25">
      <c r="A91">
        <v>90</v>
      </c>
      <c r="B91" t="str">
        <f>HYPERLINK("https://digitalcommons.unl.edu/cgi/viewcontent.cgi?article=4300&amp;context=tractormuseumlit","Click for test report")</f>
        <v>Click for test report</v>
      </c>
      <c r="C91">
        <v>1921</v>
      </c>
      <c r="D91" t="s">
        <v>7095</v>
      </c>
      <c r="F91" t="s">
        <v>7030</v>
      </c>
      <c r="G91" t="s">
        <v>7031</v>
      </c>
      <c r="H91" t="s">
        <v>7096</v>
      </c>
      <c r="I91" t="s">
        <v>50</v>
      </c>
      <c r="J91" t="s">
        <v>348</v>
      </c>
      <c r="K91" t="s">
        <v>4809</v>
      </c>
      <c r="N91" t="s">
        <v>7097</v>
      </c>
      <c r="O91" t="s">
        <v>7098</v>
      </c>
    </row>
    <row r="92" spans="1:15" x14ac:dyDescent="0.25">
      <c r="A92">
        <v>91</v>
      </c>
      <c r="B92" t="str">
        <f>HYPERLINK("https://digitalcommons.unl.edu/cgi/viewcontent.cgi?article=1724&amp;context=tractormuseumlit","Click for test report")</f>
        <v>Click for test report</v>
      </c>
      <c r="C92">
        <v>1922</v>
      </c>
      <c r="D92" t="s">
        <v>7091</v>
      </c>
      <c r="F92" t="s">
        <v>7092</v>
      </c>
      <c r="G92" t="s">
        <v>7093</v>
      </c>
      <c r="H92" t="s">
        <v>7094</v>
      </c>
      <c r="I92" t="s">
        <v>50</v>
      </c>
      <c r="J92" t="s">
        <v>29</v>
      </c>
      <c r="K92" t="s">
        <v>4809</v>
      </c>
      <c r="M92" t="s">
        <v>728</v>
      </c>
      <c r="N92" t="s">
        <v>1802</v>
      </c>
      <c r="O92" t="s">
        <v>24</v>
      </c>
    </row>
    <row r="93" spans="1:15" x14ac:dyDescent="0.25">
      <c r="A93">
        <v>92</v>
      </c>
      <c r="B93" t="str">
        <f>HYPERLINK("https://digitalcommons.unl.edu/cgi/viewcontent.cgi?article=1725&amp;context=tractormuseumlit","Click for test report")</f>
        <v>Click for test report</v>
      </c>
      <c r="C93">
        <v>1922</v>
      </c>
      <c r="D93" t="s">
        <v>5948</v>
      </c>
      <c r="F93" t="s">
        <v>6678</v>
      </c>
      <c r="G93" t="s">
        <v>6679</v>
      </c>
      <c r="H93" t="s">
        <v>7090</v>
      </c>
      <c r="I93" t="s">
        <v>50</v>
      </c>
      <c r="J93" t="s">
        <v>96</v>
      </c>
      <c r="K93" t="s">
        <v>6821</v>
      </c>
      <c r="M93" t="s">
        <v>4627</v>
      </c>
      <c r="N93" t="s">
        <v>4935</v>
      </c>
      <c r="O93" t="s">
        <v>24</v>
      </c>
    </row>
    <row r="94" spans="1:15" x14ac:dyDescent="0.25">
      <c r="A94">
        <v>93</v>
      </c>
      <c r="B94" t="str">
        <f>HYPERLINK("https://digitalcommons.unl.edu/cgi/viewcontent.cgi?article=1726&amp;context=tractormuseumlit","Click for test report")</f>
        <v>Click for test report</v>
      </c>
      <c r="C94">
        <v>1922</v>
      </c>
      <c r="D94" t="s">
        <v>7087</v>
      </c>
      <c r="F94" t="s">
        <v>7088</v>
      </c>
      <c r="G94" t="s">
        <v>7088</v>
      </c>
      <c r="H94" t="s">
        <v>7089</v>
      </c>
      <c r="I94" t="s">
        <v>50</v>
      </c>
      <c r="J94" t="s">
        <v>96</v>
      </c>
      <c r="K94" t="s">
        <v>4809</v>
      </c>
      <c r="M94" t="s">
        <v>4590</v>
      </c>
      <c r="N94" t="s">
        <v>4449</v>
      </c>
      <c r="O94" t="s">
        <v>24</v>
      </c>
    </row>
    <row r="95" spans="1:15" x14ac:dyDescent="0.25">
      <c r="A95">
        <v>94</v>
      </c>
      <c r="B95" t="str">
        <f>HYPERLINK("https://digitalcommons.unl.edu/cgi/viewcontent.cgi?article=1727&amp;context=tractormuseumlit","Click for test report")</f>
        <v>Click for test report</v>
      </c>
      <c r="C95">
        <v>1922</v>
      </c>
      <c r="D95" t="s">
        <v>7086</v>
      </c>
      <c r="F95" t="s">
        <v>4503</v>
      </c>
      <c r="G95" t="s">
        <v>6340</v>
      </c>
      <c r="H95" t="s">
        <v>6950</v>
      </c>
      <c r="I95" t="s">
        <v>50</v>
      </c>
      <c r="J95" t="s">
        <v>348</v>
      </c>
      <c r="K95" t="s">
        <v>6821</v>
      </c>
      <c r="M95" t="s">
        <v>4012</v>
      </c>
      <c r="N95" t="s">
        <v>4359</v>
      </c>
      <c r="O95" t="s">
        <v>24</v>
      </c>
    </row>
    <row r="96" spans="1:15" x14ac:dyDescent="0.25">
      <c r="A96">
        <v>95</v>
      </c>
      <c r="B96" t="str">
        <f>HYPERLINK("https://digitalcommons.unl.edu/cgi/viewcontent.cgi?article=1728&amp;context=tractormuseumlit","Click for test report")</f>
        <v>Click for test report</v>
      </c>
      <c r="C96">
        <v>1922</v>
      </c>
      <c r="D96" t="s">
        <v>5947</v>
      </c>
      <c r="F96" t="s">
        <v>3800</v>
      </c>
      <c r="G96" t="s">
        <v>4473</v>
      </c>
      <c r="H96" t="s">
        <v>6927</v>
      </c>
      <c r="I96" t="s">
        <v>50</v>
      </c>
      <c r="J96" t="s">
        <v>348</v>
      </c>
      <c r="K96" t="s">
        <v>6821</v>
      </c>
      <c r="M96" t="s">
        <v>4444</v>
      </c>
      <c r="N96" t="s">
        <v>4935</v>
      </c>
      <c r="O96" t="s">
        <v>24</v>
      </c>
    </row>
    <row r="97" spans="1:15" x14ac:dyDescent="0.25">
      <c r="A97">
        <v>96</v>
      </c>
      <c r="B97" t="str">
        <f>HYPERLINK("https://digitalcommons.unl.edu/cgi/viewcontent.cgi?article=1729&amp;context=tractormuseumlit","Click for test report")</f>
        <v>Click for test report</v>
      </c>
      <c r="C97">
        <v>1923</v>
      </c>
      <c r="D97" t="s">
        <v>7082</v>
      </c>
      <c r="F97" t="s">
        <v>6425</v>
      </c>
      <c r="G97" t="s">
        <v>6425</v>
      </c>
      <c r="H97" t="s">
        <v>7083</v>
      </c>
      <c r="I97" t="s">
        <v>50</v>
      </c>
      <c r="J97" t="s">
        <v>7084</v>
      </c>
      <c r="K97" t="s">
        <v>4809</v>
      </c>
      <c r="M97" t="s">
        <v>4397</v>
      </c>
      <c r="N97" t="s">
        <v>4359</v>
      </c>
      <c r="O97" t="s">
        <v>7085</v>
      </c>
    </row>
    <row r="98" spans="1:15" x14ac:dyDescent="0.25">
      <c r="A98">
        <v>97</v>
      </c>
      <c r="B98" t="str">
        <f>HYPERLINK("https://digitalcommons.unl.edu/cgi/viewcontent.cgi?article=1730&amp;context=tractormuseumlit","Click for test report")</f>
        <v>Click for test report</v>
      </c>
      <c r="C98">
        <v>1923</v>
      </c>
      <c r="D98" t="s">
        <v>5917</v>
      </c>
      <c r="F98" t="s">
        <v>3800</v>
      </c>
      <c r="G98" t="s">
        <v>4473</v>
      </c>
      <c r="H98" t="s">
        <v>7081</v>
      </c>
      <c r="I98" t="s">
        <v>50</v>
      </c>
      <c r="J98" t="s">
        <v>348</v>
      </c>
      <c r="K98" t="s">
        <v>6821</v>
      </c>
      <c r="M98" t="s">
        <v>457</v>
      </c>
      <c r="N98" t="s">
        <v>1970</v>
      </c>
      <c r="O98" t="s">
        <v>24</v>
      </c>
    </row>
    <row r="99" spans="1:15" x14ac:dyDescent="0.25">
      <c r="A99">
        <v>98</v>
      </c>
      <c r="B99" t="str">
        <f>HYPERLINK("https://digitalcommons.unl.edu/cgi/viewcontent.cgi?article=1732&amp;context=tractormuseumlit","Click for test report")</f>
        <v>Click for test report</v>
      </c>
      <c r="C99">
        <v>1923</v>
      </c>
      <c r="D99" t="s">
        <v>7080</v>
      </c>
      <c r="F99" t="s">
        <v>3800</v>
      </c>
      <c r="G99" t="s">
        <v>4473</v>
      </c>
      <c r="H99" t="s">
        <v>6927</v>
      </c>
      <c r="I99" t="s">
        <v>50</v>
      </c>
      <c r="J99" t="s">
        <v>348</v>
      </c>
      <c r="K99" t="s">
        <v>6821</v>
      </c>
      <c r="M99" t="s">
        <v>4590</v>
      </c>
      <c r="N99" t="s">
        <v>4363</v>
      </c>
      <c r="O99" t="s">
        <v>24</v>
      </c>
    </row>
    <row r="100" spans="1:15" x14ac:dyDescent="0.25">
      <c r="A100">
        <v>99</v>
      </c>
      <c r="B100" t="str">
        <f>HYPERLINK("https://digitalcommons.unl.edu/cgi/viewcontent.cgi?article=1734&amp;context=tractormuseumlit","Click for test report")</f>
        <v>Click for test report</v>
      </c>
      <c r="C100">
        <v>1923</v>
      </c>
      <c r="D100" t="s">
        <v>7078</v>
      </c>
      <c r="F100" t="s">
        <v>3800</v>
      </c>
      <c r="G100" t="s">
        <v>6926</v>
      </c>
      <c r="H100" t="s">
        <v>7079</v>
      </c>
      <c r="I100" t="s">
        <v>50</v>
      </c>
      <c r="J100" t="s">
        <v>348</v>
      </c>
      <c r="K100" t="s">
        <v>4809</v>
      </c>
      <c r="M100" t="s">
        <v>4589</v>
      </c>
      <c r="N100" t="s">
        <v>4449</v>
      </c>
      <c r="O100" t="s">
        <v>24</v>
      </c>
    </row>
    <row r="101" spans="1:15" x14ac:dyDescent="0.25">
      <c r="A101">
        <v>100</v>
      </c>
      <c r="B101" t="str">
        <f>HYPERLINK("https://digitalcommons.unl.edu/cgi/viewcontent.cgi?article=1735&amp;context=tractormuseumlit","Click for test report")</f>
        <v>Click for test report</v>
      </c>
      <c r="C101">
        <v>1923</v>
      </c>
      <c r="D101" t="s">
        <v>7075</v>
      </c>
      <c r="F101" t="s">
        <v>7071</v>
      </c>
      <c r="G101" t="s">
        <v>7072</v>
      </c>
      <c r="H101" t="s">
        <v>7076</v>
      </c>
      <c r="I101" t="s">
        <v>50</v>
      </c>
      <c r="J101" t="s">
        <v>348</v>
      </c>
      <c r="K101" t="s">
        <v>6821</v>
      </c>
      <c r="M101" t="s">
        <v>4745</v>
      </c>
      <c r="N101" t="s">
        <v>4355</v>
      </c>
      <c r="O101" t="s">
        <v>7077</v>
      </c>
    </row>
    <row r="102" spans="1:15" x14ac:dyDescent="0.25">
      <c r="A102">
        <v>101</v>
      </c>
      <c r="B102" t="str">
        <f>HYPERLINK("https://digitalcommons.unl.edu/cgi/viewcontent.cgi?article=1736&amp;context=tractormuseumlit","Click for test report")</f>
        <v>Click for test report</v>
      </c>
      <c r="C102">
        <v>1923</v>
      </c>
      <c r="D102" t="s">
        <v>7070</v>
      </c>
      <c r="F102" t="s">
        <v>7071</v>
      </c>
      <c r="G102" t="s">
        <v>7072</v>
      </c>
      <c r="H102" t="s">
        <v>7073</v>
      </c>
      <c r="I102" t="s">
        <v>50</v>
      </c>
      <c r="J102" t="s">
        <v>348</v>
      </c>
      <c r="K102" t="s">
        <v>6821</v>
      </c>
      <c r="M102" t="s">
        <v>2090</v>
      </c>
      <c r="N102" t="s">
        <v>4012</v>
      </c>
      <c r="O102" t="s">
        <v>7074</v>
      </c>
    </row>
    <row r="103" spans="1:15" x14ac:dyDescent="0.25">
      <c r="A103">
        <v>102</v>
      </c>
      <c r="B103" t="str">
        <f>HYPERLINK("https://digitalcommons.unl.edu/cgi/viewcontent.cgi?article=1737&amp;context=tractormuseumlit","Click for test report")</f>
        <v>Click for test report</v>
      </c>
      <c r="C103">
        <v>1923</v>
      </c>
      <c r="D103" t="s">
        <v>7069</v>
      </c>
      <c r="F103" t="s">
        <v>4503</v>
      </c>
      <c r="G103" t="s">
        <v>6340</v>
      </c>
      <c r="H103" t="s">
        <v>6981</v>
      </c>
      <c r="I103" t="s">
        <v>50</v>
      </c>
      <c r="J103" t="s">
        <v>348</v>
      </c>
      <c r="K103" t="s">
        <v>6821</v>
      </c>
      <c r="M103" t="s">
        <v>4362</v>
      </c>
      <c r="N103" t="s">
        <v>4621</v>
      </c>
      <c r="O103" t="s">
        <v>24</v>
      </c>
    </row>
    <row r="104" spans="1:15" x14ac:dyDescent="0.25">
      <c r="A104">
        <v>103</v>
      </c>
      <c r="B104" t="str">
        <f>HYPERLINK("https://digitalcommons.unl.edu/cgi/viewcontent.cgi?article=1738&amp;context=tractormuseumlit","Click for test report")</f>
        <v>Click for test report</v>
      </c>
      <c r="C104">
        <v>1923</v>
      </c>
      <c r="D104" t="s">
        <v>7067</v>
      </c>
      <c r="F104" t="s">
        <v>6425</v>
      </c>
      <c r="G104" t="s">
        <v>6425</v>
      </c>
      <c r="H104" t="s">
        <v>7068</v>
      </c>
      <c r="I104" t="s">
        <v>50</v>
      </c>
      <c r="J104" t="s">
        <v>348</v>
      </c>
      <c r="K104" t="s">
        <v>6821</v>
      </c>
      <c r="M104" t="s">
        <v>1893</v>
      </c>
      <c r="N104" t="s">
        <v>4444</v>
      </c>
      <c r="O104" t="s">
        <v>24</v>
      </c>
    </row>
    <row r="105" spans="1:15" x14ac:dyDescent="0.25">
      <c r="A105">
        <v>104</v>
      </c>
      <c r="B105" t="str">
        <f>HYPERLINK("https://digitalcommons.unl.edu/cgi/viewcontent.cgi?article=1739&amp;context=tractormuseumlit","Click for test report")</f>
        <v>Click for test report</v>
      </c>
      <c r="C105">
        <v>1923</v>
      </c>
      <c r="D105" t="s">
        <v>5821</v>
      </c>
      <c r="F105" t="s">
        <v>6896</v>
      </c>
      <c r="G105" t="s">
        <v>6896</v>
      </c>
      <c r="H105" t="s">
        <v>7066</v>
      </c>
      <c r="I105" t="s">
        <v>50</v>
      </c>
      <c r="J105" t="s">
        <v>348</v>
      </c>
      <c r="K105" t="s">
        <v>6821</v>
      </c>
      <c r="M105" t="s">
        <v>410</v>
      </c>
      <c r="N105" t="s">
        <v>4589</v>
      </c>
      <c r="O105" t="s">
        <v>24</v>
      </c>
    </row>
    <row r="106" spans="1:15" x14ac:dyDescent="0.25">
      <c r="A106">
        <v>105</v>
      </c>
      <c r="B106" t="str">
        <f>HYPERLINK("https://digitalcommons.unl.edu/cgi/viewcontent.cgi?article=1740&amp;context=tractormuseumlit","Click for test report")</f>
        <v>Click for test report</v>
      </c>
      <c r="C106">
        <v>1923</v>
      </c>
      <c r="D106" t="s">
        <v>6121</v>
      </c>
      <c r="F106" t="s">
        <v>7051</v>
      </c>
      <c r="G106" t="s">
        <v>7052</v>
      </c>
      <c r="H106" t="s">
        <v>7065</v>
      </c>
      <c r="I106" t="s">
        <v>50</v>
      </c>
      <c r="J106" t="s">
        <v>96</v>
      </c>
      <c r="K106" t="s">
        <v>4809</v>
      </c>
      <c r="M106" t="s">
        <v>1350</v>
      </c>
      <c r="N106" t="s">
        <v>404</v>
      </c>
      <c r="O106" t="s">
        <v>24</v>
      </c>
    </row>
    <row r="107" spans="1:15" x14ac:dyDescent="0.25">
      <c r="A107">
        <v>106</v>
      </c>
      <c r="B107" t="str">
        <f>HYPERLINK("https://digitalcommons.unl.edu/cgi/viewcontent.cgi?article=1741&amp;context=tractormuseumlit","Click for test report")</f>
        <v>Click for test report</v>
      </c>
      <c r="C107">
        <v>1923</v>
      </c>
      <c r="D107" t="s">
        <v>6454</v>
      </c>
      <c r="F107" t="s">
        <v>7063</v>
      </c>
      <c r="G107" t="s">
        <v>7052</v>
      </c>
      <c r="H107" t="s">
        <v>7064</v>
      </c>
      <c r="I107" t="s">
        <v>50</v>
      </c>
      <c r="J107" t="s">
        <v>96</v>
      </c>
      <c r="K107" t="s">
        <v>4809</v>
      </c>
      <c r="M107" t="s">
        <v>4012</v>
      </c>
      <c r="N107" t="s">
        <v>4590</v>
      </c>
      <c r="O107" t="s">
        <v>24</v>
      </c>
    </row>
    <row r="108" spans="1:15" x14ac:dyDescent="0.25">
      <c r="A108">
        <v>107</v>
      </c>
      <c r="B108" t="str">
        <f>HYPERLINK("https://digitalcommons.unl.edu/cgi/viewcontent.cgi?article=1742&amp;context=tractormuseumlit","Click for test report")</f>
        <v>Click for test report</v>
      </c>
      <c r="C108">
        <v>1923</v>
      </c>
      <c r="D108" t="s">
        <v>4202</v>
      </c>
      <c r="F108" t="s">
        <v>7061</v>
      </c>
      <c r="G108" t="s">
        <v>7061</v>
      </c>
      <c r="H108" t="s">
        <v>7062</v>
      </c>
      <c r="I108" t="s">
        <v>50</v>
      </c>
      <c r="J108" t="s">
        <v>96</v>
      </c>
      <c r="K108" t="s">
        <v>4809</v>
      </c>
      <c r="M108" t="s">
        <v>1650</v>
      </c>
      <c r="N108" t="s">
        <v>2825</v>
      </c>
      <c r="O108" t="s">
        <v>24</v>
      </c>
    </row>
    <row r="109" spans="1:15" x14ac:dyDescent="0.25">
      <c r="A109">
        <v>108</v>
      </c>
      <c r="B109" t="str">
        <f>HYPERLINK("https://digitalcommons.unl.edu/cgi/viewcontent.cgi?article=1743&amp;context=tractormuseumlit","Click for test report")</f>
        <v>Click for test report</v>
      </c>
      <c r="C109">
        <v>1924</v>
      </c>
      <c r="D109" t="s">
        <v>7060</v>
      </c>
      <c r="F109" t="s">
        <v>7061</v>
      </c>
      <c r="G109" t="s">
        <v>7061</v>
      </c>
      <c r="H109" t="s">
        <v>7062</v>
      </c>
      <c r="I109" t="s">
        <v>50</v>
      </c>
      <c r="J109" t="s">
        <v>96</v>
      </c>
      <c r="K109" t="s">
        <v>4809</v>
      </c>
      <c r="M109" t="s">
        <v>1970</v>
      </c>
      <c r="N109" t="s">
        <v>1009</v>
      </c>
      <c r="O109" t="s">
        <v>24</v>
      </c>
    </row>
    <row r="110" spans="1:15" x14ac:dyDescent="0.25">
      <c r="A110">
        <v>109</v>
      </c>
      <c r="B110" t="str">
        <f>HYPERLINK("https://digitalcommons.unl.edu/cgi/viewcontent.cgi?article=1744&amp;context=tractormuseumlit","Click for test report")</f>
        <v>Click for test report</v>
      </c>
      <c r="C110">
        <v>1924</v>
      </c>
      <c r="D110" t="s">
        <v>7058</v>
      </c>
      <c r="F110" t="s">
        <v>7059</v>
      </c>
      <c r="G110" t="s">
        <v>17</v>
      </c>
      <c r="H110" t="s">
        <v>6973</v>
      </c>
      <c r="I110" t="s">
        <v>50</v>
      </c>
      <c r="J110" t="s">
        <v>348</v>
      </c>
      <c r="K110" t="s">
        <v>6821</v>
      </c>
      <c r="M110" t="s">
        <v>4440</v>
      </c>
      <c r="N110" t="s">
        <v>4444</v>
      </c>
      <c r="O110" t="s">
        <v>24</v>
      </c>
    </row>
    <row r="111" spans="1:15" x14ac:dyDescent="0.25">
      <c r="A111">
        <v>110</v>
      </c>
      <c r="B111" t="str">
        <f>HYPERLINK("https://digitalcommons.unl.edu/cgi/viewcontent.cgi?article=1745&amp;context=tractormuseumlit","Click for test report")</f>
        <v>Click for test report</v>
      </c>
      <c r="C111">
        <v>1924</v>
      </c>
      <c r="D111" t="s">
        <v>7056</v>
      </c>
      <c r="F111" t="s">
        <v>6884</v>
      </c>
      <c r="G111" t="s">
        <v>6974</v>
      </c>
      <c r="H111" t="s">
        <v>7057</v>
      </c>
      <c r="I111" t="s">
        <v>50</v>
      </c>
      <c r="J111" t="s">
        <v>348</v>
      </c>
      <c r="K111" t="s">
        <v>6821</v>
      </c>
      <c r="M111" t="s">
        <v>1347</v>
      </c>
      <c r="N111" t="s">
        <v>2699</v>
      </c>
      <c r="O111" t="s">
        <v>24</v>
      </c>
    </row>
    <row r="112" spans="1:15" x14ac:dyDescent="0.25">
      <c r="A112">
        <v>111</v>
      </c>
      <c r="B112" t="str">
        <f>HYPERLINK("https://digitalcommons.unl.edu/cgi/viewcontent.cgi?article=1746&amp;context=tractormuseumlit","Click for test report")</f>
        <v>Click for test report</v>
      </c>
      <c r="C112">
        <v>1924</v>
      </c>
      <c r="D112" t="s">
        <v>7054</v>
      </c>
      <c r="F112" t="s">
        <v>7051</v>
      </c>
      <c r="G112" t="s">
        <v>7052</v>
      </c>
      <c r="H112" t="s">
        <v>7055</v>
      </c>
      <c r="I112" t="s">
        <v>50</v>
      </c>
      <c r="J112" t="s">
        <v>96</v>
      </c>
      <c r="K112" t="s">
        <v>4809</v>
      </c>
      <c r="M112" t="s">
        <v>1893</v>
      </c>
      <c r="N112" t="s">
        <v>4745</v>
      </c>
      <c r="O112" t="s">
        <v>24</v>
      </c>
    </row>
    <row r="113" spans="1:15" x14ac:dyDescent="0.25">
      <c r="A113">
        <v>112</v>
      </c>
      <c r="B113" t="str">
        <f>HYPERLINK("https://digitalcommons.unl.edu/cgi/viewcontent.cgi?article=1747&amp;context=tractormuseumlit","Click for test report")</f>
        <v>Click for test report</v>
      </c>
      <c r="C113">
        <v>1924</v>
      </c>
      <c r="D113" t="s">
        <v>6192</v>
      </c>
      <c r="F113" t="s">
        <v>7051</v>
      </c>
      <c r="G113" t="s">
        <v>7052</v>
      </c>
      <c r="H113" t="s">
        <v>7053</v>
      </c>
      <c r="I113" t="s">
        <v>50</v>
      </c>
      <c r="J113" t="s">
        <v>96</v>
      </c>
      <c r="K113" t="s">
        <v>4809</v>
      </c>
      <c r="M113" t="s">
        <v>722</v>
      </c>
      <c r="N113" t="s">
        <v>725</v>
      </c>
      <c r="O113" t="s">
        <v>24</v>
      </c>
    </row>
    <row r="114" spans="1:15" x14ac:dyDescent="0.25">
      <c r="A114">
        <v>113</v>
      </c>
      <c r="B114" t="str">
        <f>HYPERLINK("https://digitalcommons.unl.edu/cgi/viewcontent.cgi?article=1748&amp;context=tractormuseumlit","Click for test report")</f>
        <v>Click for test report</v>
      </c>
      <c r="C114">
        <v>1924</v>
      </c>
      <c r="D114" t="s">
        <v>7049</v>
      </c>
      <c r="F114" t="s">
        <v>6896</v>
      </c>
      <c r="G114" t="s">
        <v>6896</v>
      </c>
      <c r="H114" t="s">
        <v>7050</v>
      </c>
      <c r="I114" t="s">
        <v>50</v>
      </c>
      <c r="J114" t="s">
        <v>348</v>
      </c>
      <c r="K114" t="s">
        <v>6821</v>
      </c>
      <c r="M114" t="s">
        <v>1893</v>
      </c>
      <c r="N114" t="s">
        <v>4355</v>
      </c>
      <c r="O114" t="s">
        <v>24</v>
      </c>
    </row>
    <row r="115" spans="1:15" x14ac:dyDescent="0.25">
      <c r="A115">
        <v>114</v>
      </c>
      <c r="B115" t="str">
        <f>HYPERLINK("https://digitalcommons.unl.edu/cgi/viewcontent.cgi?article=1749&amp;context=tractormuseumlit","Click for test report")</f>
        <v>Click for test report</v>
      </c>
      <c r="C115">
        <v>1924</v>
      </c>
      <c r="D115" t="s">
        <v>7047</v>
      </c>
      <c r="F115" t="s">
        <v>6896</v>
      </c>
      <c r="G115" t="s">
        <v>6896</v>
      </c>
      <c r="H115" t="s">
        <v>7048</v>
      </c>
      <c r="I115" t="s">
        <v>50</v>
      </c>
      <c r="J115" t="s">
        <v>348</v>
      </c>
      <c r="K115" t="s">
        <v>6821</v>
      </c>
      <c r="M115" t="s">
        <v>4013</v>
      </c>
      <c r="N115" t="s">
        <v>4363</v>
      </c>
      <c r="O115" t="s">
        <v>24</v>
      </c>
    </row>
    <row r="116" spans="1:15" x14ac:dyDescent="0.25">
      <c r="A116">
        <v>115</v>
      </c>
      <c r="B116" t="str">
        <f>HYPERLINK("https://digitalcommons.unl.edu/cgi/viewcontent.cgi?article=1750&amp;context=tractormuseumlit","Click for test report")</f>
        <v>Click for test report</v>
      </c>
      <c r="C116">
        <v>1924</v>
      </c>
      <c r="D116" t="s">
        <v>7045</v>
      </c>
      <c r="F116" t="s">
        <v>6900</v>
      </c>
      <c r="G116" t="s">
        <v>6900</v>
      </c>
      <c r="H116" t="s">
        <v>7046</v>
      </c>
      <c r="I116" t="s">
        <v>50</v>
      </c>
      <c r="J116" t="s">
        <v>96</v>
      </c>
      <c r="K116" t="s">
        <v>4809</v>
      </c>
      <c r="M116" t="s">
        <v>1347</v>
      </c>
      <c r="N116" t="s">
        <v>3123</v>
      </c>
      <c r="O116" t="s">
        <v>24</v>
      </c>
    </row>
    <row r="117" spans="1:15" x14ac:dyDescent="0.25">
      <c r="A117">
        <v>116</v>
      </c>
      <c r="B117" t="str">
        <f>HYPERLINK("https://digitalcommons.unl.edu/cgi/viewcontent.cgi?article=1751&amp;context=tractormuseumlit","Click for test report")</f>
        <v>Click for test report</v>
      </c>
      <c r="C117">
        <v>1924</v>
      </c>
      <c r="D117" t="s">
        <v>7043</v>
      </c>
      <c r="F117" t="s">
        <v>3800</v>
      </c>
      <c r="G117" t="s">
        <v>4473</v>
      </c>
      <c r="H117" t="s">
        <v>7044</v>
      </c>
      <c r="I117" t="s">
        <v>50</v>
      </c>
      <c r="J117" t="s">
        <v>348</v>
      </c>
      <c r="K117" t="s">
        <v>6821</v>
      </c>
      <c r="M117" t="s">
        <v>3973</v>
      </c>
      <c r="N117" t="s">
        <v>4355</v>
      </c>
      <c r="O117" t="s">
        <v>24</v>
      </c>
    </row>
    <row r="118" spans="1:15" x14ac:dyDescent="0.25">
      <c r="A118">
        <v>117</v>
      </c>
      <c r="B118" t="str">
        <f>HYPERLINK("https://digitalcommons.unl.edu/cgi/viewcontent.cgi?article=1752&amp;context=tractormuseumlit","Click for test report")</f>
        <v>Click for test report</v>
      </c>
      <c r="C118">
        <v>1924</v>
      </c>
      <c r="D118" t="s">
        <v>7041</v>
      </c>
      <c r="F118" t="s">
        <v>3800</v>
      </c>
      <c r="G118" t="s">
        <v>4473</v>
      </c>
      <c r="H118" t="s">
        <v>7042</v>
      </c>
      <c r="I118" t="s">
        <v>50</v>
      </c>
      <c r="J118" t="s">
        <v>348</v>
      </c>
      <c r="K118" t="s">
        <v>6821</v>
      </c>
      <c r="M118" t="s">
        <v>3319</v>
      </c>
      <c r="N118" t="s">
        <v>3388</v>
      </c>
      <c r="O118" t="s">
        <v>24</v>
      </c>
    </row>
    <row r="119" spans="1:15" x14ac:dyDescent="0.25">
      <c r="A119">
        <v>118</v>
      </c>
      <c r="B119" t="str">
        <f>HYPERLINK("https://digitalcommons.unl.edu/cgi/viewcontent.cgi?article=1753&amp;context=tractormuseumlit","Click for test report")</f>
        <v>Click for test report</v>
      </c>
      <c r="C119">
        <v>1925</v>
      </c>
      <c r="D119" t="s">
        <v>7039</v>
      </c>
      <c r="F119" t="s">
        <v>6884</v>
      </c>
      <c r="G119" t="s">
        <v>6974</v>
      </c>
      <c r="H119" t="s">
        <v>7040</v>
      </c>
      <c r="I119" t="s">
        <v>50</v>
      </c>
      <c r="J119" t="s">
        <v>348</v>
      </c>
      <c r="K119" t="s">
        <v>6821</v>
      </c>
      <c r="M119" t="s">
        <v>2090</v>
      </c>
      <c r="N119" t="s">
        <v>4352</v>
      </c>
      <c r="O119" t="s">
        <v>24</v>
      </c>
    </row>
    <row r="120" spans="1:15" x14ac:dyDescent="0.25">
      <c r="A120">
        <v>119</v>
      </c>
      <c r="B120" t="str">
        <f>HYPERLINK("https://digitalcommons.unl.edu/cgi/viewcontent.cgi?article=1754&amp;context=tractormuseumlit","Click for test report")</f>
        <v>Click for test report</v>
      </c>
      <c r="C120">
        <v>1925</v>
      </c>
      <c r="D120" t="s">
        <v>7037</v>
      </c>
      <c r="F120" t="s">
        <v>6884</v>
      </c>
      <c r="G120" t="s">
        <v>6974</v>
      </c>
      <c r="H120" t="s">
        <v>7038</v>
      </c>
      <c r="I120" t="s">
        <v>50</v>
      </c>
      <c r="J120" t="s">
        <v>348</v>
      </c>
      <c r="K120" t="s">
        <v>6821</v>
      </c>
      <c r="M120" t="s">
        <v>4440</v>
      </c>
      <c r="N120" t="s">
        <v>4627</v>
      </c>
      <c r="O120" t="s">
        <v>24</v>
      </c>
    </row>
    <row r="121" spans="1:15" x14ac:dyDescent="0.25">
      <c r="A121">
        <v>120</v>
      </c>
      <c r="B121" t="str">
        <f>HYPERLINK("https://digitalcommons.unl.edu/cgi/viewcontent.cgi?article=1755&amp;context=tractormuseumlit","Click for test report")</f>
        <v>Click for test report</v>
      </c>
      <c r="C121">
        <v>1925</v>
      </c>
      <c r="D121" t="s">
        <v>7035</v>
      </c>
      <c r="F121" t="s">
        <v>6900</v>
      </c>
      <c r="G121" t="s">
        <v>6900</v>
      </c>
      <c r="H121" t="s">
        <v>7036</v>
      </c>
      <c r="I121" t="s">
        <v>50</v>
      </c>
      <c r="J121" t="s">
        <v>96</v>
      </c>
      <c r="K121" t="s">
        <v>4809</v>
      </c>
      <c r="M121" t="s">
        <v>2090</v>
      </c>
      <c r="N121" t="s">
        <v>1893</v>
      </c>
      <c r="O121" t="s">
        <v>24</v>
      </c>
    </row>
    <row r="122" spans="1:15" x14ac:dyDescent="0.25">
      <c r="A122">
        <v>121</v>
      </c>
      <c r="B122" t="str">
        <f>HYPERLINK("https://digitalcommons.unl.edu/cgi/viewcontent.cgi?article=1756&amp;context=tractormuseumlit","Click for test report")</f>
        <v>Click for test report</v>
      </c>
      <c r="C122">
        <v>1925</v>
      </c>
      <c r="D122" t="s">
        <v>7032</v>
      </c>
      <c r="F122" t="s">
        <v>6944</v>
      </c>
      <c r="G122" t="s">
        <v>7033</v>
      </c>
      <c r="H122" t="s">
        <v>7034</v>
      </c>
      <c r="I122" t="s">
        <v>50</v>
      </c>
      <c r="J122" t="s">
        <v>348</v>
      </c>
      <c r="K122" t="s">
        <v>6821</v>
      </c>
      <c r="M122" t="s">
        <v>4440</v>
      </c>
      <c r="N122" t="s">
        <v>4362</v>
      </c>
      <c r="O122" t="s">
        <v>24</v>
      </c>
    </row>
    <row r="123" spans="1:15" x14ac:dyDescent="0.25">
      <c r="A123">
        <v>122</v>
      </c>
      <c r="B123" t="str">
        <f>HYPERLINK("https://digitalcommons.unl.edu/cgi/viewcontent.cgi?article=1757&amp;context=tractormuseumlit","Click for test report")</f>
        <v>Click for test report</v>
      </c>
      <c r="C123">
        <v>1925</v>
      </c>
      <c r="D123" t="s">
        <v>7029</v>
      </c>
      <c r="F123" t="s">
        <v>7030</v>
      </c>
      <c r="G123" t="s">
        <v>7031</v>
      </c>
      <c r="H123" t="s">
        <v>6220</v>
      </c>
      <c r="I123" t="s">
        <v>50</v>
      </c>
      <c r="J123" t="s">
        <v>348</v>
      </c>
      <c r="K123" t="s">
        <v>4809</v>
      </c>
      <c r="N123" t="s">
        <v>4935</v>
      </c>
      <c r="O123" t="s">
        <v>2163</v>
      </c>
    </row>
    <row r="124" spans="1:15" x14ac:dyDescent="0.25">
      <c r="A124">
        <v>123</v>
      </c>
      <c r="B124" t="str">
        <f>HYPERLINK("https://digitalcommons.unl.edu/cgi/viewcontent.cgi?article=1758&amp;context=tractormuseumlit","Click for test report")</f>
        <v>Click for test report</v>
      </c>
      <c r="C124">
        <v>1925</v>
      </c>
      <c r="D124" t="s">
        <v>7027</v>
      </c>
      <c r="F124" t="s">
        <v>6884</v>
      </c>
      <c r="G124" t="s">
        <v>6974</v>
      </c>
      <c r="H124" t="s">
        <v>7028</v>
      </c>
      <c r="I124" t="s">
        <v>50</v>
      </c>
      <c r="J124" t="s">
        <v>348</v>
      </c>
      <c r="K124" t="s">
        <v>6821</v>
      </c>
      <c r="M124" t="s">
        <v>735</v>
      </c>
      <c r="N124" t="s">
        <v>2825</v>
      </c>
      <c r="O124" t="s">
        <v>24</v>
      </c>
    </row>
    <row r="125" spans="1:15" x14ac:dyDescent="0.25">
      <c r="A125">
        <v>124</v>
      </c>
      <c r="B125" t="str">
        <f>HYPERLINK("https://digitalcommons.unl.edu/cgi/viewcontent.cgi?article=1759&amp;context=tractormuseumlit","Click for test report")</f>
        <v>Click for test report</v>
      </c>
      <c r="C125">
        <v>1925</v>
      </c>
      <c r="D125" t="s">
        <v>7025</v>
      </c>
      <c r="F125" t="s">
        <v>4503</v>
      </c>
      <c r="G125" t="s">
        <v>6340</v>
      </c>
      <c r="H125" t="s">
        <v>7026</v>
      </c>
      <c r="I125" t="s">
        <v>50</v>
      </c>
      <c r="J125" t="s">
        <v>348</v>
      </c>
      <c r="K125" t="s">
        <v>6821</v>
      </c>
      <c r="M125" t="s">
        <v>4359</v>
      </c>
      <c r="N125" t="s">
        <v>4935</v>
      </c>
      <c r="O125" t="s">
        <v>24</v>
      </c>
    </row>
    <row r="126" spans="1:15" x14ac:dyDescent="0.25">
      <c r="A126">
        <v>125</v>
      </c>
      <c r="B126" t="str">
        <f>HYPERLINK("https://digitalcommons.unl.edu/cgi/viewcontent.cgi?article=1760&amp;context=tractormuseumlit","Click for test report")</f>
        <v>Click for test report</v>
      </c>
      <c r="C126">
        <v>1925</v>
      </c>
      <c r="D126" t="s">
        <v>7023</v>
      </c>
      <c r="F126" t="s">
        <v>6931</v>
      </c>
      <c r="G126" t="s">
        <v>6932</v>
      </c>
      <c r="H126" t="s">
        <v>7024</v>
      </c>
      <c r="I126" t="s">
        <v>50</v>
      </c>
      <c r="J126" t="s">
        <v>348</v>
      </c>
      <c r="K126" t="s">
        <v>6821</v>
      </c>
      <c r="M126" t="s">
        <v>3388</v>
      </c>
      <c r="N126" t="s">
        <v>4358</v>
      </c>
      <c r="O126" t="s">
        <v>24</v>
      </c>
    </row>
    <row r="127" spans="1:15" x14ac:dyDescent="0.25">
      <c r="A127">
        <v>126</v>
      </c>
      <c r="B127" t="str">
        <f>HYPERLINK("https://digitalcommons.unl.edu/cgi/viewcontent.cgi?article=1761&amp;context=tractormuseumlit","Click for test report")</f>
        <v>Click for test report</v>
      </c>
      <c r="C127">
        <v>1926</v>
      </c>
      <c r="D127" t="s">
        <v>7022</v>
      </c>
      <c r="F127" t="s">
        <v>6678</v>
      </c>
      <c r="G127" t="s">
        <v>6679</v>
      </c>
      <c r="H127" t="s">
        <v>7021</v>
      </c>
      <c r="I127" t="s">
        <v>50</v>
      </c>
      <c r="J127" t="s">
        <v>96</v>
      </c>
      <c r="K127" t="s">
        <v>6821</v>
      </c>
      <c r="M127" t="s">
        <v>4589</v>
      </c>
      <c r="N127" t="s">
        <v>4358</v>
      </c>
      <c r="O127" t="s">
        <v>24</v>
      </c>
    </row>
    <row r="128" spans="1:15" x14ac:dyDescent="0.25">
      <c r="A128">
        <v>127</v>
      </c>
      <c r="B128" t="str">
        <f>HYPERLINK("https://digitalcommons.unl.edu/cgi/viewcontent.cgi?article=1762&amp;context=tractormuseumlit","Click for test report")</f>
        <v>Click for test report</v>
      </c>
      <c r="C128">
        <v>1926</v>
      </c>
      <c r="D128" t="s">
        <v>4200</v>
      </c>
      <c r="F128" t="s">
        <v>6678</v>
      </c>
      <c r="G128" t="s">
        <v>6679</v>
      </c>
      <c r="H128" t="s">
        <v>7021</v>
      </c>
      <c r="I128" t="s">
        <v>50</v>
      </c>
      <c r="J128" t="s">
        <v>96</v>
      </c>
      <c r="K128" t="s">
        <v>4809</v>
      </c>
      <c r="M128" t="s">
        <v>4440</v>
      </c>
      <c r="N128" t="s">
        <v>4355</v>
      </c>
      <c r="O128" t="s">
        <v>24</v>
      </c>
    </row>
    <row r="129" spans="1:15" x14ac:dyDescent="0.25">
      <c r="A129">
        <v>128</v>
      </c>
      <c r="B129" t="str">
        <f>HYPERLINK("https://digitalcommons.unl.edu/cgi/viewcontent.cgi?article=1762&amp;context=tractormuseumlit","Click for test report")</f>
        <v>Click for test report</v>
      </c>
      <c r="C129">
        <v>1926</v>
      </c>
      <c r="D129" t="s">
        <v>4200</v>
      </c>
      <c r="F129" t="s">
        <v>6678</v>
      </c>
      <c r="G129" t="s">
        <v>6679</v>
      </c>
      <c r="H129" t="s">
        <v>7020</v>
      </c>
      <c r="I129" t="s">
        <v>50</v>
      </c>
      <c r="J129" t="s">
        <v>96</v>
      </c>
      <c r="K129" t="s">
        <v>4809</v>
      </c>
      <c r="M129" t="s">
        <v>4440</v>
      </c>
      <c r="N129" t="s">
        <v>4355</v>
      </c>
      <c r="O129" t="s">
        <v>24</v>
      </c>
    </row>
    <row r="130" spans="1:15" x14ac:dyDescent="0.25">
      <c r="A130">
        <v>129</v>
      </c>
      <c r="B130" t="str">
        <f>HYPERLINK("https://digitalcommons.unl.edu/cgi/viewcontent.cgi?article=1763&amp;context=tractormuseumlit","Click for test report")</f>
        <v>Click for test report</v>
      </c>
      <c r="C130">
        <v>1926</v>
      </c>
      <c r="D130" t="s">
        <v>7018</v>
      </c>
      <c r="F130" t="s">
        <v>6958</v>
      </c>
      <c r="G130" t="s">
        <v>6632</v>
      </c>
      <c r="H130" t="s">
        <v>7019</v>
      </c>
      <c r="I130" t="s">
        <v>50</v>
      </c>
      <c r="J130" t="s">
        <v>348</v>
      </c>
      <c r="K130" t="s">
        <v>6821</v>
      </c>
      <c r="M130" t="s">
        <v>4440</v>
      </c>
      <c r="N130" t="s">
        <v>4444</v>
      </c>
      <c r="O130" t="s">
        <v>24</v>
      </c>
    </row>
    <row r="131" spans="1:15" x14ac:dyDescent="0.25">
      <c r="A131">
        <v>130</v>
      </c>
      <c r="B131" t="str">
        <f>HYPERLINK("https://digitalcommons.unl.edu/cgi/viewcontent.cgi?article=1764&amp;context=tractormuseumlit","Click for test report")</f>
        <v>Click for test report</v>
      </c>
      <c r="C131">
        <v>1926</v>
      </c>
      <c r="D131" t="s">
        <v>7016</v>
      </c>
      <c r="F131" t="s">
        <v>6958</v>
      </c>
      <c r="G131" t="s">
        <v>6632</v>
      </c>
      <c r="H131" t="s">
        <v>7017</v>
      </c>
      <c r="I131" t="s">
        <v>50</v>
      </c>
      <c r="J131" t="s">
        <v>348</v>
      </c>
      <c r="K131" t="s">
        <v>6821</v>
      </c>
      <c r="M131" t="s">
        <v>1650</v>
      </c>
      <c r="N131" t="s">
        <v>3388</v>
      </c>
      <c r="O131" t="s">
        <v>24</v>
      </c>
    </row>
    <row r="132" spans="1:15" x14ac:dyDescent="0.25">
      <c r="A132">
        <v>131</v>
      </c>
      <c r="B132" t="str">
        <f>HYPERLINK("https://digitalcommons.unl.edu/cgi/viewcontent.cgi?article=1765&amp;context=tractormuseumlit","Click for test report")</f>
        <v>Click for test report</v>
      </c>
      <c r="C132">
        <v>1926</v>
      </c>
      <c r="D132" t="s">
        <v>7014</v>
      </c>
      <c r="F132" t="s">
        <v>6489</v>
      </c>
      <c r="G132" t="s">
        <v>6489</v>
      </c>
      <c r="H132" t="s">
        <v>7008</v>
      </c>
      <c r="I132" t="s">
        <v>50</v>
      </c>
      <c r="J132" t="s">
        <v>348</v>
      </c>
      <c r="K132" t="s">
        <v>6821</v>
      </c>
      <c r="M132" t="s">
        <v>2090</v>
      </c>
      <c r="N132" t="s">
        <v>4440</v>
      </c>
      <c r="O132" t="s">
        <v>7015</v>
      </c>
    </row>
    <row r="133" spans="1:15" x14ac:dyDescent="0.25">
      <c r="A133">
        <v>132</v>
      </c>
      <c r="B133" t="str">
        <f>HYPERLINK("https://digitalcommons.unl.edu/cgi/viewcontent.cgi?article=1766&amp;context=tractormuseumlit","Click for test report")</f>
        <v>Click for test report</v>
      </c>
      <c r="C133">
        <v>1926</v>
      </c>
      <c r="D133" t="s">
        <v>7012</v>
      </c>
      <c r="F133" t="s">
        <v>4395</v>
      </c>
      <c r="G133" t="s">
        <v>6088</v>
      </c>
      <c r="H133" t="s">
        <v>7013</v>
      </c>
      <c r="I133" t="s">
        <v>50</v>
      </c>
      <c r="J133" t="s">
        <v>348</v>
      </c>
      <c r="K133" t="s">
        <v>6821</v>
      </c>
      <c r="M133" t="s">
        <v>4444</v>
      </c>
      <c r="N133" t="s">
        <v>4930</v>
      </c>
      <c r="O133" t="s">
        <v>24</v>
      </c>
    </row>
    <row r="134" spans="1:15" x14ac:dyDescent="0.25">
      <c r="A134">
        <v>133</v>
      </c>
      <c r="B134" t="str">
        <f>HYPERLINK("https://digitalcommons.unl.edu/cgi/viewcontent.cgi?article=1767&amp;context=tractormuseumlit","Click for test report")</f>
        <v>Click for test report</v>
      </c>
      <c r="C134">
        <v>1926</v>
      </c>
      <c r="D134" t="s">
        <v>4120</v>
      </c>
      <c r="F134" t="s">
        <v>6678</v>
      </c>
      <c r="G134" t="s">
        <v>6679</v>
      </c>
      <c r="H134" t="s">
        <v>7011</v>
      </c>
      <c r="I134" t="s">
        <v>50</v>
      </c>
      <c r="J134" t="s">
        <v>96</v>
      </c>
      <c r="K134" t="s">
        <v>4809</v>
      </c>
      <c r="M134" t="s">
        <v>2188</v>
      </c>
      <c r="N134" t="s">
        <v>1802</v>
      </c>
      <c r="O134" t="s">
        <v>24</v>
      </c>
    </row>
    <row r="135" spans="1:15" x14ac:dyDescent="0.25">
      <c r="A135">
        <v>134</v>
      </c>
      <c r="B135" t="str">
        <f>HYPERLINK("https://digitalcommons.unl.edu/cgi/viewcontent.cgi?article=1768&amp;context=tractormuseumlit","Click for test report")</f>
        <v>Click for test report</v>
      </c>
      <c r="C135">
        <v>1926</v>
      </c>
      <c r="D135" t="s">
        <v>7010</v>
      </c>
      <c r="F135" t="s">
        <v>6489</v>
      </c>
      <c r="G135" t="s">
        <v>6489</v>
      </c>
      <c r="H135" t="s">
        <v>7002</v>
      </c>
      <c r="I135" t="s">
        <v>50</v>
      </c>
      <c r="J135" t="s">
        <v>348</v>
      </c>
      <c r="K135" t="s">
        <v>4809</v>
      </c>
      <c r="M135" t="s">
        <v>735</v>
      </c>
      <c r="N135" t="s">
        <v>2699</v>
      </c>
      <c r="O135" t="s">
        <v>24</v>
      </c>
    </row>
    <row r="136" spans="1:15" x14ac:dyDescent="0.25">
      <c r="A136">
        <v>135</v>
      </c>
      <c r="B136" t="str">
        <f>HYPERLINK("https://digitalcommons.unl.edu/cgi/viewcontent.cgi?article=1769&amp;context=tractormuseumlit","Click for test report")</f>
        <v>Click for test report</v>
      </c>
      <c r="C136">
        <v>1926</v>
      </c>
      <c r="D136" t="s">
        <v>7009</v>
      </c>
      <c r="F136" t="s">
        <v>6958</v>
      </c>
      <c r="G136" t="s">
        <v>6632</v>
      </c>
      <c r="H136" t="s">
        <v>6959</v>
      </c>
      <c r="I136" t="s">
        <v>50</v>
      </c>
      <c r="J136" t="s">
        <v>348</v>
      </c>
      <c r="K136" t="s">
        <v>6821</v>
      </c>
      <c r="M136" t="s">
        <v>2825</v>
      </c>
      <c r="N136" t="s">
        <v>4008</v>
      </c>
      <c r="O136" t="s">
        <v>24</v>
      </c>
    </row>
    <row r="137" spans="1:15" x14ac:dyDescent="0.25">
      <c r="A137">
        <v>136</v>
      </c>
      <c r="B137" t="str">
        <f>HYPERLINK("https://digitalcommons.unl.edu/cgi/viewcontent.cgi?article=1770&amp;context=tractormuseumlit","Click for test report")</f>
        <v>Click for test report</v>
      </c>
      <c r="C137">
        <v>1926</v>
      </c>
      <c r="D137" t="s">
        <v>7007</v>
      </c>
      <c r="F137" t="s">
        <v>6896</v>
      </c>
      <c r="G137" t="s">
        <v>6896</v>
      </c>
      <c r="H137" t="s">
        <v>7008</v>
      </c>
      <c r="I137" t="s">
        <v>50</v>
      </c>
      <c r="J137" t="s">
        <v>348</v>
      </c>
      <c r="K137" t="s">
        <v>6351</v>
      </c>
      <c r="M137" t="s">
        <v>3152</v>
      </c>
      <c r="N137" t="s">
        <v>4012</v>
      </c>
      <c r="O137" t="s">
        <v>24</v>
      </c>
    </row>
    <row r="138" spans="1:15" x14ac:dyDescent="0.25">
      <c r="A138">
        <v>137</v>
      </c>
      <c r="B138" t="str">
        <f>HYPERLINK("https://digitalcommons.unl.edu/cgi/viewcontent.cgi?article=1771&amp;context=tractormuseumlit","Click for test report")</f>
        <v>Click for test report</v>
      </c>
      <c r="C138">
        <v>1926</v>
      </c>
      <c r="D138" t="s">
        <v>7005</v>
      </c>
      <c r="F138" t="s">
        <v>6896</v>
      </c>
      <c r="G138" t="s">
        <v>6896</v>
      </c>
      <c r="H138" t="s">
        <v>7006</v>
      </c>
      <c r="I138" t="s">
        <v>50</v>
      </c>
      <c r="J138" t="s">
        <v>348</v>
      </c>
      <c r="K138" t="s">
        <v>6351</v>
      </c>
      <c r="M138" t="s">
        <v>4008</v>
      </c>
      <c r="N138" t="s">
        <v>4362</v>
      </c>
      <c r="O138" t="s">
        <v>24</v>
      </c>
    </row>
    <row r="139" spans="1:15" x14ac:dyDescent="0.25">
      <c r="A139">
        <v>138</v>
      </c>
      <c r="B139" t="str">
        <f>HYPERLINK("https://digitalcommons.unl.edu/cgi/viewcontent.cgi?article=1772&amp;context=tractormuseumlit","Click for test report")</f>
        <v>Click for test report</v>
      </c>
      <c r="C139">
        <v>1926</v>
      </c>
      <c r="D139" t="s">
        <v>5680</v>
      </c>
      <c r="F139" t="s">
        <v>4503</v>
      </c>
      <c r="G139" t="s">
        <v>6340</v>
      </c>
      <c r="H139" t="s">
        <v>6950</v>
      </c>
      <c r="I139" t="s">
        <v>50</v>
      </c>
      <c r="J139" t="s">
        <v>348</v>
      </c>
      <c r="K139" t="s">
        <v>6821</v>
      </c>
      <c r="M139" t="s">
        <v>3388</v>
      </c>
      <c r="N139" t="s">
        <v>4013</v>
      </c>
      <c r="O139" t="s">
        <v>24</v>
      </c>
    </row>
    <row r="140" spans="1:15" x14ac:dyDescent="0.25">
      <c r="A140">
        <v>139</v>
      </c>
      <c r="B140" t="str">
        <f>HYPERLINK("https://digitalcommons.unl.edu/cgi/viewcontent.cgi?article=1773&amp;context=tractormuseumlit","Click for test report")</f>
        <v>Click for test report</v>
      </c>
      <c r="C140">
        <v>1927</v>
      </c>
      <c r="D140" t="s">
        <v>7003</v>
      </c>
      <c r="F140" t="s">
        <v>6967</v>
      </c>
      <c r="G140" t="s">
        <v>6968</v>
      </c>
      <c r="H140" t="s">
        <v>7004</v>
      </c>
      <c r="I140" t="s">
        <v>50</v>
      </c>
      <c r="J140" t="s">
        <v>348</v>
      </c>
      <c r="K140" t="s">
        <v>4809</v>
      </c>
      <c r="M140" t="s">
        <v>3973</v>
      </c>
      <c r="N140" t="s">
        <v>4589</v>
      </c>
      <c r="O140" t="s">
        <v>24</v>
      </c>
    </row>
    <row r="141" spans="1:15" x14ac:dyDescent="0.25">
      <c r="A141">
        <v>140</v>
      </c>
      <c r="B141" t="str">
        <f>HYPERLINK("https://digitalcommons.unl.edu/cgi/viewcontent.cgi?article=1774&amp;context=tractormuseumlit","Click for test report")</f>
        <v>Click for test report</v>
      </c>
      <c r="C141">
        <v>1927</v>
      </c>
      <c r="D141" t="s">
        <v>7001</v>
      </c>
      <c r="F141" t="s">
        <v>6967</v>
      </c>
      <c r="G141" t="s">
        <v>6968</v>
      </c>
      <c r="H141" t="s">
        <v>7002</v>
      </c>
      <c r="I141" t="s">
        <v>50</v>
      </c>
      <c r="J141" t="s">
        <v>348</v>
      </c>
      <c r="K141" t="s">
        <v>4809</v>
      </c>
      <c r="M141" t="s">
        <v>2627</v>
      </c>
      <c r="N141" t="s">
        <v>4012</v>
      </c>
      <c r="O141" t="s">
        <v>24</v>
      </c>
    </row>
    <row r="142" spans="1:15" x14ac:dyDescent="0.25">
      <c r="A142">
        <v>141</v>
      </c>
      <c r="B142" t="str">
        <f>HYPERLINK("https://digitalcommons.unl.edu/cgi/viewcontent.cgi?article=3688&amp;context=tractormuseumlit","Click for test report")</f>
        <v>Click for test report</v>
      </c>
      <c r="C142">
        <v>1927</v>
      </c>
      <c r="D142" t="s">
        <v>7000</v>
      </c>
      <c r="G142" t="s">
        <v>322</v>
      </c>
      <c r="O142" t="s">
        <v>24</v>
      </c>
    </row>
    <row r="143" spans="1:15" x14ac:dyDescent="0.25">
      <c r="A143">
        <v>142</v>
      </c>
      <c r="B143" t="str">
        <f>HYPERLINK("https://digitalcommons.unl.edu/cgi/viewcontent.cgi?article=1775&amp;context=tractormuseumlit","Click for test report")</f>
        <v>Click for test report</v>
      </c>
      <c r="C143">
        <v>1927</v>
      </c>
      <c r="D143" t="s">
        <v>6998</v>
      </c>
      <c r="F143" t="s">
        <v>3800</v>
      </c>
      <c r="G143" t="s">
        <v>6926</v>
      </c>
      <c r="H143" t="s">
        <v>6999</v>
      </c>
      <c r="I143" t="s">
        <v>50</v>
      </c>
      <c r="J143" t="s">
        <v>348</v>
      </c>
      <c r="K143" t="s">
        <v>6351</v>
      </c>
      <c r="M143" t="s">
        <v>2825</v>
      </c>
      <c r="N143" t="s">
        <v>4352</v>
      </c>
      <c r="O143" t="s">
        <v>24</v>
      </c>
    </row>
    <row r="144" spans="1:15" x14ac:dyDescent="0.25">
      <c r="A144">
        <v>143</v>
      </c>
      <c r="B144" t="str">
        <f>HYPERLINK("https://digitalcommons.unl.edu/cgi/viewcontent.cgi?article=1776&amp;context=tractormuseumlit","Click for test report")</f>
        <v>Click for test report</v>
      </c>
      <c r="C144">
        <v>1927</v>
      </c>
      <c r="D144" t="s">
        <v>5582</v>
      </c>
      <c r="F144" t="s">
        <v>6489</v>
      </c>
      <c r="G144" t="s">
        <v>6489</v>
      </c>
      <c r="H144" t="s">
        <v>6996</v>
      </c>
      <c r="I144" t="s">
        <v>50</v>
      </c>
      <c r="J144" t="s">
        <v>348</v>
      </c>
      <c r="K144" t="s">
        <v>4809</v>
      </c>
      <c r="M144" t="s">
        <v>2747</v>
      </c>
      <c r="N144" t="s">
        <v>735</v>
      </c>
      <c r="O144" t="s">
        <v>6997</v>
      </c>
    </row>
    <row r="145" spans="1:15" x14ac:dyDescent="0.25">
      <c r="A145">
        <v>144</v>
      </c>
      <c r="B145" t="str">
        <f>HYPERLINK("https://digitalcommons.unl.edu/cgi/viewcontent.cgi?article=1777&amp;context=tractormuseumlit","Click for test report")</f>
        <v>Click for test report</v>
      </c>
      <c r="C145">
        <v>1927</v>
      </c>
      <c r="D145" t="s">
        <v>6994</v>
      </c>
      <c r="F145" t="s">
        <v>6992</v>
      </c>
      <c r="G145" t="s">
        <v>6992</v>
      </c>
      <c r="H145" t="s">
        <v>6995</v>
      </c>
      <c r="I145" t="s">
        <v>50</v>
      </c>
      <c r="J145" t="s">
        <v>348</v>
      </c>
      <c r="K145" t="s">
        <v>4809</v>
      </c>
      <c r="M145" t="s">
        <v>6006</v>
      </c>
      <c r="N145" t="s">
        <v>6461</v>
      </c>
      <c r="O145" t="s">
        <v>24</v>
      </c>
    </row>
    <row r="146" spans="1:15" x14ac:dyDescent="0.25">
      <c r="A146">
        <v>145</v>
      </c>
      <c r="B146" t="str">
        <f>HYPERLINK("https://digitalcommons.unl.edu/cgi/viewcontent.cgi?article=1778&amp;context=tractormuseumlit","Click for test report")</f>
        <v>Click for test report</v>
      </c>
      <c r="C146">
        <v>1927</v>
      </c>
      <c r="D146" t="s">
        <v>6991</v>
      </c>
      <c r="F146" t="s">
        <v>6992</v>
      </c>
      <c r="G146" t="s">
        <v>6992</v>
      </c>
      <c r="H146" t="s">
        <v>6993</v>
      </c>
      <c r="I146" t="s">
        <v>50</v>
      </c>
      <c r="J146" t="s">
        <v>348</v>
      </c>
      <c r="K146" t="s">
        <v>4809</v>
      </c>
      <c r="M146" t="s">
        <v>6006</v>
      </c>
      <c r="N146" t="s">
        <v>6461</v>
      </c>
      <c r="O146" t="s">
        <v>24</v>
      </c>
    </row>
    <row r="147" spans="1:15" x14ac:dyDescent="0.25">
      <c r="A147">
        <v>146</v>
      </c>
      <c r="B147" t="str">
        <f>HYPERLINK("https://digitalcommons.unl.edu/cgi/viewcontent.cgi?article=1779&amp;context=tractormuseumlit","Click for test report")</f>
        <v>Click for test report</v>
      </c>
      <c r="C147">
        <v>1927</v>
      </c>
      <c r="D147" t="s">
        <v>6988</v>
      </c>
      <c r="F147" t="s">
        <v>6989</v>
      </c>
      <c r="G147" t="s">
        <v>6989</v>
      </c>
      <c r="H147" t="s">
        <v>6990</v>
      </c>
      <c r="I147" t="s">
        <v>50</v>
      </c>
      <c r="J147" t="s">
        <v>348</v>
      </c>
      <c r="K147" t="s">
        <v>4809</v>
      </c>
      <c r="N147" t="s">
        <v>5739</v>
      </c>
      <c r="O147" t="s">
        <v>2163</v>
      </c>
    </row>
    <row r="148" spans="1:15" x14ac:dyDescent="0.25">
      <c r="A148">
        <v>147</v>
      </c>
      <c r="B148" t="str">
        <f>HYPERLINK("https://digitalcommons.unl.edu/cgi/viewcontent.cgi?article=1780&amp;context=tractormuseumlit","Click for test report")</f>
        <v>Click for test report</v>
      </c>
      <c r="C148">
        <v>1927</v>
      </c>
      <c r="D148" t="s">
        <v>6986</v>
      </c>
      <c r="F148" t="s">
        <v>6900</v>
      </c>
      <c r="G148" t="s">
        <v>6900</v>
      </c>
      <c r="H148" t="s">
        <v>6987</v>
      </c>
      <c r="I148" t="s">
        <v>50</v>
      </c>
      <c r="J148" t="s">
        <v>96</v>
      </c>
      <c r="K148" t="s">
        <v>4809</v>
      </c>
      <c r="N148" t="s">
        <v>1371</v>
      </c>
      <c r="O148" t="s">
        <v>2163</v>
      </c>
    </row>
    <row r="149" spans="1:15" x14ac:dyDescent="0.25">
      <c r="A149">
        <v>148</v>
      </c>
      <c r="B149" t="str">
        <f>HYPERLINK("https://digitalcommons.unl.edu/cgi/viewcontent.cgi?article=1781&amp;context=tractormuseumlit","Click for test report")</f>
        <v>Click for test report</v>
      </c>
      <c r="C149">
        <v>1927</v>
      </c>
      <c r="D149" t="s">
        <v>4199</v>
      </c>
      <c r="F149" t="s">
        <v>6896</v>
      </c>
      <c r="G149" t="s">
        <v>6896</v>
      </c>
      <c r="H149" t="s">
        <v>6985</v>
      </c>
      <c r="I149" t="s">
        <v>50</v>
      </c>
      <c r="J149" t="s">
        <v>348</v>
      </c>
      <c r="K149" t="s">
        <v>6351</v>
      </c>
      <c r="M149" t="s">
        <v>349</v>
      </c>
      <c r="N149" t="s">
        <v>410</v>
      </c>
      <c r="O149" t="s">
        <v>24</v>
      </c>
    </row>
    <row r="150" spans="1:15" x14ac:dyDescent="0.25">
      <c r="A150">
        <v>149</v>
      </c>
      <c r="B150" t="str">
        <f>HYPERLINK("https://digitalcommons.unl.edu/cgi/viewcontent.cgi?article=1782&amp;context=tractormuseumlit","Click for test report")</f>
        <v>Click for test report</v>
      </c>
      <c r="C150">
        <v>1927</v>
      </c>
      <c r="D150" t="s">
        <v>6983</v>
      </c>
      <c r="F150" t="s">
        <v>6884</v>
      </c>
      <c r="G150" t="s">
        <v>6974</v>
      </c>
      <c r="H150" t="s">
        <v>6984</v>
      </c>
      <c r="I150" t="s">
        <v>50</v>
      </c>
      <c r="J150" t="s">
        <v>348</v>
      </c>
      <c r="K150" t="s">
        <v>6821</v>
      </c>
      <c r="M150" t="s">
        <v>2825</v>
      </c>
      <c r="N150" t="s">
        <v>4013</v>
      </c>
      <c r="O150" t="s">
        <v>24</v>
      </c>
    </row>
    <row r="151" spans="1:15" x14ac:dyDescent="0.25">
      <c r="A151">
        <v>150</v>
      </c>
      <c r="B151" t="str">
        <f>HYPERLINK("https://digitalcommons.unl.edu/cgi/viewcontent.cgi?article=1783&amp;context=tractormuseumlit","Click for test report")</f>
        <v>Click for test report</v>
      </c>
      <c r="C151">
        <v>1927</v>
      </c>
      <c r="D151" t="s">
        <v>6980</v>
      </c>
      <c r="F151" t="s">
        <v>4503</v>
      </c>
      <c r="G151" t="s">
        <v>6340</v>
      </c>
      <c r="H151" t="s">
        <v>6981</v>
      </c>
      <c r="I151" t="s">
        <v>50</v>
      </c>
      <c r="J151" t="s">
        <v>348</v>
      </c>
      <c r="K151" t="s">
        <v>6821</v>
      </c>
      <c r="M151" t="s">
        <v>4355</v>
      </c>
      <c r="N151" t="s">
        <v>4627</v>
      </c>
      <c r="O151" t="s">
        <v>6982</v>
      </c>
    </row>
    <row r="152" spans="1:15" x14ac:dyDescent="0.25">
      <c r="A152">
        <v>151</v>
      </c>
      <c r="B152" t="str">
        <f>HYPERLINK("https://digitalcommons.unl.edu/cgi/viewcontent.cgi?article=1784&amp;context=tractormuseumlit","Click for test report")</f>
        <v>Click for test report</v>
      </c>
      <c r="C152">
        <v>1927</v>
      </c>
      <c r="D152" t="s">
        <v>6978</v>
      </c>
      <c r="F152" t="s">
        <v>6884</v>
      </c>
      <c r="G152" t="s">
        <v>6974</v>
      </c>
      <c r="H152" t="s">
        <v>6979</v>
      </c>
      <c r="I152" t="s">
        <v>50</v>
      </c>
      <c r="J152" t="s">
        <v>348</v>
      </c>
      <c r="K152" t="s">
        <v>6821</v>
      </c>
      <c r="M152" t="s">
        <v>735</v>
      </c>
      <c r="N152" t="s">
        <v>1802</v>
      </c>
      <c r="O152" t="s">
        <v>24</v>
      </c>
    </row>
    <row r="153" spans="1:15" x14ac:dyDescent="0.25">
      <c r="A153">
        <v>152</v>
      </c>
      <c r="B153" t="str">
        <f>HYPERLINK("https://digitalcommons.unl.edu/cgi/viewcontent.cgi?article=1785&amp;context=tractormuseumlit","Click for test report")</f>
        <v>Click for test report</v>
      </c>
      <c r="C153">
        <v>1927</v>
      </c>
      <c r="D153" t="s">
        <v>6976</v>
      </c>
      <c r="F153" t="s">
        <v>6944</v>
      </c>
      <c r="G153" t="s">
        <v>6944</v>
      </c>
      <c r="H153" t="s">
        <v>6977</v>
      </c>
      <c r="I153" t="s">
        <v>50</v>
      </c>
      <c r="J153" t="s">
        <v>348</v>
      </c>
      <c r="K153" t="s">
        <v>6351</v>
      </c>
      <c r="M153" t="s">
        <v>3973</v>
      </c>
      <c r="N153" t="s">
        <v>4440</v>
      </c>
      <c r="O153" t="s">
        <v>24</v>
      </c>
    </row>
    <row r="154" spans="1:15" x14ac:dyDescent="0.25">
      <c r="A154">
        <v>153</v>
      </c>
      <c r="B154" t="str">
        <f>HYPERLINK("https://digitalcommons.unl.edu/cgi/viewcontent.cgi?article=1786&amp;context=tractormuseumlit","Click for test report")</f>
        <v>Click for test report</v>
      </c>
      <c r="C154">
        <v>1927</v>
      </c>
      <c r="D154" t="s">
        <v>4117</v>
      </c>
      <c r="F154" t="s">
        <v>6884</v>
      </c>
      <c r="G154" t="s">
        <v>6974</v>
      </c>
      <c r="H154" t="s">
        <v>6975</v>
      </c>
      <c r="I154" t="s">
        <v>50</v>
      </c>
      <c r="J154" t="s">
        <v>348</v>
      </c>
      <c r="K154" t="s">
        <v>6821</v>
      </c>
      <c r="M154" t="s">
        <v>728</v>
      </c>
      <c r="N154" t="s">
        <v>407</v>
      </c>
      <c r="O154" t="s">
        <v>24</v>
      </c>
    </row>
    <row r="155" spans="1:15" x14ac:dyDescent="0.25">
      <c r="A155">
        <v>154</v>
      </c>
      <c r="B155" t="str">
        <f>HYPERLINK("https://digitalcommons.unl.edu/cgi/viewcontent.cgi?article=1787&amp;context=tractormuseumlit","Click for test report")</f>
        <v>Click for test report</v>
      </c>
      <c r="C155">
        <v>1927</v>
      </c>
      <c r="D155" t="s">
        <v>6972</v>
      </c>
      <c r="F155" t="s">
        <v>17</v>
      </c>
      <c r="G155" t="s">
        <v>17</v>
      </c>
      <c r="H155" t="s">
        <v>6973</v>
      </c>
      <c r="I155" t="s">
        <v>50</v>
      </c>
      <c r="J155" t="s">
        <v>348</v>
      </c>
      <c r="K155" t="s">
        <v>6821</v>
      </c>
      <c r="M155" t="s">
        <v>3973</v>
      </c>
      <c r="N155" t="s">
        <v>4589</v>
      </c>
      <c r="O155" t="s">
        <v>24</v>
      </c>
    </row>
    <row r="156" spans="1:15" x14ac:dyDescent="0.25">
      <c r="A156">
        <v>155</v>
      </c>
      <c r="B156" t="str">
        <f>HYPERLINK("https://digitalcommons.unl.edu/cgi/viewcontent.cgi?article=1788&amp;context=tractormuseumlit","Click for test report")</f>
        <v>Click for test report</v>
      </c>
      <c r="C156">
        <v>1927</v>
      </c>
      <c r="D156" t="s">
        <v>6970</v>
      </c>
      <c r="F156" t="s">
        <v>6900</v>
      </c>
      <c r="G156" t="s">
        <v>6900</v>
      </c>
      <c r="H156" t="s">
        <v>6971</v>
      </c>
      <c r="I156" t="s">
        <v>50</v>
      </c>
      <c r="J156" t="s">
        <v>96</v>
      </c>
      <c r="K156" t="s">
        <v>4809</v>
      </c>
      <c r="N156" t="s">
        <v>735</v>
      </c>
      <c r="O156" t="s">
        <v>2163</v>
      </c>
    </row>
    <row r="157" spans="1:15" x14ac:dyDescent="0.25">
      <c r="A157">
        <v>156</v>
      </c>
      <c r="B157" t="str">
        <f>HYPERLINK("https://digitalcommons.unl.edu/cgi/viewcontent.cgi?article=1789&amp;context=tractormuseumlit","Click for test report")</f>
        <v>Click for test report</v>
      </c>
      <c r="C157">
        <v>1928</v>
      </c>
      <c r="D157" t="s">
        <v>6966</v>
      </c>
      <c r="F157" t="s">
        <v>6967</v>
      </c>
      <c r="G157" t="s">
        <v>6968</v>
      </c>
      <c r="H157" t="s">
        <v>6969</v>
      </c>
      <c r="I157" t="s">
        <v>50</v>
      </c>
      <c r="J157" t="s">
        <v>348</v>
      </c>
      <c r="K157" t="s">
        <v>4809</v>
      </c>
      <c r="M157" t="s">
        <v>2699</v>
      </c>
      <c r="N157" t="s">
        <v>4397</v>
      </c>
      <c r="O157" t="s">
        <v>24</v>
      </c>
    </row>
    <row r="158" spans="1:15" x14ac:dyDescent="0.25">
      <c r="A158">
        <v>157</v>
      </c>
      <c r="B158" t="str">
        <f>HYPERLINK("https://digitalcommons.unl.edu/cgi/viewcontent.cgi?article=1790&amp;context=tractormuseumlit","Click for test report")</f>
        <v>Click for test report</v>
      </c>
      <c r="C158">
        <v>1928</v>
      </c>
      <c r="D158" t="s">
        <v>6964</v>
      </c>
      <c r="F158" t="s">
        <v>6678</v>
      </c>
      <c r="G158" t="s">
        <v>6679</v>
      </c>
      <c r="H158" t="s">
        <v>6448</v>
      </c>
      <c r="I158" t="s">
        <v>50</v>
      </c>
      <c r="J158" t="s">
        <v>96</v>
      </c>
      <c r="K158" t="s">
        <v>4809</v>
      </c>
      <c r="M158" t="s">
        <v>728</v>
      </c>
      <c r="N158" t="s">
        <v>1970</v>
      </c>
      <c r="O158" t="s">
        <v>24</v>
      </c>
    </row>
    <row r="159" spans="1:15" x14ac:dyDescent="0.25">
      <c r="A159">
        <v>158</v>
      </c>
      <c r="B159" t="str">
        <f>HYPERLINK("https://digitalcommons.unl.edu/cgi/viewcontent.cgi?article=1790&amp;context=tractormuseumlit","Click for test report")</f>
        <v>Click for test report</v>
      </c>
      <c r="C159">
        <v>1928</v>
      </c>
      <c r="D159" t="s">
        <v>6964</v>
      </c>
      <c r="F159" t="s">
        <v>6678</v>
      </c>
      <c r="G159" t="s">
        <v>6679</v>
      </c>
      <c r="H159" t="s">
        <v>6965</v>
      </c>
      <c r="I159" t="s">
        <v>50</v>
      </c>
      <c r="J159" t="s">
        <v>96</v>
      </c>
      <c r="K159" t="s">
        <v>4809</v>
      </c>
      <c r="M159" t="s">
        <v>728</v>
      </c>
      <c r="N159" t="s">
        <v>1970</v>
      </c>
      <c r="O159" t="s">
        <v>24</v>
      </c>
    </row>
    <row r="160" spans="1:15" x14ac:dyDescent="0.25">
      <c r="A160">
        <v>159</v>
      </c>
      <c r="B160" t="str">
        <f>HYPERLINK("https://digitalcommons.unl.edu/cgi/viewcontent.cgi?article=1791&amp;context=tractormuseumlit","Click for test report")</f>
        <v>Click for test report</v>
      </c>
      <c r="C160">
        <v>1928</v>
      </c>
      <c r="D160" t="s">
        <v>5580</v>
      </c>
      <c r="F160" t="s">
        <v>3442</v>
      </c>
      <c r="G160" t="s">
        <v>3442</v>
      </c>
      <c r="H160" t="s">
        <v>6963</v>
      </c>
      <c r="I160" t="s">
        <v>50</v>
      </c>
      <c r="J160" t="s">
        <v>96</v>
      </c>
      <c r="K160" t="s">
        <v>4809</v>
      </c>
      <c r="M160" t="s">
        <v>4397</v>
      </c>
      <c r="N160" t="s">
        <v>4013</v>
      </c>
      <c r="O160" t="s">
        <v>24</v>
      </c>
    </row>
    <row r="161" spans="1:15" x14ac:dyDescent="0.25">
      <c r="A161">
        <v>160</v>
      </c>
      <c r="B161" t="str">
        <f>HYPERLINK("https://digitalcommons.unl.edu/cgi/viewcontent.cgi?article=1792&amp;context=tractormuseumlit","Click for test report")</f>
        <v>Click for test report</v>
      </c>
      <c r="C161">
        <v>1928</v>
      </c>
      <c r="D161" t="s">
        <v>6960</v>
      </c>
      <c r="F161" t="s">
        <v>4325</v>
      </c>
      <c r="G161" t="s">
        <v>4325</v>
      </c>
      <c r="H161" t="s">
        <v>6962</v>
      </c>
      <c r="I161" t="s">
        <v>50</v>
      </c>
      <c r="J161" t="s">
        <v>348</v>
      </c>
      <c r="K161" t="s">
        <v>4809</v>
      </c>
      <c r="M161" t="s">
        <v>1009</v>
      </c>
      <c r="N161" t="s">
        <v>4745</v>
      </c>
      <c r="O161" t="s">
        <v>24</v>
      </c>
    </row>
    <row r="162" spans="1:15" x14ac:dyDescent="0.25">
      <c r="A162">
        <v>161</v>
      </c>
      <c r="B162" t="str">
        <f>HYPERLINK("https://digitalcommons.unl.edu/cgi/viewcontent.cgi?article=1792&amp;context=tractormuseumlit","Click for test report")</f>
        <v>Click for test report</v>
      </c>
      <c r="C162">
        <v>1928</v>
      </c>
      <c r="D162" t="s">
        <v>6960</v>
      </c>
      <c r="F162" t="s">
        <v>4325</v>
      </c>
      <c r="G162" t="s">
        <v>4325</v>
      </c>
      <c r="H162" t="s">
        <v>6961</v>
      </c>
      <c r="I162" t="s">
        <v>50</v>
      </c>
      <c r="J162" t="s">
        <v>348</v>
      </c>
      <c r="K162" t="s">
        <v>4809</v>
      </c>
      <c r="M162" t="s">
        <v>1009</v>
      </c>
      <c r="N162" t="s">
        <v>4745</v>
      </c>
      <c r="O162" t="s">
        <v>24</v>
      </c>
    </row>
    <row r="163" spans="1:15" x14ac:dyDescent="0.25">
      <c r="A163">
        <v>162</v>
      </c>
      <c r="B163" t="str">
        <f>HYPERLINK("https://digitalcommons.unl.edu/cgi/viewcontent.cgi?article=1793&amp;context=tractormuseumlit","Click for test report")</f>
        <v>Click for test report</v>
      </c>
      <c r="C163">
        <v>1928</v>
      </c>
      <c r="D163" t="s">
        <v>6957</v>
      </c>
      <c r="F163" t="s">
        <v>6958</v>
      </c>
      <c r="G163" t="s">
        <v>6632</v>
      </c>
      <c r="H163" t="s">
        <v>6959</v>
      </c>
      <c r="I163" t="s">
        <v>50</v>
      </c>
      <c r="J163" t="s">
        <v>348</v>
      </c>
      <c r="K163" t="s">
        <v>4809</v>
      </c>
      <c r="M163" t="s">
        <v>2826</v>
      </c>
      <c r="N163" t="s">
        <v>4440</v>
      </c>
      <c r="O163" t="s">
        <v>24</v>
      </c>
    </row>
    <row r="164" spans="1:15" x14ac:dyDescent="0.25">
      <c r="A164">
        <v>163</v>
      </c>
      <c r="B164" t="str">
        <f>HYPERLINK("https://digitalcommons.unl.edu/cgi/viewcontent.cgi?article=1794&amp;context=tractormuseumlit","Click for test report")</f>
        <v>Click for test report</v>
      </c>
      <c r="C164">
        <v>1928</v>
      </c>
      <c r="D164" t="s">
        <v>6955</v>
      </c>
      <c r="F164" t="s">
        <v>17</v>
      </c>
      <c r="G164" t="s">
        <v>17</v>
      </c>
      <c r="H164" t="s">
        <v>6956</v>
      </c>
      <c r="I164" t="s">
        <v>50</v>
      </c>
      <c r="J164" t="s">
        <v>348</v>
      </c>
      <c r="K164" t="s">
        <v>6821</v>
      </c>
      <c r="M164" t="s">
        <v>4355</v>
      </c>
      <c r="N164" t="s">
        <v>4363</v>
      </c>
      <c r="O164" t="s">
        <v>24</v>
      </c>
    </row>
    <row r="165" spans="1:15" x14ac:dyDescent="0.25">
      <c r="A165">
        <v>164</v>
      </c>
      <c r="B165" t="str">
        <f>HYPERLINK("https://digitalcommons.unl.edu/cgi/viewcontent.cgi?article=1795&amp;context=tractormuseumlit","Click for test report")</f>
        <v>Click for test report</v>
      </c>
      <c r="C165">
        <v>1928</v>
      </c>
      <c r="D165" t="s">
        <v>6953</v>
      </c>
      <c r="F165" t="s">
        <v>6884</v>
      </c>
      <c r="G165" t="s">
        <v>6885</v>
      </c>
      <c r="H165" t="s">
        <v>6954</v>
      </c>
      <c r="I165" t="s">
        <v>50</v>
      </c>
      <c r="J165" t="s">
        <v>348</v>
      </c>
      <c r="K165" t="s">
        <v>4809</v>
      </c>
      <c r="M165" t="s">
        <v>4362</v>
      </c>
      <c r="N165" t="s">
        <v>4628</v>
      </c>
      <c r="O165" t="s">
        <v>24</v>
      </c>
    </row>
    <row r="166" spans="1:15" x14ac:dyDescent="0.25">
      <c r="A166">
        <v>165</v>
      </c>
      <c r="B166" t="str">
        <f>HYPERLINK("https://digitalcommons.unl.edu/cgi/viewcontent.cgi?article=1796&amp;context=tractormuseumlit","Click for test report")</f>
        <v>Click for test report</v>
      </c>
      <c r="C166">
        <v>1929</v>
      </c>
      <c r="D166" t="s">
        <v>6951</v>
      </c>
      <c r="F166" t="s">
        <v>3800</v>
      </c>
      <c r="G166" t="s">
        <v>4473</v>
      </c>
      <c r="H166" t="s">
        <v>6952</v>
      </c>
      <c r="I166" t="s">
        <v>50</v>
      </c>
      <c r="J166" t="s">
        <v>348</v>
      </c>
      <c r="K166" t="s">
        <v>6821</v>
      </c>
      <c r="M166" t="s">
        <v>1009</v>
      </c>
      <c r="N166" t="s">
        <v>4440</v>
      </c>
      <c r="O166" t="s">
        <v>24</v>
      </c>
    </row>
    <row r="167" spans="1:15" x14ac:dyDescent="0.25">
      <c r="A167">
        <v>166</v>
      </c>
      <c r="B167" t="str">
        <f>HYPERLINK("https://digitalcommons.unl.edu/cgi/viewcontent.cgi?article=1797&amp;context=tractormuseumlit","Click for test report")</f>
        <v>Click for test report</v>
      </c>
      <c r="C167">
        <v>1929</v>
      </c>
      <c r="D167" t="s">
        <v>6948</v>
      </c>
      <c r="F167" t="s">
        <v>4503</v>
      </c>
      <c r="G167" t="s">
        <v>6340</v>
      </c>
      <c r="H167" t="s">
        <v>6950</v>
      </c>
      <c r="I167" t="s">
        <v>50</v>
      </c>
      <c r="J167" t="s">
        <v>348</v>
      </c>
      <c r="K167" t="s">
        <v>6821</v>
      </c>
      <c r="M167" t="s">
        <v>2699</v>
      </c>
      <c r="N167" t="s">
        <v>4440</v>
      </c>
      <c r="O167" t="s">
        <v>24</v>
      </c>
    </row>
    <row r="168" spans="1:15" x14ac:dyDescent="0.25">
      <c r="A168">
        <v>167</v>
      </c>
      <c r="B168" t="str">
        <f>HYPERLINK("https://digitalcommons.unl.edu/cgi/viewcontent.cgi?article=1797&amp;context=tractormuseumlit","Click for test report")</f>
        <v>Click for test report</v>
      </c>
      <c r="C168">
        <v>1929</v>
      </c>
      <c r="D168" t="s">
        <v>6948</v>
      </c>
      <c r="F168" t="s">
        <v>4503</v>
      </c>
      <c r="G168" t="s">
        <v>6340</v>
      </c>
      <c r="H168" t="s">
        <v>6949</v>
      </c>
      <c r="I168" t="s">
        <v>50</v>
      </c>
      <c r="J168" t="s">
        <v>348</v>
      </c>
      <c r="K168" t="s">
        <v>6821</v>
      </c>
      <c r="M168" t="s">
        <v>2699</v>
      </c>
      <c r="N168" t="s">
        <v>4440</v>
      </c>
      <c r="O168" t="s">
        <v>24</v>
      </c>
    </row>
    <row r="169" spans="1:15" x14ac:dyDescent="0.25">
      <c r="A169">
        <v>168</v>
      </c>
      <c r="B169" t="str">
        <f>HYPERLINK("https://digitalcommons.unl.edu/cgi/viewcontent.cgi?article=1798&amp;context=tractormuseumlit","Click for test report")</f>
        <v>Click for test report</v>
      </c>
      <c r="C169">
        <v>1929</v>
      </c>
      <c r="D169" t="s">
        <v>6946</v>
      </c>
      <c r="F169" t="s">
        <v>6944</v>
      </c>
      <c r="G169" t="s">
        <v>6944</v>
      </c>
      <c r="H169" t="s">
        <v>6947</v>
      </c>
      <c r="I169" t="s">
        <v>50</v>
      </c>
      <c r="J169" t="s">
        <v>348</v>
      </c>
      <c r="K169" t="s">
        <v>6351</v>
      </c>
      <c r="M169" t="s">
        <v>4397</v>
      </c>
      <c r="N169" t="s">
        <v>4444</v>
      </c>
      <c r="O169" t="s">
        <v>24</v>
      </c>
    </row>
    <row r="170" spans="1:15" x14ac:dyDescent="0.25">
      <c r="A170">
        <v>169</v>
      </c>
      <c r="B170" t="str">
        <f>HYPERLINK("https://digitalcommons.unl.edu/cgi/viewcontent.cgi?article=1799&amp;context=tractormuseumlit","Click for test report")</f>
        <v>Click for test report</v>
      </c>
      <c r="C170">
        <v>1929</v>
      </c>
      <c r="D170" t="s">
        <v>6943</v>
      </c>
      <c r="F170" t="s">
        <v>6944</v>
      </c>
      <c r="G170" t="s">
        <v>6944</v>
      </c>
      <c r="H170" t="s">
        <v>6945</v>
      </c>
      <c r="I170" t="s">
        <v>50</v>
      </c>
      <c r="J170" t="s">
        <v>348</v>
      </c>
      <c r="K170" t="s">
        <v>4809</v>
      </c>
      <c r="M170" t="s">
        <v>2825</v>
      </c>
      <c r="N170" t="s">
        <v>4590</v>
      </c>
      <c r="O170" t="s">
        <v>24</v>
      </c>
    </row>
    <row r="171" spans="1:15" x14ac:dyDescent="0.25">
      <c r="A171">
        <v>170</v>
      </c>
      <c r="B171" t="str">
        <f>HYPERLINK("https://digitalcommons.unl.edu/cgi/viewcontent.cgi?article=1800&amp;context=tractormuseumlit","Click for test report")</f>
        <v>Click for test report</v>
      </c>
      <c r="C171">
        <v>1929</v>
      </c>
      <c r="D171" t="s">
        <v>6941</v>
      </c>
      <c r="F171" t="s">
        <v>3442</v>
      </c>
      <c r="G171" t="s">
        <v>3442</v>
      </c>
      <c r="H171" t="s">
        <v>6942</v>
      </c>
      <c r="I171" t="s">
        <v>50</v>
      </c>
      <c r="J171" t="s">
        <v>96</v>
      </c>
      <c r="K171" t="s">
        <v>4809</v>
      </c>
      <c r="M171" t="s">
        <v>4355</v>
      </c>
      <c r="N171" t="s">
        <v>4362</v>
      </c>
      <c r="O171" t="s">
        <v>24</v>
      </c>
    </row>
    <row r="172" spans="1:15" x14ac:dyDescent="0.25">
      <c r="A172">
        <v>171</v>
      </c>
      <c r="B172" t="str">
        <f>HYPERLINK("https://digitalcommons.unl.edu/cgi/viewcontent.cgi?article=1801&amp;context=tractormuseumlit","Click for test report")</f>
        <v>Click for test report</v>
      </c>
      <c r="C172">
        <v>1929</v>
      </c>
      <c r="D172" t="s">
        <v>4216</v>
      </c>
      <c r="F172" t="s">
        <v>3442</v>
      </c>
      <c r="G172" t="s">
        <v>3442</v>
      </c>
      <c r="H172" t="s">
        <v>6940</v>
      </c>
      <c r="I172" t="s">
        <v>50</v>
      </c>
      <c r="J172" t="s">
        <v>96</v>
      </c>
      <c r="K172" t="s">
        <v>4809</v>
      </c>
      <c r="M172" t="s">
        <v>4449</v>
      </c>
      <c r="N172" t="s">
        <v>4452</v>
      </c>
      <c r="O172" t="s">
        <v>24</v>
      </c>
    </row>
    <row r="173" spans="1:15" x14ac:dyDescent="0.25">
      <c r="A173">
        <v>172</v>
      </c>
      <c r="B173" t="str">
        <f>HYPERLINK("https://digitalcommons.unl.edu/cgi/viewcontent.cgi?article=1802&amp;context=tractormuseumlit","Click for test report")</f>
        <v>Click for test report</v>
      </c>
      <c r="C173">
        <v>1929</v>
      </c>
      <c r="D173" t="s">
        <v>6936</v>
      </c>
      <c r="F173" t="s">
        <v>6937</v>
      </c>
      <c r="G173" t="s">
        <v>6938</v>
      </c>
      <c r="H173" t="s">
        <v>6939</v>
      </c>
      <c r="I173" t="s">
        <v>50</v>
      </c>
      <c r="J173" t="s">
        <v>348</v>
      </c>
      <c r="K173" t="s">
        <v>4809</v>
      </c>
      <c r="M173" t="s">
        <v>58</v>
      </c>
      <c r="N173" t="s">
        <v>1970</v>
      </c>
      <c r="O173" t="s">
        <v>24</v>
      </c>
    </row>
    <row r="174" spans="1:15" x14ac:dyDescent="0.25">
      <c r="A174">
        <v>173</v>
      </c>
      <c r="B174" t="str">
        <f>HYPERLINK("https://digitalcommons.unl.edu/cgi/viewcontent.cgi?article=1803&amp;context=tractormuseumlit","Click for test report")</f>
        <v>Click for test report</v>
      </c>
      <c r="C174">
        <v>1929</v>
      </c>
      <c r="D174" t="s">
        <v>6934</v>
      </c>
      <c r="F174" t="s">
        <v>6931</v>
      </c>
      <c r="G174" t="s">
        <v>6932</v>
      </c>
      <c r="H174" t="s">
        <v>6935</v>
      </c>
      <c r="I174" t="s">
        <v>50</v>
      </c>
      <c r="J174" t="s">
        <v>348</v>
      </c>
      <c r="K174" t="s">
        <v>4809</v>
      </c>
      <c r="M174" t="s">
        <v>2188</v>
      </c>
      <c r="N174" t="s">
        <v>3388</v>
      </c>
      <c r="O174" t="s">
        <v>24</v>
      </c>
    </row>
    <row r="175" spans="1:15" x14ac:dyDescent="0.25">
      <c r="A175">
        <v>174</v>
      </c>
      <c r="B175" t="str">
        <f>HYPERLINK("https://digitalcommons.unl.edu/cgi/viewcontent.cgi?article=1804&amp;context=tractormuseumlit","Click for test report")</f>
        <v>Click for test report</v>
      </c>
      <c r="C175">
        <v>1929</v>
      </c>
      <c r="D175" t="s">
        <v>6930</v>
      </c>
      <c r="F175" t="s">
        <v>6931</v>
      </c>
      <c r="G175" t="s">
        <v>6932</v>
      </c>
      <c r="H175" t="s">
        <v>6933</v>
      </c>
      <c r="I175" t="s">
        <v>50</v>
      </c>
      <c r="J175" t="s">
        <v>348</v>
      </c>
      <c r="K175" t="s">
        <v>4809</v>
      </c>
      <c r="M175" t="s">
        <v>349</v>
      </c>
      <c r="N175" t="s">
        <v>407</v>
      </c>
      <c r="O175" t="s">
        <v>24</v>
      </c>
    </row>
    <row r="176" spans="1:15" x14ac:dyDescent="0.25">
      <c r="A176">
        <v>175</v>
      </c>
      <c r="B176" t="str">
        <f>HYPERLINK("https://digitalcommons.unl.edu/cgi/viewcontent.cgi?article=1805&amp;context=tractormuseumlit","Click for test report")</f>
        <v>Click for test report</v>
      </c>
      <c r="C176">
        <v>1929</v>
      </c>
      <c r="D176" t="s">
        <v>6925</v>
      </c>
      <c r="F176" t="s">
        <v>6226</v>
      </c>
      <c r="G176" t="s">
        <v>6226</v>
      </c>
      <c r="H176" t="s">
        <v>6928</v>
      </c>
      <c r="I176" t="s">
        <v>50</v>
      </c>
      <c r="J176" t="s">
        <v>348</v>
      </c>
      <c r="K176" t="s">
        <v>6351</v>
      </c>
      <c r="M176" t="s">
        <v>4355</v>
      </c>
      <c r="N176" t="s">
        <v>4449</v>
      </c>
      <c r="O176" t="s">
        <v>6929</v>
      </c>
    </row>
    <row r="177" spans="1:15" x14ac:dyDescent="0.25">
      <c r="A177">
        <v>176</v>
      </c>
      <c r="B177" t="str">
        <f>HYPERLINK("https://digitalcommons.unl.edu/cgi/viewcontent.cgi?article=1805&amp;context=tractormuseumlit","Click for test report")</f>
        <v>Click for test report</v>
      </c>
      <c r="C177">
        <v>1929</v>
      </c>
      <c r="D177" t="s">
        <v>6925</v>
      </c>
      <c r="F177" t="s">
        <v>6226</v>
      </c>
      <c r="G177" t="s">
        <v>6926</v>
      </c>
      <c r="H177" t="s">
        <v>6927</v>
      </c>
      <c r="I177" t="s">
        <v>50</v>
      </c>
      <c r="J177" t="s">
        <v>348</v>
      </c>
      <c r="K177" t="s">
        <v>6351</v>
      </c>
      <c r="M177" t="s">
        <v>4355</v>
      </c>
      <c r="N177" t="s">
        <v>4449</v>
      </c>
      <c r="O177" t="s">
        <v>24</v>
      </c>
    </row>
    <row r="178" spans="1:15" x14ac:dyDescent="0.25">
      <c r="A178">
        <v>177</v>
      </c>
      <c r="B178" t="str">
        <f>HYPERLINK("https://digitalcommons.unl.edu/cgi/viewcontent.cgi?article=1806&amp;context=tractormuseumlit","Click for test report")</f>
        <v>Click for test report</v>
      </c>
      <c r="C178">
        <v>1929</v>
      </c>
      <c r="D178" t="s">
        <v>5586</v>
      </c>
      <c r="F178" t="s">
        <v>6922</v>
      </c>
      <c r="G178" t="s">
        <v>6923</v>
      </c>
      <c r="H178" t="s">
        <v>6924</v>
      </c>
      <c r="I178" t="s">
        <v>50</v>
      </c>
      <c r="J178" t="s">
        <v>29</v>
      </c>
      <c r="K178" t="s">
        <v>6821</v>
      </c>
      <c r="M178" t="s">
        <v>4589</v>
      </c>
      <c r="N178" t="s">
        <v>4449</v>
      </c>
      <c r="O178" t="s">
        <v>24</v>
      </c>
    </row>
    <row r="179" spans="1:15" x14ac:dyDescent="0.25">
      <c r="A179">
        <v>178</v>
      </c>
      <c r="B179" t="str">
        <f>HYPERLINK("https://digitalcommons.unl.edu/cgi/viewcontent.cgi?article=3688&amp;context=tractormuseumlit","Click for test report")</f>
        <v>Click for test report</v>
      </c>
      <c r="C179">
        <v>1929</v>
      </c>
      <c r="D179" t="s">
        <v>6921</v>
      </c>
      <c r="G179" t="s">
        <v>322</v>
      </c>
      <c r="O179" t="s">
        <v>24</v>
      </c>
    </row>
    <row r="180" spans="1:15" x14ac:dyDescent="0.25">
      <c r="A180">
        <v>179</v>
      </c>
      <c r="B180" t="str">
        <f>HYPERLINK("https://digitalcommons.unl.edu/cgi/viewcontent.cgi?article=1807&amp;context=tractormuseumlit","Click for test report")</f>
        <v>Click for test report</v>
      </c>
      <c r="C180">
        <v>1929</v>
      </c>
      <c r="D180" t="s">
        <v>6919</v>
      </c>
      <c r="F180" t="s">
        <v>3800</v>
      </c>
      <c r="G180" t="s">
        <v>4473</v>
      </c>
      <c r="H180" t="s">
        <v>6920</v>
      </c>
      <c r="I180" t="s">
        <v>50</v>
      </c>
      <c r="J180" t="s">
        <v>348</v>
      </c>
      <c r="K180" t="s">
        <v>6821</v>
      </c>
      <c r="M180" t="s">
        <v>4397</v>
      </c>
      <c r="N180" t="s">
        <v>4362</v>
      </c>
      <c r="O180" t="s">
        <v>24</v>
      </c>
    </row>
    <row r="181" spans="1:15" x14ac:dyDescent="0.25">
      <c r="A181">
        <v>180</v>
      </c>
      <c r="B181" t="str">
        <f>HYPERLINK("https://digitalcommons.unl.edu/cgi/viewcontent.cgi?article=1808&amp;context=tractormuseumlit","Click for test report")</f>
        <v>Click for test report</v>
      </c>
      <c r="C181">
        <v>1929</v>
      </c>
      <c r="D181" t="s">
        <v>6916</v>
      </c>
      <c r="F181" t="s">
        <v>6489</v>
      </c>
      <c r="G181" t="s">
        <v>6489</v>
      </c>
      <c r="H181" t="s">
        <v>6917</v>
      </c>
      <c r="I181" t="s">
        <v>50</v>
      </c>
      <c r="J181" t="s">
        <v>348</v>
      </c>
      <c r="K181" t="s">
        <v>4809</v>
      </c>
      <c r="M181" t="s">
        <v>3152</v>
      </c>
      <c r="N181" t="s">
        <v>4397</v>
      </c>
      <c r="O181" t="s">
        <v>6918</v>
      </c>
    </row>
    <row r="182" spans="1:15" x14ac:dyDescent="0.25">
      <c r="A182">
        <v>181</v>
      </c>
      <c r="B182" t="str">
        <f>HYPERLINK("https://digitalcommons.unl.edu/cgi/viewcontent.cgi?article=1107&amp;context=tractormuseumlit","Click for test report")</f>
        <v>Click for test report</v>
      </c>
      <c r="C182">
        <v>1929</v>
      </c>
      <c r="D182" t="s">
        <v>6914</v>
      </c>
      <c r="F182" t="s">
        <v>3800</v>
      </c>
      <c r="G182" t="s">
        <v>4473</v>
      </c>
      <c r="H182" t="s">
        <v>6915</v>
      </c>
      <c r="I182" t="s">
        <v>50</v>
      </c>
      <c r="J182" t="s">
        <v>348</v>
      </c>
      <c r="K182" t="s">
        <v>6821</v>
      </c>
      <c r="M182" t="s">
        <v>4589</v>
      </c>
      <c r="N182" t="s">
        <v>4444</v>
      </c>
      <c r="O182" t="s">
        <v>24</v>
      </c>
    </row>
    <row r="183" spans="1:15" x14ac:dyDescent="0.25">
      <c r="A183">
        <v>182</v>
      </c>
      <c r="B183" t="str">
        <f>HYPERLINK("https://digitalcommons.unl.edu/cgi/viewcontent.cgi?article=1809&amp;context=tractormuseumlit","Click for test report")</f>
        <v>Click for test report</v>
      </c>
      <c r="C183">
        <v>1929</v>
      </c>
      <c r="D183" t="s">
        <v>4035</v>
      </c>
      <c r="F183" t="s">
        <v>4325</v>
      </c>
      <c r="G183" t="s">
        <v>4325</v>
      </c>
      <c r="H183" t="s">
        <v>6913</v>
      </c>
      <c r="I183" t="s">
        <v>50</v>
      </c>
      <c r="J183" t="s">
        <v>348</v>
      </c>
      <c r="K183" t="s">
        <v>4809</v>
      </c>
      <c r="M183" t="s">
        <v>2825</v>
      </c>
      <c r="N183" t="s">
        <v>4590</v>
      </c>
      <c r="O183" t="s">
        <v>24</v>
      </c>
    </row>
    <row r="184" spans="1:15" x14ac:dyDescent="0.25">
      <c r="A184">
        <v>183</v>
      </c>
      <c r="B184" t="str">
        <f>HYPERLINK("https://digitalcommons.unl.edu/cgi/viewcontent.cgi?article=1810&amp;context=tractormuseumlit","Click for test report")</f>
        <v>Click for test report</v>
      </c>
      <c r="C184">
        <v>1929</v>
      </c>
      <c r="D184" t="s">
        <v>6911</v>
      </c>
      <c r="F184" t="s">
        <v>4325</v>
      </c>
      <c r="G184" t="s">
        <v>6900</v>
      </c>
      <c r="H184" t="s">
        <v>6912</v>
      </c>
      <c r="I184" t="s">
        <v>50</v>
      </c>
      <c r="J184" t="s">
        <v>96</v>
      </c>
      <c r="K184" t="s">
        <v>4809</v>
      </c>
      <c r="N184" t="s">
        <v>2699</v>
      </c>
      <c r="O184" t="s">
        <v>2163</v>
      </c>
    </row>
    <row r="185" spans="1:15" x14ac:dyDescent="0.25">
      <c r="A185">
        <v>184</v>
      </c>
      <c r="B185" t="str">
        <f>HYPERLINK("https://digitalcommons.unl.edu/cgi/viewcontent.cgi?article=3688&amp;context=tractormuseumlit","Click for test report")</f>
        <v>Click for test report</v>
      </c>
      <c r="C185">
        <v>1929</v>
      </c>
      <c r="D185" t="s">
        <v>6910</v>
      </c>
      <c r="G185" t="s">
        <v>322</v>
      </c>
      <c r="O185" t="s">
        <v>24</v>
      </c>
    </row>
    <row r="186" spans="1:15" x14ac:dyDescent="0.25">
      <c r="A186">
        <v>185</v>
      </c>
      <c r="B186" t="str">
        <f>HYPERLINK("https://digitalcommons.unl.edu/cgi/viewcontent.cgi?article=1811&amp;context=tractormuseumlit","Click for test report")</f>
        <v>Click for test report</v>
      </c>
      <c r="C186">
        <v>1930</v>
      </c>
      <c r="D186" t="s">
        <v>6909</v>
      </c>
      <c r="F186" t="s">
        <v>4395</v>
      </c>
      <c r="G186" t="s">
        <v>6088</v>
      </c>
      <c r="H186" t="s">
        <v>6908</v>
      </c>
      <c r="I186" t="s">
        <v>50</v>
      </c>
      <c r="J186" t="s">
        <v>348</v>
      </c>
      <c r="K186" t="s">
        <v>6821</v>
      </c>
      <c r="M186" t="s">
        <v>4358</v>
      </c>
      <c r="N186" t="s">
        <v>4935</v>
      </c>
      <c r="O186" t="s">
        <v>24</v>
      </c>
    </row>
    <row r="187" spans="1:15" x14ac:dyDescent="0.25">
      <c r="A187">
        <v>186</v>
      </c>
      <c r="B187" t="str">
        <f>HYPERLINK("https://digitalcommons.unl.edu/cgi/viewcontent.cgi?article=1812&amp;context=tractormuseumlit","Click for test report")</f>
        <v>Click for test report</v>
      </c>
      <c r="C187">
        <v>1930</v>
      </c>
      <c r="D187" t="s">
        <v>6907</v>
      </c>
      <c r="F187" t="s">
        <v>4395</v>
      </c>
      <c r="G187" t="s">
        <v>6088</v>
      </c>
      <c r="H187" t="s">
        <v>6908</v>
      </c>
      <c r="I187" t="s">
        <v>50</v>
      </c>
      <c r="J187" t="s">
        <v>348</v>
      </c>
      <c r="K187" t="s">
        <v>4809</v>
      </c>
      <c r="M187" t="s">
        <v>4397</v>
      </c>
      <c r="N187" t="s">
        <v>4449</v>
      </c>
      <c r="O187" t="s">
        <v>24</v>
      </c>
    </row>
    <row r="188" spans="1:15" x14ac:dyDescent="0.25">
      <c r="A188">
        <v>187</v>
      </c>
      <c r="B188" t="str">
        <f>HYPERLINK("https://digitalcommons.unl.edu/cgi/viewcontent.cgi?article=1813&amp;context=tractormuseumlit","Click for test report")</f>
        <v>Click for test report</v>
      </c>
      <c r="C188">
        <v>1930</v>
      </c>
      <c r="D188" t="s">
        <v>5357</v>
      </c>
      <c r="F188" t="s">
        <v>5347</v>
      </c>
      <c r="G188" t="s">
        <v>6632</v>
      </c>
      <c r="H188" t="s">
        <v>6906</v>
      </c>
      <c r="I188" t="s">
        <v>50</v>
      </c>
      <c r="J188" t="s">
        <v>348</v>
      </c>
      <c r="K188" t="s">
        <v>21</v>
      </c>
      <c r="M188" t="s">
        <v>4590</v>
      </c>
      <c r="N188" t="s">
        <v>4449</v>
      </c>
      <c r="O188" t="s">
        <v>24</v>
      </c>
    </row>
    <row r="189" spans="1:15" x14ac:dyDescent="0.25">
      <c r="A189">
        <v>188</v>
      </c>
      <c r="B189" t="str">
        <f>HYPERLINK("https://digitalcommons.unl.edu/cgi/viewcontent.cgi?article=1492&amp;context=tractormuseumlit","Click for test report")</f>
        <v>Click for test report</v>
      </c>
      <c r="C189">
        <v>1930</v>
      </c>
      <c r="D189" t="s">
        <v>6903</v>
      </c>
      <c r="F189" t="s">
        <v>5345</v>
      </c>
      <c r="G189" t="s">
        <v>6896</v>
      </c>
      <c r="H189" t="s">
        <v>6904</v>
      </c>
      <c r="I189" t="s">
        <v>50</v>
      </c>
      <c r="J189" t="s">
        <v>348</v>
      </c>
      <c r="K189" t="s">
        <v>6821</v>
      </c>
      <c r="M189" t="s">
        <v>4397</v>
      </c>
      <c r="N189" t="s">
        <v>4355</v>
      </c>
      <c r="O189" t="s">
        <v>6905</v>
      </c>
    </row>
    <row r="190" spans="1:15" x14ac:dyDescent="0.25">
      <c r="A190">
        <v>189</v>
      </c>
      <c r="B190" t="str">
        <f>HYPERLINK("https://digitalcommons.unl.edu/cgi/viewcontent.cgi?article=1814&amp;context=tractormuseumlit","Click for test report")</f>
        <v>Click for test report</v>
      </c>
      <c r="C190">
        <v>1930</v>
      </c>
      <c r="D190" t="s">
        <v>6902</v>
      </c>
      <c r="F190" t="s">
        <v>6226</v>
      </c>
      <c r="G190" t="s">
        <v>6226</v>
      </c>
      <c r="H190" t="s">
        <v>6872</v>
      </c>
      <c r="I190" t="s">
        <v>50</v>
      </c>
      <c r="J190" t="s">
        <v>29</v>
      </c>
      <c r="K190" t="s">
        <v>4809</v>
      </c>
      <c r="M190" t="s">
        <v>4355</v>
      </c>
      <c r="N190" t="s">
        <v>4627</v>
      </c>
      <c r="O190" t="s">
        <v>24</v>
      </c>
    </row>
    <row r="191" spans="1:15" x14ac:dyDescent="0.25">
      <c r="A191">
        <v>190</v>
      </c>
      <c r="B191" t="str">
        <f>HYPERLINK("https://digitalcommons.unl.edu/cgi/viewcontent.cgi?article=3688&amp;context=tractormuseumlit","Click for test report")</f>
        <v>Click for test report</v>
      </c>
      <c r="C191">
        <v>1930</v>
      </c>
      <c r="D191" t="s">
        <v>6901</v>
      </c>
      <c r="G191" t="s">
        <v>322</v>
      </c>
      <c r="O191" t="s">
        <v>24</v>
      </c>
    </row>
    <row r="192" spans="1:15" x14ac:dyDescent="0.25">
      <c r="A192">
        <v>191</v>
      </c>
      <c r="B192" t="str">
        <f>HYPERLINK("https://digitalcommons.unl.edu/cgi/viewcontent.cgi?article=1815&amp;context=tractormuseumlit","Click for test report")</f>
        <v>Click for test report</v>
      </c>
      <c r="C192">
        <v>1930</v>
      </c>
      <c r="D192" t="s">
        <v>6899</v>
      </c>
      <c r="F192" t="s">
        <v>4325</v>
      </c>
      <c r="G192" t="s">
        <v>6900</v>
      </c>
      <c r="H192" t="s">
        <v>5880</v>
      </c>
      <c r="I192" t="s">
        <v>50</v>
      </c>
      <c r="J192" t="s">
        <v>96</v>
      </c>
      <c r="K192" t="s">
        <v>4809</v>
      </c>
      <c r="M192" t="s">
        <v>1864</v>
      </c>
      <c r="N192" t="s">
        <v>3123</v>
      </c>
      <c r="O192" t="s">
        <v>24</v>
      </c>
    </row>
    <row r="193" spans="1:15" x14ac:dyDescent="0.25">
      <c r="A193">
        <v>192</v>
      </c>
      <c r="B193" t="str">
        <f>HYPERLINK("https://digitalcommons.unl.edu/cgi/viewcontent.cgi?article=1493&amp;context=tractormuseumlit","Click for test report")</f>
        <v>Click for test report</v>
      </c>
      <c r="C193">
        <v>1930</v>
      </c>
      <c r="D193" t="s">
        <v>5563</v>
      </c>
      <c r="F193" t="s">
        <v>5345</v>
      </c>
      <c r="G193" t="s">
        <v>6896</v>
      </c>
      <c r="H193" t="s">
        <v>6897</v>
      </c>
      <c r="I193" t="s">
        <v>50</v>
      </c>
      <c r="J193" t="s">
        <v>348</v>
      </c>
      <c r="K193" t="s">
        <v>6821</v>
      </c>
      <c r="M193" t="s">
        <v>4440</v>
      </c>
      <c r="N193" t="s">
        <v>4358</v>
      </c>
      <c r="O193" t="s">
        <v>6898</v>
      </c>
    </row>
    <row r="194" spans="1:15" x14ac:dyDescent="0.25">
      <c r="A194">
        <v>193</v>
      </c>
      <c r="B194" t="str">
        <f>HYPERLINK("https://digitalcommons.unl.edu/cgi/viewcontent.cgi?article=3688&amp;context=tractormuseumlit","Click for test report")</f>
        <v>Click for test report</v>
      </c>
      <c r="C194">
        <v>1930</v>
      </c>
      <c r="D194" t="s">
        <v>6895</v>
      </c>
      <c r="G194" t="s">
        <v>322</v>
      </c>
      <c r="O194" t="s">
        <v>24</v>
      </c>
    </row>
    <row r="195" spans="1:15" x14ac:dyDescent="0.25">
      <c r="A195">
        <v>194</v>
      </c>
      <c r="B195" t="str">
        <f>HYPERLINK("https://digitalcommons.unl.edu/cgi/viewcontent.cgi?article=1816&amp;context=tractormuseumlit","Click for test report")</f>
        <v>Click for test report</v>
      </c>
      <c r="C195">
        <v>1930</v>
      </c>
      <c r="D195" t="s">
        <v>6893</v>
      </c>
      <c r="F195" t="s">
        <v>6678</v>
      </c>
      <c r="G195" t="s">
        <v>6679</v>
      </c>
      <c r="H195" t="s">
        <v>6894</v>
      </c>
      <c r="I195" t="s">
        <v>50</v>
      </c>
      <c r="J195" t="s">
        <v>96</v>
      </c>
      <c r="K195" t="s">
        <v>4809</v>
      </c>
      <c r="M195" t="s">
        <v>562</v>
      </c>
      <c r="N195" t="s">
        <v>716</v>
      </c>
      <c r="O195" t="s">
        <v>24</v>
      </c>
    </row>
    <row r="196" spans="1:15" x14ac:dyDescent="0.25">
      <c r="A196">
        <v>195</v>
      </c>
      <c r="B196" t="str">
        <f>HYPERLINK("https://digitalcommons.unl.edu/cgi/viewcontent.cgi?article=1817&amp;context=tractormuseumlit","Click for test report")</f>
        <v>Click for test report</v>
      </c>
      <c r="C196">
        <v>1930</v>
      </c>
      <c r="D196" t="s">
        <v>6889</v>
      </c>
      <c r="F196" t="s">
        <v>5345</v>
      </c>
      <c r="G196" t="s">
        <v>6742</v>
      </c>
      <c r="H196" t="s">
        <v>6891</v>
      </c>
      <c r="I196" t="s">
        <v>50</v>
      </c>
      <c r="J196" t="s">
        <v>348</v>
      </c>
      <c r="K196" t="s">
        <v>6821</v>
      </c>
      <c r="M196" t="s">
        <v>1650</v>
      </c>
      <c r="N196" t="s">
        <v>3388</v>
      </c>
      <c r="O196" t="s">
        <v>6892</v>
      </c>
    </row>
    <row r="197" spans="1:15" x14ac:dyDescent="0.25">
      <c r="A197">
        <v>196</v>
      </c>
      <c r="B197" t="str">
        <f>HYPERLINK("https://digitalcommons.unl.edu/cgi/viewcontent.cgi?article=1817&amp;context=tractormuseumlit","Click for test report")</f>
        <v>Click for test report</v>
      </c>
      <c r="C197">
        <v>1930</v>
      </c>
      <c r="D197" t="s">
        <v>6889</v>
      </c>
      <c r="F197" t="s">
        <v>5345</v>
      </c>
      <c r="G197" t="s">
        <v>6742</v>
      </c>
      <c r="H197" t="s">
        <v>5917</v>
      </c>
      <c r="I197" t="s">
        <v>50</v>
      </c>
      <c r="J197" t="s">
        <v>348</v>
      </c>
      <c r="K197" t="s">
        <v>6821</v>
      </c>
      <c r="M197" t="s">
        <v>1650</v>
      </c>
      <c r="N197" t="s">
        <v>3388</v>
      </c>
      <c r="O197" t="s">
        <v>6890</v>
      </c>
    </row>
    <row r="198" spans="1:15" x14ac:dyDescent="0.25">
      <c r="A198">
        <v>197</v>
      </c>
      <c r="B198" t="str">
        <f>HYPERLINK("https://digitalcommons.unl.edu/cgi/viewcontent.cgi?article=1818&amp;context=tractormuseumlit","Click for test report")</f>
        <v>Click for test report</v>
      </c>
      <c r="C198">
        <v>1930</v>
      </c>
      <c r="D198" t="s">
        <v>6887</v>
      </c>
      <c r="F198" t="s">
        <v>6888</v>
      </c>
      <c r="G198" t="s">
        <v>6888</v>
      </c>
      <c r="H198" t="s">
        <v>6886</v>
      </c>
      <c r="I198" t="s">
        <v>50</v>
      </c>
      <c r="J198" t="s">
        <v>348</v>
      </c>
      <c r="K198" t="s">
        <v>4809</v>
      </c>
      <c r="M198" t="s">
        <v>2699</v>
      </c>
      <c r="N198" t="s">
        <v>4397</v>
      </c>
      <c r="O198" t="s">
        <v>24</v>
      </c>
    </row>
    <row r="199" spans="1:15" x14ac:dyDescent="0.25">
      <c r="A199">
        <v>198</v>
      </c>
      <c r="B199" t="str">
        <f>HYPERLINK("https://digitalcommons.unl.edu/cgi/viewcontent.cgi?article=1819&amp;context=tractormuseumlit","Click for test report")</f>
        <v>Click for test report</v>
      </c>
      <c r="C199">
        <v>1931</v>
      </c>
      <c r="D199" t="s">
        <v>4215</v>
      </c>
      <c r="F199" t="s">
        <v>6884</v>
      </c>
      <c r="G199" t="s">
        <v>6885</v>
      </c>
      <c r="H199" t="s">
        <v>6886</v>
      </c>
      <c r="I199" t="s">
        <v>50</v>
      </c>
      <c r="J199" t="s">
        <v>348</v>
      </c>
      <c r="K199" t="s">
        <v>4809</v>
      </c>
      <c r="M199" t="s">
        <v>2188</v>
      </c>
      <c r="N199" t="s">
        <v>4745</v>
      </c>
      <c r="O199" t="s">
        <v>24</v>
      </c>
    </row>
    <row r="200" spans="1:15" x14ac:dyDescent="0.25">
      <c r="A200">
        <v>199</v>
      </c>
      <c r="B200" t="str">
        <f>HYPERLINK("https://digitalcommons.unl.edu/cgi/viewcontent.cgi?article=1820&amp;context=tractormuseumlit","Click for test report")</f>
        <v>Click for test report</v>
      </c>
      <c r="C200">
        <v>1931</v>
      </c>
      <c r="D200" t="s">
        <v>6882</v>
      </c>
      <c r="F200" t="s">
        <v>6879</v>
      </c>
      <c r="G200" t="s">
        <v>6880</v>
      </c>
      <c r="H200" t="s">
        <v>6883</v>
      </c>
      <c r="I200" t="s">
        <v>50</v>
      </c>
      <c r="J200" t="s">
        <v>96</v>
      </c>
      <c r="K200" t="s">
        <v>4809</v>
      </c>
      <c r="M200" t="s">
        <v>3319</v>
      </c>
      <c r="N200" t="s">
        <v>2090</v>
      </c>
      <c r="O200" t="s">
        <v>24</v>
      </c>
    </row>
    <row r="201" spans="1:15" x14ac:dyDescent="0.25">
      <c r="A201">
        <v>200</v>
      </c>
      <c r="B201" t="str">
        <f>HYPERLINK("https://digitalcommons.unl.edu/cgi/viewcontent.cgi?article=1821&amp;context=tractormuseumlit","Click for test report")</f>
        <v>Click for test report</v>
      </c>
      <c r="C201">
        <v>1931</v>
      </c>
      <c r="D201" t="s">
        <v>6878</v>
      </c>
      <c r="F201" t="s">
        <v>6879</v>
      </c>
      <c r="G201" t="s">
        <v>6880</v>
      </c>
      <c r="H201" t="s">
        <v>6881</v>
      </c>
      <c r="I201" t="s">
        <v>50</v>
      </c>
      <c r="J201" t="s">
        <v>96</v>
      </c>
      <c r="K201" t="s">
        <v>4809</v>
      </c>
      <c r="M201" t="s">
        <v>747</v>
      </c>
      <c r="N201" t="s">
        <v>1994</v>
      </c>
      <c r="O201" t="s">
        <v>24</v>
      </c>
    </row>
    <row r="202" spans="1:15" x14ac:dyDescent="0.25">
      <c r="A202">
        <v>201</v>
      </c>
      <c r="B202" t="str">
        <f>HYPERLINK("https://digitalcommons.unl.edu/cgi/viewcontent.cgi?article=3688&amp;context=tractormuseumlit","Click for test report")</f>
        <v>Click for test report</v>
      </c>
      <c r="C202">
        <v>1931</v>
      </c>
      <c r="D202" t="s">
        <v>6877</v>
      </c>
      <c r="G202" t="s">
        <v>322</v>
      </c>
      <c r="O202" t="s">
        <v>24</v>
      </c>
    </row>
    <row r="203" spans="1:15" x14ac:dyDescent="0.25">
      <c r="A203">
        <v>202</v>
      </c>
      <c r="B203" t="str">
        <f>HYPERLINK("https://digitalcommons.unl.edu/cgi/viewcontent.cgi?article=1822&amp;context=tractormuseumlit","Click for test report")</f>
        <v>Click for test report</v>
      </c>
      <c r="C203">
        <v>1931</v>
      </c>
      <c r="D203" t="s">
        <v>6875</v>
      </c>
      <c r="F203" t="s">
        <v>4325</v>
      </c>
      <c r="G203" t="s">
        <v>4325</v>
      </c>
      <c r="H203" t="s">
        <v>6876</v>
      </c>
      <c r="I203" t="s">
        <v>50</v>
      </c>
      <c r="J203" t="s">
        <v>348</v>
      </c>
      <c r="K203" t="s">
        <v>4809</v>
      </c>
      <c r="M203" t="s">
        <v>3973</v>
      </c>
      <c r="N203" t="s">
        <v>4355</v>
      </c>
      <c r="O203" t="s">
        <v>24</v>
      </c>
    </row>
    <row r="204" spans="1:15" x14ac:dyDescent="0.25">
      <c r="A204">
        <v>203</v>
      </c>
      <c r="B204" t="str">
        <f>HYPERLINK("https://digitalcommons.unl.edu/cgi/viewcontent.cgi?article=1044&amp;context=tractormuseumlit","Click for test report")</f>
        <v>Click for test report</v>
      </c>
      <c r="C204">
        <v>1931</v>
      </c>
      <c r="D204" t="s">
        <v>5709</v>
      </c>
      <c r="F204" t="s">
        <v>17</v>
      </c>
      <c r="G204" t="s">
        <v>17</v>
      </c>
      <c r="H204" t="s">
        <v>6874</v>
      </c>
      <c r="I204" t="s">
        <v>50</v>
      </c>
      <c r="J204" t="s">
        <v>348</v>
      </c>
      <c r="K204" t="s">
        <v>6351</v>
      </c>
      <c r="M204" t="s">
        <v>4590</v>
      </c>
      <c r="N204" t="s">
        <v>4449</v>
      </c>
      <c r="O204" t="s">
        <v>24</v>
      </c>
    </row>
    <row r="205" spans="1:15" x14ac:dyDescent="0.25">
      <c r="A205">
        <v>204</v>
      </c>
      <c r="B205" t="str">
        <f>HYPERLINK("https://digitalcommons.unl.edu/cgi/viewcontent.cgi?article=1823&amp;context=tractormuseumlit","Click for test report")</f>
        <v>Click for test report</v>
      </c>
      <c r="C205">
        <v>1931</v>
      </c>
      <c r="D205" t="s">
        <v>6873</v>
      </c>
      <c r="F205" t="s">
        <v>6226</v>
      </c>
      <c r="G205" t="s">
        <v>6226</v>
      </c>
      <c r="H205" t="s">
        <v>6872</v>
      </c>
      <c r="I205" t="s">
        <v>50</v>
      </c>
      <c r="J205" t="s">
        <v>29</v>
      </c>
      <c r="K205" t="s">
        <v>6351</v>
      </c>
      <c r="M205" t="s">
        <v>4444</v>
      </c>
      <c r="N205" t="s">
        <v>4628</v>
      </c>
      <c r="O205" t="s">
        <v>24</v>
      </c>
    </row>
    <row r="206" spans="1:15" x14ac:dyDescent="0.25">
      <c r="A206">
        <v>205</v>
      </c>
      <c r="B206" t="str">
        <f>HYPERLINK("https://digitalcommons.unl.edu/cgi/viewcontent.cgi?article=1824&amp;context=tractormuseumlit","Click for test report")</f>
        <v>Click for test report</v>
      </c>
      <c r="C206">
        <v>1931</v>
      </c>
      <c r="D206" t="s">
        <v>6870</v>
      </c>
      <c r="F206" t="s">
        <v>6871</v>
      </c>
      <c r="G206" t="s">
        <v>6871</v>
      </c>
      <c r="H206" t="s">
        <v>6872</v>
      </c>
      <c r="I206" t="s">
        <v>50</v>
      </c>
      <c r="J206" t="s">
        <v>348</v>
      </c>
      <c r="K206" t="s">
        <v>4809</v>
      </c>
      <c r="M206" t="s">
        <v>4355</v>
      </c>
      <c r="N206" t="s">
        <v>4359</v>
      </c>
      <c r="O206" t="s">
        <v>24</v>
      </c>
    </row>
    <row r="207" spans="1:15" x14ac:dyDescent="0.25">
      <c r="A207">
        <v>206</v>
      </c>
      <c r="B207" t="str">
        <f>HYPERLINK("https://digitalcommons.unl.edu/cgi/viewcontent.cgi?article=1825&amp;context=tractormuseumlit","Click for test report")</f>
        <v>Click for test report</v>
      </c>
      <c r="C207">
        <v>1931</v>
      </c>
      <c r="D207" t="s">
        <v>6868</v>
      </c>
      <c r="F207" t="s">
        <v>4325</v>
      </c>
      <c r="G207" t="s">
        <v>4325</v>
      </c>
      <c r="H207" t="s">
        <v>6869</v>
      </c>
      <c r="I207" t="s">
        <v>50</v>
      </c>
      <c r="J207" t="s">
        <v>348</v>
      </c>
      <c r="K207" t="s">
        <v>6351</v>
      </c>
      <c r="M207" t="s">
        <v>407</v>
      </c>
      <c r="N207" t="s">
        <v>4745</v>
      </c>
      <c r="O207" t="s">
        <v>24</v>
      </c>
    </row>
    <row r="208" spans="1:15" x14ac:dyDescent="0.25">
      <c r="A208">
        <v>207</v>
      </c>
      <c r="B208" t="str">
        <f>HYPERLINK("https://digitalcommons.unl.edu/cgi/viewcontent.cgi?article=1826&amp;context=tractormuseumlit","Click for test report")</f>
        <v>Click for test report</v>
      </c>
      <c r="C208">
        <v>1931</v>
      </c>
      <c r="D208" t="s">
        <v>6866</v>
      </c>
      <c r="F208" t="s">
        <v>4503</v>
      </c>
      <c r="G208" t="s">
        <v>6340</v>
      </c>
      <c r="H208" t="s">
        <v>6867</v>
      </c>
      <c r="I208" t="s">
        <v>50</v>
      </c>
      <c r="J208" t="s">
        <v>348</v>
      </c>
      <c r="K208" t="s">
        <v>4809</v>
      </c>
      <c r="M208" t="s">
        <v>4397</v>
      </c>
      <c r="N208" t="s">
        <v>4358</v>
      </c>
      <c r="O208" t="s">
        <v>24</v>
      </c>
    </row>
    <row r="209" spans="1:15" x14ac:dyDescent="0.25">
      <c r="A209">
        <v>208</v>
      </c>
      <c r="B209" t="str">
        <f>HYPERLINK("https://digitalcommons.unl.edu/cgi/viewcontent.cgi?article=1827&amp;context=tractormuseumlit","Click for test report")</f>
        <v>Click for test report</v>
      </c>
      <c r="C209">
        <v>1931</v>
      </c>
      <c r="D209" t="s">
        <v>4032</v>
      </c>
      <c r="F209" t="s">
        <v>6678</v>
      </c>
      <c r="G209" t="s">
        <v>6679</v>
      </c>
      <c r="H209" t="s">
        <v>5982</v>
      </c>
      <c r="I209" t="s">
        <v>50</v>
      </c>
      <c r="J209" t="s">
        <v>96</v>
      </c>
      <c r="K209" t="s">
        <v>4809</v>
      </c>
      <c r="M209" t="s">
        <v>2511</v>
      </c>
      <c r="N209" t="s">
        <v>2699</v>
      </c>
      <c r="O209" t="s">
        <v>24</v>
      </c>
    </row>
    <row r="210" spans="1:15" x14ac:dyDescent="0.25">
      <c r="A210">
        <v>209</v>
      </c>
      <c r="B210" t="str">
        <f>HYPERLINK("https://digitalcommons.unl.edu/cgi/viewcontent.cgi?article=1827&amp;context=tractormuseumlit","Click for test report")</f>
        <v>Click for test report</v>
      </c>
      <c r="C210">
        <v>1931</v>
      </c>
      <c r="D210" t="s">
        <v>4032</v>
      </c>
      <c r="F210" t="s">
        <v>6678</v>
      </c>
      <c r="G210" t="s">
        <v>6679</v>
      </c>
      <c r="H210" t="s">
        <v>6865</v>
      </c>
      <c r="I210" t="s">
        <v>50</v>
      </c>
      <c r="J210" t="s">
        <v>96</v>
      </c>
      <c r="K210" t="s">
        <v>4809</v>
      </c>
      <c r="M210" t="s">
        <v>2511</v>
      </c>
      <c r="N210" t="s">
        <v>2699</v>
      </c>
      <c r="O210" t="s">
        <v>24</v>
      </c>
    </row>
    <row r="211" spans="1:15" x14ac:dyDescent="0.25">
      <c r="A211">
        <v>210</v>
      </c>
      <c r="B211" t="str">
        <f>HYPERLINK("https://digitalcommons.unl.edu/cgi/viewcontent.cgi?article=1828&amp;context=tractormuseumlit","Click for test report")</f>
        <v>Click for test report</v>
      </c>
      <c r="C211">
        <v>1931</v>
      </c>
      <c r="D211" t="s">
        <v>6864</v>
      </c>
      <c r="F211" t="s">
        <v>6678</v>
      </c>
      <c r="G211" t="s">
        <v>6679</v>
      </c>
      <c r="H211" t="s">
        <v>6852</v>
      </c>
      <c r="I211" t="s">
        <v>50</v>
      </c>
      <c r="J211" t="s">
        <v>96</v>
      </c>
      <c r="K211" t="s">
        <v>4809</v>
      </c>
      <c r="M211" t="s">
        <v>4590</v>
      </c>
      <c r="N211" t="s">
        <v>4449</v>
      </c>
      <c r="O211" t="s">
        <v>24</v>
      </c>
    </row>
    <row r="212" spans="1:15" x14ac:dyDescent="0.25">
      <c r="A212">
        <v>211</v>
      </c>
      <c r="B212" t="str">
        <f>HYPERLINK("https://digitalcommons.unl.edu/cgi/viewcontent.cgi?article=1829&amp;context=tractormuseumlit","Click for test report")</f>
        <v>Click for test report</v>
      </c>
      <c r="C212">
        <v>1931</v>
      </c>
      <c r="D212" t="s">
        <v>6862</v>
      </c>
      <c r="F212" t="s">
        <v>5347</v>
      </c>
      <c r="G212" t="s">
        <v>5347</v>
      </c>
      <c r="H212" t="s">
        <v>6863</v>
      </c>
      <c r="I212" t="s">
        <v>50</v>
      </c>
      <c r="J212" t="s">
        <v>348</v>
      </c>
      <c r="K212" t="s">
        <v>6821</v>
      </c>
      <c r="M212" t="s">
        <v>4013</v>
      </c>
      <c r="N212" t="s">
        <v>4449</v>
      </c>
      <c r="O212" t="s">
        <v>24</v>
      </c>
    </row>
    <row r="213" spans="1:15" x14ac:dyDescent="0.25">
      <c r="A213">
        <v>212</v>
      </c>
      <c r="B213" t="str">
        <f>HYPERLINK("https://digitalcommons.unl.edu/cgi/viewcontent.cgi?article=1830&amp;context=tractormuseumlit","Click for test report")</f>
        <v>Click for test report</v>
      </c>
      <c r="C213">
        <v>1931</v>
      </c>
      <c r="D213" t="s">
        <v>6860</v>
      </c>
      <c r="F213" t="s">
        <v>4503</v>
      </c>
      <c r="G213" t="s">
        <v>6340</v>
      </c>
      <c r="H213" t="s">
        <v>6861</v>
      </c>
      <c r="I213" t="s">
        <v>50</v>
      </c>
      <c r="J213" t="s">
        <v>348</v>
      </c>
      <c r="K213" t="s">
        <v>6821</v>
      </c>
      <c r="M213" t="s">
        <v>4012</v>
      </c>
      <c r="N213" t="s">
        <v>4355</v>
      </c>
      <c r="O213" t="s">
        <v>24</v>
      </c>
    </row>
    <row r="214" spans="1:15" x14ac:dyDescent="0.25">
      <c r="A214">
        <v>213</v>
      </c>
      <c r="B214" t="str">
        <f>HYPERLINK("https://digitalcommons.unl.edu/cgi/viewcontent.cgi?article=1831&amp;context=tractormuseumlit","Click for test report")</f>
        <v>Click for test report</v>
      </c>
      <c r="C214">
        <v>1931</v>
      </c>
      <c r="D214" t="s">
        <v>6858</v>
      </c>
      <c r="F214" t="s">
        <v>4503</v>
      </c>
      <c r="G214" t="s">
        <v>6340</v>
      </c>
      <c r="H214" t="s">
        <v>6859</v>
      </c>
      <c r="I214" t="s">
        <v>50</v>
      </c>
      <c r="J214" t="s">
        <v>96</v>
      </c>
      <c r="K214" t="s">
        <v>6821</v>
      </c>
      <c r="M214" t="s">
        <v>4013</v>
      </c>
      <c r="N214" t="s">
        <v>4358</v>
      </c>
      <c r="O214" t="s">
        <v>24</v>
      </c>
    </row>
    <row r="215" spans="1:15" x14ac:dyDescent="0.25">
      <c r="A215">
        <v>214</v>
      </c>
      <c r="B215" t="str">
        <f>HYPERLINK("https://digitalcommons.unl.edu/cgi/viewcontent.cgi?article=1477&amp;context=tractormuseumlit","Click for test report")</f>
        <v>Click for test report</v>
      </c>
      <c r="C215">
        <v>1932</v>
      </c>
      <c r="D215" t="s">
        <v>5462</v>
      </c>
      <c r="F215" t="s">
        <v>4325</v>
      </c>
      <c r="G215" t="s">
        <v>4325</v>
      </c>
      <c r="H215" t="s">
        <v>6658</v>
      </c>
      <c r="I215" t="s">
        <v>50</v>
      </c>
      <c r="J215" t="s">
        <v>96</v>
      </c>
      <c r="K215" t="s">
        <v>4809</v>
      </c>
      <c r="M215" t="s">
        <v>457</v>
      </c>
      <c r="N215" t="s">
        <v>740</v>
      </c>
      <c r="O215" t="s">
        <v>24</v>
      </c>
    </row>
    <row r="216" spans="1:15" x14ac:dyDescent="0.25">
      <c r="A216">
        <v>215</v>
      </c>
      <c r="B216" t="str">
        <f>HYPERLINK("https://digitalcommons.unl.edu/cgi/viewcontent.cgi?article=1832&amp;context=tractormuseumlit","Click for test report")</f>
        <v>Click for test report</v>
      </c>
      <c r="C216">
        <v>1932</v>
      </c>
      <c r="D216" t="s">
        <v>6857</v>
      </c>
      <c r="F216" t="s">
        <v>6678</v>
      </c>
      <c r="G216" t="s">
        <v>6679</v>
      </c>
      <c r="H216" t="s">
        <v>5797</v>
      </c>
      <c r="I216" t="s">
        <v>50</v>
      </c>
      <c r="J216" t="s">
        <v>96</v>
      </c>
      <c r="K216" t="s">
        <v>4809</v>
      </c>
      <c r="M216" t="s">
        <v>4745</v>
      </c>
      <c r="N216" t="s">
        <v>4013</v>
      </c>
      <c r="O216" t="s">
        <v>24</v>
      </c>
    </row>
    <row r="217" spans="1:15" x14ac:dyDescent="0.25">
      <c r="A217">
        <v>216</v>
      </c>
      <c r="B217" t="str">
        <f>HYPERLINK("https://digitalcommons.unl.edu/cgi/viewcontent.cgi?article=1833&amp;context=tractormuseumlit","Click for test report")</f>
        <v>Click for test report</v>
      </c>
      <c r="C217">
        <v>1932</v>
      </c>
      <c r="D217" t="s">
        <v>6856</v>
      </c>
      <c r="F217" t="s">
        <v>6678</v>
      </c>
      <c r="G217" t="s">
        <v>6679</v>
      </c>
      <c r="H217" t="s">
        <v>6852</v>
      </c>
      <c r="I217" t="s">
        <v>50</v>
      </c>
      <c r="J217" t="s">
        <v>96</v>
      </c>
      <c r="K217" t="s">
        <v>4809</v>
      </c>
      <c r="M217" t="s">
        <v>4013</v>
      </c>
      <c r="N217" t="s">
        <v>4444</v>
      </c>
      <c r="O217" t="s">
        <v>24</v>
      </c>
    </row>
    <row r="218" spans="1:15" x14ac:dyDescent="0.25">
      <c r="A218">
        <v>217</v>
      </c>
      <c r="B218" t="str">
        <f>HYPERLINK("https://digitalcommons.unl.edu/cgi/viewcontent.cgi?article=1834&amp;context=tractormuseumlit","Click for test report")</f>
        <v>Click for test report</v>
      </c>
      <c r="C218">
        <v>1932</v>
      </c>
      <c r="D218" t="s">
        <v>6855</v>
      </c>
      <c r="F218" t="s">
        <v>3442</v>
      </c>
      <c r="G218" t="s">
        <v>3442</v>
      </c>
      <c r="H218" t="s">
        <v>5797</v>
      </c>
      <c r="I218" t="s">
        <v>50</v>
      </c>
      <c r="J218" t="s">
        <v>96</v>
      </c>
      <c r="K218" t="s">
        <v>4809</v>
      </c>
      <c r="M218" t="s">
        <v>4012</v>
      </c>
      <c r="N218" t="s">
        <v>4352</v>
      </c>
      <c r="O218" t="s">
        <v>24</v>
      </c>
    </row>
    <row r="219" spans="1:15" x14ac:dyDescent="0.25">
      <c r="A219">
        <v>218</v>
      </c>
      <c r="B219" t="str">
        <f>HYPERLINK("https://digitalcommons.unl.edu/cgi/viewcontent.cgi?article=1835&amp;context=tractormuseumlit","Click for test report")</f>
        <v>Click for test report</v>
      </c>
      <c r="C219">
        <v>1932</v>
      </c>
      <c r="D219" t="s">
        <v>6854</v>
      </c>
      <c r="F219" t="s">
        <v>3442</v>
      </c>
      <c r="G219" t="s">
        <v>3442</v>
      </c>
      <c r="H219" t="s">
        <v>5880</v>
      </c>
      <c r="I219" t="s">
        <v>50</v>
      </c>
      <c r="J219" t="s">
        <v>96</v>
      </c>
      <c r="K219" t="s">
        <v>4809</v>
      </c>
      <c r="M219" t="s">
        <v>404</v>
      </c>
      <c r="N219" t="s">
        <v>1650</v>
      </c>
      <c r="O219" t="s">
        <v>24</v>
      </c>
    </row>
    <row r="220" spans="1:15" x14ac:dyDescent="0.25">
      <c r="A220">
        <v>219</v>
      </c>
      <c r="B220" t="str">
        <f>HYPERLINK("https://digitalcommons.unl.edu/cgi/viewcontent.cgi?article=1836&amp;context=tractormuseumlit","Click for test report")</f>
        <v>Click for test report</v>
      </c>
      <c r="C220">
        <v>1932</v>
      </c>
      <c r="D220" t="s">
        <v>4934</v>
      </c>
      <c r="F220" t="s">
        <v>3442</v>
      </c>
      <c r="G220" t="s">
        <v>3442</v>
      </c>
      <c r="H220" t="s">
        <v>6412</v>
      </c>
      <c r="I220" t="s">
        <v>50</v>
      </c>
      <c r="J220" t="s">
        <v>96</v>
      </c>
      <c r="K220" t="s">
        <v>4809</v>
      </c>
      <c r="M220" t="s">
        <v>4352</v>
      </c>
      <c r="N220" t="s">
        <v>4444</v>
      </c>
      <c r="O220" t="s">
        <v>24</v>
      </c>
    </row>
    <row r="221" spans="1:15" x14ac:dyDescent="0.25">
      <c r="A221">
        <v>220</v>
      </c>
      <c r="B221" t="str">
        <f>HYPERLINK("https://digitalcommons.unl.edu/cgi/viewcontent.cgi?article=1838&amp;context=tractormuseumlit","Click for test report")</f>
        <v>Click for test report</v>
      </c>
      <c r="C221">
        <v>1932</v>
      </c>
      <c r="D221" t="s">
        <v>6853</v>
      </c>
      <c r="F221" t="s">
        <v>3442</v>
      </c>
      <c r="G221" t="s">
        <v>3442</v>
      </c>
      <c r="H221" t="s">
        <v>5982</v>
      </c>
      <c r="I221" t="s">
        <v>50</v>
      </c>
      <c r="J221" t="s">
        <v>96</v>
      </c>
      <c r="K221" t="s">
        <v>4809</v>
      </c>
      <c r="M221" t="s">
        <v>2090</v>
      </c>
      <c r="N221" t="s">
        <v>3973</v>
      </c>
      <c r="O221" t="s">
        <v>24</v>
      </c>
    </row>
    <row r="222" spans="1:15" x14ac:dyDescent="0.25">
      <c r="A222">
        <v>221</v>
      </c>
      <c r="B222" t="str">
        <f>HYPERLINK("https://digitalcommons.unl.edu/cgi/viewcontent.cgi?article=1839&amp;context=tractormuseumlit","Click for test report")</f>
        <v>Click for test report</v>
      </c>
      <c r="C222">
        <v>1932</v>
      </c>
      <c r="D222" t="s">
        <v>6851</v>
      </c>
      <c r="F222" t="s">
        <v>3442</v>
      </c>
      <c r="G222" t="s">
        <v>3442</v>
      </c>
      <c r="H222" t="s">
        <v>6852</v>
      </c>
      <c r="I222" t="s">
        <v>50</v>
      </c>
      <c r="J222" t="s">
        <v>96</v>
      </c>
      <c r="K222" t="s">
        <v>4809</v>
      </c>
      <c r="M222" t="s">
        <v>4359</v>
      </c>
      <c r="N222" t="s">
        <v>4628</v>
      </c>
      <c r="O222" t="s">
        <v>24</v>
      </c>
    </row>
    <row r="223" spans="1:15" x14ac:dyDescent="0.25">
      <c r="A223">
        <v>222</v>
      </c>
      <c r="B223" t="str">
        <f>HYPERLINK("https://digitalcommons.unl.edu/cgi/viewcontent.cgi?article=1478&amp;context=tractormuseumlit","Click for test report")</f>
        <v>Click for test report</v>
      </c>
      <c r="C223">
        <v>1932</v>
      </c>
      <c r="D223" t="s">
        <v>6850</v>
      </c>
      <c r="F223" t="s">
        <v>3442</v>
      </c>
      <c r="G223" t="s">
        <v>3442</v>
      </c>
      <c r="H223" t="s">
        <v>4115</v>
      </c>
      <c r="I223" t="s">
        <v>50</v>
      </c>
      <c r="J223" t="s">
        <v>96</v>
      </c>
      <c r="K223" t="s">
        <v>21</v>
      </c>
      <c r="M223" t="s">
        <v>378</v>
      </c>
      <c r="N223" t="s">
        <v>1350</v>
      </c>
      <c r="O223" t="s">
        <v>24</v>
      </c>
    </row>
    <row r="224" spans="1:15" x14ac:dyDescent="0.25">
      <c r="A224">
        <v>223</v>
      </c>
      <c r="B224" t="str">
        <f>HYPERLINK("https://digitalcommons.unl.edu/cgi/viewcontent.cgi?article=1840&amp;context=tractormuseumlit","Click for test report")</f>
        <v>Click for test report</v>
      </c>
      <c r="C224">
        <v>1932</v>
      </c>
      <c r="D224" t="s">
        <v>6849</v>
      </c>
      <c r="F224" t="s">
        <v>3442</v>
      </c>
      <c r="G224" t="s">
        <v>3442</v>
      </c>
      <c r="H224" t="s">
        <v>5878</v>
      </c>
      <c r="I224" t="s">
        <v>50</v>
      </c>
      <c r="J224" t="s">
        <v>96</v>
      </c>
      <c r="K224" t="s">
        <v>4809</v>
      </c>
      <c r="M224" t="s">
        <v>1371</v>
      </c>
      <c r="N224" t="s">
        <v>1257</v>
      </c>
      <c r="O224" t="s">
        <v>24</v>
      </c>
    </row>
    <row r="225" spans="1:15" x14ac:dyDescent="0.25">
      <c r="A225">
        <v>224</v>
      </c>
      <c r="B225" t="str">
        <f>HYPERLINK("https://digitalcommons.unl.edu/cgi/viewcontent.cgi?article=1841&amp;context=tractormuseumlit","Click for test report")</f>
        <v>Click for test report</v>
      </c>
      <c r="C225">
        <v>1932</v>
      </c>
      <c r="D225" t="s">
        <v>4927</v>
      </c>
      <c r="F225" t="s">
        <v>4503</v>
      </c>
      <c r="G225" t="s">
        <v>6340</v>
      </c>
      <c r="H225" t="s">
        <v>6848</v>
      </c>
      <c r="I225" t="s">
        <v>50</v>
      </c>
      <c r="J225" t="s">
        <v>348</v>
      </c>
      <c r="K225" t="s">
        <v>6821</v>
      </c>
      <c r="M225" t="s">
        <v>4745</v>
      </c>
      <c r="N225" t="s">
        <v>4355</v>
      </c>
      <c r="O225" t="s">
        <v>24</v>
      </c>
    </row>
    <row r="226" spans="1:15" x14ac:dyDescent="0.25">
      <c r="A226">
        <v>225</v>
      </c>
      <c r="B226" t="str">
        <f>HYPERLINK("https://digitalcommons.unl.edu/cgi/viewcontent.cgi?article=1842&amp;context=tractormuseumlit","Click for test report")</f>
        <v>Click for test report</v>
      </c>
      <c r="C226">
        <v>1932</v>
      </c>
      <c r="D226" t="s">
        <v>6847</v>
      </c>
      <c r="F226" t="s">
        <v>4503</v>
      </c>
      <c r="G226" t="s">
        <v>6340</v>
      </c>
      <c r="H226" t="s">
        <v>6747</v>
      </c>
      <c r="I226" t="s">
        <v>50</v>
      </c>
      <c r="J226" t="s">
        <v>96</v>
      </c>
      <c r="K226" t="s">
        <v>4809</v>
      </c>
      <c r="M226" t="s">
        <v>410</v>
      </c>
      <c r="N226" t="s">
        <v>3152</v>
      </c>
      <c r="O226" t="s">
        <v>24</v>
      </c>
    </row>
    <row r="227" spans="1:15" x14ac:dyDescent="0.25">
      <c r="A227">
        <v>226</v>
      </c>
      <c r="B227" t="str">
        <f>HYPERLINK("https://digitalcommons.unl.edu/cgi/viewcontent.cgi?article=1843&amp;context=tractormuseumlit","Click for test report")</f>
        <v>Click for test report</v>
      </c>
      <c r="C227">
        <v>1933</v>
      </c>
      <c r="D227" t="s">
        <v>6846</v>
      </c>
      <c r="F227" t="s">
        <v>4503</v>
      </c>
      <c r="G227" t="s">
        <v>6340</v>
      </c>
      <c r="H227" t="s">
        <v>6835</v>
      </c>
      <c r="I227" t="s">
        <v>50</v>
      </c>
      <c r="J227" t="s">
        <v>348</v>
      </c>
      <c r="K227" t="s">
        <v>4809</v>
      </c>
      <c r="M227" t="s">
        <v>4628</v>
      </c>
      <c r="N227" t="s">
        <v>4930</v>
      </c>
      <c r="O227" t="s">
        <v>24</v>
      </c>
    </row>
    <row r="228" spans="1:15" x14ac:dyDescent="0.25">
      <c r="A228">
        <v>227</v>
      </c>
      <c r="B228" t="str">
        <f>HYPERLINK("https://digitalcommons.unl.edu/cgi/viewcontent.cgi?article=1844&amp;context=tractormuseumlit","Click for test report")</f>
        <v>Click for test report</v>
      </c>
      <c r="C228">
        <v>1933</v>
      </c>
      <c r="D228" t="s">
        <v>6845</v>
      </c>
      <c r="F228" t="s">
        <v>3442</v>
      </c>
      <c r="G228" t="s">
        <v>3442</v>
      </c>
      <c r="H228" t="s">
        <v>6322</v>
      </c>
      <c r="I228" t="s">
        <v>50</v>
      </c>
      <c r="J228" t="s">
        <v>96</v>
      </c>
      <c r="K228" t="s">
        <v>4809</v>
      </c>
      <c r="M228" t="s">
        <v>565</v>
      </c>
      <c r="N228" t="s">
        <v>722</v>
      </c>
      <c r="O228" t="s">
        <v>24</v>
      </c>
    </row>
    <row r="229" spans="1:15" x14ac:dyDescent="0.25">
      <c r="A229">
        <v>228</v>
      </c>
      <c r="B229" t="str">
        <f>HYPERLINK("https://digitalcommons.unl.edu/cgi/viewcontent.cgi?article=1845&amp;context=tractormuseumlit","Click for test report")</f>
        <v>Click for test report</v>
      </c>
      <c r="C229">
        <v>1933</v>
      </c>
      <c r="D229" t="s">
        <v>6844</v>
      </c>
      <c r="F229" t="s">
        <v>3442</v>
      </c>
      <c r="G229" t="s">
        <v>3442</v>
      </c>
      <c r="H229" t="s">
        <v>5880</v>
      </c>
      <c r="I229" t="s">
        <v>50</v>
      </c>
      <c r="J229" t="s">
        <v>96</v>
      </c>
      <c r="K229" t="s">
        <v>21</v>
      </c>
      <c r="M229" t="s">
        <v>725</v>
      </c>
      <c r="N229" t="s">
        <v>3319</v>
      </c>
      <c r="O229" t="s">
        <v>24</v>
      </c>
    </row>
    <row r="230" spans="1:15" x14ac:dyDescent="0.25">
      <c r="A230">
        <v>229</v>
      </c>
      <c r="B230" t="str">
        <f>HYPERLINK("https://digitalcommons.unl.edu/cgi/viewcontent.cgi?article=1846&amp;context=tractormuseumlit","Click for test report")</f>
        <v>Click for test report</v>
      </c>
      <c r="C230">
        <v>1933</v>
      </c>
      <c r="D230" t="s">
        <v>6842</v>
      </c>
      <c r="F230" t="s">
        <v>4325</v>
      </c>
      <c r="G230" t="s">
        <v>4325</v>
      </c>
      <c r="H230" t="s">
        <v>6843</v>
      </c>
      <c r="I230" t="s">
        <v>50</v>
      </c>
      <c r="J230" t="s">
        <v>96</v>
      </c>
      <c r="K230" t="s">
        <v>4809</v>
      </c>
      <c r="M230" t="s">
        <v>1970</v>
      </c>
      <c r="N230" t="s">
        <v>407</v>
      </c>
      <c r="O230" t="s">
        <v>24</v>
      </c>
    </row>
    <row r="231" spans="1:15" x14ac:dyDescent="0.25">
      <c r="A231">
        <v>230</v>
      </c>
      <c r="B231" t="str">
        <f>HYPERLINK("https://digitalcommons.unl.edu/cgi/viewcontent.cgi?article=1847&amp;context=tractormuseumlit","Click for test report")</f>
        <v>Click for test report</v>
      </c>
      <c r="C231">
        <v>1933</v>
      </c>
      <c r="D231" t="s">
        <v>6841</v>
      </c>
      <c r="F231" t="s">
        <v>4325</v>
      </c>
      <c r="G231" t="s">
        <v>4325</v>
      </c>
      <c r="H231" t="s">
        <v>6577</v>
      </c>
      <c r="I231" t="s">
        <v>50</v>
      </c>
      <c r="J231" t="s">
        <v>96</v>
      </c>
      <c r="K231" t="s">
        <v>4809</v>
      </c>
      <c r="M231" t="s">
        <v>2825</v>
      </c>
      <c r="N231" t="s">
        <v>4397</v>
      </c>
      <c r="O231" t="s">
        <v>24</v>
      </c>
    </row>
    <row r="232" spans="1:15" x14ac:dyDescent="0.25">
      <c r="A232">
        <v>231</v>
      </c>
      <c r="B232" t="str">
        <f>HYPERLINK("https://digitalcommons.unl.edu/cgi/viewcontent.cgi?article=1848&amp;context=tractormuseumlit","Click for test report")</f>
        <v>Click for test report</v>
      </c>
      <c r="C232">
        <v>1933</v>
      </c>
      <c r="D232" t="s">
        <v>6840</v>
      </c>
      <c r="F232" t="s">
        <v>3442</v>
      </c>
      <c r="G232" t="s">
        <v>3442</v>
      </c>
      <c r="H232" t="s">
        <v>5982</v>
      </c>
      <c r="I232" t="s">
        <v>50</v>
      </c>
      <c r="J232" t="s">
        <v>96</v>
      </c>
      <c r="K232" t="s">
        <v>21</v>
      </c>
      <c r="M232" t="s">
        <v>1009</v>
      </c>
      <c r="N232" t="s">
        <v>2826</v>
      </c>
      <c r="O232" t="s">
        <v>24</v>
      </c>
    </row>
    <row r="233" spans="1:15" x14ac:dyDescent="0.25">
      <c r="A233">
        <v>232</v>
      </c>
      <c r="B233" t="str">
        <f>HYPERLINK("https://digitalcommons.unl.edu/cgi/viewcontent.cgi?article=1849&amp;context=tractormuseumlit","Click for test report")</f>
        <v>Click for test report</v>
      </c>
      <c r="C233">
        <v>1933</v>
      </c>
      <c r="D233" t="s">
        <v>6838</v>
      </c>
      <c r="F233" t="s">
        <v>3442</v>
      </c>
      <c r="G233" t="s">
        <v>3442</v>
      </c>
      <c r="H233" t="s">
        <v>6839</v>
      </c>
      <c r="I233" t="s">
        <v>50</v>
      </c>
      <c r="J233" t="s">
        <v>96</v>
      </c>
      <c r="K233" t="s">
        <v>21</v>
      </c>
      <c r="M233" t="s">
        <v>454</v>
      </c>
      <c r="N233" t="s">
        <v>344</v>
      </c>
      <c r="O233" t="s">
        <v>24</v>
      </c>
    </row>
    <row r="234" spans="1:15" x14ac:dyDescent="0.25">
      <c r="A234">
        <v>233</v>
      </c>
      <c r="B234" t="str">
        <f>HYPERLINK("https://digitalcommons.unl.edu/cgi/viewcontent.cgi?article=1850&amp;context=tractormuseumlit","Click for test report")</f>
        <v>Click for test report</v>
      </c>
      <c r="C234">
        <v>1933</v>
      </c>
      <c r="D234" t="s">
        <v>6836</v>
      </c>
      <c r="F234" t="s">
        <v>6226</v>
      </c>
      <c r="G234" t="s">
        <v>6226</v>
      </c>
      <c r="H234" t="s">
        <v>6837</v>
      </c>
      <c r="I234" t="s">
        <v>50</v>
      </c>
      <c r="J234" t="s">
        <v>348</v>
      </c>
      <c r="K234" t="s">
        <v>6351</v>
      </c>
      <c r="M234" t="s">
        <v>1009</v>
      </c>
      <c r="N234" t="s">
        <v>4745</v>
      </c>
      <c r="O234" t="s">
        <v>24</v>
      </c>
    </row>
    <row r="235" spans="1:15" x14ac:dyDescent="0.25">
      <c r="A235">
        <v>234</v>
      </c>
      <c r="B235" t="str">
        <f>HYPERLINK("https://digitalcommons.unl.edu/cgi/viewcontent.cgi?article=1851&amp;context=tractormuseumlit","Click for test report")</f>
        <v>Click for test report</v>
      </c>
      <c r="C235">
        <v>1933</v>
      </c>
      <c r="D235" t="s">
        <v>4923</v>
      </c>
      <c r="F235" t="s">
        <v>4503</v>
      </c>
      <c r="G235" t="s">
        <v>6340</v>
      </c>
      <c r="H235" t="s">
        <v>6835</v>
      </c>
      <c r="I235" t="s">
        <v>50</v>
      </c>
      <c r="J235" t="s">
        <v>348</v>
      </c>
      <c r="K235" t="s">
        <v>6821</v>
      </c>
      <c r="M235" t="s">
        <v>4452</v>
      </c>
      <c r="N235" t="s">
        <v>6060</v>
      </c>
      <c r="O235" t="s">
        <v>24</v>
      </c>
    </row>
    <row r="236" spans="1:15" x14ac:dyDescent="0.25">
      <c r="A236">
        <v>235</v>
      </c>
      <c r="B236" t="str">
        <f>HYPERLINK("https://digitalcommons.unl.edu/cgi/viewcontent.cgi?article=1606&amp;context=tractormuseumlit","Click for test report")</f>
        <v>Click for test report</v>
      </c>
      <c r="C236">
        <v>1934</v>
      </c>
      <c r="D236" t="s">
        <v>6833</v>
      </c>
      <c r="F236" t="s">
        <v>4503</v>
      </c>
      <c r="G236" t="s">
        <v>6340</v>
      </c>
      <c r="H236" t="s">
        <v>6834</v>
      </c>
      <c r="I236" t="s">
        <v>50</v>
      </c>
      <c r="J236" t="s">
        <v>348</v>
      </c>
      <c r="K236" t="s">
        <v>6821</v>
      </c>
      <c r="M236" t="s">
        <v>4358</v>
      </c>
      <c r="N236" t="s">
        <v>4621</v>
      </c>
      <c r="O236" t="s">
        <v>24</v>
      </c>
    </row>
    <row r="237" spans="1:15" x14ac:dyDescent="0.25">
      <c r="A237">
        <v>236</v>
      </c>
      <c r="B237" t="str">
        <f>HYPERLINK("https://digitalcommons.unl.edu/cgi/viewcontent.cgi?article=1045&amp;context=tractormuseumlit","Click for test report")</f>
        <v>Click for test report</v>
      </c>
      <c r="C237">
        <v>1934</v>
      </c>
      <c r="D237" t="s">
        <v>6831</v>
      </c>
      <c r="F237" t="s">
        <v>17</v>
      </c>
      <c r="G237" t="s">
        <v>17</v>
      </c>
      <c r="H237" t="s">
        <v>6832</v>
      </c>
      <c r="I237" t="s">
        <v>50</v>
      </c>
      <c r="J237" t="s">
        <v>348</v>
      </c>
      <c r="K237" t="s">
        <v>6351</v>
      </c>
      <c r="M237" t="s">
        <v>4355</v>
      </c>
      <c r="N237" t="s">
        <v>4449</v>
      </c>
      <c r="O237" t="s">
        <v>24</v>
      </c>
    </row>
    <row r="238" spans="1:15" x14ac:dyDescent="0.25">
      <c r="A238">
        <v>237</v>
      </c>
      <c r="B238" t="str">
        <f>HYPERLINK("https://digitalcommons.unl.edu/cgi/viewcontent.cgi?article=1852&amp;context=tractormuseumlit","Click for test report")</f>
        <v>Click for test report</v>
      </c>
      <c r="C238">
        <v>1934</v>
      </c>
      <c r="D238" t="s">
        <v>6830</v>
      </c>
      <c r="F238" t="s">
        <v>4325</v>
      </c>
      <c r="G238" t="s">
        <v>4325</v>
      </c>
      <c r="H238" t="s">
        <v>6712</v>
      </c>
      <c r="I238" t="s">
        <v>50</v>
      </c>
      <c r="J238" t="s">
        <v>348</v>
      </c>
      <c r="K238" t="s">
        <v>6351</v>
      </c>
      <c r="M238" t="s">
        <v>4362</v>
      </c>
      <c r="N238" t="s">
        <v>4627</v>
      </c>
      <c r="O238" t="s">
        <v>6591</v>
      </c>
    </row>
    <row r="239" spans="1:15" x14ac:dyDescent="0.25">
      <c r="A239">
        <v>238</v>
      </c>
      <c r="B239" t="str">
        <f>HYPERLINK("https://digitalcommons.unl.edu/cgi/viewcontent.cgi?article=1852&amp;context=tractormuseumlit","Click for test report")</f>
        <v>Click for test report</v>
      </c>
      <c r="C239">
        <v>1934</v>
      </c>
      <c r="D239" t="s">
        <v>6830</v>
      </c>
      <c r="F239" t="s">
        <v>4325</v>
      </c>
      <c r="G239" t="s">
        <v>4325</v>
      </c>
      <c r="H239" t="s">
        <v>6712</v>
      </c>
      <c r="I239" t="s">
        <v>50</v>
      </c>
      <c r="J239" t="s">
        <v>348</v>
      </c>
      <c r="K239" t="s">
        <v>6351</v>
      </c>
      <c r="M239" t="s">
        <v>4362</v>
      </c>
      <c r="N239" t="s">
        <v>4452</v>
      </c>
      <c r="O239" t="s">
        <v>6592</v>
      </c>
    </row>
    <row r="240" spans="1:15" x14ac:dyDescent="0.25">
      <c r="A240">
        <v>239</v>
      </c>
      <c r="B240" t="str">
        <f>HYPERLINK("https://digitalcommons.unl.edu/cgi/viewcontent.cgi?article=1854&amp;context=tractormuseumlit","Click for test report")</f>
        <v>Click for test report</v>
      </c>
      <c r="C240">
        <v>1934</v>
      </c>
      <c r="D240" t="s">
        <v>6828</v>
      </c>
      <c r="F240" t="s">
        <v>3442</v>
      </c>
      <c r="G240" t="s">
        <v>3442</v>
      </c>
      <c r="H240" t="s">
        <v>6829</v>
      </c>
      <c r="I240" t="s">
        <v>50</v>
      </c>
      <c r="J240" t="s">
        <v>96</v>
      </c>
      <c r="K240" t="s">
        <v>4809</v>
      </c>
      <c r="M240" t="s">
        <v>353</v>
      </c>
      <c r="N240" t="s">
        <v>1650</v>
      </c>
      <c r="O240" t="s">
        <v>24</v>
      </c>
    </row>
    <row r="241" spans="1:15" x14ac:dyDescent="0.25">
      <c r="A241">
        <v>240</v>
      </c>
      <c r="B241" t="str">
        <f>HYPERLINK("https://digitalcommons.unl.edu/cgi/viewcontent.cgi?article=1855&amp;context=tractormuseumlit","Click for test report")</f>
        <v>Click for test report</v>
      </c>
      <c r="C241">
        <v>1934</v>
      </c>
      <c r="D241" t="s">
        <v>6827</v>
      </c>
      <c r="F241" t="s">
        <v>3442</v>
      </c>
      <c r="G241" t="s">
        <v>3442</v>
      </c>
      <c r="H241" t="s">
        <v>6688</v>
      </c>
      <c r="I241" t="s">
        <v>50</v>
      </c>
      <c r="J241" t="s">
        <v>96</v>
      </c>
      <c r="K241" t="s">
        <v>4809</v>
      </c>
      <c r="M241" t="s">
        <v>4012</v>
      </c>
      <c r="N241" t="s">
        <v>4352</v>
      </c>
      <c r="O241" t="s">
        <v>24</v>
      </c>
    </row>
    <row r="242" spans="1:15" x14ac:dyDescent="0.25">
      <c r="A242">
        <v>241</v>
      </c>
      <c r="B242" t="str">
        <f>HYPERLINK("https://digitalcommons.unl.edu/cgi/viewcontent.cgi?article=1856&amp;context=tractormuseumlit","Click for test report")</f>
        <v>Click for test report</v>
      </c>
      <c r="C242">
        <v>1934</v>
      </c>
      <c r="D242" t="s">
        <v>6826</v>
      </c>
      <c r="F242" t="s">
        <v>3442</v>
      </c>
      <c r="G242" t="s">
        <v>3442</v>
      </c>
      <c r="H242" t="s">
        <v>6823</v>
      </c>
      <c r="I242" t="s">
        <v>50</v>
      </c>
      <c r="J242" t="s">
        <v>96</v>
      </c>
      <c r="K242" t="s">
        <v>6351</v>
      </c>
      <c r="M242" t="s">
        <v>4397</v>
      </c>
      <c r="N242" t="s">
        <v>4358</v>
      </c>
      <c r="O242" t="s">
        <v>24</v>
      </c>
    </row>
    <row r="243" spans="1:15" x14ac:dyDescent="0.25">
      <c r="A243">
        <v>242</v>
      </c>
      <c r="B243" t="str">
        <f>HYPERLINK("https://digitalcommons.unl.edu/cgi/viewcontent.cgi?article=1857&amp;context=tractormuseumlit","Click for test report")</f>
        <v>Click for test report</v>
      </c>
      <c r="C243">
        <v>1934</v>
      </c>
      <c r="D243" t="s">
        <v>6824</v>
      </c>
      <c r="F243" t="s">
        <v>3442</v>
      </c>
      <c r="G243" t="s">
        <v>3442</v>
      </c>
      <c r="H243" t="s">
        <v>6825</v>
      </c>
      <c r="I243" t="s">
        <v>50</v>
      </c>
      <c r="J243" t="s">
        <v>96</v>
      </c>
      <c r="K243" t="s">
        <v>4809</v>
      </c>
      <c r="M243" t="s">
        <v>2627</v>
      </c>
      <c r="N243" t="s">
        <v>3388</v>
      </c>
      <c r="O243" t="s">
        <v>24</v>
      </c>
    </row>
    <row r="244" spans="1:15" x14ac:dyDescent="0.25">
      <c r="A244">
        <v>243</v>
      </c>
      <c r="B244" t="str">
        <f>HYPERLINK("https://digitalcommons.unl.edu/cgi/viewcontent.cgi?article=1858&amp;context=tractormuseumlit","Click for test report")</f>
        <v>Click for test report</v>
      </c>
      <c r="C244">
        <v>1934</v>
      </c>
      <c r="D244" t="s">
        <v>6822</v>
      </c>
      <c r="F244" t="s">
        <v>3442</v>
      </c>
      <c r="G244" t="s">
        <v>3442</v>
      </c>
      <c r="H244" t="s">
        <v>6823</v>
      </c>
      <c r="I244" t="s">
        <v>50</v>
      </c>
      <c r="J244" t="s">
        <v>96</v>
      </c>
      <c r="K244" t="s">
        <v>4809</v>
      </c>
      <c r="M244" t="s">
        <v>4440</v>
      </c>
      <c r="N244" t="s">
        <v>4590</v>
      </c>
      <c r="O244" t="s">
        <v>24</v>
      </c>
    </row>
    <row r="245" spans="1:15" x14ac:dyDescent="0.25">
      <c r="A245">
        <v>244</v>
      </c>
      <c r="B245" t="str">
        <f>HYPERLINK("https://digitalcommons.unl.edu/cgi/viewcontent.cgi?article=1859&amp;context=tractormuseumlit","Click for test report")</f>
        <v>Click for test report</v>
      </c>
      <c r="C245">
        <v>1934</v>
      </c>
      <c r="D245" t="s">
        <v>6820</v>
      </c>
      <c r="F245" t="s">
        <v>4503</v>
      </c>
      <c r="G245" t="s">
        <v>6340</v>
      </c>
      <c r="H245" t="s">
        <v>6819</v>
      </c>
      <c r="I245" t="s">
        <v>50</v>
      </c>
      <c r="J245" t="s">
        <v>348</v>
      </c>
      <c r="K245" t="s">
        <v>6821</v>
      </c>
      <c r="M245" t="s">
        <v>4621</v>
      </c>
      <c r="N245" t="s">
        <v>4930</v>
      </c>
      <c r="O245" t="s">
        <v>24</v>
      </c>
    </row>
    <row r="246" spans="1:15" x14ac:dyDescent="0.25">
      <c r="A246">
        <v>245</v>
      </c>
      <c r="B246" t="str">
        <f>HYPERLINK("https://digitalcommons.unl.edu/cgi/viewcontent.cgi?article=1860&amp;context=tractormuseumlit","Click for test report")</f>
        <v>Click for test report</v>
      </c>
      <c r="C246">
        <v>1934</v>
      </c>
      <c r="D246" t="s">
        <v>5252</v>
      </c>
      <c r="F246" t="s">
        <v>4503</v>
      </c>
      <c r="G246" t="s">
        <v>6340</v>
      </c>
      <c r="H246" t="s">
        <v>6747</v>
      </c>
      <c r="I246" t="s">
        <v>50</v>
      </c>
      <c r="J246" t="s">
        <v>96</v>
      </c>
      <c r="K246" t="s">
        <v>21</v>
      </c>
      <c r="M246" t="s">
        <v>2188</v>
      </c>
      <c r="N246" t="s">
        <v>2090</v>
      </c>
      <c r="O246" t="s">
        <v>24</v>
      </c>
    </row>
    <row r="247" spans="1:15" x14ac:dyDescent="0.25">
      <c r="A247">
        <v>246</v>
      </c>
      <c r="B247" t="str">
        <f>HYPERLINK("https://digitalcommons.unl.edu/cgi/viewcontent.cgi?article=1861&amp;context=tractormuseumlit","Click for test report")</f>
        <v>Click for test report</v>
      </c>
      <c r="C247">
        <v>1934</v>
      </c>
      <c r="D247" t="s">
        <v>6818</v>
      </c>
      <c r="F247" t="s">
        <v>4503</v>
      </c>
      <c r="G247" t="s">
        <v>6340</v>
      </c>
      <c r="H247" t="s">
        <v>6819</v>
      </c>
      <c r="I247" t="s">
        <v>50</v>
      </c>
      <c r="J247" t="s">
        <v>348</v>
      </c>
      <c r="K247" t="s">
        <v>4809</v>
      </c>
      <c r="M247" t="s">
        <v>4363</v>
      </c>
      <c r="N247" t="s">
        <v>4935</v>
      </c>
      <c r="O247" t="s">
        <v>24</v>
      </c>
    </row>
    <row r="248" spans="1:15" x14ac:dyDescent="0.25">
      <c r="A248">
        <v>247</v>
      </c>
      <c r="B248" t="str">
        <f>HYPERLINK("https://digitalcommons.unl.edu/cgi/viewcontent.cgi?article=1046&amp;context=tractormuseumlit","Click for test report")</f>
        <v>Click for test report</v>
      </c>
      <c r="C248">
        <v>1935</v>
      </c>
      <c r="D248" t="s">
        <v>6816</v>
      </c>
      <c r="F248" t="s">
        <v>17</v>
      </c>
      <c r="G248" t="s">
        <v>17</v>
      </c>
      <c r="H248" t="s">
        <v>6817</v>
      </c>
      <c r="I248" t="s">
        <v>50</v>
      </c>
      <c r="J248" t="s">
        <v>348</v>
      </c>
      <c r="K248" t="s">
        <v>6351</v>
      </c>
      <c r="M248" t="s">
        <v>4628</v>
      </c>
      <c r="N248" t="s">
        <v>6060</v>
      </c>
      <c r="O248" t="s">
        <v>24</v>
      </c>
    </row>
    <row r="249" spans="1:15" x14ac:dyDescent="0.25">
      <c r="A249">
        <v>248</v>
      </c>
      <c r="B249" t="str">
        <f>HYPERLINK("https://digitalcommons.unl.edu/cgi/viewcontent.cgi?article=1862&amp;context=tractormuseumlit","Click for test report")</f>
        <v>Click for test report</v>
      </c>
      <c r="C249">
        <v>1935</v>
      </c>
      <c r="D249" t="s">
        <v>6814</v>
      </c>
      <c r="F249" t="s">
        <v>5347</v>
      </c>
      <c r="G249" t="s">
        <v>6632</v>
      </c>
      <c r="H249" t="s">
        <v>6815</v>
      </c>
      <c r="I249" t="s">
        <v>50</v>
      </c>
      <c r="J249" t="s">
        <v>348</v>
      </c>
      <c r="K249" t="s">
        <v>6351</v>
      </c>
      <c r="M249" t="s">
        <v>4355</v>
      </c>
      <c r="N249" t="s">
        <v>4363</v>
      </c>
      <c r="O249" t="s">
        <v>24</v>
      </c>
    </row>
    <row r="250" spans="1:15" x14ac:dyDescent="0.25">
      <c r="A250">
        <v>249</v>
      </c>
      <c r="B250" t="str">
        <f>HYPERLINK("https://digitalcommons.unl.edu/cgi/viewcontent.cgi?article=1863&amp;context=tractormuseumlit","Click for test report")</f>
        <v>Click for test report</v>
      </c>
      <c r="C250">
        <v>1935</v>
      </c>
      <c r="D250" t="s">
        <v>6809</v>
      </c>
      <c r="F250" t="s">
        <v>6810</v>
      </c>
      <c r="G250" t="s">
        <v>6811</v>
      </c>
      <c r="H250" t="s">
        <v>6812</v>
      </c>
      <c r="I250" t="s">
        <v>50</v>
      </c>
      <c r="J250" t="s">
        <v>348</v>
      </c>
      <c r="K250" t="s">
        <v>4809</v>
      </c>
      <c r="M250" t="s">
        <v>6002</v>
      </c>
      <c r="N250" t="s">
        <v>6006</v>
      </c>
      <c r="O250" t="s">
        <v>6813</v>
      </c>
    </row>
    <row r="251" spans="1:15" x14ac:dyDescent="0.25">
      <c r="A251">
        <v>250</v>
      </c>
      <c r="B251" t="str">
        <f>HYPERLINK("https://digitalcommons.unl.edu/cgi/viewcontent.cgi?article=1864&amp;context=tractormuseumlit","Click for test report")</f>
        <v>Click for test report</v>
      </c>
      <c r="C251">
        <v>1935</v>
      </c>
      <c r="D251" t="s">
        <v>5298</v>
      </c>
      <c r="F251" t="s">
        <v>6678</v>
      </c>
      <c r="G251" t="s">
        <v>6679</v>
      </c>
      <c r="H251" t="s">
        <v>6234</v>
      </c>
      <c r="I251" t="s">
        <v>50</v>
      </c>
      <c r="J251" t="s">
        <v>96</v>
      </c>
      <c r="K251" t="s">
        <v>21</v>
      </c>
      <c r="M251" t="s">
        <v>728</v>
      </c>
      <c r="N251" t="s">
        <v>2029</v>
      </c>
      <c r="O251" t="s">
        <v>24</v>
      </c>
    </row>
    <row r="252" spans="1:15" x14ac:dyDescent="0.25">
      <c r="A252">
        <v>251</v>
      </c>
      <c r="B252" t="str">
        <f>HYPERLINK("https://digitalcommons.unl.edu/cgi/viewcontent.cgi?article=1864&amp;context=tractormuseumlit","Click for test report")</f>
        <v>Click for test report</v>
      </c>
      <c r="C252">
        <v>1935</v>
      </c>
      <c r="D252" t="s">
        <v>5298</v>
      </c>
      <c r="F252" t="s">
        <v>6678</v>
      </c>
      <c r="G252" t="s">
        <v>6679</v>
      </c>
      <c r="H252" t="s">
        <v>6483</v>
      </c>
      <c r="I252" t="s">
        <v>50</v>
      </c>
      <c r="J252" t="s">
        <v>96</v>
      </c>
      <c r="K252" t="s">
        <v>21</v>
      </c>
      <c r="M252" t="s">
        <v>728</v>
      </c>
      <c r="N252" t="s">
        <v>2029</v>
      </c>
      <c r="O252" t="s">
        <v>24</v>
      </c>
    </row>
    <row r="253" spans="1:15" x14ac:dyDescent="0.25">
      <c r="A253">
        <v>252</v>
      </c>
      <c r="B253" t="str">
        <f>HYPERLINK("https://digitalcommons.unl.edu/cgi/viewcontent.cgi?article=1047&amp;context=tractormuseumlit","Click for test report")</f>
        <v>Click for test report</v>
      </c>
      <c r="C253">
        <v>1935</v>
      </c>
      <c r="D253" t="s">
        <v>6808</v>
      </c>
      <c r="F253" t="s">
        <v>17</v>
      </c>
      <c r="G253" t="s">
        <v>17</v>
      </c>
      <c r="H253" t="s">
        <v>21</v>
      </c>
      <c r="I253" t="s">
        <v>50</v>
      </c>
      <c r="J253" t="s">
        <v>348</v>
      </c>
      <c r="K253" t="s">
        <v>6351</v>
      </c>
      <c r="M253" t="s">
        <v>2627</v>
      </c>
      <c r="N253" t="s">
        <v>4440</v>
      </c>
      <c r="O253" t="s">
        <v>24</v>
      </c>
    </row>
    <row r="254" spans="1:15" x14ac:dyDescent="0.25">
      <c r="A254">
        <v>253</v>
      </c>
      <c r="B254" t="str">
        <f>HYPERLINK("https://digitalcommons.unl.edu/cgi/viewcontent.cgi?article=1865&amp;context=tractormuseumlit","Click for test report")</f>
        <v>Click for test report</v>
      </c>
      <c r="C254">
        <v>1935</v>
      </c>
      <c r="D254" t="s">
        <v>6807</v>
      </c>
      <c r="F254" t="s">
        <v>4325</v>
      </c>
      <c r="G254" t="s">
        <v>4325</v>
      </c>
      <c r="H254" t="s">
        <v>6337</v>
      </c>
      <c r="I254" t="s">
        <v>50</v>
      </c>
      <c r="J254" t="s">
        <v>348</v>
      </c>
      <c r="K254" t="s">
        <v>6351</v>
      </c>
      <c r="M254" t="s">
        <v>3388</v>
      </c>
      <c r="N254" t="s">
        <v>4358</v>
      </c>
      <c r="O254" t="s">
        <v>6592</v>
      </c>
    </row>
    <row r="255" spans="1:15" x14ac:dyDescent="0.25">
      <c r="A255">
        <v>254</v>
      </c>
      <c r="B255" t="str">
        <f>HYPERLINK("https://digitalcommons.unl.edu/cgi/viewcontent.cgi?article=1865&amp;context=tractormuseumlit","Click for test report")</f>
        <v>Click for test report</v>
      </c>
      <c r="C255">
        <v>1935</v>
      </c>
      <c r="D255" t="s">
        <v>6807</v>
      </c>
      <c r="F255" t="s">
        <v>4325</v>
      </c>
      <c r="G255" t="s">
        <v>4325</v>
      </c>
      <c r="H255" t="s">
        <v>6337</v>
      </c>
      <c r="I255" t="s">
        <v>50</v>
      </c>
      <c r="J255" t="s">
        <v>348</v>
      </c>
      <c r="K255" t="s">
        <v>6351</v>
      </c>
      <c r="M255" t="s">
        <v>3388</v>
      </c>
      <c r="N255" t="s">
        <v>4440</v>
      </c>
      <c r="O255" t="s">
        <v>6591</v>
      </c>
    </row>
    <row r="256" spans="1:15" x14ac:dyDescent="0.25">
      <c r="A256">
        <v>255</v>
      </c>
      <c r="B256" t="str">
        <f>HYPERLINK("https://digitalcommons.unl.edu/cgi/viewcontent.cgi?article=1866&amp;context=tractormuseumlit","Click for test report")</f>
        <v>Click for test report</v>
      </c>
      <c r="C256">
        <v>1935</v>
      </c>
      <c r="D256" t="s">
        <v>6805</v>
      </c>
      <c r="F256" t="s">
        <v>4325</v>
      </c>
      <c r="G256" t="s">
        <v>4325</v>
      </c>
      <c r="H256" t="s">
        <v>6806</v>
      </c>
      <c r="I256" t="s">
        <v>50</v>
      </c>
      <c r="J256" t="s">
        <v>348</v>
      </c>
      <c r="K256" t="s">
        <v>6351</v>
      </c>
      <c r="M256" t="s">
        <v>3388</v>
      </c>
      <c r="N256" t="s">
        <v>4355</v>
      </c>
      <c r="O256" t="s">
        <v>6592</v>
      </c>
    </row>
    <row r="257" spans="1:15" x14ac:dyDescent="0.25">
      <c r="A257">
        <v>256</v>
      </c>
      <c r="B257" t="str">
        <f>HYPERLINK("https://digitalcommons.unl.edu/cgi/viewcontent.cgi?article=1866&amp;context=tractormuseumlit","Click for test report")</f>
        <v>Click for test report</v>
      </c>
      <c r="C257">
        <v>1935</v>
      </c>
      <c r="D257" t="s">
        <v>6805</v>
      </c>
      <c r="F257" t="s">
        <v>4325</v>
      </c>
      <c r="G257" t="s">
        <v>4325</v>
      </c>
      <c r="H257" t="s">
        <v>6806</v>
      </c>
      <c r="I257" t="s">
        <v>50</v>
      </c>
      <c r="J257" t="s">
        <v>348</v>
      </c>
      <c r="K257" t="s">
        <v>6351</v>
      </c>
      <c r="M257" t="s">
        <v>3388</v>
      </c>
      <c r="N257" t="s">
        <v>4589</v>
      </c>
      <c r="O257" t="s">
        <v>6591</v>
      </c>
    </row>
    <row r="258" spans="1:15" x14ac:dyDescent="0.25">
      <c r="A258">
        <v>257</v>
      </c>
      <c r="B258" t="str">
        <f>HYPERLINK("https://digitalcommons.unl.edu/cgi/viewcontent.cgi?article=1867&amp;context=tractormuseumlit","Click for test report")</f>
        <v>Click for test report</v>
      </c>
      <c r="C258">
        <v>1935</v>
      </c>
      <c r="D258" t="s">
        <v>6804</v>
      </c>
      <c r="F258" t="s">
        <v>4325</v>
      </c>
      <c r="G258" t="s">
        <v>4325</v>
      </c>
      <c r="H258" t="s">
        <v>6577</v>
      </c>
      <c r="I258" t="s">
        <v>50</v>
      </c>
      <c r="J258" t="s">
        <v>96</v>
      </c>
      <c r="K258" t="s">
        <v>6351</v>
      </c>
      <c r="M258" t="s">
        <v>2825</v>
      </c>
      <c r="N258" t="s">
        <v>4589</v>
      </c>
      <c r="O258" t="s">
        <v>24</v>
      </c>
    </row>
    <row r="259" spans="1:15" x14ac:dyDescent="0.25">
      <c r="A259">
        <v>258</v>
      </c>
      <c r="B259" t="str">
        <f>HYPERLINK("https://digitalcommons.unl.edu/cgi/viewcontent.cgi?article=1868&amp;context=tractormuseumlit","Click for test report")</f>
        <v>Click for test report</v>
      </c>
      <c r="C259">
        <v>1935</v>
      </c>
      <c r="D259" t="s">
        <v>4563</v>
      </c>
      <c r="F259" t="s">
        <v>3442</v>
      </c>
      <c r="G259" t="s">
        <v>3442</v>
      </c>
      <c r="H259" t="s">
        <v>5880</v>
      </c>
      <c r="I259" t="s">
        <v>50</v>
      </c>
      <c r="J259" t="s">
        <v>96</v>
      </c>
      <c r="K259" t="s">
        <v>21</v>
      </c>
      <c r="M259" t="s">
        <v>725</v>
      </c>
      <c r="N259" t="s">
        <v>3319</v>
      </c>
      <c r="O259" t="s">
        <v>6701</v>
      </c>
    </row>
    <row r="260" spans="1:15" x14ac:dyDescent="0.25">
      <c r="A260">
        <v>259</v>
      </c>
      <c r="B260" t="str">
        <f>HYPERLINK("https://digitalcommons.unl.edu/cgi/viewcontent.cgi?article=1870&amp;context=tractormuseumlit","Click for test report")</f>
        <v>Click for test report</v>
      </c>
      <c r="C260">
        <v>1935</v>
      </c>
      <c r="D260" t="s">
        <v>6803</v>
      </c>
      <c r="F260" t="s">
        <v>3442</v>
      </c>
      <c r="G260" t="s">
        <v>3442</v>
      </c>
      <c r="H260" t="s">
        <v>5880</v>
      </c>
      <c r="I260" t="s">
        <v>50</v>
      </c>
      <c r="J260" t="s">
        <v>96</v>
      </c>
      <c r="K260" t="s">
        <v>21</v>
      </c>
      <c r="M260" t="s">
        <v>764</v>
      </c>
      <c r="N260" t="s">
        <v>349</v>
      </c>
      <c r="O260" t="s">
        <v>6785</v>
      </c>
    </row>
    <row r="261" spans="1:15" x14ac:dyDescent="0.25">
      <c r="A261">
        <v>260</v>
      </c>
      <c r="B261" t="str">
        <f>HYPERLINK("https://digitalcommons.unl.edu/cgi/viewcontent.cgi?article=1871&amp;context=tractormuseumlit","Click for test report")</f>
        <v>Click for test report</v>
      </c>
      <c r="C261">
        <v>1935</v>
      </c>
      <c r="D261" t="s">
        <v>6802</v>
      </c>
      <c r="F261" t="s">
        <v>3442</v>
      </c>
      <c r="G261" t="s">
        <v>3442</v>
      </c>
      <c r="H261" t="s">
        <v>6234</v>
      </c>
      <c r="I261" t="s">
        <v>50</v>
      </c>
      <c r="J261" t="s">
        <v>96</v>
      </c>
      <c r="K261" t="s">
        <v>21</v>
      </c>
      <c r="M261" t="s">
        <v>404</v>
      </c>
      <c r="N261" t="s">
        <v>735</v>
      </c>
      <c r="O261" t="s">
        <v>6785</v>
      </c>
    </row>
    <row r="262" spans="1:15" x14ac:dyDescent="0.25">
      <c r="A262">
        <v>261</v>
      </c>
      <c r="B262" t="str">
        <f>HYPERLINK("https://digitalcommons.unl.edu/cgi/viewcontent.cgi?article=1872&amp;context=tractormuseumlit","Click for test report")</f>
        <v>Click for test report</v>
      </c>
      <c r="C262">
        <v>1935</v>
      </c>
      <c r="D262" t="s">
        <v>3404</v>
      </c>
      <c r="F262" t="s">
        <v>3442</v>
      </c>
      <c r="G262" t="s">
        <v>3442</v>
      </c>
      <c r="H262" t="s">
        <v>6234</v>
      </c>
      <c r="I262" t="s">
        <v>50</v>
      </c>
      <c r="J262" t="s">
        <v>96</v>
      </c>
      <c r="K262" t="s">
        <v>21</v>
      </c>
      <c r="M262" t="s">
        <v>2188</v>
      </c>
      <c r="N262" t="s">
        <v>3152</v>
      </c>
      <c r="O262" t="s">
        <v>6701</v>
      </c>
    </row>
    <row r="263" spans="1:15" x14ac:dyDescent="0.25">
      <c r="A263">
        <v>262</v>
      </c>
      <c r="B263" t="str">
        <f>HYPERLINK("https://digitalcommons.unl.edu/cgi/viewcontent.cgi?article=1872&amp;context=tractormuseumlit","Click for test report")</f>
        <v>Click for test report</v>
      </c>
      <c r="C263">
        <v>1935</v>
      </c>
      <c r="D263" t="s">
        <v>3404</v>
      </c>
      <c r="F263" t="s">
        <v>3442</v>
      </c>
      <c r="G263" t="s">
        <v>3442</v>
      </c>
      <c r="H263" t="s">
        <v>6801</v>
      </c>
      <c r="I263" t="s">
        <v>50</v>
      </c>
      <c r="J263" t="s">
        <v>96</v>
      </c>
      <c r="K263" t="s">
        <v>21</v>
      </c>
      <c r="M263" t="s">
        <v>2188</v>
      </c>
      <c r="N263" t="s">
        <v>3152</v>
      </c>
      <c r="O263" t="s">
        <v>6701</v>
      </c>
    </row>
    <row r="264" spans="1:15" x14ac:dyDescent="0.25">
      <c r="A264">
        <v>263</v>
      </c>
      <c r="B264" t="str">
        <f>HYPERLINK("https://digitalcommons.unl.edu/cgi/viewcontent.cgi?article=1873&amp;context=tractormuseumlit","Click for test report")</f>
        <v>Click for test report</v>
      </c>
      <c r="C264">
        <v>1935</v>
      </c>
      <c r="D264" t="s">
        <v>6800</v>
      </c>
      <c r="F264" t="s">
        <v>3442</v>
      </c>
      <c r="G264" t="s">
        <v>3442</v>
      </c>
      <c r="H264" t="s">
        <v>6234</v>
      </c>
      <c r="I264" t="s">
        <v>50</v>
      </c>
      <c r="J264" t="s">
        <v>96</v>
      </c>
      <c r="K264" t="s">
        <v>4809</v>
      </c>
      <c r="M264" t="s">
        <v>2188</v>
      </c>
      <c r="N264" t="s">
        <v>2627</v>
      </c>
      <c r="O264" t="s">
        <v>6701</v>
      </c>
    </row>
    <row r="265" spans="1:15" x14ac:dyDescent="0.25">
      <c r="A265">
        <v>264</v>
      </c>
      <c r="B265" t="str">
        <f>HYPERLINK("https://digitalcommons.unl.edu/cgi/viewcontent.cgi?article=1874&amp;context=tractormuseumlit","Click for test report")</f>
        <v>Click for test report</v>
      </c>
      <c r="C265">
        <v>1935</v>
      </c>
      <c r="D265" t="s">
        <v>5174</v>
      </c>
      <c r="F265" t="s">
        <v>3442</v>
      </c>
      <c r="G265" t="s">
        <v>3442</v>
      </c>
      <c r="H265" t="s">
        <v>6234</v>
      </c>
      <c r="I265" t="s">
        <v>50</v>
      </c>
      <c r="J265" t="s">
        <v>96</v>
      </c>
      <c r="K265" t="s">
        <v>4809</v>
      </c>
      <c r="M265" t="s">
        <v>404</v>
      </c>
      <c r="N265" t="s">
        <v>2188</v>
      </c>
      <c r="O265" t="s">
        <v>6785</v>
      </c>
    </row>
    <row r="266" spans="1:15" x14ac:dyDescent="0.25">
      <c r="A266">
        <v>265</v>
      </c>
      <c r="B266" t="str">
        <f>HYPERLINK("https://digitalcommons.unl.edu/cgi/viewcontent.cgi?article=1875&amp;context=tractormuseumlit","Click for test report")</f>
        <v>Click for test report</v>
      </c>
      <c r="C266">
        <v>1935</v>
      </c>
      <c r="D266" t="s">
        <v>6798</v>
      </c>
      <c r="F266" t="s">
        <v>4503</v>
      </c>
      <c r="G266" t="s">
        <v>6340</v>
      </c>
      <c r="H266" t="s">
        <v>6799</v>
      </c>
      <c r="I266" t="s">
        <v>50</v>
      </c>
      <c r="J266" t="s">
        <v>348</v>
      </c>
      <c r="K266" t="s">
        <v>21</v>
      </c>
      <c r="M266" t="s">
        <v>2188</v>
      </c>
      <c r="N266" t="s">
        <v>1893</v>
      </c>
      <c r="O266" t="s">
        <v>24</v>
      </c>
    </row>
    <row r="267" spans="1:15" x14ac:dyDescent="0.25">
      <c r="A267">
        <v>266</v>
      </c>
      <c r="B267" t="str">
        <f>HYPERLINK("https://digitalcommons.unl.edu/cgi/viewcontent.cgi?article=1876&amp;context=tractormuseumlit","Click for test report")</f>
        <v>Click for test report</v>
      </c>
      <c r="C267">
        <v>1935</v>
      </c>
      <c r="D267" t="s">
        <v>6797</v>
      </c>
      <c r="F267" t="s">
        <v>5347</v>
      </c>
      <c r="G267" t="s">
        <v>6632</v>
      </c>
      <c r="H267" t="s">
        <v>6794</v>
      </c>
      <c r="I267" t="s">
        <v>50</v>
      </c>
      <c r="J267" t="s">
        <v>348</v>
      </c>
      <c r="K267" t="s">
        <v>6351</v>
      </c>
      <c r="M267" t="s">
        <v>4745</v>
      </c>
      <c r="N267" t="s">
        <v>4355</v>
      </c>
      <c r="O267" t="s">
        <v>24</v>
      </c>
    </row>
    <row r="268" spans="1:15" x14ac:dyDescent="0.25">
      <c r="A268">
        <v>267</v>
      </c>
      <c r="B268" t="str">
        <f>HYPERLINK("https://digitalcommons.unl.edu/cgi/viewcontent.cgi?article=1878&amp;context=tractormuseumlit","Click for test report")</f>
        <v>Click for test report</v>
      </c>
      <c r="C268">
        <v>1935</v>
      </c>
      <c r="D268" t="s">
        <v>6795</v>
      </c>
      <c r="F268" t="s">
        <v>5347</v>
      </c>
      <c r="G268" t="s">
        <v>6632</v>
      </c>
      <c r="H268" t="s">
        <v>6796</v>
      </c>
      <c r="I268" t="s">
        <v>50</v>
      </c>
      <c r="J268" t="s">
        <v>348</v>
      </c>
      <c r="K268" t="s">
        <v>6351</v>
      </c>
      <c r="M268" t="s">
        <v>4745</v>
      </c>
      <c r="N268" t="s">
        <v>4355</v>
      </c>
      <c r="O268" t="s">
        <v>24</v>
      </c>
    </row>
    <row r="269" spans="1:15" x14ac:dyDescent="0.25">
      <c r="A269">
        <v>268</v>
      </c>
      <c r="B269" t="str">
        <f>HYPERLINK("https://digitalcommons.unl.edu/cgi/viewcontent.cgi?article=1879&amp;context=tractormuseumlit","Click for test report")</f>
        <v>Click for test report</v>
      </c>
      <c r="C269">
        <v>1936</v>
      </c>
      <c r="D269" t="s">
        <v>6793</v>
      </c>
      <c r="F269" t="s">
        <v>5347</v>
      </c>
      <c r="G269" t="s">
        <v>6632</v>
      </c>
      <c r="H269" t="s">
        <v>6794</v>
      </c>
      <c r="I269" t="s">
        <v>50</v>
      </c>
      <c r="J269" t="s">
        <v>348</v>
      </c>
      <c r="K269" t="s">
        <v>4809</v>
      </c>
      <c r="M269" t="s">
        <v>2627</v>
      </c>
      <c r="N269" t="s">
        <v>4440</v>
      </c>
      <c r="O269" t="s">
        <v>6592</v>
      </c>
    </row>
    <row r="270" spans="1:15" x14ac:dyDescent="0.25">
      <c r="A270">
        <v>269</v>
      </c>
      <c r="B270" t="str">
        <f>HYPERLINK("https://digitalcommons.unl.edu/cgi/viewcontent.cgi?article=1879&amp;context=tractormuseumlit","Click for test report")</f>
        <v>Click for test report</v>
      </c>
      <c r="C270">
        <v>1936</v>
      </c>
      <c r="D270" t="s">
        <v>6793</v>
      </c>
      <c r="F270" t="s">
        <v>5347</v>
      </c>
      <c r="G270" t="s">
        <v>6632</v>
      </c>
      <c r="H270" t="s">
        <v>6794</v>
      </c>
      <c r="I270" t="s">
        <v>50</v>
      </c>
      <c r="J270" t="s">
        <v>348</v>
      </c>
      <c r="K270" t="s">
        <v>4809</v>
      </c>
      <c r="M270" t="s">
        <v>2627</v>
      </c>
      <c r="N270" t="s">
        <v>4590</v>
      </c>
      <c r="O270" t="s">
        <v>6591</v>
      </c>
    </row>
    <row r="271" spans="1:15" x14ac:dyDescent="0.25">
      <c r="A271">
        <v>270</v>
      </c>
      <c r="B271" t="str">
        <f>HYPERLINK("https://digitalcommons.unl.edu/cgi/viewcontent.cgi?article=1880&amp;context=tractormuseumlit","Click for test report")</f>
        <v>Click for test report</v>
      </c>
      <c r="C271">
        <v>1936</v>
      </c>
      <c r="D271" t="s">
        <v>4561</v>
      </c>
      <c r="F271" t="s">
        <v>6508</v>
      </c>
      <c r="G271" t="s">
        <v>6509</v>
      </c>
      <c r="H271" t="s">
        <v>6792</v>
      </c>
      <c r="I271" t="s">
        <v>50</v>
      </c>
      <c r="J271" t="s">
        <v>348</v>
      </c>
      <c r="K271" t="s">
        <v>4809</v>
      </c>
      <c r="M271" t="s">
        <v>4627</v>
      </c>
      <c r="N271" t="s">
        <v>4935</v>
      </c>
      <c r="O271" t="s">
        <v>6592</v>
      </c>
    </row>
    <row r="272" spans="1:15" x14ac:dyDescent="0.25">
      <c r="A272">
        <v>271</v>
      </c>
      <c r="B272" t="str">
        <f>HYPERLINK("https://digitalcommons.unl.edu/cgi/viewcontent.cgi?article=1880&amp;context=tractormuseumlit","Click for test report")</f>
        <v>Click for test report</v>
      </c>
      <c r="C272">
        <v>1936</v>
      </c>
      <c r="D272" t="s">
        <v>4561</v>
      </c>
      <c r="F272" t="s">
        <v>6508</v>
      </c>
      <c r="G272" t="s">
        <v>6509</v>
      </c>
      <c r="H272" t="s">
        <v>6792</v>
      </c>
      <c r="I272" t="s">
        <v>50</v>
      </c>
      <c r="J272" t="s">
        <v>348</v>
      </c>
      <c r="K272" t="s">
        <v>4809</v>
      </c>
      <c r="M272" t="s">
        <v>4627</v>
      </c>
      <c r="N272" t="s">
        <v>4628</v>
      </c>
      <c r="O272" t="s">
        <v>6591</v>
      </c>
    </row>
    <row r="273" spans="1:15" x14ac:dyDescent="0.25">
      <c r="A273">
        <v>272</v>
      </c>
      <c r="B273" t="str">
        <f>HYPERLINK("https://digitalcommons.unl.edu/cgi/viewcontent.cgi?article=1113&amp;context=tractormuseumlit","Click for test report")</f>
        <v>Click for test report</v>
      </c>
      <c r="C273">
        <v>1936</v>
      </c>
      <c r="D273" t="s">
        <v>6791</v>
      </c>
      <c r="F273" t="s">
        <v>3800</v>
      </c>
      <c r="G273" t="s">
        <v>4473</v>
      </c>
      <c r="H273" t="s">
        <v>6697</v>
      </c>
      <c r="I273" t="s">
        <v>50</v>
      </c>
      <c r="J273" t="s">
        <v>348</v>
      </c>
      <c r="K273" t="s">
        <v>4809</v>
      </c>
      <c r="M273" t="s">
        <v>4627</v>
      </c>
      <c r="N273" t="s">
        <v>4452</v>
      </c>
      <c r="O273" t="s">
        <v>24</v>
      </c>
    </row>
    <row r="274" spans="1:15" x14ac:dyDescent="0.25">
      <c r="A274">
        <v>273</v>
      </c>
      <c r="B274" t="str">
        <f>HYPERLINK("https://digitalcommons.unl.edu/cgi/viewcontent.cgi?article=1495&amp;context=tractormuseumlit","Click for test report")</f>
        <v>Click for test report</v>
      </c>
      <c r="C274">
        <v>1936</v>
      </c>
      <c r="D274" t="s">
        <v>6790</v>
      </c>
      <c r="F274" t="s">
        <v>5345</v>
      </c>
      <c r="G274" t="s">
        <v>6742</v>
      </c>
      <c r="H274" t="s">
        <v>6635</v>
      </c>
      <c r="I274" t="s">
        <v>50</v>
      </c>
      <c r="J274" t="s">
        <v>348</v>
      </c>
      <c r="K274" t="s">
        <v>4809</v>
      </c>
      <c r="M274" t="s">
        <v>4589</v>
      </c>
      <c r="N274" t="s">
        <v>4362</v>
      </c>
      <c r="O274" t="s">
        <v>24</v>
      </c>
    </row>
    <row r="275" spans="1:15" x14ac:dyDescent="0.25">
      <c r="A275">
        <v>274</v>
      </c>
      <c r="B275" t="str">
        <f>HYPERLINK("https://digitalcommons.unl.edu/cgi/viewcontent.cgi?article=1881&amp;context=tractormuseumlit","Click for test report")</f>
        <v>Click for test report</v>
      </c>
      <c r="C275">
        <v>1936</v>
      </c>
      <c r="D275" t="s">
        <v>3942</v>
      </c>
      <c r="F275" t="s">
        <v>3442</v>
      </c>
      <c r="G275" t="s">
        <v>3442</v>
      </c>
      <c r="H275" t="s">
        <v>6787</v>
      </c>
      <c r="I275" t="s">
        <v>50</v>
      </c>
      <c r="J275" t="s">
        <v>96</v>
      </c>
      <c r="K275" t="s">
        <v>21</v>
      </c>
      <c r="M275" t="s">
        <v>2030</v>
      </c>
      <c r="N275" t="s">
        <v>1051</v>
      </c>
      <c r="O275" t="s">
        <v>6789</v>
      </c>
    </row>
    <row r="276" spans="1:15" x14ac:dyDescent="0.25">
      <c r="A276">
        <v>275</v>
      </c>
      <c r="B276" t="str">
        <f>HYPERLINK("https://digitalcommons.unl.edu/cgi/viewcontent.cgi?article=1882&amp;context=tractormuseumlit","Click for test report")</f>
        <v>Click for test report</v>
      </c>
      <c r="C276">
        <v>1936</v>
      </c>
      <c r="D276" t="s">
        <v>4676</v>
      </c>
      <c r="F276" t="s">
        <v>3442</v>
      </c>
      <c r="G276" t="s">
        <v>3442</v>
      </c>
      <c r="H276" t="s">
        <v>6787</v>
      </c>
      <c r="I276" t="s">
        <v>50</v>
      </c>
      <c r="J276" t="s">
        <v>96</v>
      </c>
      <c r="K276" t="s">
        <v>21</v>
      </c>
      <c r="M276" t="s">
        <v>378</v>
      </c>
      <c r="N276" t="s">
        <v>1350</v>
      </c>
      <c r="O276" t="s">
        <v>6788</v>
      </c>
    </row>
    <row r="277" spans="1:15" x14ac:dyDescent="0.25">
      <c r="A277">
        <v>276</v>
      </c>
      <c r="B277" t="str">
        <f>HYPERLINK("https://digitalcommons.unl.edu/cgi/viewcontent.cgi?article=1883&amp;context=tractormuseumlit","Click for test report")</f>
        <v>Click for test report</v>
      </c>
      <c r="C277">
        <v>1936</v>
      </c>
      <c r="D277" t="s">
        <v>5176</v>
      </c>
      <c r="F277" t="s">
        <v>3442</v>
      </c>
      <c r="G277" t="s">
        <v>3442</v>
      </c>
      <c r="H277" t="s">
        <v>6787</v>
      </c>
      <c r="I277" t="s">
        <v>50</v>
      </c>
      <c r="J277" t="s">
        <v>96</v>
      </c>
      <c r="K277" t="s">
        <v>21</v>
      </c>
      <c r="M277" t="s">
        <v>339</v>
      </c>
      <c r="N277" t="s">
        <v>1371</v>
      </c>
      <c r="O277" t="s">
        <v>6785</v>
      </c>
    </row>
    <row r="278" spans="1:15" x14ac:dyDescent="0.25">
      <c r="A278">
        <v>277</v>
      </c>
      <c r="B278" t="str">
        <f>HYPERLINK("https://digitalcommons.unl.edu/cgi/viewcontent.cgi?article=1884&amp;context=tractormuseumlit","Click for test report")</f>
        <v>Click for test report</v>
      </c>
      <c r="C278">
        <v>1936</v>
      </c>
      <c r="D278" t="s">
        <v>4565</v>
      </c>
      <c r="F278" t="s">
        <v>3442</v>
      </c>
      <c r="G278" t="s">
        <v>3442</v>
      </c>
      <c r="H278" t="s">
        <v>6786</v>
      </c>
      <c r="I278" t="s">
        <v>50</v>
      </c>
      <c r="J278" t="s">
        <v>96</v>
      </c>
      <c r="K278" t="s">
        <v>21</v>
      </c>
      <c r="M278" t="s">
        <v>571</v>
      </c>
      <c r="N278" t="s">
        <v>457</v>
      </c>
      <c r="O278" t="s">
        <v>6701</v>
      </c>
    </row>
    <row r="279" spans="1:15" x14ac:dyDescent="0.25">
      <c r="A279">
        <v>278</v>
      </c>
      <c r="B279" t="str">
        <f>HYPERLINK("https://digitalcommons.unl.edu/cgi/viewcontent.cgi?article=1884&amp;context=tractormuseumlit","Click for test report")</f>
        <v>Click for test report</v>
      </c>
      <c r="C279">
        <v>1936</v>
      </c>
      <c r="D279" t="s">
        <v>4565</v>
      </c>
      <c r="F279" t="s">
        <v>3442</v>
      </c>
      <c r="G279" t="s">
        <v>3442</v>
      </c>
      <c r="H279" t="s">
        <v>6784</v>
      </c>
      <c r="I279" t="s">
        <v>50</v>
      </c>
      <c r="J279" t="s">
        <v>96</v>
      </c>
      <c r="K279" t="s">
        <v>21</v>
      </c>
      <c r="M279" t="s">
        <v>571</v>
      </c>
      <c r="N279" t="s">
        <v>457</v>
      </c>
      <c r="O279" t="s">
        <v>6701</v>
      </c>
    </row>
    <row r="280" spans="1:15" x14ac:dyDescent="0.25">
      <c r="A280">
        <v>279</v>
      </c>
      <c r="B280" t="str">
        <f>HYPERLINK("https://digitalcommons.unl.edu/cgi/viewcontent.cgi?article=1885&amp;context=tractormuseumlit","Click for test report")</f>
        <v>Click for test report</v>
      </c>
      <c r="C280">
        <v>1936</v>
      </c>
      <c r="D280" t="s">
        <v>6783</v>
      </c>
      <c r="F280" t="s">
        <v>3442</v>
      </c>
      <c r="G280" t="s">
        <v>3442</v>
      </c>
      <c r="H280" t="s">
        <v>6786</v>
      </c>
      <c r="I280" t="s">
        <v>50</v>
      </c>
      <c r="J280" t="s">
        <v>96</v>
      </c>
      <c r="K280" t="s">
        <v>21</v>
      </c>
      <c r="M280" t="s">
        <v>333</v>
      </c>
      <c r="N280" t="s">
        <v>571</v>
      </c>
      <c r="O280" t="s">
        <v>6785</v>
      </c>
    </row>
    <row r="281" spans="1:15" x14ac:dyDescent="0.25">
      <c r="A281">
        <v>280</v>
      </c>
      <c r="B281" t="str">
        <f>HYPERLINK("https://digitalcommons.unl.edu/cgi/viewcontent.cgi?article=1885&amp;context=tractormuseumlit","Click for test report")</f>
        <v>Click for test report</v>
      </c>
      <c r="C281">
        <v>1936</v>
      </c>
      <c r="D281" t="s">
        <v>6783</v>
      </c>
      <c r="F281" t="s">
        <v>3442</v>
      </c>
      <c r="G281" t="s">
        <v>3442</v>
      </c>
      <c r="H281" t="s">
        <v>6784</v>
      </c>
      <c r="I281" t="s">
        <v>50</v>
      </c>
      <c r="J281" t="s">
        <v>96</v>
      </c>
      <c r="K281" t="s">
        <v>21</v>
      </c>
      <c r="M281" t="s">
        <v>333</v>
      </c>
      <c r="N281" t="s">
        <v>571</v>
      </c>
      <c r="O281" t="s">
        <v>6785</v>
      </c>
    </row>
    <row r="282" spans="1:15" x14ac:dyDescent="0.25">
      <c r="A282">
        <v>281</v>
      </c>
      <c r="B282" t="str">
        <f>HYPERLINK("https://digitalcommons.unl.edu/cgi/viewcontent.cgi?article=1886&amp;context=tractormuseumlit","Click for test report")</f>
        <v>Click for test report</v>
      </c>
      <c r="C282">
        <v>1936</v>
      </c>
      <c r="D282" t="s">
        <v>6782</v>
      </c>
      <c r="F282" t="s">
        <v>6678</v>
      </c>
      <c r="G282" t="s">
        <v>6679</v>
      </c>
      <c r="H282" t="s">
        <v>6735</v>
      </c>
      <c r="I282" t="s">
        <v>50</v>
      </c>
      <c r="J282" t="s">
        <v>96</v>
      </c>
      <c r="K282" t="s">
        <v>4809</v>
      </c>
      <c r="M282" t="s">
        <v>750</v>
      </c>
      <c r="N282" t="s">
        <v>2699</v>
      </c>
      <c r="O282" t="s">
        <v>24</v>
      </c>
    </row>
    <row r="283" spans="1:15" x14ac:dyDescent="0.25">
      <c r="A283">
        <v>282</v>
      </c>
      <c r="B283" t="str">
        <f>HYPERLINK("https://digitalcommons.unl.edu/cgi/viewcontent.cgi?article=1887&amp;context=tractormuseumlit","Click for test report")</f>
        <v>Click for test report</v>
      </c>
      <c r="C283">
        <v>1936</v>
      </c>
      <c r="D283" t="s">
        <v>6780</v>
      </c>
      <c r="F283" t="s">
        <v>6678</v>
      </c>
      <c r="G283" t="s">
        <v>6679</v>
      </c>
      <c r="H283" t="s">
        <v>6781</v>
      </c>
      <c r="I283" t="s">
        <v>50</v>
      </c>
      <c r="J283" t="s">
        <v>96</v>
      </c>
      <c r="K283" t="s">
        <v>4809</v>
      </c>
      <c r="M283" t="s">
        <v>2826</v>
      </c>
      <c r="N283" t="s">
        <v>4589</v>
      </c>
      <c r="O283" t="s">
        <v>24</v>
      </c>
    </row>
    <row r="284" spans="1:15" x14ac:dyDescent="0.25">
      <c r="A284">
        <v>283</v>
      </c>
      <c r="B284" t="str">
        <f>HYPERLINK("https://digitalcommons.unl.edu/cgi/viewcontent.cgi?article=1888&amp;context=tractormuseumlit","Click for test report")</f>
        <v>Click for test report</v>
      </c>
      <c r="C284">
        <v>1936</v>
      </c>
      <c r="D284" t="s">
        <v>6778</v>
      </c>
      <c r="F284" t="s">
        <v>6678</v>
      </c>
      <c r="G284" t="s">
        <v>6679</v>
      </c>
      <c r="H284" t="s">
        <v>6779</v>
      </c>
      <c r="I284" t="s">
        <v>50</v>
      </c>
      <c r="J284" t="s">
        <v>96</v>
      </c>
      <c r="K284" t="s">
        <v>4809</v>
      </c>
      <c r="M284" t="s">
        <v>4440</v>
      </c>
      <c r="N284" t="s">
        <v>4355</v>
      </c>
      <c r="O284" t="s">
        <v>24</v>
      </c>
    </row>
    <row r="285" spans="1:15" x14ac:dyDescent="0.25">
      <c r="A285">
        <v>284</v>
      </c>
      <c r="B285" t="str">
        <f>HYPERLINK("https://digitalcommons.unl.edu/cgi/viewcontent.cgi?article=1889&amp;context=tractormuseumlit","Click for test report")</f>
        <v>Click for test report</v>
      </c>
      <c r="C285">
        <v>1936</v>
      </c>
      <c r="D285" t="s">
        <v>6776</v>
      </c>
      <c r="F285" t="s">
        <v>6678</v>
      </c>
      <c r="G285" t="s">
        <v>6679</v>
      </c>
      <c r="H285" t="s">
        <v>6777</v>
      </c>
      <c r="I285" t="s">
        <v>50</v>
      </c>
      <c r="J285" t="s">
        <v>96</v>
      </c>
      <c r="K285" t="s">
        <v>4809</v>
      </c>
      <c r="M285" t="s">
        <v>4589</v>
      </c>
      <c r="N285" t="s">
        <v>4359</v>
      </c>
      <c r="O285" t="s">
        <v>24</v>
      </c>
    </row>
    <row r="286" spans="1:15" x14ac:dyDescent="0.25">
      <c r="A286">
        <v>285</v>
      </c>
      <c r="B286" t="str">
        <f>HYPERLINK("https://digitalcommons.unl.edu/cgi/viewcontent.cgi?article=1891&amp;context=tractormuseumlit","Click for test report")</f>
        <v>Click for test report</v>
      </c>
      <c r="C286">
        <v>1936</v>
      </c>
      <c r="D286" t="s">
        <v>6774</v>
      </c>
      <c r="F286" t="s">
        <v>6678</v>
      </c>
      <c r="G286" t="s">
        <v>6679</v>
      </c>
      <c r="H286" t="s">
        <v>6775</v>
      </c>
      <c r="I286" t="s">
        <v>50</v>
      </c>
      <c r="J286" t="s">
        <v>96</v>
      </c>
      <c r="K286" t="s">
        <v>4809</v>
      </c>
      <c r="M286" t="s">
        <v>368</v>
      </c>
      <c r="N286" t="s">
        <v>340</v>
      </c>
      <c r="O286" t="s">
        <v>24</v>
      </c>
    </row>
    <row r="287" spans="1:15" x14ac:dyDescent="0.25">
      <c r="A287">
        <v>286</v>
      </c>
      <c r="B287" t="str">
        <f>HYPERLINK("https://digitalcommons.unl.edu/cgi/viewcontent.cgi?article=1892&amp;context=tractormuseumlit","Click for test report")</f>
        <v>Click for test report</v>
      </c>
      <c r="C287">
        <v>1936</v>
      </c>
      <c r="D287" t="s">
        <v>3402</v>
      </c>
      <c r="F287" t="s">
        <v>6678</v>
      </c>
      <c r="G287" t="s">
        <v>6679</v>
      </c>
      <c r="H287" t="s">
        <v>6680</v>
      </c>
      <c r="I287" t="s">
        <v>50</v>
      </c>
      <c r="J287" t="s">
        <v>96</v>
      </c>
      <c r="K287" t="s">
        <v>21</v>
      </c>
      <c r="M287" t="s">
        <v>46</v>
      </c>
      <c r="N287" t="s">
        <v>55</v>
      </c>
      <c r="O287" t="s">
        <v>24</v>
      </c>
    </row>
    <row r="288" spans="1:15" x14ac:dyDescent="0.25">
      <c r="A288">
        <v>287</v>
      </c>
      <c r="B288" t="str">
        <f>HYPERLINK("https://digitalcommons.unl.edu/cgi/viewcontent.cgi?article=1111&amp;context=tractormuseumlit","Click for test report")</f>
        <v>Click for test report</v>
      </c>
      <c r="C288">
        <v>1936</v>
      </c>
      <c r="D288" t="s">
        <v>6773</v>
      </c>
      <c r="F288" t="s">
        <v>4503</v>
      </c>
      <c r="G288" t="s">
        <v>6340</v>
      </c>
      <c r="H288" t="s">
        <v>6754</v>
      </c>
      <c r="I288" t="s">
        <v>50</v>
      </c>
      <c r="J288" t="s">
        <v>348</v>
      </c>
      <c r="K288" t="s">
        <v>6351</v>
      </c>
      <c r="M288" t="s">
        <v>4352</v>
      </c>
      <c r="N288" t="s">
        <v>4359</v>
      </c>
      <c r="O288" t="s">
        <v>24</v>
      </c>
    </row>
    <row r="289" spans="1:15" x14ac:dyDescent="0.25">
      <c r="A289">
        <v>288</v>
      </c>
      <c r="B289" t="str">
        <f>HYPERLINK("https://digitalcommons.unl.edu/cgi/viewcontent.cgi?article=1893&amp;context=tractormuseumlit","Click for test report")</f>
        <v>Click for test report</v>
      </c>
      <c r="C289">
        <v>1936</v>
      </c>
      <c r="D289" t="s">
        <v>5305</v>
      </c>
      <c r="F289" t="s">
        <v>6226</v>
      </c>
      <c r="G289" t="s">
        <v>6226</v>
      </c>
      <c r="H289" t="s">
        <v>6772</v>
      </c>
      <c r="I289" t="s">
        <v>50</v>
      </c>
      <c r="J289" t="s">
        <v>348</v>
      </c>
      <c r="K289" t="s">
        <v>6351</v>
      </c>
      <c r="M289" t="s">
        <v>4589</v>
      </c>
      <c r="N289" t="s">
        <v>4359</v>
      </c>
      <c r="O289" t="s">
        <v>24</v>
      </c>
    </row>
    <row r="290" spans="1:15" x14ac:dyDescent="0.25">
      <c r="A290">
        <v>289</v>
      </c>
      <c r="B290" t="str">
        <f>HYPERLINK("https://digitalcommons.unl.edu/cgi/viewcontent.cgi?article=1894&amp;context=tractormuseumlit","Click for test report")</f>
        <v>Click for test report</v>
      </c>
      <c r="C290">
        <v>1936</v>
      </c>
      <c r="D290" t="s">
        <v>6770</v>
      </c>
      <c r="F290" t="s">
        <v>6226</v>
      </c>
      <c r="G290" t="s">
        <v>6226</v>
      </c>
      <c r="H290" t="s">
        <v>6771</v>
      </c>
      <c r="I290" t="s">
        <v>50</v>
      </c>
      <c r="J290" t="s">
        <v>348</v>
      </c>
      <c r="K290" t="s">
        <v>6351</v>
      </c>
      <c r="M290" t="s">
        <v>4397</v>
      </c>
      <c r="N290" t="s">
        <v>4627</v>
      </c>
      <c r="O290" t="s">
        <v>24</v>
      </c>
    </row>
    <row r="291" spans="1:15" x14ac:dyDescent="0.25">
      <c r="A291">
        <v>290</v>
      </c>
      <c r="B291" t="str">
        <f>HYPERLINK("https://digitalcommons.unl.edu/cgi/viewcontent.cgi?article=1496&amp;context=tractormuseumlit","Click for test report")</f>
        <v>Click for test report</v>
      </c>
      <c r="C291">
        <v>1936</v>
      </c>
      <c r="D291" t="s">
        <v>6768</v>
      </c>
      <c r="F291" t="s">
        <v>5345</v>
      </c>
      <c r="G291" t="s">
        <v>6742</v>
      </c>
      <c r="H291" t="s">
        <v>6769</v>
      </c>
      <c r="I291" t="s">
        <v>50</v>
      </c>
      <c r="J291" t="s">
        <v>348</v>
      </c>
      <c r="K291" t="s">
        <v>6351</v>
      </c>
      <c r="M291" t="s">
        <v>4352</v>
      </c>
      <c r="N291" t="s">
        <v>4359</v>
      </c>
      <c r="O291" t="s">
        <v>24</v>
      </c>
    </row>
    <row r="292" spans="1:15" x14ac:dyDescent="0.25">
      <c r="A292">
        <v>291</v>
      </c>
      <c r="B292" t="str">
        <f>HYPERLINK("https://digitalcommons.unl.edu/cgi/viewcontent.cgi?article=1896&amp;context=tractormuseumlit","Click for test report")</f>
        <v>Click for test report</v>
      </c>
      <c r="C292">
        <v>1936</v>
      </c>
      <c r="D292" t="s">
        <v>6766</v>
      </c>
      <c r="F292" t="s">
        <v>4503</v>
      </c>
      <c r="G292" t="s">
        <v>6340</v>
      </c>
      <c r="H292" t="s">
        <v>6764</v>
      </c>
      <c r="I292" t="s">
        <v>50</v>
      </c>
      <c r="J292" t="s">
        <v>348</v>
      </c>
      <c r="K292" t="s">
        <v>6351</v>
      </c>
      <c r="M292" t="s">
        <v>2511</v>
      </c>
      <c r="N292" t="s">
        <v>4008</v>
      </c>
      <c r="O292" t="s">
        <v>6767</v>
      </c>
    </row>
    <row r="293" spans="1:15" x14ac:dyDescent="0.25">
      <c r="A293">
        <v>292</v>
      </c>
      <c r="B293" t="str">
        <f>HYPERLINK("https://digitalcommons.unl.edu/cgi/viewcontent.cgi?article=1898&amp;context=tractormuseumlit","Click for test report")</f>
        <v>Click for test report</v>
      </c>
      <c r="C293">
        <v>1936</v>
      </c>
      <c r="D293" t="s">
        <v>6763</v>
      </c>
      <c r="F293" t="s">
        <v>4503</v>
      </c>
      <c r="G293" t="s">
        <v>6340</v>
      </c>
      <c r="H293" t="s">
        <v>6764</v>
      </c>
      <c r="I293" t="s">
        <v>50</v>
      </c>
      <c r="J293" t="s">
        <v>348</v>
      </c>
      <c r="K293" t="s">
        <v>6351</v>
      </c>
      <c r="M293" t="s">
        <v>1650</v>
      </c>
      <c r="N293" t="s">
        <v>2825</v>
      </c>
      <c r="O293" t="s">
        <v>6765</v>
      </c>
    </row>
    <row r="294" spans="1:15" x14ac:dyDescent="0.25">
      <c r="A294">
        <v>293</v>
      </c>
      <c r="B294" t="str">
        <f>HYPERLINK("https://digitalcommons.unl.edu/cgi/viewcontent.cgi?article=1899&amp;context=tractormuseumlit","Click for test report")</f>
        <v>Click for test report</v>
      </c>
      <c r="C294">
        <v>1936</v>
      </c>
      <c r="D294" t="s">
        <v>4527</v>
      </c>
      <c r="F294" t="s">
        <v>5347</v>
      </c>
      <c r="G294" t="s">
        <v>6632</v>
      </c>
      <c r="H294" t="s">
        <v>204</v>
      </c>
      <c r="I294" t="s">
        <v>50</v>
      </c>
      <c r="J294" t="s">
        <v>348</v>
      </c>
      <c r="K294" t="s">
        <v>6351</v>
      </c>
      <c r="M294" t="s">
        <v>1009</v>
      </c>
      <c r="N294" t="s">
        <v>2825</v>
      </c>
      <c r="O294" t="s">
        <v>24</v>
      </c>
    </row>
    <row r="295" spans="1:15" x14ac:dyDescent="0.25">
      <c r="A295">
        <v>294</v>
      </c>
      <c r="B295" t="str">
        <f>HYPERLINK("https://digitalcommons.unl.edu/cgi/viewcontent.cgi?article=1900&amp;context=tractormuseumlit","Click for test report")</f>
        <v>Click for test report</v>
      </c>
      <c r="C295">
        <v>1936</v>
      </c>
      <c r="D295" t="s">
        <v>6762</v>
      </c>
      <c r="F295" t="s">
        <v>3442</v>
      </c>
      <c r="G295" t="s">
        <v>3442</v>
      </c>
      <c r="H295" t="s">
        <v>6220</v>
      </c>
      <c r="I295" t="s">
        <v>50</v>
      </c>
      <c r="J295" t="s">
        <v>96</v>
      </c>
      <c r="K295" t="s">
        <v>6351</v>
      </c>
      <c r="M295" t="s">
        <v>3973</v>
      </c>
      <c r="N295" t="s">
        <v>4440</v>
      </c>
      <c r="O295" t="s">
        <v>24</v>
      </c>
    </row>
    <row r="296" spans="1:15" x14ac:dyDescent="0.25">
      <c r="A296">
        <v>295</v>
      </c>
      <c r="B296" t="str">
        <f>HYPERLINK("https://digitalcommons.unl.edu/cgi/viewcontent.cgi?article=1900&amp;context=tractormuseumlit","Click for test report")</f>
        <v>Click for test report</v>
      </c>
      <c r="C296">
        <v>1936</v>
      </c>
      <c r="D296" t="s">
        <v>6762</v>
      </c>
      <c r="F296" t="s">
        <v>3442</v>
      </c>
      <c r="G296" t="s">
        <v>3442</v>
      </c>
      <c r="H296" t="s">
        <v>6761</v>
      </c>
      <c r="I296" t="s">
        <v>50</v>
      </c>
      <c r="J296" t="s">
        <v>96</v>
      </c>
      <c r="K296" t="s">
        <v>6351</v>
      </c>
      <c r="M296" t="s">
        <v>3973</v>
      </c>
      <c r="N296" t="s">
        <v>4440</v>
      </c>
      <c r="O296" t="s">
        <v>24</v>
      </c>
    </row>
    <row r="297" spans="1:15" x14ac:dyDescent="0.25">
      <c r="A297">
        <v>296</v>
      </c>
      <c r="B297" t="str">
        <f>HYPERLINK("https://digitalcommons.unl.edu/cgi/viewcontent.cgi?article=1901&amp;context=tractormuseumlit","Click for test report")</f>
        <v>Click for test report</v>
      </c>
      <c r="C297">
        <v>1936</v>
      </c>
      <c r="D297" t="s">
        <v>4988</v>
      </c>
      <c r="F297" t="s">
        <v>3442</v>
      </c>
      <c r="G297" t="s">
        <v>3442</v>
      </c>
      <c r="H297" t="s">
        <v>6220</v>
      </c>
      <c r="I297" t="s">
        <v>50</v>
      </c>
      <c r="J297" t="s">
        <v>96</v>
      </c>
      <c r="K297" t="s">
        <v>4809</v>
      </c>
      <c r="M297" t="s">
        <v>2826</v>
      </c>
      <c r="N297" t="s">
        <v>2825</v>
      </c>
      <c r="O297" t="s">
        <v>24</v>
      </c>
    </row>
    <row r="298" spans="1:15" x14ac:dyDescent="0.25">
      <c r="A298">
        <v>297</v>
      </c>
      <c r="B298" t="str">
        <f>HYPERLINK("https://digitalcommons.unl.edu/cgi/viewcontent.cgi?article=1901&amp;context=tractormuseumlit","Click for test report")</f>
        <v>Click for test report</v>
      </c>
      <c r="C298">
        <v>1936</v>
      </c>
      <c r="D298" t="s">
        <v>4988</v>
      </c>
      <c r="F298" t="s">
        <v>3442</v>
      </c>
      <c r="G298" t="s">
        <v>3442</v>
      </c>
      <c r="H298" t="s">
        <v>6761</v>
      </c>
      <c r="I298" t="s">
        <v>50</v>
      </c>
      <c r="J298" t="s">
        <v>96</v>
      </c>
      <c r="K298" t="s">
        <v>4809</v>
      </c>
      <c r="M298" t="s">
        <v>2826</v>
      </c>
      <c r="N298" t="s">
        <v>2825</v>
      </c>
      <c r="O298" t="s">
        <v>24</v>
      </c>
    </row>
    <row r="299" spans="1:15" x14ac:dyDescent="0.25">
      <c r="A299">
        <v>298</v>
      </c>
      <c r="B299" t="str">
        <f>HYPERLINK("https://digitalcommons.unl.edu/cgi/viewcontent.cgi?article=1902&amp;context=tractormuseumlit","Click for test report")</f>
        <v>Click for test report</v>
      </c>
      <c r="C299">
        <v>1936</v>
      </c>
      <c r="D299" t="s">
        <v>6758</v>
      </c>
      <c r="F299" t="s">
        <v>3442</v>
      </c>
      <c r="G299" t="s">
        <v>3442</v>
      </c>
      <c r="H299" t="s">
        <v>6760</v>
      </c>
      <c r="I299" t="s">
        <v>50</v>
      </c>
      <c r="J299" t="s">
        <v>96</v>
      </c>
      <c r="K299" t="s">
        <v>21</v>
      </c>
      <c r="M299" t="s">
        <v>2699</v>
      </c>
      <c r="N299" t="s">
        <v>2825</v>
      </c>
      <c r="O299" t="s">
        <v>24</v>
      </c>
    </row>
    <row r="300" spans="1:15" x14ac:dyDescent="0.25">
      <c r="A300">
        <v>299</v>
      </c>
      <c r="B300" t="str">
        <f>HYPERLINK("https://digitalcommons.unl.edu/cgi/viewcontent.cgi?article=1902&amp;context=tractormuseumlit","Click for test report")</f>
        <v>Click for test report</v>
      </c>
      <c r="C300">
        <v>1936</v>
      </c>
      <c r="D300" t="s">
        <v>6758</v>
      </c>
      <c r="F300" t="s">
        <v>3442</v>
      </c>
      <c r="G300" t="s">
        <v>3442</v>
      </c>
      <c r="H300" t="s">
        <v>6759</v>
      </c>
      <c r="I300" t="s">
        <v>50</v>
      </c>
      <c r="J300" t="s">
        <v>96</v>
      </c>
      <c r="K300" t="s">
        <v>21</v>
      </c>
      <c r="M300" t="s">
        <v>2699</v>
      </c>
      <c r="N300" t="s">
        <v>2825</v>
      </c>
      <c r="O300" t="s">
        <v>24</v>
      </c>
    </row>
    <row r="301" spans="1:15" x14ac:dyDescent="0.25">
      <c r="A301">
        <v>300</v>
      </c>
      <c r="B301" t="str">
        <f>HYPERLINK("https://digitalcommons.unl.edu/cgi/viewcontent.cgi?article=1903&amp;context=tractormuseumlit","Click for test report")</f>
        <v>Click for test report</v>
      </c>
      <c r="C301">
        <v>1936</v>
      </c>
      <c r="D301" t="s">
        <v>4674</v>
      </c>
      <c r="F301" t="s">
        <v>6755</v>
      </c>
      <c r="G301" t="s">
        <v>6387</v>
      </c>
      <c r="H301" t="s">
        <v>6757</v>
      </c>
      <c r="I301" t="s">
        <v>50</v>
      </c>
      <c r="J301" t="s">
        <v>348</v>
      </c>
      <c r="K301" t="s">
        <v>4809</v>
      </c>
      <c r="M301" t="s">
        <v>3152</v>
      </c>
      <c r="N301" t="s">
        <v>1893</v>
      </c>
      <c r="O301" t="s">
        <v>24</v>
      </c>
    </row>
    <row r="302" spans="1:15" x14ac:dyDescent="0.25">
      <c r="A302">
        <v>301</v>
      </c>
      <c r="B302" t="str">
        <f>HYPERLINK("https://digitalcommons.unl.edu/cgi/viewcontent.cgi?article=1895&amp;context=tractormuseumlit","Click for test report")</f>
        <v>Click for test report</v>
      </c>
      <c r="C302">
        <v>1936</v>
      </c>
      <c r="D302" t="s">
        <v>5300</v>
      </c>
      <c r="F302" t="s">
        <v>6755</v>
      </c>
      <c r="G302" t="s">
        <v>6387</v>
      </c>
      <c r="H302" t="s">
        <v>6756</v>
      </c>
      <c r="I302" t="s">
        <v>50</v>
      </c>
      <c r="J302" t="s">
        <v>348</v>
      </c>
      <c r="K302" t="s">
        <v>4809</v>
      </c>
      <c r="M302" t="s">
        <v>4745</v>
      </c>
      <c r="N302" t="s">
        <v>4397</v>
      </c>
      <c r="O302" t="s">
        <v>24</v>
      </c>
    </row>
    <row r="303" spans="1:15" x14ac:dyDescent="0.25">
      <c r="A303">
        <v>302</v>
      </c>
      <c r="B303" t="str">
        <f>HYPERLINK("https://digitalcommons.unl.edu/cgi/viewcontent.cgi?article=1904&amp;context=tractormuseumlit","Click for test report")</f>
        <v>Click for test report</v>
      </c>
      <c r="C303">
        <v>1936</v>
      </c>
      <c r="D303" t="s">
        <v>4183</v>
      </c>
      <c r="F303" t="s">
        <v>4503</v>
      </c>
      <c r="G303" t="s">
        <v>6340</v>
      </c>
      <c r="H303" t="s">
        <v>6754</v>
      </c>
      <c r="I303" t="s">
        <v>50</v>
      </c>
      <c r="J303" t="s">
        <v>348</v>
      </c>
      <c r="K303" t="s">
        <v>6351</v>
      </c>
      <c r="M303" t="s">
        <v>4352</v>
      </c>
      <c r="N303" t="s">
        <v>4359</v>
      </c>
      <c r="O303" t="s">
        <v>24</v>
      </c>
    </row>
    <row r="304" spans="1:15" x14ac:dyDescent="0.25">
      <c r="A304">
        <v>303</v>
      </c>
      <c r="B304" t="str">
        <f>HYPERLINK("https://digitalcommons.unl.edu/cgi/viewcontent.cgi?article=1905&amp;context=tractormuseumlit","Click for test report")</f>
        <v>Click for test report</v>
      </c>
      <c r="C304">
        <v>1937</v>
      </c>
      <c r="D304" t="s">
        <v>6752</v>
      </c>
      <c r="F304" t="s">
        <v>4503</v>
      </c>
      <c r="G304" t="s">
        <v>6340</v>
      </c>
      <c r="H304" t="s">
        <v>6753</v>
      </c>
      <c r="I304" t="s">
        <v>50</v>
      </c>
      <c r="J304" t="s">
        <v>96</v>
      </c>
      <c r="K304" t="s">
        <v>21</v>
      </c>
      <c r="M304" t="s">
        <v>3152</v>
      </c>
      <c r="N304" t="s">
        <v>1893</v>
      </c>
      <c r="O304" t="s">
        <v>24</v>
      </c>
    </row>
    <row r="305" spans="1:15" x14ac:dyDescent="0.25">
      <c r="A305">
        <v>304</v>
      </c>
      <c r="B305" t="str">
        <f>HYPERLINK("https://digitalcommons.unl.edu/cgi/viewcontent.cgi?article=1906&amp;context=tractormuseumlit","Click for test report")</f>
        <v>Click for test report</v>
      </c>
      <c r="C305">
        <v>1937</v>
      </c>
      <c r="D305" t="s">
        <v>6751</v>
      </c>
      <c r="F305" t="s">
        <v>4503</v>
      </c>
      <c r="G305" t="s">
        <v>6340</v>
      </c>
      <c r="H305" t="s">
        <v>6750</v>
      </c>
      <c r="I305" t="s">
        <v>50</v>
      </c>
      <c r="J305" t="s">
        <v>96</v>
      </c>
      <c r="K305" t="s">
        <v>6351</v>
      </c>
      <c r="M305" t="s">
        <v>3152</v>
      </c>
      <c r="N305" t="s">
        <v>2825</v>
      </c>
      <c r="O305" t="s">
        <v>24</v>
      </c>
    </row>
    <row r="306" spans="1:15" x14ac:dyDescent="0.25">
      <c r="A306">
        <v>305</v>
      </c>
      <c r="B306" t="str">
        <f>HYPERLINK("https://digitalcommons.unl.edu/cgi/viewcontent.cgi?article=1907&amp;context=tractormuseumlit","Click for test report")</f>
        <v>Click for test report</v>
      </c>
      <c r="C306">
        <v>1937</v>
      </c>
      <c r="D306" t="s">
        <v>6749</v>
      </c>
      <c r="F306" t="s">
        <v>4503</v>
      </c>
      <c r="G306" t="s">
        <v>6340</v>
      </c>
      <c r="H306" t="s">
        <v>6750</v>
      </c>
      <c r="I306" t="s">
        <v>50</v>
      </c>
      <c r="J306" t="s">
        <v>96</v>
      </c>
      <c r="K306" t="s">
        <v>4809</v>
      </c>
      <c r="M306" t="s">
        <v>1009</v>
      </c>
      <c r="N306" t="s">
        <v>3973</v>
      </c>
      <c r="O306" t="s">
        <v>24</v>
      </c>
    </row>
    <row r="307" spans="1:15" x14ac:dyDescent="0.25">
      <c r="A307">
        <v>306</v>
      </c>
      <c r="B307" t="str">
        <f>HYPERLINK("https://digitalcommons.unl.edu/cgi/viewcontent.cgi?article=1908&amp;context=tractormuseumlit","Click for test report")</f>
        <v>Click for test report</v>
      </c>
      <c r="C307">
        <v>1937</v>
      </c>
      <c r="D307" t="s">
        <v>6748</v>
      </c>
      <c r="F307" t="s">
        <v>4503</v>
      </c>
      <c r="G307" t="s">
        <v>6340</v>
      </c>
      <c r="H307" t="s">
        <v>6747</v>
      </c>
      <c r="I307" t="s">
        <v>50</v>
      </c>
      <c r="J307" t="s">
        <v>96</v>
      </c>
      <c r="K307" t="s">
        <v>6351</v>
      </c>
      <c r="M307" t="s">
        <v>1650</v>
      </c>
      <c r="N307" t="s">
        <v>3152</v>
      </c>
      <c r="O307" t="s">
        <v>24</v>
      </c>
    </row>
    <row r="308" spans="1:15" x14ac:dyDescent="0.25">
      <c r="A308">
        <v>307</v>
      </c>
      <c r="B308" t="str">
        <f>HYPERLINK("https://digitalcommons.unl.edu/cgi/viewcontent.cgi?article=1909&amp;context=tractormuseumlit","Click for test report")</f>
        <v>Click for test report</v>
      </c>
      <c r="C308">
        <v>1937</v>
      </c>
      <c r="D308" t="s">
        <v>6746</v>
      </c>
      <c r="F308" t="s">
        <v>4503</v>
      </c>
      <c r="G308" t="s">
        <v>6340</v>
      </c>
      <c r="H308" t="s">
        <v>6747</v>
      </c>
      <c r="I308" t="s">
        <v>50</v>
      </c>
      <c r="J308" t="s">
        <v>96</v>
      </c>
      <c r="K308" t="s">
        <v>4809</v>
      </c>
      <c r="M308" t="s">
        <v>750</v>
      </c>
      <c r="N308" t="s">
        <v>1009</v>
      </c>
      <c r="O308" t="s">
        <v>24</v>
      </c>
    </row>
    <row r="309" spans="1:15" x14ac:dyDescent="0.25">
      <c r="A309">
        <v>308</v>
      </c>
      <c r="B309" t="str">
        <f>HYPERLINK("https://digitalcommons.unl.edu/cgi/viewcontent.cgi?article=1910&amp;context=tractormuseumlit","Click for test report")</f>
        <v>Click for test report</v>
      </c>
      <c r="C309">
        <v>1937</v>
      </c>
      <c r="D309" t="s">
        <v>4993</v>
      </c>
      <c r="F309" t="s">
        <v>4395</v>
      </c>
      <c r="G309" t="s">
        <v>6088</v>
      </c>
      <c r="H309" t="s">
        <v>6718</v>
      </c>
      <c r="I309" t="s">
        <v>50</v>
      </c>
      <c r="J309" t="s">
        <v>348</v>
      </c>
      <c r="K309" t="s">
        <v>6351</v>
      </c>
      <c r="M309" t="s">
        <v>4444</v>
      </c>
      <c r="N309" t="s">
        <v>4452</v>
      </c>
      <c r="O309" t="s">
        <v>6592</v>
      </c>
    </row>
    <row r="310" spans="1:15" x14ac:dyDescent="0.25">
      <c r="A310">
        <v>309</v>
      </c>
      <c r="B310" t="str">
        <f>HYPERLINK("https://digitalcommons.unl.edu/cgi/viewcontent.cgi?article=1910&amp;context=tractormuseumlit","Click for test report")</f>
        <v>Click for test report</v>
      </c>
      <c r="C310">
        <v>1937</v>
      </c>
      <c r="D310" t="s">
        <v>4993</v>
      </c>
      <c r="F310" t="s">
        <v>4395</v>
      </c>
      <c r="G310" t="s">
        <v>6088</v>
      </c>
      <c r="H310" t="s">
        <v>6718</v>
      </c>
      <c r="I310" t="s">
        <v>50</v>
      </c>
      <c r="J310" t="s">
        <v>348</v>
      </c>
      <c r="K310" t="s">
        <v>6351</v>
      </c>
      <c r="M310" t="s">
        <v>4444</v>
      </c>
      <c r="N310" t="s">
        <v>4449</v>
      </c>
      <c r="O310" t="s">
        <v>6591</v>
      </c>
    </row>
    <row r="311" spans="1:15" x14ac:dyDescent="0.25">
      <c r="A311">
        <v>310</v>
      </c>
      <c r="B311" t="str">
        <f>HYPERLINK("https://digitalcommons.unl.edu/cgi/viewcontent.cgi?article=1497&amp;context=tractormuseumlit","Click for test report")</f>
        <v>Click for test report</v>
      </c>
      <c r="C311">
        <v>1937</v>
      </c>
      <c r="D311" t="s">
        <v>6744</v>
      </c>
      <c r="F311" t="s">
        <v>5345</v>
      </c>
      <c r="G311" t="s">
        <v>6742</v>
      </c>
      <c r="H311" t="s">
        <v>6745</v>
      </c>
      <c r="I311" t="s">
        <v>50</v>
      </c>
      <c r="J311" t="s">
        <v>348</v>
      </c>
      <c r="K311" t="s">
        <v>4809</v>
      </c>
      <c r="M311" t="s">
        <v>4352</v>
      </c>
      <c r="N311" t="s">
        <v>4627</v>
      </c>
      <c r="O311" t="s">
        <v>24</v>
      </c>
    </row>
    <row r="312" spans="1:15" x14ac:dyDescent="0.25">
      <c r="A312">
        <v>311</v>
      </c>
      <c r="B312" t="str">
        <f>HYPERLINK("https://digitalcommons.unl.edu/cgi/viewcontent.cgi?article=1498&amp;context=tractormuseumlit","Click for test report")</f>
        <v>Click for test report</v>
      </c>
      <c r="C312">
        <v>1937</v>
      </c>
      <c r="D312" t="s">
        <v>4884</v>
      </c>
      <c r="F312" t="s">
        <v>5345</v>
      </c>
      <c r="G312" t="s">
        <v>6742</v>
      </c>
      <c r="H312" t="s">
        <v>6743</v>
      </c>
      <c r="I312" t="s">
        <v>50</v>
      </c>
      <c r="J312" t="s">
        <v>348</v>
      </c>
      <c r="K312" t="s">
        <v>6351</v>
      </c>
      <c r="M312" t="s">
        <v>4013</v>
      </c>
      <c r="N312" t="s">
        <v>4627</v>
      </c>
      <c r="O312" t="s">
        <v>24</v>
      </c>
    </row>
    <row r="313" spans="1:15" x14ac:dyDescent="0.25">
      <c r="A313">
        <v>312</v>
      </c>
      <c r="B313" t="str">
        <f>HYPERLINK("https://digitalcommons.unl.edu/cgi/viewcontent.cgi?article=1911&amp;context=tractormuseumlit","Click for test report")</f>
        <v>Click for test report</v>
      </c>
      <c r="C313">
        <v>1937</v>
      </c>
      <c r="D313" t="s">
        <v>5329</v>
      </c>
      <c r="F313" t="s">
        <v>4325</v>
      </c>
      <c r="G313" t="s">
        <v>4325</v>
      </c>
      <c r="H313" t="s">
        <v>6741</v>
      </c>
      <c r="I313" t="s">
        <v>50</v>
      </c>
      <c r="J313" t="s">
        <v>96</v>
      </c>
      <c r="K313" t="s">
        <v>21</v>
      </c>
      <c r="M313" t="s">
        <v>731</v>
      </c>
      <c r="N313" t="s">
        <v>735</v>
      </c>
      <c r="O313" t="s">
        <v>24</v>
      </c>
    </row>
    <row r="314" spans="1:15" x14ac:dyDescent="0.25">
      <c r="A314">
        <v>313</v>
      </c>
      <c r="B314" t="str">
        <f>HYPERLINK("https://digitalcommons.unl.edu/cgi/viewcontent.cgi?article=1912&amp;context=tractormuseumlit","Click for test report")</f>
        <v>Click for test report</v>
      </c>
      <c r="C314">
        <v>1937</v>
      </c>
      <c r="D314" t="s">
        <v>6739</v>
      </c>
      <c r="F314" t="s">
        <v>4325</v>
      </c>
      <c r="G314" t="s">
        <v>4325</v>
      </c>
      <c r="H314" t="s">
        <v>6740</v>
      </c>
      <c r="I314" t="s">
        <v>50</v>
      </c>
      <c r="J314" t="s">
        <v>96</v>
      </c>
      <c r="K314" t="s">
        <v>21</v>
      </c>
      <c r="M314" t="s">
        <v>1867</v>
      </c>
      <c r="N314" t="s">
        <v>1864</v>
      </c>
      <c r="O314" t="s">
        <v>24</v>
      </c>
    </row>
    <row r="315" spans="1:15" x14ac:dyDescent="0.25">
      <c r="A315">
        <v>314</v>
      </c>
      <c r="B315" t="str">
        <f>HYPERLINK("https://digitalcommons.unl.edu/cgi/viewcontent.cgi?article=1913&amp;context=tractormuseumlit","Click for test report")</f>
        <v>Click for test report</v>
      </c>
      <c r="C315">
        <v>1937</v>
      </c>
      <c r="D315" t="s">
        <v>6737</v>
      </c>
      <c r="F315" t="s">
        <v>4325</v>
      </c>
      <c r="G315" t="s">
        <v>4325</v>
      </c>
      <c r="H315" t="s">
        <v>6738</v>
      </c>
      <c r="I315" t="s">
        <v>50</v>
      </c>
      <c r="J315" t="s">
        <v>96</v>
      </c>
      <c r="K315" t="s">
        <v>21</v>
      </c>
      <c r="M315" t="s">
        <v>457</v>
      </c>
      <c r="N315" t="s">
        <v>740</v>
      </c>
      <c r="O315" t="s">
        <v>24</v>
      </c>
    </row>
    <row r="316" spans="1:15" x14ac:dyDescent="0.25">
      <c r="A316">
        <v>315</v>
      </c>
      <c r="B316" t="str">
        <f>HYPERLINK("https://digitalcommons.unl.edu/cgi/viewcontent.cgi?article=1914&amp;context=tractormuseumlit","Click for test report")</f>
        <v>Click for test report</v>
      </c>
      <c r="C316">
        <v>1937</v>
      </c>
      <c r="D316" t="s">
        <v>6736</v>
      </c>
      <c r="F316" t="s">
        <v>6678</v>
      </c>
      <c r="G316" t="s">
        <v>6679</v>
      </c>
      <c r="H316" t="s">
        <v>6682</v>
      </c>
      <c r="I316" t="s">
        <v>50</v>
      </c>
      <c r="J316" t="s">
        <v>96</v>
      </c>
      <c r="K316" t="s">
        <v>21</v>
      </c>
      <c r="M316" t="s">
        <v>2627</v>
      </c>
      <c r="N316" t="s">
        <v>3388</v>
      </c>
      <c r="O316" t="s">
        <v>24</v>
      </c>
    </row>
    <row r="317" spans="1:15" x14ac:dyDescent="0.25">
      <c r="A317">
        <v>316</v>
      </c>
      <c r="B317" t="str">
        <f>HYPERLINK("https://digitalcommons.unl.edu/cgi/viewcontent.cgi?article=1915&amp;context=tractormuseumlit","Click for test report")</f>
        <v>Click for test report</v>
      </c>
      <c r="C317">
        <v>1937</v>
      </c>
      <c r="D317" t="s">
        <v>6734</v>
      </c>
      <c r="F317" t="s">
        <v>6678</v>
      </c>
      <c r="G317" t="s">
        <v>6679</v>
      </c>
      <c r="H317" t="s">
        <v>6735</v>
      </c>
      <c r="I317" t="s">
        <v>50</v>
      </c>
      <c r="J317" t="s">
        <v>96</v>
      </c>
      <c r="K317" t="s">
        <v>4809</v>
      </c>
      <c r="M317" t="s">
        <v>3319</v>
      </c>
      <c r="N317" t="s">
        <v>2511</v>
      </c>
      <c r="O317" t="s">
        <v>24</v>
      </c>
    </row>
    <row r="318" spans="1:15" x14ac:dyDescent="0.25">
      <c r="A318">
        <v>317</v>
      </c>
      <c r="B318" t="str">
        <f>HYPERLINK("https://digitalcommons.unl.edu/cgi/viewcontent.cgi?article=1916&amp;context=tractormuseumlit","Click for test report")</f>
        <v>Click for test report</v>
      </c>
      <c r="C318">
        <v>1937</v>
      </c>
      <c r="D318" t="s">
        <v>4558</v>
      </c>
      <c r="F318" t="s">
        <v>5347</v>
      </c>
      <c r="G318" t="s">
        <v>6632</v>
      </c>
      <c r="H318" t="s">
        <v>6733</v>
      </c>
      <c r="I318" t="s">
        <v>50</v>
      </c>
      <c r="J318" t="s">
        <v>348</v>
      </c>
      <c r="K318" t="s">
        <v>6351</v>
      </c>
      <c r="M318" t="s">
        <v>4013</v>
      </c>
      <c r="N318" t="s">
        <v>4359</v>
      </c>
      <c r="O318" t="s">
        <v>24</v>
      </c>
    </row>
    <row r="319" spans="1:15" x14ac:dyDescent="0.25">
      <c r="A319">
        <v>318</v>
      </c>
      <c r="B319" t="str">
        <f>HYPERLINK("https://digitalcommons.unl.edu/cgi/viewcontent.cgi?article=1917&amp;context=tractormuseumlit","Click for test report")</f>
        <v>Click for test report</v>
      </c>
      <c r="C319">
        <v>1937</v>
      </c>
      <c r="D319" t="s">
        <v>6731</v>
      </c>
      <c r="F319" t="s">
        <v>6489</v>
      </c>
      <c r="G319" t="s">
        <v>6489</v>
      </c>
      <c r="H319" t="s">
        <v>6732</v>
      </c>
      <c r="I319" t="s">
        <v>50</v>
      </c>
      <c r="J319" t="s">
        <v>348</v>
      </c>
      <c r="K319" t="s">
        <v>6351</v>
      </c>
      <c r="M319" t="s">
        <v>2090</v>
      </c>
      <c r="N319" t="s">
        <v>4440</v>
      </c>
      <c r="O319" t="s">
        <v>6592</v>
      </c>
    </row>
    <row r="320" spans="1:15" x14ac:dyDescent="0.25">
      <c r="A320">
        <v>319</v>
      </c>
      <c r="B320" t="str">
        <f>HYPERLINK("https://digitalcommons.unl.edu/cgi/viewcontent.cgi?article=1917&amp;context=tractormuseumlit","Click for test report")</f>
        <v>Click for test report</v>
      </c>
      <c r="C320">
        <v>1937</v>
      </c>
      <c r="D320" t="s">
        <v>6731</v>
      </c>
      <c r="F320" t="s">
        <v>6489</v>
      </c>
      <c r="G320" t="s">
        <v>6489</v>
      </c>
      <c r="H320" t="s">
        <v>6732</v>
      </c>
      <c r="I320" t="s">
        <v>50</v>
      </c>
      <c r="J320" t="s">
        <v>348</v>
      </c>
      <c r="K320" t="s">
        <v>6351</v>
      </c>
      <c r="M320" t="s">
        <v>2090</v>
      </c>
      <c r="N320" t="s">
        <v>4008</v>
      </c>
      <c r="O320" t="s">
        <v>6591</v>
      </c>
    </row>
    <row r="321" spans="1:15" x14ac:dyDescent="0.25">
      <c r="A321">
        <v>320</v>
      </c>
      <c r="B321" t="str">
        <f>HYPERLINK("https://digitalcommons.unl.edu/cgi/viewcontent.cgi?article=1918&amp;context=tractormuseumlit","Click for test report")</f>
        <v>Click for test report</v>
      </c>
      <c r="C321">
        <v>1937</v>
      </c>
      <c r="D321" t="s">
        <v>6730</v>
      </c>
      <c r="F321" t="s">
        <v>6489</v>
      </c>
      <c r="G321" t="s">
        <v>6489</v>
      </c>
      <c r="H321" t="s">
        <v>6459</v>
      </c>
      <c r="I321" t="s">
        <v>50</v>
      </c>
      <c r="J321" t="s">
        <v>348</v>
      </c>
      <c r="K321" t="s">
        <v>4809</v>
      </c>
      <c r="M321" t="s">
        <v>4352</v>
      </c>
      <c r="N321" t="s">
        <v>4359</v>
      </c>
      <c r="O321" t="s">
        <v>6592</v>
      </c>
    </row>
    <row r="322" spans="1:15" x14ac:dyDescent="0.25">
      <c r="A322">
        <v>321</v>
      </c>
      <c r="B322" t="str">
        <f>HYPERLINK("https://digitalcommons.unl.edu/cgi/viewcontent.cgi?article=1918&amp;context=tractormuseumlit","Click for test report")</f>
        <v>Click for test report</v>
      </c>
      <c r="C322">
        <v>1937</v>
      </c>
      <c r="D322" t="s">
        <v>6730</v>
      </c>
      <c r="F322" t="s">
        <v>6489</v>
      </c>
      <c r="G322" t="s">
        <v>6489</v>
      </c>
      <c r="H322" t="s">
        <v>6459</v>
      </c>
      <c r="I322" t="s">
        <v>50</v>
      </c>
      <c r="J322" t="s">
        <v>348</v>
      </c>
      <c r="K322" t="s">
        <v>4809</v>
      </c>
      <c r="M322" t="s">
        <v>4352</v>
      </c>
      <c r="N322" t="s">
        <v>4444</v>
      </c>
      <c r="O322" t="s">
        <v>6591</v>
      </c>
    </row>
    <row r="323" spans="1:15" x14ac:dyDescent="0.25">
      <c r="A323">
        <v>322</v>
      </c>
      <c r="B323" t="str">
        <f>HYPERLINK("https://digitalcommons.unl.edu/cgi/viewcontent.cgi?article=1919&amp;context=tractormuseumlit","Click for test report")</f>
        <v>Click for test report</v>
      </c>
      <c r="C323">
        <v>1937</v>
      </c>
      <c r="D323" t="s">
        <v>6728</v>
      </c>
      <c r="F323" t="s">
        <v>6226</v>
      </c>
      <c r="G323" t="s">
        <v>6226</v>
      </c>
      <c r="H323" t="s">
        <v>6729</v>
      </c>
      <c r="I323" t="s">
        <v>50</v>
      </c>
      <c r="J323" t="s">
        <v>348</v>
      </c>
      <c r="K323" t="s">
        <v>4809</v>
      </c>
      <c r="M323" t="s">
        <v>3388</v>
      </c>
      <c r="N323" t="s">
        <v>4590</v>
      </c>
      <c r="O323" t="s">
        <v>6592</v>
      </c>
    </row>
    <row r="324" spans="1:15" x14ac:dyDescent="0.25">
      <c r="A324">
        <v>323</v>
      </c>
      <c r="B324" t="str">
        <f>HYPERLINK("https://digitalcommons.unl.edu/cgi/viewcontent.cgi?article=1919&amp;context=tractormuseumlit","Click for test report")</f>
        <v>Click for test report</v>
      </c>
      <c r="C324">
        <v>1937</v>
      </c>
      <c r="D324" t="s">
        <v>6728</v>
      </c>
      <c r="F324" t="s">
        <v>6226</v>
      </c>
      <c r="G324" t="s">
        <v>6226</v>
      </c>
      <c r="H324" t="s">
        <v>6729</v>
      </c>
      <c r="I324" t="s">
        <v>50</v>
      </c>
      <c r="J324" t="s">
        <v>348</v>
      </c>
      <c r="K324" t="s">
        <v>4809</v>
      </c>
      <c r="M324" t="s">
        <v>3388</v>
      </c>
      <c r="N324" t="s">
        <v>4397</v>
      </c>
      <c r="O324" t="s">
        <v>6591</v>
      </c>
    </row>
    <row r="325" spans="1:15" x14ac:dyDescent="0.25">
      <c r="A325">
        <v>324</v>
      </c>
      <c r="B325" t="str">
        <f>HYPERLINK("https://digitalcommons.unl.edu/cgi/viewcontent.cgi?article=1920&amp;context=tractormuseumlit","Click for test report")</f>
        <v>Click for test report</v>
      </c>
      <c r="C325">
        <v>1937</v>
      </c>
      <c r="D325" t="s">
        <v>4672</v>
      </c>
      <c r="F325" t="s">
        <v>6226</v>
      </c>
      <c r="G325" t="s">
        <v>6226</v>
      </c>
      <c r="H325" t="s">
        <v>6727</v>
      </c>
      <c r="I325" t="s">
        <v>50</v>
      </c>
      <c r="J325" t="s">
        <v>348</v>
      </c>
      <c r="K325" t="s">
        <v>4809</v>
      </c>
      <c r="M325" t="s">
        <v>3973</v>
      </c>
      <c r="N325" t="s">
        <v>4013</v>
      </c>
      <c r="O325" t="s">
        <v>6592</v>
      </c>
    </row>
    <row r="326" spans="1:15" x14ac:dyDescent="0.25">
      <c r="A326">
        <v>325</v>
      </c>
      <c r="B326" t="str">
        <f>HYPERLINK("https://digitalcommons.unl.edu/cgi/viewcontent.cgi?article=1920&amp;context=tractormuseumlit","Click for test report")</f>
        <v>Click for test report</v>
      </c>
      <c r="C326">
        <v>1937</v>
      </c>
      <c r="D326" t="s">
        <v>4672</v>
      </c>
      <c r="F326" t="s">
        <v>6226</v>
      </c>
      <c r="G326" t="s">
        <v>6226</v>
      </c>
      <c r="H326" t="s">
        <v>6727</v>
      </c>
      <c r="I326" t="s">
        <v>50</v>
      </c>
      <c r="J326" t="s">
        <v>348</v>
      </c>
      <c r="K326" t="s">
        <v>4809</v>
      </c>
      <c r="M326" t="s">
        <v>3973</v>
      </c>
      <c r="N326" t="s">
        <v>4440</v>
      </c>
      <c r="O326" t="s">
        <v>6591</v>
      </c>
    </row>
    <row r="327" spans="1:15" x14ac:dyDescent="0.25">
      <c r="A327">
        <v>326</v>
      </c>
      <c r="B327" t="str">
        <f>HYPERLINK("https://digitalcommons.unl.edu/cgi/viewcontent.cgi?article=1048&amp;context=tractormuseumlit","Click for test report")</f>
        <v>Click for test report</v>
      </c>
      <c r="C327">
        <v>1937</v>
      </c>
      <c r="D327" t="s">
        <v>6726</v>
      </c>
      <c r="F327" t="s">
        <v>17</v>
      </c>
      <c r="G327" t="s">
        <v>17</v>
      </c>
      <c r="H327" t="s">
        <v>4809</v>
      </c>
      <c r="I327" t="s">
        <v>50</v>
      </c>
      <c r="J327" t="s">
        <v>348</v>
      </c>
      <c r="K327" t="s">
        <v>6351</v>
      </c>
      <c r="M327" t="s">
        <v>2825</v>
      </c>
      <c r="N327" t="s">
        <v>4352</v>
      </c>
      <c r="O327" t="s">
        <v>24</v>
      </c>
    </row>
    <row r="328" spans="1:15" x14ac:dyDescent="0.25">
      <c r="A328">
        <v>327</v>
      </c>
      <c r="B328" t="str">
        <f>HYPERLINK("https://digitalcommons.unl.edu/cgi/viewcontent.cgi?article=1921&amp;context=tractormuseumlit","Click for test report")</f>
        <v>Click for test report</v>
      </c>
      <c r="C328">
        <v>1938</v>
      </c>
      <c r="D328" t="s">
        <v>6722</v>
      </c>
      <c r="F328" t="s">
        <v>6723</v>
      </c>
      <c r="G328" t="s">
        <v>6724</v>
      </c>
      <c r="H328" t="s">
        <v>6725</v>
      </c>
      <c r="I328" t="s">
        <v>50</v>
      </c>
      <c r="J328" t="s">
        <v>348</v>
      </c>
      <c r="K328" t="s">
        <v>4809</v>
      </c>
      <c r="M328" t="s">
        <v>4440</v>
      </c>
      <c r="N328" t="s">
        <v>4590</v>
      </c>
      <c r="O328" t="s">
        <v>24</v>
      </c>
    </row>
    <row r="329" spans="1:15" x14ac:dyDescent="0.25">
      <c r="A329">
        <v>328</v>
      </c>
      <c r="B329" t="str">
        <f>HYPERLINK("https://digitalcommons.unl.edu/cgi/viewcontent.cgi?article=1922&amp;context=tractormuseumlit","Click for test report")</f>
        <v>Click for test report</v>
      </c>
      <c r="C329">
        <v>1938</v>
      </c>
      <c r="D329" t="s">
        <v>6720</v>
      </c>
      <c r="F329" t="s">
        <v>4503</v>
      </c>
      <c r="G329" t="s">
        <v>6340</v>
      </c>
      <c r="H329" t="s">
        <v>6721</v>
      </c>
      <c r="I329" t="s">
        <v>50</v>
      </c>
      <c r="J329" t="s">
        <v>348</v>
      </c>
      <c r="K329" t="s">
        <v>6351</v>
      </c>
      <c r="M329" t="s">
        <v>4363</v>
      </c>
      <c r="N329" t="s">
        <v>4452</v>
      </c>
      <c r="O329" t="s">
        <v>24</v>
      </c>
    </row>
    <row r="330" spans="1:15" x14ac:dyDescent="0.25">
      <c r="A330">
        <v>329</v>
      </c>
      <c r="B330" t="str">
        <f>HYPERLINK("https://digitalcommons.unl.edu/cgi/viewcontent.cgi?article=1923&amp;context=tractormuseumlit","Click for test report")</f>
        <v>Click for test report</v>
      </c>
      <c r="C330">
        <v>1938</v>
      </c>
      <c r="D330" t="s">
        <v>4554</v>
      </c>
      <c r="F330" t="s">
        <v>4503</v>
      </c>
      <c r="G330" t="s">
        <v>6340</v>
      </c>
      <c r="H330" t="s">
        <v>6719</v>
      </c>
      <c r="I330" t="s">
        <v>50</v>
      </c>
      <c r="J330" t="s">
        <v>96</v>
      </c>
      <c r="K330" t="s">
        <v>21</v>
      </c>
      <c r="M330" t="s">
        <v>3123</v>
      </c>
      <c r="N330" t="s">
        <v>2188</v>
      </c>
      <c r="O330" t="s">
        <v>24</v>
      </c>
    </row>
    <row r="331" spans="1:15" x14ac:dyDescent="0.25">
      <c r="A331">
        <v>330</v>
      </c>
      <c r="B331" t="str">
        <f>HYPERLINK("https://digitalcommons.unl.edu/cgi/viewcontent.cgi?article=1924&amp;context=tractormuseumlit","Click for test report")</f>
        <v>Click for test report</v>
      </c>
      <c r="C331">
        <v>1938</v>
      </c>
      <c r="D331" t="s">
        <v>6717</v>
      </c>
      <c r="F331" t="s">
        <v>4395</v>
      </c>
      <c r="G331" t="s">
        <v>6088</v>
      </c>
      <c r="H331" t="s">
        <v>6718</v>
      </c>
      <c r="I331" t="s">
        <v>50</v>
      </c>
      <c r="J331" t="s">
        <v>348</v>
      </c>
      <c r="K331" t="s">
        <v>4809</v>
      </c>
      <c r="M331" t="s">
        <v>4589</v>
      </c>
      <c r="N331" t="s">
        <v>4627</v>
      </c>
      <c r="O331" t="s">
        <v>6592</v>
      </c>
    </row>
    <row r="332" spans="1:15" x14ac:dyDescent="0.25">
      <c r="A332">
        <v>331</v>
      </c>
      <c r="B332" t="str">
        <f>HYPERLINK("https://digitalcommons.unl.edu/cgi/viewcontent.cgi?article=1924&amp;context=tractormuseumlit","Click for test report")</f>
        <v>Click for test report</v>
      </c>
      <c r="C332">
        <v>1938</v>
      </c>
      <c r="D332" t="s">
        <v>6717</v>
      </c>
      <c r="F332" t="s">
        <v>4395</v>
      </c>
      <c r="G332" t="s">
        <v>6088</v>
      </c>
      <c r="H332" t="s">
        <v>6718</v>
      </c>
      <c r="I332" t="s">
        <v>50</v>
      </c>
      <c r="J332" t="s">
        <v>348</v>
      </c>
      <c r="K332" t="s">
        <v>4809</v>
      </c>
      <c r="M332" t="s">
        <v>4589</v>
      </c>
      <c r="N332" t="s">
        <v>4362</v>
      </c>
      <c r="O332" t="s">
        <v>6591</v>
      </c>
    </row>
    <row r="333" spans="1:15" x14ac:dyDescent="0.25">
      <c r="A333">
        <v>332</v>
      </c>
      <c r="B333" t="str">
        <f>HYPERLINK("https://digitalcommons.unl.edu/cgi/viewcontent.cgi?article=1499&amp;context=tractormuseumlit","Click for test report")</f>
        <v>Click for test report</v>
      </c>
      <c r="C333">
        <v>1938</v>
      </c>
      <c r="D333" t="s">
        <v>6259</v>
      </c>
      <c r="F333" t="s">
        <v>5345</v>
      </c>
      <c r="G333" t="s">
        <v>5345</v>
      </c>
      <c r="H333" t="s">
        <v>6716</v>
      </c>
      <c r="I333" t="s">
        <v>50</v>
      </c>
      <c r="J333" t="s">
        <v>348</v>
      </c>
      <c r="K333" t="s">
        <v>6351</v>
      </c>
      <c r="M333" t="s">
        <v>1802</v>
      </c>
      <c r="N333" t="s">
        <v>4397</v>
      </c>
      <c r="O333" t="s">
        <v>24</v>
      </c>
    </row>
    <row r="334" spans="1:15" x14ac:dyDescent="0.25">
      <c r="A334">
        <v>333</v>
      </c>
      <c r="B334" t="str">
        <f>HYPERLINK("https://digitalcommons.unl.edu/cgi/viewcontent.cgi?article=1500&amp;context=tractormuseumlit","Click for test report")</f>
        <v>Click for test report</v>
      </c>
      <c r="C334">
        <v>1938</v>
      </c>
      <c r="D334" t="s">
        <v>6212</v>
      </c>
      <c r="F334" t="s">
        <v>5345</v>
      </c>
      <c r="G334" t="s">
        <v>5345</v>
      </c>
      <c r="H334" t="s">
        <v>6715</v>
      </c>
      <c r="I334" t="s">
        <v>50</v>
      </c>
      <c r="J334" t="s">
        <v>348</v>
      </c>
      <c r="K334" t="s">
        <v>6351</v>
      </c>
      <c r="M334" t="s">
        <v>2826</v>
      </c>
      <c r="N334" t="s">
        <v>4589</v>
      </c>
      <c r="O334" t="s">
        <v>24</v>
      </c>
    </row>
    <row r="335" spans="1:15" x14ac:dyDescent="0.25">
      <c r="A335">
        <v>334</v>
      </c>
      <c r="B335" t="str">
        <f>HYPERLINK("https://digitalcommons.unl.edu/cgi/viewcontent.cgi?article=1925&amp;context=tractormuseumlit","Click for test report")</f>
        <v>Click for test report</v>
      </c>
      <c r="C335">
        <v>1938</v>
      </c>
      <c r="D335" t="s">
        <v>6714</v>
      </c>
      <c r="F335" t="s">
        <v>4325</v>
      </c>
      <c r="G335" t="s">
        <v>4325</v>
      </c>
      <c r="H335" t="s">
        <v>6459</v>
      </c>
      <c r="I335" t="s">
        <v>50</v>
      </c>
      <c r="J335" t="s">
        <v>348</v>
      </c>
      <c r="K335" t="s">
        <v>6351</v>
      </c>
      <c r="M335" t="s">
        <v>4621</v>
      </c>
      <c r="N335" t="s">
        <v>4935</v>
      </c>
      <c r="O335" t="s">
        <v>24</v>
      </c>
    </row>
    <row r="336" spans="1:15" x14ac:dyDescent="0.25">
      <c r="A336">
        <v>335</v>
      </c>
      <c r="B336" t="str">
        <f>HYPERLINK("https://digitalcommons.unl.edu/cgi/viewcontent.cgi?article=1931&amp;context=tractormuseumlit","Click for test report")</f>
        <v>Click for test report</v>
      </c>
      <c r="C336">
        <v>1938</v>
      </c>
      <c r="D336" t="s">
        <v>6713</v>
      </c>
      <c r="F336" t="s">
        <v>4325</v>
      </c>
      <c r="G336" t="s">
        <v>4325</v>
      </c>
      <c r="H336" t="s">
        <v>6712</v>
      </c>
      <c r="I336" t="s">
        <v>50</v>
      </c>
      <c r="J336" t="s">
        <v>348</v>
      </c>
      <c r="K336" t="s">
        <v>6351</v>
      </c>
      <c r="M336" t="s">
        <v>4590</v>
      </c>
      <c r="N336" t="s">
        <v>4449</v>
      </c>
      <c r="O336" t="s">
        <v>6592</v>
      </c>
    </row>
    <row r="337" spans="1:15" x14ac:dyDescent="0.25">
      <c r="A337">
        <v>336</v>
      </c>
      <c r="B337" t="str">
        <f>HYPERLINK("https://digitalcommons.unl.edu/cgi/viewcontent.cgi?article=1931&amp;context=tractormuseumlit","Click for test report")</f>
        <v>Click for test report</v>
      </c>
      <c r="C337">
        <v>1938</v>
      </c>
      <c r="D337" t="s">
        <v>6713</v>
      </c>
      <c r="F337" t="s">
        <v>4325</v>
      </c>
      <c r="G337" t="s">
        <v>4325</v>
      </c>
      <c r="H337" t="s">
        <v>6712</v>
      </c>
      <c r="I337" t="s">
        <v>50</v>
      </c>
      <c r="J337" t="s">
        <v>348</v>
      </c>
      <c r="K337" t="s">
        <v>6351</v>
      </c>
      <c r="M337" t="s">
        <v>4590</v>
      </c>
      <c r="N337" t="s">
        <v>4359</v>
      </c>
      <c r="O337" t="s">
        <v>6591</v>
      </c>
    </row>
    <row r="338" spans="1:15" x14ac:dyDescent="0.25">
      <c r="A338">
        <v>337</v>
      </c>
      <c r="B338" t="str">
        <f>HYPERLINK("https://digitalcommons.unl.edu/cgi/viewcontent.cgi?article=1926&amp;context=tractormuseumlit","Click for test report")</f>
        <v>Click for test report</v>
      </c>
      <c r="C338">
        <v>1938</v>
      </c>
      <c r="D338" t="s">
        <v>6711</v>
      </c>
      <c r="F338" t="s">
        <v>4325</v>
      </c>
      <c r="G338" t="s">
        <v>4325</v>
      </c>
      <c r="H338" t="s">
        <v>6712</v>
      </c>
      <c r="I338" t="s">
        <v>50</v>
      </c>
      <c r="J338" t="s">
        <v>348</v>
      </c>
      <c r="K338" t="s">
        <v>4809</v>
      </c>
      <c r="M338" t="s">
        <v>4397</v>
      </c>
      <c r="N338" t="s">
        <v>4444</v>
      </c>
      <c r="O338" t="s">
        <v>6592</v>
      </c>
    </row>
    <row r="339" spans="1:15" x14ac:dyDescent="0.25">
      <c r="A339">
        <v>338</v>
      </c>
      <c r="B339" t="str">
        <f>HYPERLINK("https://digitalcommons.unl.edu/cgi/viewcontent.cgi?article=1926&amp;context=tractormuseumlit","Click for test report")</f>
        <v>Click for test report</v>
      </c>
      <c r="C339">
        <v>1938</v>
      </c>
      <c r="D339" t="s">
        <v>6711</v>
      </c>
      <c r="F339" t="s">
        <v>4325</v>
      </c>
      <c r="G339" t="s">
        <v>4325</v>
      </c>
      <c r="H339" t="s">
        <v>6712</v>
      </c>
      <c r="I339" t="s">
        <v>50</v>
      </c>
      <c r="J339" t="s">
        <v>348</v>
      </c>
      <c r="K339" t="s">
        <v>4809</v>
      </c>
      <c r="M339" t="s">
        <v>4397</v>
      </c>
      <c r="N339" t="s">
        <v>4355</v>
      </c>
      <c r="O339" t="s">
        <v>6591</v>
      </c>
    </row>
    <row r="340" spans="1:15" x14ac:dyDescent="0.25">
      <c r="A340">
        <v>339</v>
      </c>
      <c r="B340" t="str">
        <f>HYPERLINK("https://digitalcommons.unl.edu/cgi/viewcontent.cgi?article=1051&amp;context=tractormuseumlit","Click for test report")</f>
        <v>Click for test report</v>
      </c>
      <c r="C340">
        <v>1938</v>
      </c>
      <c r="D340" t="s">
        <v>1756</v>
      </c>
      <c r="F340" t="s">
        <v>17</v>
      </c>
      <c r="G340" t="s">
        <v>17</v>
      </c>
      <c r="H340" t="s">
        <v>6459</v>
      </c>
      <c r="I340" t="s">
        <v>50</v>
      </c>
      <c r="J340" t="s">
        <v>348</v>
      </c>
      <c r="K340" t="s">
        <v>6351</v>
      </c>
      <c r="M340" t="s">
        <v>4449</v>
      </c>
      <c r="N340" t="s">
        <v>4452</v>
      </c>
      <c r="O340" t="s">
        <v>6592</v>
      </c>
    </row>
    <row r="341" spans="1:15" x14ac:dyDescent="0.25">
      <c r="A341">
        <v>340</v>
      </c>
      <c r="B341" t="str">
        <f>HYPERLINK("https://digitalcommons.unl.edu/cgi/viewcontent.cgi?article=1051&amp;context=tractormuseumlit","Click for test report")</f>
        <v>Click for test report</v>
      </c>
      <c r="C341">
        <v>1938</v>
      </c>
      <c r="D341" t="s">
        <v>1756</v>
      </c>
      <c r="F341" t="s">
        <v>17</v>
      </c>
      <c r="G341" t="s">
        <v>17</v>
      </c>
      <c r="H341" t="s">
        <v>6459</v>
      </c>
      <c r="I341" t="s">
        <v>50</v>
      </c>
      <c r="J341" t="s">
        <v>348</v>
      </c>
      <c r="K341" t="s">
        <v>6351</v>
      </c>
      <c r="M341" t="s">
        <v>4449</v>
      </c>
      <c r="N341" t="s">
        <v>4628</v>
      </c>
      <c r="O341" t="s">
        <v>6591</v>
      </c>
    </row>
    <row r="342" spans="1:15" x14ac:dyDescent="0.25">
      <c r="A342">
        <v>341</v>
      </c>
      <c r="B342" t="str">
        <f>HYPERLINK("https://digitalcommons.unl.edu/cgi/viewcontent.cgi?article=1933&amp;context=tractormuseumlit","Click for test report")</f>
        <v>Click for test report</v>
      </c>
      <c r="C342">
        <v>1938</v>
      </c>
      <c r="D342" t="s">
        <v>6709</v>
      </c>
      <c r="F342" t="s">
        <v>6226</v>
      </c>
      <c r="G342" t="s">
        <v>6226</v>
      </c>
      <c r="H342" t="s">
        <v>6710</v>
      </c>
      <c r="I342" t="s">
        <v>50</v>
      </c>
      <c r="J342" t="s">
        <v>348</v>
      </c>
      <c r="K342" t="s">
        <v>4809</v>
      </c>
      <c r="M342" t="s">
        <v>2825</v>
      </c>
      <c r="N342" t="s">
        <v>4358</v>
      </c>
      <c r="O342" t="s">
        <v>6592</v>
      </c>
    </row>
    <row r="343" spans="1:15" x14ac:dyDescent="0.25">
      <c r="A343">
        <v>342</v>
      </c>
      <c r="B343" t="str">
        <f>HYPERLINK("https://digitalcommons.unl.edu/cgi/viewcontent.cgi?article=1933&amp;context=tractormuseumlit","Click for test report")</f>
        <v>Click for test report</v>
      </c>
      <c r="C343">
        <v>1938</v>
      </c>
      <c r="D343" t="s">
        <v>6709</v>
      </c>
      <c r="F343" t="s">
        <v>6226</v>
      </c>
      <c r="G343" t="s">
        <v>6226</v>
      </c>
      <c r="H343" t="s">
        <v>6710</v>
      </c>
      <c r="I343" t="s">
        <v>50</v>
      </c>
      <c r="J343" t="s">
        <v>348</v>
      </c>
      <c r="K343" t="s">
        <v>4809</v>
      </c>
      <c r="M343" t="s">
        <v>2825</v>
      </c>
      <c r="N343" t="s">
        <v>4440</v>
      </c>
      <c r="O343" t="s">
        <v>6591</v>
      </c>
    </row>
    <row r="344" spans="1:15" x14ac:dyDescent="0.25">
      <c r="A344">
        <v>343</v>
      </c>
      <c r="B344" t="str">
        <f>HYPERLINK("https://digitalcommons.unl.edu/cgi/viewcontent.cgi?article=1934&amp;context=tractormuseumlit","Click for test report")</f>
        <v>Click for test report</v>
      </c>
      <c r="C344">
        <v>1938</v>
      </c>
      <c r="D344" t="s">
        <v>6708</v>
      </c>
      <c r="F344" t="s">
        <v>6226</v>
      </c>
      <c r="G344" t="s">
        <v>6226</v>
      </c>
      <c r="H344" t="s">
        <v>6595</v>
      </c>
      <c r="I344" t="s">
        <v>50</v>
      </c>
      <c r="J344" t="s">
        <v>348</v>
      </c>
      <c r="K344" t="s">
        <v>4809</v>
      </c>
      <c r="M344" t="s">
        <v>2825</v>
      </c>
      <c r="N344" t="s">
        <v>4590</v>
      </c>
      <c r="O344" t="s">
        <v>6592</v>
      </c>
    </row>
    <row r="345" spans="1:15" x14ac:dyDescent="0.25">
      <c r="A345">
        <v>344</v>
      </c>
      <c r="B345" t="str">
        <f>HYPERLINK("https://digitalcommons.unl.edu/cgi/viewcontent.cgi?article=1934&amp;context=tractormuseumlit","Click for test report")</f>
        <v>Click for test report</v>
      </c>
      <c r="C345">
        <v>1938</v>
      </c>
      <c r="D345" t="s">
        <v>6708</v>
      </c>
      <c r="F345" t="s">
        <v>6226</v>
      </c>
      <c r="G345" t="s">
        <v>6226</v>
      </c>
      <c r="H345" t="s">
        <v>6595</v>
      </c>
      <c r="I345" t="s">
        <v>50</v>
      </c>
      <c r="J345" t="s">
        <v>348</v>
      </c>
      <c r="K345" t="s">
        <v>4809</v>
      </c>
      <c r="M345" t="s">
        <v>2825</v>
      </c>
      <c r="N345" t="s">
        <v>4008</v>
      </c>
      <c r="O345" t="s">
        <v>6591</v>
      </c>
    </row>
    <row r="346" spans="1:15" x14ac:dyDescent="0.25">
      <c r="A346">
        <v>345</v>
      </c>
      <c r="B346" t="str">
        <f>HYPERLINK("https://digitalcommons.unl.edu/cgi/viewcontent.cgi?article=1935&amp;context=tractormuseumlit","Click for test report")</f>
        <v>Click for test report</v>
      </c>
      <c r="C346">
        <v>1938</v>
      </c>
      <c r="D346" t="s">
        <v>6707</v>
      </c>
      <c r="F346" t="s">
        <v>3800</v>
      </c>
      <c r="G346" t="s">
        <v>4473</v>
      </c>
      <c r="H346" t="s">
        <v>6427</v>
      </c>
      <c r="I346" t="s">
        <v>50</v>
      </c>
      <c r="J346" t="s">
        <v>348</v>
      </c>
      <c r="K346" t="s">
        <v>4809</v>
      </c>
      <c r="M346" t="s">
        <v>4359</v>
      </c>
      <c r="N346" t="s">
        <v>4449</v>
      </c>
      <c r="O346" t="s">
        <v>24</v>
      </c>
    </row>
    <row r="347" spans="1:15" x14ac:dyDescent="0.25">
      <c r="A347">
        <v>346</v>
      </c>
      <c r="B347" t="str">
        <f>HYPERLINK("https://digitalcommons.unl.edu/cgi/viewcontent.cgi?article=1936&amp;context=tractormuseumlit","Click for test report")</f>
        <v>Click for test report</v>
      </c>
      <c r="C347">
        <v>1938</v>
      </c>
      <c r="D347" t="s">
        <v>6706</v>
      </c>
      <c r="F347" t="s">
        <v>3800</v>
      </c>
      <c r="G347" t="s">
        <v>4473</v>
      </c>
      <c r="H347" t="s">
        <v>6658</v>
      </c>
      <c r="I347" t="s">
        <v>50</v>
      </c>
      <c r="J347" t="s">
        <v>348</v>
      </c>
      <c r="K347" t="s">
        <v>6351</v>
      </c>
      <c r="M347" t="s">
        <v>407</v>
      </c>
      <c r="N347" t="s">
        <v>4008</v>
      </c>
      <c r="O347" t="s">
        <v>6592</v>
      </c>
    </row>
    <row r="348" spans="1:15" x14ac:dyDescent="0.25">
      <c r="A348">
        <v>347</v>
      </c>
      <c r="B348" t="str">
        <f>HYPERLINK("https://digitalcommons.unl.edu/cgi/viewcontent.cgi?article=1936&amp;context=tractormuseumlit","Click for test report")</f>
        <v>Click for test report</v>
      </c>
      <c r="C348">
        <v>1938</v>
      </c>
      <c r="D348" t="s">
        <v>6706</v>
      </c>
      <c r="F348" t="s">
        <v>3800</v>
      </c>
      <c r="G348" t="s">
        <v>4473</v>
      </c>
      <c r="H348" t="s">
        <v>6658</v>
      </c>
      <c r="I348" t="s">
        <v>50</v>
      </c>
      <c r="J348" t="s">
        <v>348</v>
      </c>
      <c r="K348" t="s">
        <v>6351</v>
      </c>
      <c r="M348" t="s">
        <v>407</v>
      </c>
      <c r="N348" t="s">
        <v>2699</v>
      </c>
      <c r="O348" t="s">
        <v>6591</v>
      </c>
    </row>
    <row r="349" spans="1:15" x14ac:dyDescent="0.25">
      <c r="A349">
        <v>348</v>
      </c>
      <c r="B349" t="str">
        <f>HYPERLINK("https://digitalcommons.unl.edu/cgi/viewcontent.cgi?article=1937&amp;context=tractormuseumlit","Click for test report")</f>
        <v>Click for test report</v>
      </c>
      <c r="C349">
        <v>1938</v>
      </c>
      <c r="D349" t="s">
        <v>6705</v>
      </c>
      <c r="F349" t="s">
        <v>5347</v>
      </c>
      <c r="G349" t="s">
        <v>6632</v>
      </c>
      <c r="H349" t="s">
        <v>6704</v>
      </c>
      <c r="I349" t="s">
        <v>50</v>
      </c>
      <c r="J349" t="s">
        <v>348</v>
      </c>
      <c r="K349" t="s">
        <v>4809</v>
      </c>
      <c r="M349" t="s">
        <v>3152</v>
      </c>
      <c r="N349" t="s">
        <v>2826</v>
      </c>
      <c r="O349" t="s">
        <v>24</v>
      </c>
    </row>
    <row r="350" spans="1:15" x14ac:dyDescent="0.25">
      <c r="A350">
        <v>349</v>
      </c>
      <c r="B350" t="str">
        <f>HYPERLINK("https://digitalcommons.unl.edu/cgi/viewcontent.cgi?article=1938&amp;context=tractormuseumlit","Click for test report")</f>
        <v>Click for test report</v>
      </c>
      <c r="C350">
        <v>1938</v>
      </c>
      <c r="D350" t="s">
        <v>6214</v>
      </c>
      <c r="F350" t="s">
        <v>5347</v>
      </c>
      <c r="G350" t="s">
        <v>6632</v>
      </c>
      <c r="H350" t="s">
        <v>6704</v>
      </c>
      <c r="I350" t="s">
        <v>50</v>
      </c>
      <c r="J350" t="s">
        <v>348</v>
      </c>
      <c r="K350" t="s">
        <v>6351</v>
      </c>
      <c r="M350" t="s">
        <v>3973</v>
      </c>
      <c r="N350" t="s">
        <v>4745</v>
      </c>
      <c r="O350" t="s">
        <v>24</v>
      </c>
    </row>
    <row r="351" spans="1:15" x14ac:dyDescent="0.25">
      <c r="A351">
        <v>350</v>
      </c>
      <c r="B351" t="str">
        <f>HYPERLINK("https://digitalcommons.unl.edu/cgi/viewcontent.cgi?article=1052&amp;context=tractormuseumlit","Click for test report")</f>
        <v>Click for test report</v>
      </c>
      <c r="C351">
        <v>1938</v>
      </c>
      <c r="D351" t="s">
        <v>6703</v>
      </c>
      <c r="F351" t="s">
        <v>17</v>
      </c>
      <c r="G351" t="s">
        <v>17</v>
      </c>
      <c r="H351" t="s">
        <v>6546</v>
      </c>
      <c r="I351" t="s">
        <v>50</v>
      </c>
      <c r="J351" t="s">
        <v>348</v>
      </c>
      <c r="K351" t="s">
        <v>6351</v>
      </c>
      <c r="M351" t="s">
        <v>4452</v>
      </c>
      <c r="N351" t="s">
        <v>4930</v>
      </c>
      <c r="O351" t="s">
        <v>24</v>
      </c>
    </row>
    <row r="352" spans="1:15" x14ac:dyDescent="0.25">
      <c r="A352">
        <v>351</v>
      </c>
      <c r="B352" t="str">
        <f>HYPERLINK("https://digitalcommons.unl.edu/cgi/viewcontent.cgi?article=1053&amp;context=tractormuseumlit","Click for test report")</f>
        <v>Click for test report</v>
      </c>
      <c r="C352">
        <v>1938</v>
      </c>
      <c r="D352" t="s">
        <v>6702</v>
      </c>
      <c r="F352" t="s">
        <v>17</v>
      </c>
      <c r="G352" t="s">
        <v>17</v>
      </c>
      <c r="H352" t="s">
        <v>6658</v>
      </c>
      <c r="I352" t="s">
        <v>50</v>
      </c>
      <c r="J352" t="s">
        <v>348</v>
      </c>
      <c r="K352" t="s">
        <v>4809</v>
      </c>
      <c r="M352" t="s">
        <v>6257</v>
      </c>
      <c r="N352" t="s">
        <v>6061</v>
      </c>
      <c r="O352" t="s">
        <v>24</v>
      </c>
    </row>
    <row r="353" spans="1:15" x14ac:dyDescent="0.25">
      <c r="A353">
        <v>352</v>
      </c>
      <c r="B353" t="str">
        <f>HYPERLINK("https://digitalcommons.unl.edu/cgi/viewcontent.cgi?article=1928&amp;context=tractormuseumlit","Click for test report")</f>
        <v>Click for test report</v>
      </c>
      <c r="C353">
        <v>1938</v>
      </c>
      <c r="D353" t="s">
        <v>6700</v>
      </c>
      <c r="F353" t="s">
        <v>3442</v>
      </c>
      <c r="G353" t="s">
        <v>3442</v>
      </c>
      <c r="H353" t="s">
        <v>6037</v>
      </c>
      <c r="I353" t="s">
        <v>50</v>
      </c>
      <c r="J353" t="s">
        <v>96</v>
      </c>
      <c r="K353" t="s">
        <v>21</v>
      </c>
      <c r="M353" t="s">
        <v>45</v>
      </c>
      <c r="N353" t="s">
        <v>52</v>
      </c>
      <c r="O353" t="s">
        <v>6701</v>
      </c>
    </row>
    <row r="354" spans="1:15" x14ac:dyDescent="0.25">
      <c r="A354">
        <v>353</v>
      </c>
      <c r="B354" t="str">
        <f>HYPERLINK("https://digitalcommons.unl.edu/cgi/viewcontent.cgi?article=1939&amp;context=tractormuseumlit","Click for test report")</f>
        <v>Click for test report</v>
      </c>
      <c r="C354">
        <v>1939</v>
      </c>
      <c r="D354" t="s">
        <v>6698</v>
      </c>
      <c r="F354" t="s">
        <v>4503</v>
      </c>
      <c r="G354" t="s">
        <v>4503</v>
      </c>
      <c r="H354" t="s">
        <v>6699</v>
      </c>
      <c r="I354" t="s">
        <v>50</v>
      </c>
      <c r="J354" t="s">
        <v>96</v>
      </c>
      <c r="K354" t="s">
        <v>21</v>
      </c>
      <c r="M354" t="s">
        <v>344</v>
      </c>
      <c r="N354" t="s">
        <v>722</v>
      </c>
      <c r="O354" t="s">
        <v>24</v>
      </c>
    </row>
    <row r="355" spans="1:15" x14ac:dyDescent="0.25">
      <c r="A355">
        <v>354</v>
      </c>
      <c r="B355" t="str">
        <f>HYPERLINK("https://digitalcommons.unl.edu/cgi/viewcontent.cgi?article=1927&amp;context=tractormuseumlit","Click for test report")</f>
        <v>Click for test report</v>
      </c>
      <c r="C355">
        <v>1939</v>
      </c>
      <c r="D355" t="s">
        <v>6696</v>
      </c>
      <c r="F355" t="s">
        <v>4325</v>
      </c>
      <c r="G355" t="s">
        <v>4325</v>
      </c>
      <c r="H355" t="s">
        <v>6697</v>
      </c>
      <c r="I355" t="s">
        <v>50</v>
      </c>
      <c r="J355" t="s">
        <v>348</v>
      </c>
      <c r="K355" t="s">
        <v>6351</v>
      </c>
      <c r="M355" t="s">
        <v>4449</v>
      </c>
      <c r="N355" t="s">
        <v>4621</v>
      </c>
      <c r="O355" t="s">
        <v>24</v>
      </c>
    </row>
    <row r="356" spans="1:15" x14ac:dyDescent="0.25">
      <c r="A356">
        <v>355</v>
      </c>
      <c r="B356" t="str">
        <f>HYPERLINK("https://digitalcommons.unl.edu/cgi/viewcontent.cgi?article=1940&amp;context=tractormuseumlit","Click for test report")</f>
        <v>Click for test report</v>
      </c>
      <c r="C356">
        <v>1939</v>
      </c>
      <c r="D356" t="s">
        <v>6692</v>
      </c>
      <c r="F356" t="s">
        <v>5347</v>
      </c>
      <c r="G356" t="s">
        <v>6632</v>
      </c>
      <c r="H356" t="s">
        <v>6695</v>
      </c>
      <c r="I356" t="s">
        <v>50</v>
      </c>
      <c r="J356" t="s">
        <v>348</v>
      </c>
      <c r="K356" t="s">
        <v>4809</v>
      </c>
      <c r="M356" t="s">
        <v>1970</v>
      </c>
      <c r="N356" t="s">
        <v>407</v>
      </c>
      <c r="O356" t="s">
        <v>24</v>
      </c>
    </row>
    <row r="357" spans="1:15" x14ac:dyDescent="0.25">
      <c r="A357">
        <v>356</v>
      </c>
      <c r="B357" t="str">
        <f>HYPERLINK("https://digitalcommons.unl.edu/cgi/viewcontent.cgi?article=1940&amp;context=tractormuseumlit","Click for test report")</f>
        <v>Click for test report</v>
      </c>
      <c r="C357">
        <v>1939</v>
      </c>
      <c r="D357" t="s">
        <v>6692</v>
      </c>
      <c r="F357" t="s">
        <v>5347</v>
      </c>
      <c r="G357" t="s">
        <v>6632</v>
      </c>
      <c r="H357" t="s">
        <v>6694</v>
      </c>
      <c r="I357" t="s">
        <v>50</v>
      </c>
      <c r="J357" t="s">
        <v>348</v>
      </c>
      <c r="K357" t="s">
        <v>4809</v>
      </c>
      <c r="M357" t="s">
        <v>1970</v>
      </c>
      <c r="N357" t="s">
        <v>407</v>
      </c>
      <c r="O357" t="s">
        <v>24</v>
      </c>
    </row>
    <row r="358" spans="1:15" x14ac:dyDescent="0.25">
      <c r="A358">
        <v>357</v>
      </c>
      <c r="B358" t="str">
        <f>HYPERLINK("https://digitalcommons.unl.edu/cgi/viewcontent.cgi?article=1940&amp;context=tractormuseumlit","Click for test report")</f>
        <v>Click for test report</v>
      </c>
      <c r="C358">
        <v>1939</v>
      </c>
      <c r="D358" t="s">
        <v>6692</v>
      </c>
      <c r="F358" t="s">
        <v>5347</v>
      </c>
      <c r="G358" t="s">
        <v>6632</v>
      </c>
      <c r="H358" t="s">
        <v>6693</v>
      </c>
      <c r="I358" t="s">
        <v>50</v>
      </c>
      <c r="J358" t="s">
        <v>348</v>
      </c>
      <c r="K358" t="s">
        <v>4809</v>
      </c>
      <c r="M358" t="s">
        <v>1970</v>
      </c>
      <c r="N358" t="s">
        <v>407</v>
      </c>
      <c r="O358" t="s">
        <v>24</v>
      </c>
    </row>
    <row r="359" spans="1:15" x14ac:dyDescent="0.25">
      <c r="A359">
        <v>358</v>
      </c>
      <c r="B359" t="str">
        <f>HYPERLINK("https://digitalcommons.unl.edu/cgi/viewcontent.cgi?article=1941&amp;context=tractormuseumlit","Click for test report")</f>
        <v>Click for test report</v>
      </c>
      <c r="C359">
        <v>1939</v>
      </c>
      <c r="D359" t="s">
        <v>6691</v>
      </c>
      <c r="F359" t="s">
        <v>6226</v>
      </c>
      <c r="G359" t="s">
        <v>6226</v>
      </c>
      <c r="H359" t="s">
        <v>6622</v>
      </c>
      <c r="I359" t="s">
        <v>50</v>
      </c>
      <c r="J359" t="s">
        <v>348</v>
      </c>
      <c r="K359" t="s">
        <v>4809</v>
      </c>
      <c r="M359" t="s">
        <v>4013</v>
      </c>
      <c r="N359" t="s">
        <v>4359</v>
      </c>
      <c r="O359" t="s">
        <v>24</v>
      </c>
    </row>
    <row r="360" spans="1:15" x14ac:dyDescent="0.25">
      <c r="A360">
        <v>359</v>
      </c>
      <c r="B360" t="str">
        <f>HYPERLINK("https://digitalcommons.unl.edu/cgi/viewcontent.cgi?article=1942&amp;context=tractormuseumlit","Click for test report")</f>
        <v>Click for test report</v>
      </c>
      <c r="C360">
        <v>1939</v>
      </c>
      <c r="D360" t="s">
        <v>6689</v>
      </c>
      <c r="F360" t="s">
        <v>5347</v>
      </c>
      <c r="G360" t="s">
        <v>6632</v>
      </c>
      <c r="H360" t="s">
        <v>6690</v>
      </c>
      <c r="I360" t="s">
        <v>50</v>
      </c>
      <c r="J360" t="s">
        <v>348</v>
      </c>
      <c r="K360" t="s">
        <v>4809</v>
      </c>
      <c r="M360" t="s">
        <v>3152</v>
      </c>
      <c r="N360" t="s">
        <v>3973</v>
      </c>
      <c r="O360" t="s">
        <v>24</v>
      </c>
    </row>
    <row r="361" spans="1:15" x14ac:dyDescent="0.25">
      <c r="A361">
        <v>360</v>
      </c>
      <c r="B361" t="str">
        <f>HYPERLINK("https://digitalcommons.unl.edu/cgi/viewcontent.cgi?article=1946&amp;context=tractormuseumlit","Click for test report")</f>
        <v>Click for test report</v>
      </c>
      <c r="C361">
        <v>1939</v>
      </c>
      <c r="D361" t="s">
        <v>6271</v>
      </c>
      <c r="F361" t="s">
        <v>3442</v>
      </c>
      <c r="G361" t="s">
        <v>3442</v>
      </c>
      <c r="H361" t="s">
        <v>6688</v>
      </c>
      <c r="I361" t="s">
        <v>50</v>
      </c>
      <c r="J361" t="s">
        <v>96</v>
      </c>
      <c r="K361" t="s">
        <v>4809</v>
      </c>
      <c r="M361" t="s">
        <v>4397</v>
      </c>
      <c r="N361" t="s">
        <v>4358</v>
      </c>
      <c r="O361" t="s">
        <v>24</v>
      </c>
    </row>
    <row r="362" spans="1:15" x14ac:dyDescent="0.25">
      <c r="A362">
        <v>361</v>
      </c>
      <c r="B362" t="str">
        <f>HYPERLINK("https://digitalcommons.unl.edu/cgi/viewcontent.cgi?article=1947&amp;context=tractormuseumlit","Click for test report")</f>
        <v>Click for test report</v>
      </c>
      <c r="C362">
        <v>1939</v>
      </c>
      <c r="D362" t="s">
        <v>6687</v>
      </c>
      <c r="F362" t="s">
        <v>3442</v>
      </c>
      <c r="G362" t="s">
        <v>3442</v>
      </c>
      <c r="H362" t="s">
        <v>6688</v>
      </c>
      <c r="I362" t="s">
        <v>50</v>
      </c>
      <c r="J362" t="s">
        <v>96</v>
      </c>
      <c r="K362" t="s">
        <v>6351</v>
      </c>
      <c r="M362" t="s">
        <v>4589</v>
      </c>
      <c r="N362" t="s">
        <v>4444</v>
      </c>
      <c r="O362" t="s">
        <v>24</v>
      </c>
    </row>
    <row r="363" spans="1:15" x14ac:dyDescent="0.25">
      <c r="A363">
        <v>362</v>
      </c>
      <c r="B363" t="str">
        <f>HYPERLINK("https://digitalcommons.unl.edu/cgi/viewcontent.cgi?article=1948&amp;context=tractormuseumlit","Click for test report")</f>
        <v>Click for test report</v>
      </c>
      <c r="C363">
        <v>1939</v>
      </c>
      <c r="D363" t="s">
        <v>6686</v>
      </c>
      <c r="F363" t="s">
        <v>3442</v>
      </c>
      <c r="G363" t="s">
        <v>3442</v>
      </c>
      <c r="H363" t="s">
        <v>6295</v>
      </c>
      <c r="I363" t="s">
        <v>50</v>
      </c>
      <c r="J363" t="s">
        <v>96</v>
      </c>
      <c r="K363" t="s">
        <v>21</v>
      </c>
      <c r="M363" t="s">
        <v>4397</v>
      </c>
      <c r="N363" t="s">
        <v>4590</v>
      </c>
      <c r="O363" t="s">
        <v>24</v>
      </c>
    </row>
    <row r="364" spans="1:15" x14ac:dyDescent="0.25">
      <c r="A364">
        <v>363</v>
      </c>
      <c r="B364" t="str">
        <f>HYPERLINK("https://digitalcommons.unl.edu/cgi/viewcontent.cgi?article=1949&amp;context=tractormuseumlit","Click for test report")</f>
        <v>Click for test report</v>
      </c>
      <c r="C364">
        <v>1939</v>
      </c>
      <c r="D364" t="s">
        <v>6684</v>
      </c>
      <c r="F364" t="s">
        <v>6678</v>
      </c>
      <c r="G364" t="s">
        <v>6679</v>
      </c>
      <c r="H364" t="s">
        <v>6685</v>
      </c>
      <c r="I364" t="s">
        <v>50</v>
      </c>
      <c r="J364" t="s">
        <v>348</v>
      </c>
      <c r="K364" t="s">
        <v>4809</v>
      </c>
      <c r="M364" t="s">
        <v>4627</v>
      </c>
      <c r="N364" t="s">
        <v>4452</v>
      </c>
      <c r="O364" t="s">
        <v>24</v>
      </c>
    </row>
    <row r="365" spans="1:15" x14ac:dyDescent="0.25">
      <c r="A365">
        <v>364</v>
      </c>
      <c r="B365" t="str">
        <f>HYPERLINK("https://digitalcommons.unl.edu/cgi/viewcontent.cgi?article=1950&amp;context=tractormuseumlit","Click for test report")</f>
        <v>Click for test report</v>
      </c>
      <c r="C365">
        <v>1939</v>
      </c>
      <c r="D365" t="s">
        <v>6683</v>
      </c>
      <c r="F365" t="s">
        <v>6678</v>
      </c>
      <c r="G365" t="s">
        <v>6679</v>
      </c>
      <c r="H365" t="s">
        <v>6487</v>
      </c>
      <c r="I365" t="s">
        <v>50</v>
      </c>
      <c r="J365" t="s">
        <v>96</v>
      </c>
      <c r="K365" t="s">
        <v>4809</v>
      </c>
      <c r="M365" t="s">
        <v>4627</v>
      </c>
      <c r="N365" t="s">
        <v>4452</v>
      </c>
      <c r="O365" t="s">
        <v>24</v>
      </c>
    </row>
    <row r="366" spans="1:15" x14ac:dyDescent="0.25">
      <c r="A366">
        <v>365</v>
      </c>
      <c r="B366" t="str">
        <f>HYPERLINK("https://digitalcommons.unl.edu/cgi/viewcontent.cgi?article=1943&amp;context=tractormuseumlit","Click for test report")</f>
        <v>Click for test report</v>
      </c>
      <c r="C366">
        <v>1939</v>
      </c>
      <c r="D366" t="s">
        <v>6681</v>
      </c>
      <c r="F366" t="s">
        <v>6678</v>
      </c>
      <c r="G366" t="s">
        <v>6679</v>
      </c>
      <c r="H366" t="s">
        <v>6682</v>
      </c>
      <c r="I366" t="s">
        <v>50</v>
      </c>
      <c r="J366" t="s">
        <v>96</v>
      </c>
      <c r="K366" t="s">
        <v>21</v>
      </c>
      <c r="M366" t="s">
        <v>2511</v>
      </c>
      <c r="N366" t="s">
        <v>3973</v>
      </c>
      <c r="O366" t="s">
        <v>24</v>
      </c>
    </row>
    <row r="367" spans="1:15" x14ac:dyDescent="0.25">
      <c r="A367">
        <v>366</v>
      </c>
      <c r="B367" t="str">
        <f>HYPERLINK("https://digitalcommons.unl.edu/cgi/viewcontent.cgi?article=1951&amp;context=tractormuseumlit","Click for test report")</f>
        <v>Click for test report</v>
      </c>
      <c r="C367">
        <v>1939</v>
      </c>
      <c r="D367" t="s">
        <v>6677</v>
      </c>
      <c r="F367" t="s">
        <v>6678</v>
      </c>
      <c r="G367" t="s">
        <v>6679</v>
      </c>
      <c r="H367" t="s">
        <v>6680</v>
      </c>
      <c r="I367" t="s">
        <v>50</v>
      </c>
      <c r="J367" t="s">
        <v>96</v>
      </c>
      <c r="K367" t="s">
        <v>21</v>
      </c>
      <c r="M367" t="s">
        <v>705</v>
      </c>
      <c r="N367" t="s">
        <v>457</v>
      </c>
      <c r="O367" t="s">
        <v>24</v>
      </c>
    </row>
    <row r="368" spans="1:15" x14ac:dyDescent="0.25">
      <c r="A368">
        <v>367</v>
      </c>
      <c r="B368" t="str">
        <f>HYPERLINK("https://digitalcommons.unl.edu/cgi/viewcontent.cgi?article=1952&amp;context=tractormuseumlit","Click for test report")</f>
        <v>Click for test report</v>
      </c>
      <c r="C368">
        <v>1939</v>
      </c>
      <c r="D368" t="s">
        <v>6676</v>
      </c>
      <c r="F368" t="s">
        <v>4503</v>
      </c>
      <c r="G368" t="s">
        <v>6340</v>
      </c>
      <c r="H368" t="s">
        <v>6675</v>
      </c>
      <c r="I368" t="s">
        <v>50</v>
      </c>
      <c r="J368" t="s">
        <v>348</v>
      </c>
      <c r="K368" t="s">
        <v>6351</v>
      </c>
      <c r="M368" t="s">
        <v>3388</v>
      </c>
      <c r="N368" t="s">
        <v>4440</v>
      </c>
      <c r="O368" t="s">
        <v>24</v>
      </c>
    </row>
    <row r="369" spans="1:15" x14ac:dyDescent="0.25">
      <c r="A369">
        <v>368</v>
      </c>
      <c r="B369" t="str">
        <f>HYPERLINK("https://digitalcommons.unl.edu/cgi/viewcontent.cgi?article=1491&amp;context=tractormuseumlit","Click for test report")</f>
        <v>Click for test report</v>
      </c>
      <c r="C369">
        <v>1939</v>
      </c>
      <c r="D369" t="s">
        <v>6674</v>
      </c>
      <c r="F369" t="s">
        <v>4503</v>
      </c>
      <c r="G369" t="s">
        <v>6340</v>
      </c>
      <c r="H369" t="s">
        <v>6675</v>
      </c>
      <c r="I369" t="s">
        <v>50</v>
      </c>
      <c r="J369" t="s">
        <v>348</v>
      </c>
      <c r="K369" t="s">
        <v>4809</v>
      </c>
      <c r="M369" t="s">
        <v>3973</v>
      </c>
      <c r="N369" t="s">
        <v>4745</v>
      </c>
      <c r="O369" t="s">
        <v>24</v>
      </c>
    </row>
    <row r="370" spans="1:15" x14ac:dyDescent="0.25">
      <c r="A370">
        <v>369</v>
      </c>
      <c r="B370" t="str">
        <f>HYPERLINK("https://digitalcommons.unl.edu/cgi/viewcontent.cgi?article=1953&amp;context=tractormuseumlit","Click for test report")</f>
        <v>Click for test report</v>
      </c>
      <c r="C370">
        <v>1939</v>
      </c>
      <c r="D370" t="s">
        <v>6673</v>
      </c>
      <c r="F370" t="s">
        <v>4503</v>
      </c>
      <c r="G370" t="s">
        <v>6340</v>
      </c>
      <c r="H370" t="s">
        <v>6670</v>
      </c>
      <c r="I370" t="s">
        <v>50</v>
      </c>
      <c r="J370" t="s">
        <v>348</v>
      </c>
      <c r="K370" t="s">
        <v>4809</v>
      </c>
      <c r="M370" t="s">
        <v>4449</v>
      </c>
      <c r="N370" t="s">
        <v>4628</v>
      </c>
      <c r="O370" t="s">
        <v>6671</v>
      </c>
    </row>
    <row r="371" spans="1:15" x14ac:dyDescent="0.25">
      <c r="A371">
        <v>370</v>
      </c>
      <c r="B371" t="str">
        <f>HYPERLINK("https://digitalcommons.unl.edu/cgi/viewcontent.cgi?article=1953&amp;context=tractormuseumlit","Click for test report")</f>
        <v>Click for test report</v>
      </c>
      <c r="C371">
        <v>1939</v>
      </c>
      <c r="D371" t="s">
        <v>6673</v>
      </c>
      <c r="F371" t="s">
        <v>4503</v>
      </c>
      <c r="G371" t="s">
        <v>6340</v>
      </c>
      <c r="H371" t="s">
        <v>6672</v>
      </c>
      <c r="I371" t="s">
        <v>50</v>
      </c>
      <c r="J371" t="s">
        <v>348</v>
      </c>
      <c r="K371" t="s">
        <v>4809</v>
      </c>
      <c r="M371" t="s">
        <v>4449</v>
      </c>
      <c r="N371" t="s">
        <v>4628</v>
      </c>
      <c r="O371" t="s">
        <v>24</v>
      </c>
    </row>
    <row r="372" spans="1:15" x14ac:dyDescent="0.25">
      <c r="A372">
        <v>371</v>
      </c>
      <c r="B372" t="str">
        <f>HYPERLINK("https://digitalcommons.unl.edu/cgi/viewcontent.cgi?article=1954&amp;context=tractormuseumlit","Click for test report")</f>
        <v>Click for test report</v>
      </c>
      <c r="C372">
        <v>1939</v>
      </c>
      <c r="D372" t="s">
        <v>6179</v>
      </c>
      <c r="F372" t="s">
        <v>4503</v>
      </c>
      <c r="G372" t="s">
        <v>6340</v>
      </c>
      <c r="H372" t="s">
        <v>6672</v>
      </c>
      <c r="I372" t="s">
        <v>50</v>
      </c>
      <c r="J372" t="s">
        <v>348</v>
      </c>
      <c r="K372" t="s">
        <v>6351</v>
      </c>
      <c r="M372" t="s">
        <v>4628</v>
      </c>
      <c r="N372" t="s">
        <v>4621</v>
      </c>
      <c r="O372" t="s">
        <v>24</v>
      </c>
    </row>
    <row r="373" spans="1:15" x14ac:dyDescent="0.25">
      <c r="A373">
        <v>372</v>
      </c>
      <c r="B373" t="str">
        <f>HYPERLINK("https://digitalcommons.unl.edu/cgi/viewcontent.cgi?article=1954&amp;context=tractormuseumlit","Click for test report")</f>
        <v>Click for test report</v>
      </c>
      <c r="C373">
        <v>1939</v>
      </c>
      <c r="D373" t="s">
        <v>6179</v>
      </c>
      <c r="F373" t="s">
        <v>4503</v>
      </c>
      <c r="G373" t="s">
        <v>6340</v>
      </c>
      <c r="H373" t="s">
        <v>6670</v>
      </c>
      <c r="I373" t="s">
        <v>50</v>
      </c>
      <c r="J373" t="s">
        <v>348</v>
      </c>
      <c r="K373" t="s">
        <v>6351</v>
      </c>
      <c r="M373" t="s">
        <v>4628</v>
      </c>
      <c r="N373" t="s">
        <v>4621</v>
      </c>
      <c r="O373" t="s">
        <v>6671</v>
      </c>
    </row>
    <row r="374" spans="1:15" x14ac:dyDescent="0.25">
      <c r="A374">
        <v>373</v>
      </c>
      <c r="B374" t="str">
        <f>HYPERLINK("https://digitalcommons.unl.edu/cgi/viewcontent.cgi?article=1955&amp;context=tractormuseumlit","Click for test report")</f>
        <v>Click for test report</v>
      </c>
      <c r="C374">
        <v>1939</v>
      </c>
      <c r="D374" t="s">
        <v>6669</v>
      </c>
      <c r="F374" t="s">
        <v>4503</v>
      </c>
      <c r="G374" t="s">
        <v>6340</v>
      </c>
      <c r="H374" t="s">
        <v>6668</v>
      </c>
      <c r="I374" t="s">
        <v>50</v>
      </c>
      <c r="J374" t="s">
        <v>348</v>
      </c>
      <c r="K374" t="s">
        <v>4809</v>
      </c>
      <c r="M374" t="s">
        <v>4449</v>
      </c>
      <c r="N374" t="s">
        <v>4628</v>
      </c>
      <c r="O374" t="s">
        <v>24</v>
      </c>
    </row>
    <row r="375" spans="1:15" x14ac:dyDescent="0.25">
      <c r="A375">
        <v>374</v>
      </c>
      <c r="B375" t="str">
        <f>HYPERLINK("https://digitalcommons.unl.edu/cgi/viewcontent.cgi?article=1955&amp;context=tractormuseumlit","Click for test report")</f>
        <v>Click for test report</v>
      </c>
      <c r="C375">
        <v>1939</v>
      </c>
      <c r="D375" t="s">
        <v>6669</v>
      </c>
      <c r="F375" t="s">
        <v>4503</v>
      </c>
      <c r="G375" t="s">
        <v>6340</v>
      </c>
      <c r="H375" t="s">
        <v>6666</v>
      </c>
      <c r="I375" t="s">
        <v>50</v>
      </c>
      <c r="J375" t="s">
        <v>348</v>
      </c>
      <c r="K375" t="s">
        <v>4809</v>
      </c>
      <c r="M375" t="s">
        <v>4449</v>
      </c>
      <c r="N375" t="s">
        <v>4628</v>
      </c>
      <c r="O375" t="s">
        <v>6667</v>
      </c>
    </row>
    <row r="376" spans="1:15" x14ac:dyDescent="0.25">
      <c r="A376">
        <v>375</v>
      </c>
      <c r="B376" t="str">
        <f>HYPERLINK("https://digitalcommons.unl.edu/cgi/viewcontent.cgi?article=1956&amp;context=tractormuseumlit","Click for test report")</f>
        <v>Click for test report</v>
      </c>
      <c r="C376">
        <v>1939</v>
      </c>
      <c r="D376" t="s">
        <v>6665</v>
      </c>
      <c r="F376" t="s">
        <v>4503</v>
      </c>
      <c r="G376" t="s">
        <v>6340</v>
      </c>
      <c r="H376" t="s">
        <v>6668</v>
      </c>
      <c r="I376" t="s">
        <v>50</v>
      </c>
      <c r="J376" t="s">
        <v>348</v>
      </c>
      <c r="K376" t="s">
        <v>6351</v>
      </c>
      <c r="M376" t="s">
        <v>4628</v>
      </c>
      <c r="N376" t="s">
        <v>4452</v>
      </c>
      <c r="O376" t="s">
        <v>24</v>
      </c>
    </row>
    <row r="377" spans="1:15" x14ac:dyDescent="0.25">
      <c r="A377">
        <v>376</v>
      </c>
      <c r="B377" t="str">
        <f>HYPERLINK("https://digitalcommons.unl.edu/cgi/viewcontent.cgi?article=1956&amp;context=tractormuseumlit","Click for test report")</f>
        <v>Click for test report</v>
      </c>
      <c r="C377">
        <v>1939</v>
      </c>
      <c r="D377" t="s">
        <v>6665</v>
      </c>
      <c r="F377" t="s">
        <v>4503</v>
      </c>
      <c r="G377" t="s">
        <v>6340</v>
      </c>
      <c r="H377" t="s">
        <v>6666</v>
      </c>
      <c r="I377" t="s">
        <v>50</v>
      </c>
      <c r="J377" t="s">
        <v>348</v>
      </c>
      <c r="K377" t="s">
        <v>6351</v>
      </c>
      <c r="M377" t="s">
        <v>4628</v>
      </c>
      <c r="N377" t="s">
        <v>4452</v>
      </c>
      <c r="O377" t="s">
        <v>6667</v>
      </c>
    </row>
    <row r="378" spans="1:15" x14ac:dyDescent="0.25">
      <c r="A378">
        <v>377</v>
      </c>
      <c r="B378" t="str">
        <f>HYPERLINK("https://digitalcommons.unl.edu/cgi/viewcontent.cgi?article=1108&amp;context=tractormuseumlit","Click for test report")</f>
        <v>Click for test report</v>
      </c>
      <c r="C378">
        <v>1939</v>
      </c>
      <c r="D378" t="s">
        <v>6227</v>
      </c>
      <c r="F378" t="s">
        <v>4503</v>
      </c>
      <c r="G378" t="s">
        <v>6340</v>
      </c>
      <c r="H378" t="s">
        <v>6664</v>
      </c>
      <c r="I378" t="s">
        <v>50</v>
      </c>
      <c r="J378" t="s">
        <v>348</v>
      </c>
      <c r="K378" t="s">
        <v>4809</v>
      </c>
      <c r="M378" t="s">
        <v>4013</v>
      </c>
      <c r="N378" t="s">
        <v>4355</v>
      </c>
      <c r="O378" t="s">
        <v>24</v>
      </c>
    </row>
    <row r="379" spans="1:15" x14ac:dyDescent="0.25">
      <c r="A379">
        <v>378</v>
      </c>
      <c r="B379" t="str">
        <f>HYPERLINK("https://digitalcommons.unl.edu/cgi/viewcontent.cgi?article=1109&amp;context=tractormuseumlit","Click for test report")</f>
        <v>Click for test report</v>
      </c>
      <c r="C379">
        <v>1939</v>
      </c>
      <c r="D379" t="s">
        <v>6663</v>
      </c>
      <c r="F379" t="s">
        <v>4503</v>
      </c>
      <c r="G379" t="s">
        <v>6340</v>
      </c>
      <c r="H379" t="s">
        <v>6664</v>
      </c>
      <c r="I379" t="s">
        <v>50</v>
      </c>
      <c r="J379" t="s">
        <v>348</v>
      </c>
      <c r="K379" t="s">
        <v>6351</v>
      </c>
      <c r="M379" t="s">
        <v>4358</v>
      </c>
      <c r="N379" t="s">
        <v>4362</v>
      </c>
      <c r="O379" t="s">
        <v>24</v>
      </c>
    </row>
    <row r="380" spans="1:15" x14ac:dyDescent="0.25">
      <c r="A380">
        <v>379</v>
      </c>
      <c r="B380" t="str">
        <f>HYPERLINK("https://digitalcommons.unl.edu/cgi/viewcontent.cgi?article=1054&amp;context=tractormuseumlit","Click for test report")</f>
        <v>Click for test report</v>
      </c>
      <c r="C380">
        <v>1939</v>
      </c>
      <c r="D380" t="s">
        <v>6198</v>
      </c>
      <c r="F380" t="s">
        <v>17</v>
      </c>
      <c r="G380" t="s">
        <v>17</v>
      </c>
      <c r="H380" t="s">
        <v>6539</v>
      </c>
      <c r="I380" t="s">
        <v>50</v>
      </c>
      <c r="J380" t="s">
        <v>348</v>
      </c>
      <c r="K380" t="s">
        <v>6351</v>
      </c>
      <c r="M380" t="s">
        <v>4397</v>
      </c>
      <c r="N380" t="s">
        <v>4013</v>
      </c>
      <c r="O380" t="s">
        <v>24</v>
      </c>
    </row>
    <row r="381" spans="1:15" x14ac:dyDescent="0.25">
      <c r="A381">
        <v>380</v>
      </c>
      <c r="B381" t="str">
        <f>HYPERLINK("https://digitalcommons.unl.edu/cgi/viewcontent.cgi?article=1957&amp;context=tractormuseumlit","Click for test report")</f>
        <v>Click for test report</v>
      </c>
      <c r="C381">
        <v>1939</v>
      </c>
      <c r="D381" t="s">
        <v>6661</v>
      </c>
      <c r="F381" t="s">
        <v>4325</v>
      </c>
      <c r="G381" t="s">
        <v>4325</v>
      </c>
      <c r="H381" t="s">
        <v>6662</v>
      </c>
      <c r="I381" t="s">
        <v>50</v>
      </c>
      <c r="J381" t="s">
        <v>96</v>
      </c>
      <c r="K381" t="s">
        <v>4809</v>
      </c>
      <c r="M381" t="s">
        <v>1864</v>
      </c>
      <c r="N381" t="s">
        <v>3123</v>
      </c>
      <c r="O381" t="s">
        <v>24</v>
      </c>
    </row>
    <row r="382" spans="1:15" x14ac:dyDescent="0.25">
      <c r="A382">
        <v>381</v>
      </c>
      <c r="B382" t="str">
        <f>HYPERLINK("https://digitalcommons.unl.edu/cgi/viewcontent.cgi?article=1958&amp;context=tractormuseumlit","Click for test report")</f>
        <v>Click for test report</v>
      </c>
      <c r="C382">
        <v>1939</v>
      </c>
      <c r="D382" t="s">
        <v>6659</v>
      </c>
      <c r="F382" t="s">
        <v>4325</v>
      </c>
      <c r="G382" t="s">
        <v>4325</v>
      </c>
      <c r="H382" t="s">
        <v>6660</v>
      </c>
      <c r="I382" t="s">
        <v>50</v>
      </c>
      <c r="J382" t="s">
        <v>96</v>
      </c>
      <c r="K382" t="s">
        <v>4809</v>
      </c>
      <c r="M382" t="s">
        <v>343</v>
      </c>
      <c r="N382" t="s">
        <v>2030</v>
      </c>
      <c r="O382" t="s">
        <v>24</v>
      </c>
    </row>
    <row r="383" spans="1:15" x14ac:dyDescent="0.25">
      <c r="A383">
        <v>382</v>
      </c>
      <c r="B383" t="str">
        <f>HYPERLINK("https://digitalcommons.unl.edu/cgi/viewcontent.cgi?article=1959&amp;context=tractormuseumlit","Click for test report")</f>
        <v>Click for test report</v>
      </c>
      <c r="C383">
        <v>1939</v>
      </c>
      <c r="D383" t="s">
        <v>6657</v>
      </c>
      <c r="F383" t="s">
        <v>4325</v>
      </c>
      <c r="G383" t="s">
        <v>4325</v>
      </c>
      <c r="H383" t="s">
        <v>6658</v>
      </c>
      <c r="I383" t="s">
        <v>50</v>
      </c>
      <c r="J383" t="s">
        <v>96</v>
      </c>
      <c r="K383" t="s">
        <v>4809</v>
      </c>
      <c r="M383" t="s">
        <v>364</v>
      </c>
      <c r="N383" t="s">
        <v>457</v>
      </c>
      <c r="O383" t="s">
        <v>24</v>
      </c>
    </row>
    <row r="384" spans="1:15" x14ac:dyDescent="0.25">
      <c r="A384">
        <v>383</v>
      </c>
      <c r="B384" t="str">
        <f>HYPERLINK("https://digitalcommons.unl.edu/cgi/viewcontent.cgi?article=1607&amp;context=tractormuseumlit","Click for test report")</f>
        <v>Click for test report</v>
      </c>
      <c r="C384">
        <v>1940</v>
      </c>
      <c r="D384" t="s">
        <v>6652</v>
      </c>
      <c r="F384" t="s">
        <v>6653</v>
      </c>
      <c r="G384" t="s">
        <v>6654</v>
      </c>
      <c r="H384" t="s">
        <v>6656</v>
      </c>
      <c r="I384" t="s">
        <v>50</v>
      </c>
      <c r="J384" t="s">
        <v>348</v>
      </c>
      <c r="K384" t="s">
        <v>4809</v>
      </c>
      <c r="M384" t="s">
        <v>4358</v>
      </c>
      <c r="N384" t="s">
        <v>4363</v>
      </c>
      <c r="O384" t="s">
        <v>24</v>
      </c>
    </row>
    <row r="385" spans="1:15" x14ac:dyDescent="0.25">
      <c r="A385">
        <v>384</v>
      </c>
      <c r="B385" t="str">
        <f>HYPERLINK("https://digitalcommons.unl.edu/cgi/viewcontent.cgi?article=1607&amp;context=tractormuseumlit","Click for test report")</f>
        <v>Click for test report</v>
      </c>
      <c r="C385">
        <v>1940</v>
      </c>
      <c r="D385" t="s">
        <v>6652</v>
      </c>
      <c r="F385" t="s">
        <v>6653</v>
      </c>
      <c r="G385" t="s">
        <v>6654</v>
      </c>
      <c r="H385" t="s">
        <v>6655</v>
      </c>
      <c r="I385" t="s">
        <v>50</v>
      </c>
      <c r="J385" t="s">
        <v>348</v>
      </c>
      <c r="K385" t="s">
        <v>4809</v>
      </c>
      <c r="M385" t="s">
        <v>4358</v>
      </c>
      <c r="N385" t="s">
        <v>4363</v>
      </c>
      <c r="O385" t="s">
        <v>24</v>
      </c>
    </row>
    <row r="386" spans="1:15" x14ac:dyDescent="0.25">
      <c r="A386">
        <v>385</v>
      </c>
      <c r="B386" t="str">
        <f>HYPERLINK("https://digitalcommons.unl.edu/cgi/viewcontent.cgi?article=1960&amp;context=tractormuseumlit","Click for test report")</f>
        <v>Click for test report</v>
      </c>
      <c r="C386">
        <v>1940</v>
      </c>
      <c r="D386" t="s">
        <v>6112</v>
      </c>
      <c r="F386" t="s">
        <v>3800</v>
      </c>
      <c r="G386" t="s">
        <v>4473</v>
      </c>
      <c r="H386" t="s">
        <v>6651</v>
      </c>
      <c r="I386" t="s">
        <v>50</v>
      </c>
      <c r="J386" t="s">
        <v>348</v>
      </c>
      <c r="K386" t="s">
        <v>4809</v>
      </c>
      <c r="M386" t="s">
        <v>1893</v>
      </c>
      <c r="N386" t="s">
        <v>4745</v>
      </c>
      <c r="O386" t="s">
        <v>24</v>
      </c>
    </row>
    <row r="387" spans="1:15" x14ac:dyDescent="0.25">
      <c r="A387">
        <v>386</v>
      </c>
      <c r="B387" t="str">
        <f>HYPERLINK("https://digitalcommons.unl.edu/cgi/viewcontent.cgi?article=1961&amp;context=tractormuseumlit","Click for test report")</f>
        <v>Click for test report</v>
      </c>
      <c r="C387">
        <v>1940</v>
      </c>
      <c r="D387" t="s">
        <v>6649</v>
      </c>
      <c r="F387" t="s">
        <v>5347</v>
      </c>
      <c r="G387" t="s">
        <v>6632</v>
      </c>
      <c r="H387" t="s">
        <v>6650</v>
      </c>
      <c r="I387" t="s">
        <v>50</v>
      </c>
      <c r="J387" t="s">
        <v>348</v>
      </c>
      <c r="K387" t="s">
        <v>4809</v>
      </c>
      <c r="M387" t="s">
        <v>4358</v>
      </c>
      <c r="N387" t="s">
        <v>4359</v>
      </c>
      <c r="O387" t="s">
        <v>24</v>
      </c>
    </row>
    <row r="388" spans="1:15" x14ac:dyDescent="0.25">
      <c r="A388">
        <v>387</v>
      </c>
      <c r="B388" t="str">
        <f>HYPERLINK("https://digitalcommons.unl.edu/cgi/viewcontent.cgi?article=1962&amp;context=tractormuseumlit","Click for test report")</f>
        <v>Click for test report</v>
      </c>
      <c r="C388">
        <v>1940</v>
      </c>
      <c r="D388" t="s">
        <v>6648</v>
      </c>
      <c r="F388" t="s">
        <v>4503</v>
      </c>
      <c r="G388" t="s">
        <v>6340</v>
      </c>
      <c r="H388" t="s">
        <v>6630</v>
      </c>
      <c r="I388" t="s">
        <v>50</v>
      </c>
      <c r="J388" t="s">
        <v>348</v>
      </c>
      <c r="K388" t="s">
        <v>6351</v>
      </c>
      <c r="M388" t="s">
        <v>4358</v>
      </c>
      <c r="N388" t="s">
        <v>4362</v>
      </c>
      <c r="O388" t="s">
        <v>24</v>
      </c>
    </row>
    <row r="389" spans="1:15" x14ac:dyDescent="0.25">
      <c r="A389">
        <v>388</v>
      </c>
      <c r="B389" t="str">
        <f>HYPERLINK("https://digitalcommons.unl.edu/cgi/viewcontent.cgi?article=1963&amp;context=tractormuseumlit","Click for test report")</f>
        <v>Click for test report</v>
      </c>
      <c r="C389">
        <v>1940</v>
      </c>
      <c r="D389" t="s">
        <v>6646</v>
      </c>
      <c r="F389" t="s">
        <v>4503</v>
      </c>
      <c r="G389" t="s">
        <v>4503</v>
      </c>
      <c r="H389" t="s">
        <v>6647</v>
      </c>
      <c r="I389" t="s">
        <v>50</v>
      </c>
      <c r="J389" t="s">
        <v>96</v>
      </c>
      <c r="K389" t="s">
        <v>21</v>
      </c>
      <c r="M389" t="s">
        <v>725</v>
      </c>
      <c r="N389" t="s">
        <v>750</v>
      </c>
      <c r="O389" t="s">
        <v>24</v>
      </c>
    </row>
    <row r="390" spans="1:15" x14ac:dyDescent="0.25">
      <c r="A390">
        <v>389</v>
      </c>
      <c r="B390" t="str">
        <f>HYPERLINK("https://digitalcommons.unl.edu/cgi/viewcontent.cgi?article=1964&amp;context=tractormuseumlit","Click for test report")</f>
        <v>Click for test report</v>
      </c>
      <c r="C390">
        <v>1940</v>
      </c>
      <c r="D390" t="s">
        <v>6644</v>
      </c>
      <c r="F390" t="s">
        <v>4503</v>
      </c>
      <c r="G390" t="s">
        <v>4503</v>
      </c>
      <c r="H390" t="s">
        <v>6645</v>
      </c>
      <c r="I390" t="s">
        <v>50</v>
      </c>
      <c r="J390" t="s">
        <v>96</v>
      </c>
      <c r="K390" t="s">
        <v>21</v>
      </c>
      <c r="M390" t="s">
        <v>2090</v>
      </c>
      <c r="N390" t="s">
        <v>1893</v>
      </c>
      <c r="O390" t="s">
        <v>24</v>
      </c>
    </row>
    <row r="391" spans="1:15" x14ac:dyDescent="0.25">
      <c r="A391">
        <v>390</v>
      </c>
      <c r="B391" t="str">
        <f>HYPERLINK("https://digitalcommons.unl.edu/cgi/viewcontent.cgi?article=1965&amp;context=tractormuseumlit","Click for test report")</f>
        <v>Click for test report</v>
      </c>
      <c r="C391">
        <v>1940</v>
      </c>
      <c r="D391" t="s">
        <v>6642</v>
      </c>
      <c r="F391" t="s">
        <v>4503</v>
      </c>
      <c r="G391" t="s">
        <v>4503</v>
      </c>
      <c r="H391" t="s">
        <v>6643</v>
      </c>
      <c r="I391" t="s">
        <v>50</v>
      </c>
      <c r="J391" t="s">
        <v>96</v>
      </c>
      <c r="K391" t="s">
        <v>21</v>
      </c>
      <c r="M391" t="s">
        <v>3388</v>
      </c>
      <c r="N391" t="s">
        <v>4589</v>
      </c>
      <c r="O391" t="s">
        <v>24</v>
      </c>
    </row>
    <row r="392" spans="1:15" x14ac:dyDescent="0.25">
      <c r="A392">
        <v>391</v>
      </c>
      <c r="B392" t="str">
        <f>HYPERLINK("https://digitalcommons.unl.edu/cgi/viewcontent.cgi?article=1966&amp;context=tractormuseumlit","Click for test report")</f>
        <v>Click for test report</v>
      </c>
      <c r="C392">
        <v>1940</v>
      </c>
      <c r="D392" t="s">
        <v>6641</v>
      </c>
      <c r="F392" t="s">
        <v>4503</v>
      </c>
      <c r="G392" t="s">
        <v>4503</v>
      </c>
      <c r="H392" t="s">
        <v>6640</v>
      </c>
      <c r="I392" t="s">
        <v>50</v>
      </c>
      <c r="J392" t="s">
        <v>96</v>
      </c>
      <c r="K392" t="s">
        <v>4809</v>
      </c>
      <c r="M392" t="s">
        <v>3973</v>
      </c>
      <c r="N392" t="s">
        <v>4440</v>
      </c>
      <c r="O392" t="s">
        <v>24</v>
      </c>
    </row>
    <row r="393" spans="1:15" x14ac:dyDescent="0.25">
      <c r="A393">
        <v>392</v>
      </c>
      <c r="B393" t="str">
        <f>HYPERLINK("https://digitalcommons.unl.edu/cgi/viewcontent.cgi?article=1967&amp;context=tractormuseumlit","Click for test report")</f>
        <v>Click for test report</v>
      </c>
      <c r="C393">
        <v>1940</v>
      </c>
      <c r="D393" t="s">
        <v>6639</v>
      </c>
      <c r="F393" t="s">
        <v>4503</v>
      </c>
      <c r="G393" t="s">
        <v>4503</v>
      </c>
      <c r="H393" t="s">
        <v>6640</v>
      </c>
      <c r="I393" t="s">
        <v>50</v>
      </c>
      <c r="J393" t="s">
        <v>96</v>
      </c>
      <c r="K393" t="s">
        <v>6351</v>
      </c>
      <c r="M393" t="s">
        <v>3388</v>
      </c>
      <c r="N393" t="s">
        <v>4397</v>
      </c>
      <c r="O393" t="s">
        <v>24</v>
      </c>
    </row>
    <row r="394" spans="1:15" x14ac:dyDescent="0.25">
      <c r="A394">
        <v>393</v>
      </c>
      <c r="B394" t="str">
        <f>HYPERLINK("https://digitalcommons.unl.edu/cgi/viewcontent.cgi?article=1968&amp;context=tractormuseumlit","Click for test report")</f>
        <v>Click for test report</v>
      </c>
      <c r="C394">
        <v>1940</v>
      </c>
      <c r="D394" t="s">
        <v>6637</v>
      </c>
      <c r="F394" t="s">
        <v>3800</v>
      </c>
      <c r="G394" t="s">
        <v>4473</v>
      </c>
      <c r="H394" t="s">
        <v>6638</v>
      </c>
      <c r="I394" t="s">
        <v>50</v>
      </c>
      <c r="J394" t="s">
        <v>348</v>
      </c>
      <c r="K394" t="s">
        <v>4809</v>
      </c>
      <c r="M394" t="s">
        <v>4355</v>
      </c>
      <c r="N394" t="s">
        <v>4449</v>
      </c>
      <c r="O394" t="s">
        <v>24</v>
      </c>
    </row>
    <row r="395" spans="1:15" x14ac:dyDescent="0.25">
      <c r="A395">
        <v>394</v>
      </c>
      <c r="B395" t="str">
        <f>HYPERLINK("https://digitalcommons.unl.edu/cgi/viewcontent.cgi?article=1969&amp;context=tractormuseumlit","Click for test report")</f>
        <v>Click for test report</v>
      </c>
      <c r="C395">
        <v>1940</v>
      </c>
      <c r="D395" t="s">
        <v>6636</v>
      </c>
      <c r="F395" t="s">
        <v>3800</v>
      </c>
      <c r="G395" t="s">
        <v>4473</v>
      </c>
      <c r="H395" t="s">
        <v>21</v>
      </c>
      <c r="I395" t="s">
        <v>50</v>
      </c>
      <c r="J395" t="s">
        <v>348</v>
      </c>
      <c r="K395" t="s">
        <v>6351</v>
      </c>
      <c r="M395" t="s">
        <v>2825</v>
      </c>
      <c r="N395" t="s">
        <v>4440</v>
      </c>
      <c r="O395" t="s">
        <v>24</v>
      </c>
    </row>
    <row r="396" spans="1:15" x14ac:dyDescent="0.25">
      <c r="A396">
        <v>395</v>
      </c>
      <c r="B396" t="str">
        <f>HYPERLINK("https://digitalcommons.unl.edu/cgi/viewcontent.cgi?article=1970&amp;context=tractormuseumlit","Click for test report")</f>
        <v>Click for test report</v>
      </c>
      <c r="C396">
        <v>1940</v>
      </c>
      <c r="D396" t="s">
        <v>6202</v>
      </c>
      <c r="F396" t="s">
        <v>17</v>
      </c>
      <c r="G396" t="s">
        <v>17</v>
      </c>
      <c r="H396" t="s">
        <v>21</v>
      </c>
      <c r="I396" t="s">
        <v>50</v>
      </c>
      <c r="J396" t="s">
        <v>348</v>
      </c>
      <c r="K396" t="s">
        <v>6351</v>
      </c>
      <c r="M396" t="s">
        <v>3152</v>
      </c>
      <c r="N396" t="s">
        <v>1802</v>
      </c>
      <c r="O396" t="s">
        <v>24</v>
      </c>
    </row>
    <row r="397" spans="1:15" x14ac:dyDescent="0.25">
      <c r="A397">
        <v>396</v>
      </c>
      <c r="B397" t="str">
        <f>HYPERLINK("https://digitalcommons.unl.edu/cgi/viewcontent.cgi?article=1501&amp;context=tractormuseumlit","Click for test report")</f>
        <v>Click for test report</v>
      </c>
      <c r="C397">
        <v>1940</v>
      </c>
      <c r="D397" t="s">
        <v>6634</v>
      </c>
      <c r="F397" t="s">
        <v>5345</v>
      </c>
      <c r="G397" t="s">
        <v>5345</v>
      </c>
      <c r="H397" t="s">
        <v>6635</v>
      </c>
      <c r="I397" t="s">
        <v>50</v>
      </c>
      <c r="J397" t="s">
        <v>348</v>
      </c>
      <c r="K397" t="s">
        <v>4809</v>
      </c>
      <c r="M397" t="s">
        <v>4008</v>
      </c>
      <c r="N397" t="s">
        <v>4589</v>
      </c>
      <c r="O397" t="s">
        <v>24</v>
      </c>
    </row>
    <row r="398" spans="1:15" x14ac:dyDescent="0.25">
      <c r="A398">
        <v>397</v>
      </c>
      <c r="B398" t="str">
        <f>HYPERLINK("https://digitalcommons.unl.edu/cgi/viewcontent.cgi?article=1971&amp;context=tractormuseumlit","Click for test report")</f>
        <v>Click for test report</v>
      </c>
      <c r="C398">
        <v>1940</v>
      </c>
      <c r="D398" t="s">
        <v>6631</v>
      </c>
      <c r="F398" t="s">
        <v>5347</v>
      </c>
      <c r="G398" t="s">
        <v>6632</v>
      </c>
      <c r="H398" t="s">
        <v>6633</v>
      </c>
      <c r="I398" t="s">
        <v>50</v>
      </c>
      <c r="J398" t="s">
        <v>348</v>
      </c>
      <c r="K398" t="s">
        <v>4809</v>
      </c>
      <c r="M398" t="s">
        <v>4008</v>
      </c>
      <c r="N398" t="s">
        <v>4013</v>
      </c>
      <c r="O398" t="s">
        <v>24</v>
      </c>
    </row>
    <row r="399" spans="1:15" x14ac:dyDescent="0.25">
      <c r="A399">
        <v>398</v>
      </c>
      <c r="B399" t="str">
        <f>HYPERLINK("https://digitalcommons.unl.edu/cgi/viewcontent.cgi?article=1972&amp;context=tractormuseumlit","Click for test report")</f>
        <v>Click for test report</v>
      </c>
      <c r="C399">
        <v>1940</v>
      </c>
      <c r="D399" t="s">
        <v>6629</v>
      </c>
      <c r="F399" t="s">
        <v>4503</v>
      </c>
      <c r="G399" t="s">
        <v>6340</v>
      </c>
      <c r="H399" t="s">
        <v>6630</v>
      </c>
      <c r="I399" t="s">
        <v>50</v>
      </c>
      <c r="J399" t="s">
        <v>348</v>
      </c>
      <c r="K399" t="s">
        <v>4809</v>
      </c>
      <c r="M399" t="s">
        <v>4013</v>
      </c>
      <c r="N399" t="s">
        <v>4358</v>
      </c>
      <c r="O399" t="s">
        <v>24</v>
      </c>
    </row>
    <row r="400" spans="1:15" x14ac:dyDescent="0.25">
      <c r="A400">
        <v>399</v>
      </c>
      <c r="B400" t="str">
        <f>HYPERLINK("https://digitalcommons.unl.edu/cgi/viewcontent.cgi?article=1973&amp;context=tractormuseumlit","Click for test report")</f>
        <v>Click for test report</v>
      </c>
      <c r="C400">
        <v>1940</v>
      </c>
      <c r="D400" t="s">
        <v>5421</v>
      </c>
      <c r="F400" t="s">
        <v>4503</v>
      </c>
      <c r="G400" t="s">
        <v>6340</v>
      </c>
      <c r="H400" t="s">
        <v>6628</v>
      </c>
      <c r="I400" t="s">
        <v>50</v>
      </c>
      <c r="J400" t="s">
        <v>348</v>
      </c>
      <c r="K400" t="s">
        <v>6351</v>
      </c>
      <c r="M400" t="s">
        <v>3388</v>
      </c>
      <c r="N400" t="s">
        <v>4008</v>
      </c>
      <c r="O400" t="s">
        <v>24</v>
      </c>
    </row>
    <row r="401" spans="1:15" x14ac:dyDescent="0.25">
      <c r="A401">
        <v>400</v>
      </c>
      <c r="B401" t="str">
        <f>HYPERLINK("https://digitalcommons.unl.edu/cgi/viewcontent.cgi?article=1974&amp;context=tractormuseumlit","Click for test report")</f>
        <v>Click for test report</v>
      </c>
      <c r="C401">
        <v>1940</v>
      </c>
      <c r="D401" t="s">
        <v>6627</v>
      </c>
      <c r="F401" t="s">
        <v>4503</v>
      </c>
      <c r="G401" t="s">
        <v>6340</v>
      </c>
      <c r="H401" t="s">
        <v>6628</v>
      </c>
      <c r="I401" t="s">
        <v>50</v>
      </c>
      <c r="J401" t="s">
        <v>348</v>
      </c>
      <c r="K401" t="s">
        <v>4809</v>
      </c>
      <c r="M401" t="s">
        <v>3973</v>
      </c>
      <c r="N401" t="s">
        <v>4012</v>
      </c>
      <c r="O401" t="s">
        <v>24</v>
      </c>
    </row>
    <row r="402" spans="1:15" x14ac:dyDescent="0.25">
      <c r="A402">
        <v>401</v>
      </c>
      <c r="B402" t="str">
        <f>HYPERLINK("https://digitalcommons.unl.edu/cgi/viewcontent.cgi?article=1975&amp;context=tractormuseumlit","Click for test report")</f>
        <v>Click for test report</v>
      </c>
      <c r="C402">
        <v>1940</v>
      </c>
      <c r="D402" t="s">
        <v>6626</v>
      </c>
      <c r="F402" t="s">
        <v>4503</v>
      </c>
      <c r="G402" t="s">
        <v>6340</v>
      </c>
      <c r="H402" t="s">
        <v>6442</v>
      </c>
      <c r="I402" t="s">
        <v>50</v>
      </c>
      <c r="J402" t="s">
        <v>348</v>
      </c>
      <c r="K402" t="s">
        <v>21</v>
      </c>
      <c r="M402" t="s">
        <v>3388</v>
      </c>
      <c r="N402" t="s">
        <v>4008</v>
      </c>
      <c r="O402" t="s">
        <v>24</v>
      </c>
    </row>
    <row r="403" spans="1:15" x14ac:dyDescent="0.25">
      <c r="A403">
        <v>402</v>
      </c>
      <c r="B403" t="str">
        <f>HYPERLINK("https://digitalcommons.unl.edu/cgi/viewcontent.cgi?article=1976&amp;context=tractormuseumlit","Click for test report")</f>
        <v>Click for test report</v>
      </c>
      <c r="C403">
        <v>1940</v>
      </c>
      <c r="D403" t="s">
        <v>6625</v>
      </c>
      <c r="F403" t="s">
        <v>3442</v>
      </c>
      <c r="G403" t="s">
        <v>3442</v>
      </c>
      <c r="H403" t="s">
        <v>6037</v>
      </c>
      <c r="I403" t="s">
        <v>50</v>
      </c>
      <c r="J403" t="s">
        <v>96</v>
      </c>
      <c r="K403" t="s">
        <v>21</v>
      </c>
      <c r="M403" t="s">
        <v>1386</v>
      </c>
      <c r="N403" t="s">
        <v>23</v>
      </c>
      <c r="O403" t="s">
        <v>24</v>
      </c>
    </row>
    <row r="404" spans="1:15" x14ac:dyDescent="0.25">
      <c r="A404">
        <v>403</v>
      </c>
      <c r="B404" t="str">
        <f>HYPERLINK("https://digitalcommons.unl.edu/cgi/viewcontent.cgi?article=1977&amp;context=tractormuseumlit","Click for test report")</f>
        <v>Click for test report</v>
      </c>
      <c r="C404">
        <v>1940</v>
      </c>
      <c r="D404" t="s">
        <v>6624</v>
      </c>
      <c r="F404" t="s">
        <v>3442</v>
      </c>
      <c r="G404" t="s">
        <v>3442</v>
      </c>
      <c r="H404" t="s">
        <v>6039</v>
      </c>
      <c r="I404" t="s">
        <v>50</v>
      </c>
      <c r="J404" t="s">
        <v>96</v>
      </c>
      <c r="K404" t="s">
        <v>21</v>
      </c>
      <c r="M404" t="s">
        <v>713</v>
      </c>
      <c r="N404" t="s">
        <v>1371</v>
      </c>
      <c r="O404" t="s">
        <v>24</v>
      </c>
    </row>
    <row r="405" spans="1:15" x14ac:dyDescent="0.25">
      <c r="A405">
        <v>404</v>
      </c>
      <c r="B405" t="str">
        <f>HYPERLINK("https://digitalcommons.unl.edu/cgi/viewcontent.cgi?article=1979&amp;context=tractormuseumlit","Click for test report")</f>
        <v>Click for test report</v>
      </c>
      <c r="C405">
        <v>1940</v>
      </c>
      <c r="D405" t="s">
        <v>6621</v>
      </c>
      <c r="F405" t="s">
        <v>6226</v>
      </c>
      <c r="G405" t="s">
        <v>6226</v>
      </c>
      <c r="H405" t="s">
        <v>6412</v>
      </c>
      <c r="I405" t="s">
        <v>50</v>
      </c>
      <c r="J405" t="s">
        <v>348</v>
      </c>
      <c r="K405" t="s">
        <v>4809</v>
      </c>
      <c r="M405" t="s">
        <v>4440</v>
      </c>
      <c r="N405" t="s">
        <v>4355</v>
      </c>
      <c r="O405" t="s">
        <v>6623</v>
      </c>
    </row>
    <row r="406" spans="1:15" x14ac:dyDescent="0.25">
      <c r="A406">
        <v>405</v>
      </c>
      <c r="B406" t="str">
        <f>HYPERLINK("https://digitalcommons.unl.edu/cgi/viewcontent.cgi?article=1979&amp;context=tractormuseumlit","Click for test report")</f>
        <v>Click for test report</v>
      </c>
      <c r="C406">
        <v>1940</v>
      </c>
      <c r="D406" t="s">
        <v>6621</v>
      </c>
      <c r="F406" t="s">
        <v>6226</v>
      </c>
      <c r="G406" t="s">
        <v>6226</v>
      </c>
      <c r="H406" t="s">
        <v>6622</v>
      </c>
      <c r="I406" t="s">
        <v>50</v>
      </c>
      <c r="J406" t="s">
        <v>348</v>
      </c>
      <c r="K406" t="s">
        <v>4809</v>
      </c>
      <c r="M406" t="s">
        <v>4440</v>
      </c>
      <c r="N406" t="s">
        <v>4355</v>
      </c>
      <c r="O406" t="s">
        <v>24</v>
      </c>
    </row>
    <row r="407" spans="1:15" x14ac:dyDescent="0.25">
      <c r="A407">
        <v>406</v>
      </c>
      <c r="B407" t="str">
        <f>HYPERLINK("https://digitalcommons.unl.edu/cgi/viewcontent.cgi?article=1980&amp;context=tractormuseumlit","Click for test report")</f>
        <v>Click for test report</v>
      </c>
      <c r="C407">
        <v>1940</v>
      </c>
      <c r="D407" t="s">
        <v>4220</v>
      </c>
      <c r="F407" t="s">
        <v>4325</v>
      </c>
      <c r="G407" t="s">
        <v>4325</v>
      </c>
      <c r="H407" t="s">
        <v>6620</v>
      </c>
      <c r="I407" t="s">
        <v>50</v>
      </c>
      <c r="J407" t="s">
        <v>96</v>
      </c>
      <c r="K407" t="s">
        <v>21</v>
      </c>
      <c r="M407" t="s">
        <v>2030</v>
      </c>
      <c r="N407" t="s">
        <v>2029</v>
      </c>
      <c r="O407" t="s">
        <v>24</v>
      </c>
    </row>
    <row r="408" spans="1:15" x14ac:dyDescent="0.25">
      <c r="A408">
        <v>407</v>
      </c>
      <c r="B408" t="str">
        <f>HYPERLINK("https://digitalcommons.unl.edu/cgi/viewcontent.cgi?article=1981&amp;context=tractormuseumlit","Click for test report")</f>
        <v>Click for test report</v>
      </c>
      <c r="C408">
        <v>1940</v>
      </c>
      <c r="D408" t="s">
        <v>6618</v>
      </c>
      <c r="F408" t="s">
        <v>4325</v>
      </c>
      <c r="G408" t="s">
        <v>4325</v>
      </c>
      <c r="H408" t="s">
        <v>6619</v>
      </c>
      <c r="I408" t="s">
        <v>50</v>
      </c>
      <c r="J408" t="s">
        <v>96</v>
      </c>
      <c r="K408" t="s">
        <v>21</v>
      </c>
      <c r="M408" t="s">
        <v>123</v>
      </c>
      <c r="N408" t="s">
        <v>565</v>
      </c>
      <c r="O408" t="s">
        <v>24</v>
      </c>
    </row>
    <row r="409" spans="1:15" x14ac:dyDescent="0.25">
      <c r="A409">
        <v>408</v>
      </c>
      <c r="B409" t="str">
        <f>HYPERLINK("https://digitalcommons.unl.edu/cgi/viewcontent.cgi?article=1982&amp;context=tractormuseumlit","Click for test report")</f>
        <v>Click for test report</v>
      </c>
      <c r="C409">
        <v>1940</v>
      </c>
      <c r="D409" t="s">
        <v>4142</v>
      </c>
      <c r="F409" t="s">
        <v>4325</v>
      </c>
      <c r="G409" t="s">
        <v>4325</v>
      </c>
      <c r="H409" t="s">
        <v>6617</v>
      </c>
      <c r="I409" t="s">
        <v>50</v>
      </c>
      <c r="J409" t="s">
        <v>96</v>
      </c>
      <c r="K409" t="s">
        <v>21</v>
      </c>
      <c r="M409" t="s">
        <v>527</v>
      </c>
      <c r="N409" t="s">
        <v>359</v>
      </c>
      <c r="O409" t="s">
        <v>24</v>
      </c>
    </row>
    <row r="410" spans="1:15" x14ac:dyDescent="0.25">
      <c r="A410">
        <v>409</v>
      </c>
      <c r="B410" t="str">
        <f>HYPERLINK("https://digitalcommons.unl.edu/cgi/viewcontent.cgi?article=1983&amp;context=tractormuseumlit","Click for test report")</f>
        <v>Click for test report</v>
      </c>
      <c r="C410">
        <v>1940</v>
      </c>
      <c r="D410" t="s">
        <v>6616</v>
      </c>
      <c r="F410" t="s">
        <v>4325</v>
      </c>
      <c r="G410" t="s">
        <v>4325</v>
      </c>
      <c r="H410" t="s">
        <v>6615</v>
      </c>
      <c r="I410" t="s">
        <v>50</v>
      </c>
      <c r="J410" t="s">
        <v>348</v>
      </c>
      <c r="K410" t="s">
        <v>6351</v>
      </c>
      <c r="M410" t="s">
        <v>4627</v>
      </c>
      <c r="N410" t="s">
        <v>4628</v>
      </c>
      <c r="O410" t="s">
        <v>24</v>
      </c>
    </row>
    <row r="411" spans="1:15" x14ac:dyDescent="0.25">
      <c r="A411">
        <v>410</v>
      </c>
      <c r="B411" t="str">
        <f>HYPERLINK("https://digitalcommons.unl.edu/cgi/viewcontent.cgi?article=1984&amp;context=tractormuseumlit","Click for test report")</f>
        <v>Click for test report</v>
      </c>
      <c r="C411">
        <v>1940</v>
      </c>
      <c r="D411" t="s">
        <v>6614</v>
      </c>
      <c r="F411" t="s">
        <v>4325</v>
      </c>
      <c r="G411" t="s">
        <v>4325</v>
      </c>
      <c r="H411" t="s">
        <v>6615</v>
      </c>
      <c r="I411" t="s">
        <v>50</v>
      </c>
      <c r="J411" t="s">
        <v>348</v>
      </c>
      <c r="K411" t="s">
        <v>4809</v>
      </c>
      <c r="M411" t="s">
        <v>4358</v>
      </c>
      <c r="N411" t="s">
        <v>4449</v>
      </c>
      <c r="O411" t="s">
        <v>24</v>
      </c>
    </row>
    <row r="412" spans="1:15" x14ac:dyDescent="0.25">
      <c r="A412">
        <v>411</v>
      </c>
      <c r="B412" t="str">
        <f>HYPERLINK("https://digitalcommons.unl.edu/cgi/viewcontent.cgi?article=1502&amp;context=tractormuseumlit","Click for test report")</f>
        <v>Click for test report</v>
      </c>
      <c r="C412">
        <v>1941</v>
      </c>
      <c r="D412" t="s">
        <v>6612</v>
      </c>
      <c r="F412" t="s">
        <v>5345</v>
      </c>
      <c r="G412" t="s">
        <v>5345</v>
      </c>
      <c r="H412" t="s">
        <v>6613</v>
      </c>
      <c r="I412" t="s">
        <v>50</v>
      </c>
      <c r="J412" t="s">
        <v>348</v>
      </c>
      <c r="K412" t="s">
        <v>4809</v>
      </c>
      <c r="M412" t="s">
        <v>2627</v>
      </c>
      <c r="N412" t="s">
        <v>2825</v>
      </c>
      <c r="O412" t="s">
        <v>24</v>
      </c>
    </row>
    <row r="413" spans="1:15" x14ac:dyDescent="0.25">
      <c r="A413">
        <v>412</v>
      </c>
      <c r="B413" t="str">
        <f>HYPERLINK("https://digitalcommons.unl.edu/cgi/viewcontent.cgi?article=1092&amp;context=tractormuseumlit","Click for test report")</f>
        <v>Click for test report</v>
      </c>
      <c r="C413">
        <v>1941</v>
      </c>
      <c r="D413" t="s">
        <v>6611</v>
      </c>
      <c r="F413" t="s">
        <v>17</v>
      </c>
      <c r="G413" t="s">
        <v>17</v>
      </c>
      <c r="H413" t="s">
        <v>6459</v>
      </c>
      <c r="I413" t="s">
        <v>50</v>
      </c>
      <c r="J413" t="s">
        <v>348</v>
      </c>
      <c r="K413" t="s">
        <v>6351</v>
      </c>
      <c r="M413" t="s">
        <v>4359</v>
      </c>
      <c r="N413" t="s">
        <v>4449</v>
      </c>
      <c r="O413" t="s">
        <v>24</v>
      </c>
    </row>
    <row r="414" spans="1:15" x14ac:dyDescent="0.25">
      <c r="A414">
        <v>413</v>
      </c>
      <c r="B414" t="str">
        <f>HYPERLINK("https://digitalcommons.unl.edu/cgi/viewcontent.cgi?article=1985&amp;context=tractormuseumlit","Click for test report")</f>
        <v>Click for test report</v>
      </c>
      <c r="C414">
        <v>1941</v>
      </c>
      <c r="D414" t="s">
        <v>6610</v>
      </c>
      <c r="F414" t="s">
        <v>3800</v>
      </c>
      <c r="G414" t="s">
        <v>4473</v>
      </c>
      <c r="H414" t="s">
        <v>6373</v>
      </c>
      <c r="I414" t="s">
        <v>50</v>
      </c>
      <c r="J414" t="s">
        <v>348</v>
      </c>
      <c r="K414" t="s">
        <v>6351</v>
      </c>
      <c r="M414" t="s">
        <v>4444</v>
      </c>
      <c r="N414" t="s">
        <v>4627</v>
      </c>
      <c r="O414" t="s">
        <v>24</v>
      </c>
    </row>
    <row r="415" spans="1:15" x14ac:dyDescent="0.25">
      <c r="A415">
        <v>414</v>
      </c>
      <c r="B415" t="str">
        <f>HYPERLINK("https://digitalcommons.unl.edu/cgi/viewcontent.cgi?article=1986&amp;context=tractormuseumlit","Click for test report")</f>
        <v>Click for test report</v>
      </c>
      <c r="C415">
        <v>1941</v>
      </c>
      <c r="D415" t="s">
        <v>6608</v>
      </c>
      <c r="F415" t="s">
        <v>4503</v>
      </c>
      <c r="G415" t="s">
        <v>6340</v>
      </c>
      <c r="H415" t="s">
        <v>6609</v>
      </c>
      <c r="I415" t="s">
        <v>50</v>
      </c>
      <c r="J415" t="s">
        <v>348</v>
      </c>
      <c r="K415" t="s">
        <v>21</v>
      </c>
      <c r="M415" t="s">
        <v>2825</v>
      </c>
      <c r="N415" t="s">
        <v>4008</v>
      </c>
      <c r="O415" t="s">
        <v>24</v>
      </c>
    </row>
    <row r="416" spans="1:15" x14ac:dyDescent="0.25">
      <c r="A416">
        <v>415</v>
      </c>
      <c r="B416" t="str">
        <f>HYPERLINK("https://digitalcommons.unl.edu/cgi/viewcontent.cgi?article=1987&amp;context=tractormuseumlit","Click for test report")</f>
        <v>Click for test report</v>
      </c>
      <c r="C416">
        <v>1941</v>
      </c>
      <c r="D416" t="s">
        <v>6607</v>
      </c>
      <c r="F416" t="s">
        <v>4503</v>
      </c>
      <c r="G416" t="s">
        <v>6340</v>
      </c>
      <c r="H416" t="s">
        <v>6606</v>
      </c>
      <c r="I416" t="s">
        <v>50</v>
      </c>
      <c r="J416" t="s">
        <v>348</v>
      </c>
      <c r="K416" t="s">
        <v>4809</v>
      </c>
      <c r="M416" t="s">
        <v>1650</v>
      </c>
      <c r="N416" t="s">
        <v>1009</v>
      </c>
      <c r="O416" t="s">
        <v>24</v>
      </c>
    </row>
    <row r="417" spans="1:15" x14ac:dyDescent="0.25">
      <c r="A417">
        <v>416</v>
      </c>
      <c r="B417" t="str">
        <f>HYPERLINK("https://digitalcommons.unl.edu/cgi/viewcontent.cgi?article=1988&amp;context=tractormuseumlit","Click for test report")</f>
        <v>Click for test report</v>
      </c>
      <c r="C417">
        <v>1941</v>
      </c>
      <c r="D417" t="s">
        <v>1209</v>
      </c>
      <c r="F417" t="s">
        <v>4503</v>
      </c>
      <c r="G417" t="s">
        <v>6340</v>
      </c>
      <c r="H417" t="s">
        <v>6475</v>
      </c>
      <c r="I417" t="s">
        <v>50</v>
      </c>
      <c r="J417" t="s">
        <v>348</v>
      </c>
      <c r="K417" t="s">
        <v>21</v>
      </c>
      <c r="M417" t="s">
        <v>410</v>
      </c>
      <c r="N417" t="s">
        <v>3152</v>
      </c>
      <c r="O417" t="s">
        <v>24</v>
      </c>
    </row>
    <row r="418" spans="1:15" x14ac:dyDescent="0.25">
      <c r="A418">
        <v>417</v>
      </c>
      <c r="B418" t="str">
        <f>HYPERLINK("https://digitalcommons.unl.edu/cgi/viewcontent.cgi?article=1989&amp;context=tractormuseumlit","Click for test report")</f>
        <v>Click for test report</v>
      </c>
      <c r="C418">
        <v>1941</v>
      </c>
      <c r="D418" t="s">
        <v>6605</v>
      </c>
      <c r="F418" t="s">
        <v>4503</v>
      </c>
      <c r="G418" t="s">
        <v>6340</v>
      </c>
      <c r="H418" t="s">
        <v>6606</v>
      </c>
      <c r="I418" t="s">
        <v>50</v>
      </c>
      <c r="J418" t="s">
        <v>348</v>
      </c>
      <c r="K418" t="s">
        <v>6351</v>
      </c>
      <c r="M418" t="s">
        <v>410</v>
      </c>
      <c r="N418" t="s">
        <v>3152</v>
      </c>
      <c r="O418" t="s">
        <v>24</v>
      </c>
    </row>
    <row r="419" spans="1:15" x14ac:dyDescent="0.25">
      <c r="A419">
        <v>418</v>
      </c>
      <c r="B419" t="str">
        <f>HYPERLINK("https://digitalcommons.unl.edu/cgi/viewcontent.cgi?article=1990&amp;context=tractormuseumlit","Click for test report")</f>
        <v>Click for test report</v>
      </c>
      <c r="C419">
        <v>1941</v>
      </c>
      <c r="D419" t="s">
        <v>6603</v>
      </c>
      <c r="F419" t="s">
        <v>4503</v>
      </c>
      <c r="G419" t="s">
        <v>4503</v>
      </c>
      <c r="H419" t="s">
        <v>6604</v>
      </c>
      <c r="I419" t="s">
        <v>50</v>
      </c>
      <c r="J419" t="s">
        <v>96</v>
      </c>
      <c r="K419" t="s">
        <v>4809</v>
      </c>
      <c r="M419" t="s">
        <v>410</v>
      </c>
      <c r="N419" t="s">
        <v>2699</v>
      </c>
      <c r="O419" t="s">
        <v>24</v>
      </c>
    </row>
    <row r="420" spans="1:15" x14ac:dyDescent="0.25">
      <c r="A420">
        <v>419</v>
      </c>
      <c r="B420" t="str">
        <f>HYPERLINK("https://digitalcommons.unl.edu/cgi/viewcontent.cgi?article=1057&amp;context=tractormuseumlit","Click for test report")</f>
        <v>Click for test report</v>
      </c>
      <c r="C420">
        <v>1941</v>
      </c>
      <c r="D420" t="s">
        <v>6602</v>
      </c>
      <c r="F420" t="s">
        <v>17</v>
      </c>
      <c r="G420" t="s">
        <v>17</v>
      </c>
      <c r="H420" t="s">
        <v>6399</v>
      </c>
      <c r="I420" t="s">
        <v>50</v>
      </c>
      <c r="J420" t="s">
        <v>348</v>
      </c>
      <c r="K420" t="s">
        <v>4809</v>
      </c>
      <c r="M420" t="s">
        <v>4452</v>
      </c>
      <c r="N420" t="s">
        <v>4935</v>
      </c>
      <c r="O420" t="s">
        <v>24</v>
      </c>
    </row>
    <row r="421" spans="1:15" x14ac:dyDescent="0.25">
      <c r="A421">
        <v>420</v>
      </c>
      <c r="B421" t="str">
        <f>HYPERLINK("https://digitalcommons.unl.edu/cgi/viewcontent.cgi?article=1991&amp;context=tractormuseumlit","Click for test report")</f>
        <v>Click for test report</v>
      </c>
      <c r="C421">
        <v>1941</v>
      </c>
      <c r="D421" t="s">
        <v>6601</v>
      </c>
      <c r="F421" t="s">
        <v>3442</v>
      </c>
      <c r="G421" t="s">
        <v>3442</v>
      </c>
      <c r="H421" t="s">
        <v>5977</v>
      </c>
      <c r="I421" t="s">
        <v>50</v>
      </c>
      <c r="J421" t="s">
        <v>96</v>
      </c>
      <c r="K421" t="s">
        <v>21</v>
      </c>
      <c r="M421" t="s">
        <v>1371</v>
      </c>
      <c r="N421" t="s">
        <v>728</v>
      </c>
      <c r="O421" t="s">
        <v>24</v>
      </c>
    </row>
    <row r="422" spans="1:15" x14ac:dyDescent="0.25">
      <c r="A422">
        <v>421</v>
      </c>
      <c r="B422" t="str">
        <f>HYPERLINK("https://digitalcommons.unl.edu/cgi/viewcontent.cgi?article=1503&amp;context=tractormuseumlit","Click for test report")</f>
        <v>Click for test report</v>
      </c>
      <c r="C422">
        <v>1941</v>
      </c>
      <c r="D422" t="s">
        <v>1308</v>
      </c>
      <c r="F422" t="s">
        <v>5345</v>
      </c>
      <c r="G422" t="s">
        <v>5345</v>
      </c>
      <c r="H422" t="s">
        <v>6600</v>
      </c>
      <c r="I422" t="s">
        <v>50</v>
      </c>
      <c r="J422" t="s">
        <v>348</v>
      </c>
      <c r="K422" t="s">
        <v>4809</v>
      </c>
      <c r="M422" t="s">
        <v>4449</v>
      </c>
      <c r="N422" t="s">
        <v>4628</v>
      </c>
      <c r="O422" t="s">
        <v>24</v>
      </c>
    </row>
    <row r="423" spans="1:15" x14ac:dyDescent="0.25">
      <c r="A423">
        <v>422</v>
      </c>
      <c r="B423" t="str">
        <f>HYPERLINK("https://digitalcommons.unl.edu/cgi/viewcontent.cgi?article=1992&amp;context=tractormuseumlit","Click for test report")</f>
        <v>Click for test report</v>
      </c>
      <c r="C423">
        <v>1941</v>
      </c>
      <c r="D423" t="s">
        <v>6596</v>
      </c>
      <c r="F423" t="s">
        <v>6226</v>
      </c>
      <c r="G423" t="s">
        <v>6226</v>
      </c>
      <c r="H423" t="s">
        <v>6412</v>
      </c>
      <c r="I423" t="s">
        <v>50</v>
      </c>
      <c r="J423" t="s">
        <v>348</v>
      </c>
      <c r="K423" t="s">
        <v>4809</v>
      </c>
      <c r="M423" t="s">
        <v>4352</v>
      </c>
      <c r="N423" t="s">
        <v>4359</v>
      </c>
      <c r="O423" t="s">
        <v>6598</v>
      </c>
    </row>
    <row r="424" spans="1:15" x14ac:dyDescent="0.25">
      <c r="A424">
        <v>423</v>
      </c>
      <c r="B424" t="str">
        <f>HYPERLINK("https://digitalcommons.unl.edu/cgi/viewcontent.cgi?article=1992&amp;context=tractormuseumlit","Click for test report")</f>
        <v>Click for test report</v>
      </c>
      <c r="C424">
        <v>1941</v>
      </c>
      <c r="D424" t="s">
        <v>6596</v>
      </c>
      <c r="F424" t="s">
        <v>6226</v>
      </c>
      <c r="G424" t="s">
        <v>6226</v>
      </c>
      <c r="H424" t="s">
        <v>6599</v>
      </c>
      <c r="I424" t="s">
        <v>50</v>
      </c>
      <c r="J424" t="s">
        <v>348</v>
      </c>
      <c r="K424" t="s">
        <v>4809</v>
      </c>
      <c r="M424" t="s">
        <v>4352</v>
      </c>
      <c r="N424" t="s">
        <v>4359</v>
      </c>
      <c r="O424" t="s">
        <v>24</v>
      </c>
    </row>
    <row r="425" spans="1:15" x14ac:dyDescent="0.25">
      <c r="A425">
        <v>424</v>
      </c>
      <c r="B425" t="str">
        <f>HYPERLINK("https://digitalcommons.unl.edu/cgi/viewcontent.cgi?article=1992&amp;context=tractormuseumlit","Click for test report")</f>
        <v>Click for test report</v>
      </c>
      <c r="C425">
        <v>1941</v>
      </c>
      <c r="D425" t="s">
        <v>6596</v>
      </c>
      <c r="F425" t="s">
        <v>6226</v>
      </c>
      <c r="G425" t="s">
        <v>6226</v>
      </c>
      <c r="H425" t="s">
        <v>6597</v>
      </c>
      <c r="I425" t="s">
        <v>50</v>
      </c>
      <c r="J425" t="s">
        <v>348</v>
      </c>
      <c r="K425" t="s">
        <v>4809</v>
      </c>
      <c r="M425" t="s">
        <v>4352</v>
      </c>
      <c r="N425" t="s">
        <v>4359</v>
      </c>
      <c r="O425" t="s">
        <v>6598</v>
      </c>
    </row>
    <row r="426" spans="1:15" x14ac:dyDescent="0.25">
      <c r="A426">
        <v>425</v>
      </c>
      <c r="B426" t="str">
        <f>HYPERLINK("https://digitalcommons.unl.edu/cgi/viewcontent.cgi?article=1993&amp;context=tractormuseumlit","Click for test report")</f>
        <v>Click for test report</v>
      </c>
      <c r="C426">
        <v>1941</v>
      </c>
      <c r="D426" t="s">
        <v>6594</v>
      </c>
      <c r="F426" t="s">
        <v>6226</v>
      </c>
      <c r="G426" t="s">
        <v>6226</v>
      </c>
      <c r="H426" t="s">
        <v>6595</v>
      </c>
      <c r="I426" t="s">
        <v>50</v>
      </c>
      <c r="J426" t="s">
        <v>348</v>
      </c>
      <c r="K426" t="s">
        <v>4809</v>
      </c>
      <c r="M426" t="s">
        <v>410</v>
      </c>
      <c r="N426" t="s">
        <v>3388</v>
      </c>
      <c r="O426" t="s">
        <v>24</v>
      </c>
    </row>
    <row r="427" spans="1:15" x14ac:dyDescent="0.25">
      <c r="A427">
        <v>426</v>
      </c>
      <c r="B427" t="str">
        <f>HYPERLINK("https://digitalcommons.unl.edu/cgi/viewcontent.cgi?article=1058&amp;context=tractormuseumlit","Click for test report")</f>
        <v>Click for test report</v>
      </c>
      <c r="C427">
        <v>1941</v>
      </c>
      <c r="D427" t="s">
        <v>6593</v>
      </c>
      <c r="F427" t="s">
        <v>17</v>
      </c>
      <c r="G427" t="s">
        <v>17</v>
      </c>
      <c r="H427" t="s">
        <v>6499</v>
      </c>
      <c r="I427" t="s">
        <v>50</v>
      </c>
      <c r="J427" t="s">
        <v>348</v>
      </c>
      <c r="K427" t="s">
        <v>6351</v>
      </c>
      <c r="M427" t="s">
        <v>4440</v>
      </c>
      <c r="N427" t="s">
        <v>4013</v>
      </c>
      <c r="O427" t="s">
        <v>24</v>
      </c>
    </row>
    <row r="428" spans="1:15" x14ac:dyDescent="0.25">
      <c r="A428">
        <v>427</v>
      </c>
      <c r="B428" t="str">
        <f>HYPERLINK("https://digitalcommons.unl.edu/cgi/viewcontent.cgi?article=1994&amp;context=tractormuseumlit","Click for test report")</f>
        <v>Click for test report</v>
      </c>
      <c r="C428">
        <v>1946</v>
      </c>
      <c r="D428" t="s">
        <v>6589</v>
      </c>
      <c r="F428" t="s">
        <v>6570</v>
      </c>
      <c r="G428" t="s">
        <v>6570</v>
      </c>
      <c r="H428" t="s">
        <v>6590</v>
      </c>
      <c r="I428" t="s">
        <v>6005</v>
      </c>
      <c r="J428" t="s">
        <v>348</v>
      </c>
      <c r="K428" t="s">
        <v>4809</v>
      </c>
      <c r="M428" t="s">
        <v>6002</v>
      </c>
      <c r="N428" t="s">
        <v>6006</v>
      </c>
      <c r="O428" t="s">
        <v>6592</v>
      </c>
    </row>
    <row r="429" spans="1:15" x14ac:dyDescent="0.25">
      <c r="A429">
        <v>428</v>
      </c>
      <c r="B429" t="str">
        <f>HYPERLINK("https://digitalcommons.unl.edu/cgi/viewcontent.cgi?article=1994&amp;context=tractormuseumlit","Click for test report")</f>
        <v>Click for test report</v>
      </c>
      <c r="C429">
        <v>1946</v>
      </c>
      <c r="D429" t="s">
        <v>6589</v>
      </c>
      <c r="F429" t="s">
        <v>6570</v>
      </c>
      <c r="G429" t="s">
        <v>6570</v>
      </c>
      <c r="H429" t="s">
        <v>6590</v>
      </c>
      <c r="I429" t="s">
        <v>6005</v>
      </c>
      <c r="J429" t="s">
        <v>348</v>
      </c>
      <c r="K429" t="s">
        <v>4809</v>
      </c>
      <c r="M429" t="s">
        <v>6002</v>
      </c>
      <c r="N429" t="s">
        <v>6006</v>
      </c>
      <c r="O429" t="s">
        <v>6591</v>
      </c>
    </row>
    <row r="430" spans="1:15" x14ac:dyDescent="0.25">
      <c r="A430">
        <v>429</v>
      </c>
      <c r="B430" t="str">
        <f>HYPERLINK("https://digitalcommons.unl.edu/cgi/viewcontent.cgi?article=1059&amp;context=tractormuseumlit","Click for test report")</f>
        <v>Click for test report</v>
      </c>
      <c r="C430">
        <v>1947</v>
      </c>
      <c r="D430" t="s">
        <v>6588</v>
      </c>
      <c r="F430" t="s">
        <v>17</v>
      </c>
      <c r="G430" t="s">
        <v>17</v>
      </c>
      <c r="H430" t="s">
        <v>6459</v>
      </c>
      <c r="I430" t="s">
        <v>50</v>
      </c>
      <c r="J430" t="s">
        <v>348</v>
      </c>
      <c r="K430" t="s">
        <v>4809</v>
      </c>
      <c r="M430" t="s">
        <v>4352</v>
      </c>
      <c r="N430" t="s">
        <v>4355</v>
      </c>
      <c r="O430" t="s">
        <v>24</v>
      </c>
    </row>
    <row r="431" spans="1:15" x14ac:dyDescent="0.25">
      <c r="A431">
        <v>430</v>
      </c>
      <c r="B431" t="str">
        <f>HYPERLINK("https://digitalcommons.unl.edu/cgi/viewcontent.cgi?article=1060&amp;context=tractormuseumlit","Click for test report")</f>
        <v>Click for test report</v>
      </c>
      <c r="C431">
        <v>1947</v>
      </c>
      <c r="D431" t="s">
        <v>6587</v>
      </c>
      <c r="F431" t="s">
        <v>17</v>
      </c>
      <c r="G431" t="s">
        <v>17</v>
      </c>
      <c r="H431" t="s">
        <v>6459</v>
      </c>
      <c r="I431" t="s">
        <v>50</v>
      </c>
      <c r="J431" t="s">
        <v>348</v>
      </c>
      <c r="K431" t="s">
        <v>6166</v>
      </c>
      <c r="M431" t="s">
        <v>4358</v>
      </c>
      <c r="N431" t="s">
        <v>4362</v>
      </c>
      <c r="O431" t="s">
        <v>24</v>
      </c>
    </row>
    <row r="432" spans="1:15" x14ac:dyDescent="0.25">
      <c r="A432">
        <v>431</v>
      </c>
      <c r="B432" t="str">
        <f>HYPERLINK("https://digitalcommons.unl.edu/cgi/viewcontent.cgi?article=1995&amp;context=tractormuseumlit","Click for test report")</f>
        <v>Click for test report</v>
      </c>
      <c r="C432">
        <v>1947</v>
      </c>
      <c r="D432" t="s">
        <v>6583</v>
      </c>
      <c r="F432" t="s">
        <v>5831</v>
      </c>
      <c r="G432" t="s">
        <v>5831</v>
      </c>
      <c r="H432" t="s">
        <v>6220</v>
      </c>
      <c r="I432" t="s">
        <v>50</v>
      </c>
      <c r="J432" t="s">
        <v>348</v>
      </c>
      <c r="K432" t="s">
        <v>4809</v>
      </c>
      <c r="M432" t="s">
        <v>4008</v>
      </c>
      <c r="N432" t="s">
        <v>4352</v>
      </c>
      <c r="O432" t="s">
        <v>24</v>
      </c>
    </row>
    <row r="433" spans="1:15" x14ac:dyDescent="0.25">
      <c r="A433">
        <v>432</v>
      </c>
      <c r="B433" t="str">
        <f>HYPERLINK("https://digitalcommons.unl.edu/cgi/viewcontent.cgi?article=1995&amp;context=tractormuseumlit","Click for test report")</f>
        <v>Click for test report</v>
      </c>
      <c r="C433">
        <v>1947</v>
      </c>
      <c r="D433" t="s">
        <v>6583</v>
      </c>
      <c r="F433" t="s">
        <v>5831</v>
      </c>
      <c r="G433" t="s">
        <v>6387</v>
      </c>
      <c r="H433" t="s">
        <v>6586</v>
      </c>
      <c r="I433" t="s">
        <v>50</v>
      </c>
      <c r="J433" t="s">
        <v>348</v>
      </c>
      <c r="K433" t="s">
        <v>4809</v>
      </c>
      <c r="M433" t="s">
        <v>4008</v>
      </c>
      <c r="N433" t="s">
        <v>4352</v>
      </c>
      <c r="O433" t="s">
        <v>24</v>
      </c>
    </row>
    <row r="434" spans="1:15" x14ac:dyDescent="0.25">
      <c r="A434">
        <v>433</v>
      </c>
      <c r="B434" t="str">
        <f>HYPERLINK("https://digitalcommons.unl.edu/cgi/viewcontent.cgi?article=1995&amp;context=tractormuseumlit","Click for test report")</f>
        <v>Click for test report</v>
      </c>
      <c r="C434">
        <v>1947</v>
      </c>
      <c r="D434" t="s">
        <v>6583</v>
      </c>
      <c r="F434" t="s">
        <v>5831</v>
      </c>
      <c r="G434" t="s">
        <v>6584</v>
      </c>
      <c r="H434" t="s">
        <v>6220</v>
      </c>
      <c r="I434" t="s">
        <v>50</v>
      </c>
      <c r="J434" t="s">
        <v>348</v>
      </c>
      <c r="K434" t="s">
        <v>4809</v>
      </c>
      <c r="M434" t="s">
        <v>4008</v>
      </c>
      <c r="N434" t="s">
        <v>4352</v>
      </c>
      <c r="O434" t="s">
        <v>6585</v>
      </c>
    </row>
    <row r="435" spans="1:15" x14ac:dyDescent="0.25">
      <c r="A435">
        <v>434</v>
      </c>
      <c r="B435" t="str">
        <f>HYPERLINK("https://digitalcommons.unl.edu/cgi/viewcontent.cgi?article=1061&amp;context=tractormuseumlit","Click for test report")</f>
        <v>Click for test report</v>
      </c>
      <c r="C435">
        <v>1947</v>
      </c>
      <c r="D435" t="s">
        <v>6582</v>
      </c>
      <c r="F435" t="s">
        <v>17</v>
      </c>
      <c r="G435" t="s">
        <v>17</v>
      </c>
      <c r="H435" t="s">
        <v>4809</v>
      </c>
      <c r="I435" t="s">
        <v>50</v>
      </c>
      <c r="J435" t="s">
        <v>348</v>
      </c>
      <c r="K435" t="s">
        <v>6166</v>
      </c>
      <c r="M435" t="s">
        <v>1802</v>
      </c>
      <c r="N435" t="s">
        <v>3388</v>
      </c>
      <c r="O435" t="s">
        <v>24</v>
      </c>
    </row>
    <row r="436" spans="1:15" x14ac:dyDescent="0.25">
      <c r="A436">
        <v>435</v>
      </c>
      <c r="B436" t="str">
        <f>HYPERLINK("https://digitalcommons.unl.edu/cgi/viewcontent.cgi?article=1062&amp;context=tractormuseumlit","Click for test report")</f>
        <v>Click for test report</v>
      </c>
      <c r="C436">
        <v>1947</v>
      </c>
      <c r="D436" t="s">
        <v>6581</v>
      </c>
      <c r="F436" t="s">
        <v>17</v>
      </c>
      <c r="G436" t="s">
        <v>17</v>
      </c>
      <c r="H436" t="s">
        <v>6539</v>
      </c>
      <c r="I436" t="s">
        <v>50</v>
      </c>
      <c r="J436" t="s">
        <v>348</v>
      </c>
      <c r="K436" t="s">
        <v>4809</v>
      </c>
      <c r="M436" t="s">
        <v>1802</v>
      </c>
      <c r="N436" t="s">
        <v>3388</v>
      </c>
      <c r="O436" t="s">
        <v>24</v>
      </c>
    </row>
    <row r="437" spans="1:15" x14ac:dyDescent="0.25">
      <c r="A437">
        <v>436</v>
      </c>
      <c r="B437" t="str">
        <f>HYPERLINK("https://digitalcommons.unl.edu/cgi/viewcontent.cgi?article=1996&amp;context=tractormuseumlit","Click for test report")</f>
        <v>Click for test report</v>
      </c>
      <c r="C437">
        <v>1947</v>
      </c>
      <c r="D437" t="s">
        <v>6580</v>
      </c>
      <c r="F437" t="s">
        <v>4395</v>
      </c>
      <c r="G437" t="s">
        <v>3708</v>
      </c>
      <c r="H437" t="s">
        <v>6471</v>
      </c>
      <c r="I437" t="s">
        <v>50</v>
      </c>
      <c r="J437" t="s">
        <v>348</v>
      </c>
      <c r="K437" t="s">
        <v>4809</v>
      </c>
      <c r="M437" t="s">
        <v>4362</v>
      </c>
      <c r="N437" t="s">
        <v>4363</v>
      </c>
      <c r="O437" t="s">
        <v>24</v>
      </c>
    </row>
    <row r="438" spans="1:15" x14ac:dyDescent="0.25">
      <c r="A438">
        <v>437</v>
      </c>
      <c r="B438" t="str">
        <f>HYPERLINK("https://digitalcommons.unl.edu/cgi/viewcontent.cgi?article=1997&amp;context=tractormuseumlit","Click for test report")</f>
        <v>Click for test report</v>
      </c>
      <c r="C438">
        <v>1947</v>
      </c>
      <c r="D438" t="s">
        <v>6578</v>
      </c>
      <c r="F438" t="s">
        <v>4503</v>
      </c>
      <c r="G438" t="s">
        <v>6340</v>
      </c>
      <c r="H438" t="s">
        <v>6579</v>
      </c>
      <c r="I438" t="s">
        <v>50</v>
      </c>
      <c r="J438" t="s">
        <v>348</v>
      </c>
      <c r="K438" t="s">
        <v>4809</v>
      </c>
      <c r="M438" t="s">
        <v>6061</v>
      </c>
      <c r="N438" t="s">
        <v>5739</v>
      </c>
      <c r="O438" t="s">
        <v>24</v>
      </c>
    </row>
    <row r="439" spans="1:15" x14ac:dyDescent="0.25">
      <c r="A439">
        <v>438</v>
      </c>
      <c r="B439" t="str">
        <f>HYPERLINK("https://digitalcommons.unl.edu/cgi/viewcontent.cgi?article=1064&amp;context=tractormuseumlit","Click for test report")</f>
        <v>Click for test report</v>
      </c>
      <c r="C439">
        <v>1947</v>
      </c>
      <c r="D439" t="s">
        <v>6178</v>
      </c>
      <c r="F439" t="s">
        <v>17</v>
      </c>
      <c r="G439" t="s">
        <v>17</v>
      </c>
      <c r="H439" t="s">
        <v>6577</v>
      </c>
      <c r="I439" t="s">
        <v>50</v>
      </c>
      <c r="J439" t="s">
        <v>348</v>
      </c>
      <c r="K439" t="s">
        <v>4809</v>
      </c>
      <c r="M439" t="s">
        <v>4359</v>
      </c>
      <c r="N439" t="s">
        <v>4449</v>
      </c>
      <c r="O439" t="s">
        <v>24</v>
      </c>
    </row>
    <row r="440" spans="1:15" x14ac:dyDescent="0.25">
      <c r="A440">
        <v>439</v>
      </c>
      <c r="B440" t="str">
        <f>HYPERLINK("https://digitalcommons.unl.edu/cgi/viewcontent.cgi?article=1504&amp;context=tractormuseumlit","Click for test report")</f>
        <v>Click for test report</v>
      </c>
      <c r="C440">
        <v>1947</v>
      </c>
      <c r="D440" t="s">
        <v>6575</v>
      </c>
      <c r="F440" t="s">
        <v>5345</v>
      </c>
      <c r="G440" t="s">
        <v>5345</v>
      </c>
      <c r="H440" t="s">
        <v>6576</v>
      </c>
      <c r="I440" t="s">
        <v>50</v>
      </c>
      <c r="J440" t="s">
        <v>348</v>
      </c>
      <c r="K440" t="s">
        <v>4809</v>
      </c>
      <c r="M440" t="s">
        <v>2627</v>
      </c>
      <c r="N440" t="s">
        <v>3973</v>
      </c>
      <c r="O440" t="s">
        <v>24</v>
      </c>
    </row>
    <row r="441" spans="1:15" x14ac:dyDescent="0.25">
      <c r="A441">
        <v>440</v>
      </c>
      <c r="B441" t="str">
        <f>HYPERLINK("https://digitalcommons.unl.edu/cgi/viewcontent.cgi?article=1998&amp;context=tractormuseumlit","Click for test report")</f>
        <v>Click for test report</v>
      </c>
      <c r="C441">
        <v>1947</v>
      </c>
      <c r="D441" t="s">
        <v>6573</v>
      </c>
      <c r="F441" t="s">
        <v>6226</v>
      </c>
      <c r="G441" t="s">
        <v>6226</v>
      </c>
      <c r="H441" t="s">
        <v>6574</v>
      </c>
      <c r="I441" t="s">
        <v>50</v>
      </c>
      <c r="J441" t="s">
        <v>348</v>
      </c>
      <c r="K441" t="s">
        <v>4809</v>
      </c>
      <c r="M441" t="s">
        <v>2511</v>
      </c>
      <c r="N441" t="s">
        <v>2826</v>
      </c>
      <c r="O441" t="s">
        <v>24</v>
      </c>
    </row>
    <row r="442" spans="1:15" x14ac:dyDescent="0.25">
      <c r="A442">
        <v>441</v>
      </c>
      <c r="B442" t="str">
        <f>HYPERLINK("https://digitalcommons.unl.edu/cgi/viewcontent.cgi?article=2000&amp;context=tractormuseumlit","Click for test report")</f>
        <v>Click for test report</v>
      </c>
      <c r="C442">
        <v>1947</v>
      </c>
      <c r="D442" t="s">
        <v>4191</v>
      </c>
      <c r="F442" t="s">
        <v>6570</v>
      </c>
      <c r="G442" t="s">
        <v>6570</v>
      </c>
      <c r="H442" t="s">
        <v>6571</v>
      </c>
      <c r="I442" t="s">
        <v>6005</v>
      </c>
      <c r="J442" t="s">
        <v>348</v>
      </c>
      <c r="K442" t="s">
        <v>4809</v>
      </c>
      <c r="M442" t="s">
        <v>6572</v>
      </c>
      <c r="N442" t="s">
        <v>6002</v>
      </c>
      <c r="O442" t="s">
        <v>24</v>
      </c>
    </row>
    <row r="443" spans="1:15" x14ac:dyDescent="0.25">
      <c r="A443">
        <v>442</v>
      </c>
      <c r="B443" t="str">
        <f>HYPERLINK("https://digitalcommons.unl.edu/cgi/viewcontent.cgi?article=1505&amp;context=tractormuseumlit","Click for test report")</f>
        <v>Click for test report</v>
      </c>
      <c r="C443">
        <v>1947</v>
      </c>
      <c r="D443" t="s">
        <v>6568</v>
      </c>
      <c r="F443" t="s">
        <v>5345</v>
      </c>
      <c r="G443" t="s">
        <v>5345</v>
      </c>
      <c r="H443" t="s">
        <v>6569</v>
      </c>
      <c r="I443" t="s">
        <v>50</v>
      </c>
      <c r="J443" t="s">
        <v>348</v>
      </c>
      <c r="K443" t="s">
        <v>4809</v>
      </c>
      <c r="M443" t="s">
        <v>2090</v>
      </c>
      <c r="N443" t="s">
        <v>1893</v>
      </c>
      <c r="O443" t="s">
        <v>24</v>
      </c>
    </row>
    <row r="444" spans="1:15" x14ac:dyDescent="0.25">
      <c r="A444">
        <v>443</v>
      </c>
      <c r="B444" t="str">
        <f>HYPERLINK("https://digitalcommons.unl.edu/cgi/viewcontent.cgi?article=2001&amp;context=tractormuseumlit","Click for test report")</f>
        <v>Click for test report</v>
      </c>
      <c r="C444">
        <v>1948</v>
      </c>
      <c r="D444" t="s">
        <v>6565</v>
      </c>
      <c r="F444" t="s">
        <v>6431</v>
      </c>
      <c r="G444" t="s">
        <v>6233</v>
      </c>
      <c r="H444" t="s">
        <v>6567</v>
      </c>
      <c r="I444" t="s">
        <v>50</v>
      </c>
      <c r="J444" t="s">
        <v>348</v>
      </c>
      <c r="K444" t="s">
        <v>4809</v>
      </c>
      <c r="M444" t="s">
        <v>4590</v>
      </c>
      <c r="N444" t="s">
        <v>4359</v>
      </c>
      <c r="O444" t="s">
        <v>24</v>
      </c>
    </row>
    <row r="445" spans="1:15" x14ac:dyDescent="0.25">
      <c r="A445">
        <v>444</v>
      </c>
      <c r="B445" t="str">
        <f>HYPERLINK("https://digitalcommons.unl.edu/cgi/viewcontent.cgi?article=2001&amp;context=tractormuseumlit","Click for test report")</f>
        <v>Click for test report</v>
      </c>
      <c r="C445">
        <v>1948</v>
      </c>
      <c r="D445" t="s">
        <v>6565</v>
      </c>
      <c r="F445" t="s">
        <v>6431</v>
      </c>
      <c r="G445" t="s">
        <v>6233</v>
      </c>
      <c r="H445" t="s">
        <v>6566</v>
      </c>
      <c r="I445" t="s">
        <v>50</v>
      </c>
      <c r="J445" t="s">
        <v>348</v>
      </c>
      <c r="K445" t="s">
        <v>4809</v>
      </c>
      <c r="M445" t="s">
        <v>4590</v>
      </c>
      <c r="N445" t="s">
        <v>4359</v>
      </c>
      <c r="O445" t="s">
        <v>24</v>
      </c>
    </row>
    <row r="446" spans="1:15" x14ac:dyDescent="0.25">
      <c r="A446">
        <v>445</v>
      </c>
      <c r="B446" t="str">
        <f>HYPERLINK("https://digitalcommons.unl.edu/cgi/viewcontent.cgi?article=2002&amp;context=tractormuseumlit","Click for test report")</f>
        <v>Click for test report</v>
      </c>
      <c r="C446">
        <v>1948</v>
      </c>
      <c r="D446" t="s">
        <v>3938</v>
      </c>
      <c r="F446" t="s">
        <v>4395</v>
      </c>
      <c r="G446" t="s">
        <v>3708</v>
      </c>
      <c r="H446" t="s">
        <v>6471</v>
      </c>
      <c r="I446" t="s">
        <v>50</v>
      </c>
      <c r="J446" t="s">
        <v>348</v>
      </c>
      <c r="K446" t="s">
        <v>4809</v>
      </c>
      <c r="M446" t="s">
        <v>4590</v>
      </c>
      <c r="N446" t="s">
        <v>4362</v>
      </c>
      <c r="O446" t="s">
        <v>24</v>
      </c>
    </row>
    <row r="447" spans="1:15" x14ac:dyDescent="0.25">
      <c r="A447">
        <v>446</v>
      </c>
      <c r="B447" t="str">
        <f>HYPERLINK("https://digitalcommons.unl.edu/cgi/viewcontent.cgi?article=2004&amp;context=tractormuseumlit","Click for test report")</f>
        <v>Click for test report</v>
      </c>
      <c r="C447">
        <v>1948</v>
      </c>
      <c r="D447" t="s">
        <v>6564</v>
      </c>
      <c r="F447" t="s">
        <v>6226</v>
      </c>
      <c r="G447" t="s">
        <v>6226</v>
      </c>
      <c r="H447" t="s">
        <v>6448</v>
      </c>
      <c r="I447" t="s">
        <v>50</v>
      </c>
      <c r="J447" t="s">
        <v>348</v>
      </c>
      <c r="K447" t="s">
        <v>4809</v>
      </c>
      <c r="M447" t="s">
        <v>353</v>
      </c>
      <c r="N447" t="s">
        <v>3319</v>
      </c>
      <c r="O447" t="s">
        <v>24</v>
      </c>
    </row>
    <row r="448" spans="1:15" x14ac:dyDescent="0.25">
      <c r="A448">
        <v>447</v>
      </c>
      <c r="B448" t="str">
        <f>HYPERLINK("https://digitalcommons.unl.edu/cgi/viewcontent.cgi?article=2005&amp;context=tractormuseumlit","Click for test report")</f>
        <v>Click for test report</v>
      </c>
      <c r="C448">
        <v>1948</v>
      </c>
      <c r="D448" t="s">
        <v>6562</v>
      </c>
      <c r="F448" t="s">
        <v>4503</v>
      </c>
      <c r="G448" t="s">
        <v>6340</v>
      </c>
      <c r="H448" t="s">
        <v>6563</v>
      </c>
      <c r="I448" t="s">
        <v>50</v>
      </c>
      <c r="J448" t="s">
        <v>348</v>
      </c>
      <c r="K448" t="s">
        <v>4809</v>
      </c>
      <c r="M448" t="s">
        <v>4362</v>
      </c>
      <c r="N448" t="s">
        <v>4449</v>
      </c>
      <c r="O448" t="s">
        <v>24</v>
      </c>
    </row>
    <row r="449" spans="1:15" x14ac:dyDescent="0.25">
      <c r="A449">
        <v>448</v>
      </c>
      <c r="B449" t="str">
        <f>HYPERLINK("https://digitalcommons.unl.edu/cgi/viewcontent.cgi?article=2006&amp;context=tractormuseumlit","Click for test report")</f>
        <v>Click for test report</v>
      </c>
      <c r="C449">
        <v>1948</v>
      </c>
      <c r="D449" t="s">
        <v>3934</v>
      </c>
      <c r="F449" t="s">
        <v>4325</v>
      </c>
      <c r="G449" t="s">
        <v>4325</v>
      </c>
      <c r="H449" t="s">
        <v>6561</v>
      </c>
      <c r="I449" t="s">
        <v>50</v>
      </c>
      <c r="J449" t="s">
        <v>96</v>
      </c>
      <c r="K449" t="s">
        <v>21</v>
      </c>
      <c r="M449" t="s">
        <v>407</v>
      </c>
      <c r="N449" t="s">
        <v>1802</v>
      </c>
      <c r="O449" t="s">
        <v>24</v>
      </c>
    </row>
    <row r="450" spans="1:15" x14ac:dyDescent="0.25">
      <c r="A450">
        <v>449</v>
      </c>
      <c r="B450" t="str">
        <f>HYPERLINK("https://digitalcommons.unl.edu/cgi/viewcontent.cgi?article=2007&amp;context=tractormuseumlit","Click for test report")</f>
        <v>Click for test report</v>
      </c>
      <c r="C450">
        <v>1948</v>
      </c>
      <c r="D450" t="s">
        <v>6559</v>
      </c>
      <c r="F450" t="s">
        <v>4325</v>
      </c>
      <c r="G450" t="s">
        <v>4325</v>
      </c>
      <c r="H450" t="s">
        <v>6560</v>
      </c>
      <c r="I450" t="s">
        <v>50</v>
      </c>
      <c r="J450" t="s">
        <v>96</v>
      </c>
      <c r="K450" t="s">
        <v>21</v>
      </c>
      <c r="M450" t="s">
        <v>842</v>
      </c>
      <c r="N450" t="s">
        <v>23</v>
      </c>
      <c r="O450" t="s">
        <v>24</v>
      </c>
    </row>
    <row r="451" spans="1:15" x14ac:dyDescent="0.25">
      <c r="A451">
        <v>450</v>
      </c>
      <c r="B451" t="str">
        <f>HYPERLINK("https://digitalcommons.unl.edu/cgi/viewcontent.cgi?article=2003&amp;context=tractormuseumlit","Click for test report")</f>
        <v>Click for test report</v>
      </c>
      <c r="C451">
        <v>1948</v>
      </c>
      <c r="D451" t="s">
        <v>4255</v>
      </c>
      <c r="F451" t="s">
        <v>4325</v>
      </c>
      <c r="G451" t="s">
        <v>4325</v>
      </c>
      <c r="H451" t="s">
        <v>4809</v>
      </c>
      <c r="I451" t="s">
        <v>50</v>
      </c>
      <c r="J451" t="s">
        <v>348</v>
      </c>
      <c r="K451" t="s">
        <v>4809</v>
      </c>
      <c r="M451" t="s">
        <v>6257</v>
      </c>
      <c r="N451" t="s">
        <v>6061</v>
      </c>
      <c r="O451" t="s">
        <v>24</v>
      </c>
    </row>
    <row r="452" spans="1:15" x14ac:dyDescent="0.25">
      <c r="A452">
        <v>451</v>
      </c>
      <c r="B452" t="str">
        <f>HYPERLINK("https://digitalcommons.unl.edu/cgi/viewcontent.cgi?article=1930&amp;context=tractormuseumlit","Click for test report")</f>
        <v>Click for test report</v>
      </c>
      <c r="C452">
        <v>1948</v>
      </c>
      <c r="D452" t="s">
        <v>4123</v>
      </c>
      <c r="F452" t="s">
        <v>4325</v>
      </c>
      <c r="G452" t="s">
        <v>4325</v>
      </c>
      <c r="H452" t="s">
        <v>6477</v>
      </c>
      <c r="I452" t="s">
        <v>50</v>
      </c>
      <c r="J452" t="s">
        <v>348</v>
      </c>
      <c r="K452" t="s">
        <v>6166</v>
      </c>
      <c r="M452" t="s">
        <v>4013</v>
      </c>
      <c r="N452" t="s">
        <v>4355</v>
      </c>
      <c r="O452" t="s">
        <v>24</v>
      </c>
    </row>
    <row r="453" spans="1:15" x14ac:dyDescent="0.25">
      <c r="A453">
        <v>452</v>
      </c>
      <c r="B453" t="str">
        <f>HYPERLINK("https://digitalcommons.unl.edu/cgi/viewcontent.cgi?article=2008&amp;context=tractormuseumlit","Click for test report")</f>
        <v>Click for test report</v>
      </c>
      <c r="C453">
        <v>1948</v>
      </c>
      <c r="D453" t="s">
        <v>1301</v>
      </c>
      <c r="F453" t="s">
        <v>6369</v>
      </c>
      <c r="G453" t="s">
        <v>6369</v>
      </c>
      <c r="H453" t="s">
        <v>6558</v>
      </c>
      <c r="I453" t="s">
        <v>50</v>
      </c>
      <c r="J453" t="s">
        <v>348</v>
      </c>
      <c r="K453" t="s">
        <v>4809</v>
      </c>
      <c r="M453" t="s">
        <v>4397</v>
      </c>
      <c r="N453" t="s">
        <v>4590</v>
      </c>
      <c r="O453" t="s">
        <v>24</v>
      </c>
    </row>
    <row r="454" spans="1:15" x14ac:dyDescent="0.25">
      <c r="A454">
        <v>453</v>
      </c>
      <c r="B454" t="str">
        <f>HYPERLINK("https://digitalcommons.unl.edu/cgi/viewcontent.cgi?article=2009&amp;context=tractormuseumlit","Click for test report")</f>
        <v>Click for test report</v>
      </c>
      <c r="C454">
        <v>1948</v>
      </c>
      <c r="D454" t="s">
        <v>6279</v>
      </c>
      <c r="F454" t="s">
        <v>6226</v>
      </c>
      <c r="G454" t="s">
        <v>6226</v>
      </c>
      <c r="H454" t="s">
        <v>6556</v>
      </c>
      <c r="I454" t="s">
        <v>50</v>
      </c>
      <c r="J454" t="s">
        <v>348</v>
      </c>
      <c r="K454" t="s">
        <v>4809</v>
      </c>
      <c r="M454" t="s">
        <v>6060</v>
      </c>
      <c r="N454" t="s">
        <v>6257</v>
      </c>
      <c r="O454" t="s">
        <v>6557</v>
      </c>
    </row>
    <row r="455" spans="1:15" x14ac:dyDescent="0.25">
      <c r="A455">
        <v>454</v>
      </c>
      <c r="B455" t="str">
        <f>HYPERLINK("https://digitalcommons.unl.edu/cgi/viewcontent.cgi?article=2009&amp;context=tractormuseumlit","Click for test report")</f>
        <v>Click for test report</v>
      </c>
      <c r="C455">
        <v>1948</v>
      </c>
      <c r="D455" t="s">
        <v>6279</v>
      </c>
      <c r="F455" t="s">
        <v>6226</v>
      </c>
      <c r="G455" t="s">
        <v>6226</v>
      </c>
      <c r="H455" t="s">
        <v>6555</v>
      </c>
      <c r="I455" t="s">
        <v>50</v>
      </c>
      <c r="J455" t="s">
        <v>348</v>
      </c>
      <c r="K455" t="s">
        <v>4809</v>
      </c>
      <c r="M455" t="s">
        <v>6060</v>
      </c>
      <c r="N455" t="s">
        <v>6257</v>
      </c>
      <c r="O455" t="s">
        <v>24</v>
      </c>
    </row>
    <row r="456" spans="1:15" x14ac:dyDescent="0.25">
      <c r="A456">
        <v>455</v>
      </c>
      <c r="B456" t="str">
        <f>HYPERLINK("https://digitalcommons.unl.edu/cgi/viewcontent.cgi?article=2010&amp;context=tractormuseumlit","Click for test report")</f>
        <v>Click for test report</v>
      </c>
      <c r="C456">
        <v>1948</v>
      </c>
      <c r="D456" t="s">
        <v>6551</v>
      </c>
      <c r="F456" t="s">
        <v>6552</v>
      </c>
      <c r="G456" t="s">
        <v>6553</v>
      </c>
      <c r="H456" t="s">
        <v>6554</v>
      </c>
      <c r="I456" t="s">
        <v>50</v>
      </c>
      <c r="J456" t="s">
        <v>348</v>
      </c>
      <c r="K456" t="s">
        <v>4809</v>
      </c>
      <c r="M456" t="s">
        <v>4355</v>
      </c>
      <c r="N456" t="s">
        <v>4359</v>
      </c>
      <c r="O456" t="s">
        <v>24</v>
      </c>
    </row>
    <row r="457" spans="1:15" x14ac:dyDescent="0.25">
      <c r="A457">
        <v>456</v>
      </c>
      <c r="B457" t="str">
        <f>HYPERLINK("https://digitalcommons.unl.edu/cgi/viewcontent.cgi?article=2011&amp;context=tractormuseumlit","Click for test report")</f>
        <v>Click for test report</v>
      </c>
      <c r="C457">
        <v>1948</v>
      </c>
      <c r="D457" t="s">
        <v>6420</v>
      </c>
      <c r="F457" t="s">
        <v>6226</v>
      </c>
      <c r="G457" t="s">
        <v>6226</v>
      </c>
      <c r="H457" t="s">
        <v>6550</v>
      </c>
      <c r="I457" t="s">
        <v>50</v>
      </c>
      <c r="J457" t="s">
        <v>348</v>
      </c>
      <c r="K457" t="s">
        <v>4809</v>
      </c>
      <c r="M457" t="s">
        <v>4008</v>
      </c>
      <c r="N457" t="s">
        <v>4444</v>
      </c>
      <c r="O457" t="s">
        <v>24</v>
      </c>
    </row>
    <row r="458" spans="1:15" x14ac:dyDescent="0.25">
      <c r="A458">
        <v>457</v>
      </c>
      <c r="B458" t="str">
        <f>HYPERLINK("https://digitalcommons.unl.edu/cgi/viewcontent.cgi?article=1506&amp;context=tractormuseumlit","Click for test report")</f>
        <v>Click for test report</v>
      </c>
      <c r="C458">
        <v>1948</v>
      </c>
      <c r="D458" t="s">
        <v>5858</v>
      </c>
      <c r="F458" t="s">
        <v>5345</v>
      </c>
      <c r="G458" t="s">
        <v>5345</v>
      </c>
      <c r="H458" t="s">
        <v>6507</v>
      </c>
      <c r="I458" t="s">
        <v>50</v>
      </c>
      <c r="J458" t="s">
        <v>348</v>
      </c>
      <c r="K458" t="s">
        <v>4809</v>
      </c>
      <c r="M458" t="s">
        <v>4745</v>
      </c>
      <c r="N458" t="s">
        <v>4589</v>
      </c>
      <c r="O458" t="s">
        <v>24</v>
      </c>
    </row>
    <row r="459" spans="1:15" x14ac:dyDescent="0.25">
      <c r="A459">
        <v>458</v>
      </c>
      <c r="B459" t="str">
        <f>HYPERLINK("https://digitalcommons.unl.edu/cgi/viewcontent.cgi?article=1507&amp;context=tractormuseumlit","Click for test report")</f>
        <v>Click for test report</v>
      </c>
      <c r="C459">
        <v>1948</v>
      </c>
      <c r="D459" t="s">
        <v>6548</v>
      </c>
      <c r="F459" t="s">
        <v>5345</v>
      </c>
      <c r="G459" t="s">
        <v>5345</v>
      </c>
      <c r="H459" t="s">
        <v>6549</v>
      </c>
      <c r="I459" t="s">
        <v>50</v>
      </c>
      <c r="J459" t="s">
        <v>348</v>
      </c>
      <c r="K459" t="s">
        <v>4809</v>
      </c>
      <c r="M459" t="s">
        <v>4745</v>
      </c>
      <c r="N459" t="s">
        <v>4589</v>
      </c>
      <c r="O459" t="s">
        <v>24</v>
      </c>
    </row>
    <row r="460" spans="1:15" x14ac:dyDescent="0.25">
      <c r="A460">
        <v>459</v>
      </c>
      <c r="B460" t="str">
        <f>HYPERLINK("https://digitalcommons.unl.edu/cgi/viewcontent.cgi?article=1093&amp;context=tractormuseumlit","Click for test report")</f>
        <v>Click for test report</v>
      </c>
      <c r="C460">
        <v>1949</v>
      </c>
      <c r="D460" t="s">
        <v>6547</v>
      </c>
      <c r="F460" t="s">
        <v>17</v>
      </c>
      <c r="G460" t="s">
        <v>17</v>
      </c>
      <c r="H460" t="s">
        <v>6427</v>
      </c>
      <c r="I460" t="s">
        <v>50</v>
      </c>
      <c r="J460" t="s">
        <v>348</v>
      </c>
      <c r="K460" t="s">
        <v>21</v>
      </c>
      <c r="M460" t="s">
        <v>2188</v>
      </c>
      <c r="N460" t="s">
        <v>2090</v>
      </c>
      <c r="O460" t="s">
        <v>24</v>
      </c>
    </row>
    <row r="461" spans="1:15" x14ac:dyDescent="0.25">
      <c r="A461">
        <v>460</v>
      </c>
      <c r="B461" t="str">
        <f>HYPERLINK("https://digitalcommons.unl.edu/cgi/viewcontent.cgi?article=2013&amp;context=tractormuseumlit","Click for test report")</f>
        <v>Click for test report</v>
      </c>
      <c r="C461">
        <v>1949</v>
      </c>
      <c r="D461" t="s">
        <v>6545</v>
      </c>
      <c r="F461" t="s">
        <v>6543</v>
      </c>
      <c r="G461" t="s">
        <v>6543</v>
      </c>
      <c r="H461" t="s">
        <v>6546</v>
      </c>
      <c r="I461" t="s">
        <v>50</v>
      </c>
      <c r="J461" t="s">
        <v>348</v>
      </c>
      <c r="K461" t="s">
        <v>4809</v>
      </c>
      <c r="M461" t="s">
        <v>4355</v>
      </c>
      <c r="N461" t="s">
        <v>4444</v>
      </c>
      <c r="O461" t="s">
        <v>24</v>
      </c>
    </row>
    <row r="462" spans="1:15" x14ac:dyDescent="0.25">
      <c r="A462">
        <v>461</v>
      </c>
      <c r="B462" t="str">
        <f>HYPERLINK("https://digitalcommons.unl.edu/cgi/viewcontent.cgi?article=2012&amp;context=tractormuseumlit","Click for test report")</f>
        <v>Click for test report</v>
      </c>
      <c r="C462">
        <v>1949</v>
      </c>
      <c r="D462" t="s">
        <v>6542</v>
      </c>
      <c r="F462" t="s">
        <v>6543</v>
      </c>
      <c r="G462" t="s">
        <v>6543</v>
      </c>
      <c r="H462" t="s">
        <v>6544</v>
      </c>
      <c r="I462" t="s">
        <v>50</v>
      </c>
      <c r="J462" t="s">
        <v>348</v>
      </c>
      <c r="K462" t="s">
        <v>4809</v>
      </c>
      <c r="M462" t="s">
        <v>2627</v>
      </c>
      <c r="N462" t="s">
        <v>3973</v>
      </c>
      <c r="O462" t="s">
        <v>24</v>
      </c>
    </row>
    <row r="463" spans="1:15" x14ac:dyDescent="0.25">
      <c r="A463">
        <v>462</v>
      </c>
      <c r="B463" t="str">
        <f>HYPERLINK("https://digitalcommons.unl.edu/cgi/viewcontent.cgi?article=2014&amp;context=tractormuseumlit","Click for test report")</f>
        <v>Click for test report</v>
      </c>
      <c r="C463">
        <v>1949</v>
      </c>
      <c r="D463" t="s">
        <v>6540</v>
      </c>
      <c r="F463" t="s">
        <v>6226</v>
      </c>
      <c r="G463" t="s">
        <v>6226</v>
      </c>
      <c r="H463" t="s">
        <v>6541</v>
      </c>
      <c r="I463" t="s">
        <v>50</v>
      </c>
      <c r="J463" t="s">
        <v>348</v>
      </c>
      <c r="K463" t="s">
        <v>4809</v>
      </c>
      <c r="M463" t="s">
        <v>3388</v>
      </c>
      <c r="N463" t="s">
        <v>4013</v>
      </c>
      <c r="O463" t="s">
        <v>24</v>
      </c>
    </row>
    <row r="464" spans="1:15" x14ac:dyDescent="0.25">
      <c r="A464">
        <v>463</v>
      </c>
      <c r="B464" t="str">
        <f>HYPERLINK("https://digitalcommons.unl.edu/cgi/viewcontent.cgi?article=2015&amp;context=tractormuseumlit","Click for test report")</f>
        <v>Click for test report</v>
      </c>
      <c r="C464">
        <v>1949</v>
      </c>
      <c r="D464" t="s">
        <v>6538</v>
      </c>
      <c r="F464" t="s">
        <v>4828</v>
      </c>
      <c r="G464" t="s">
        <v>4828</v>
      </c>
      <c r="H464" t="s">
        <v>6539</v>
      </c>
      <c r="I464" t="s">
        <v>50</v>
      </c>
      <c r="J464" t="s">
        <v>348</v>
      </c>
      <c r="K464" t="s">
        <v>4809</v>
      </c>
      <c r="M464" t="s">
        <v>4008</v>
      </c>
      <c r="N464" t="s">
        <v>4589</v>
      </c>
      <c r="O464" t="s">
        <v>24</v>
      </c>
    </row>
    <row r="465" spans="1:15" x14ac:dyDescent="0.25">
      <c r="A465">
        <v>464</v>
      </c>
      <c r="B465" t="str">
        <f>HYPERLINK("https://digitalcommons.unl.edu/cgi/viewcontent.cgi?article=1490&amp;context=tractormuseumlit","Click for test report")</f>
        <v>Click for test report</v>
      </c>
      <c r="C465">
        <v>1949</v>
      </c>
      <c r="D465" t="s">
        <v>6277</v>
      </c>
      <c r="F465" t="s">
        <v>5347</v>
      </c>
      <c r="G465" t="s">
        <v>5347</v>
      </c>
      <c r="H465" t="s">
        <v>6537</v>
      </c>
      <c r="I465" t="s">
        <v>50</v>
      </c>
      <c r="J465" t="s">
        <v>348</v>
      </c>
      <c r="K465" t="s">
        <v>5598</v>
      </c>
      <c r="M465" t="s">
        <v>410</v>
      </c>
      <c r="N465" t="s">
        <v>2627</v>
      </c>
      <c r="O465" t="s">
        <v>24</v>
      </c>
    </row>
    <row r="466" spans="1:15" x14ac:dyDescent="0.25">
      <c r="A466">
        <v>465</v>
      </c>
      <c r="B466" t="str">
        <f>HYPERLINK("https://digitalcommons.unl.edu/cgi/viewcontent.cgi?article=1508&amp;context=tractormuseumlit","Click for test report")</f>
        <v>Click for test report</v>
      </c>
      <c r="C466">
        <v>1949</v>
      </c>
      <c r="D466" t="s">
        <v>6535</v>
      </c>
      <c r="F466" t="s">
        <v>5345</v>
      </c>
      <c r="G466" t="s">
        <v>5345</v>
      </c>
      <c r="H466" t="s">
        <v>6536</v>
      </c>
      <c r="I466" t="s">
        <v>50</v>
      </c>
      <c r="J466" t="s">
        <v>348</v>
      </c>
      <c r="K466" t="s">
        <v>4809</v>
      </c>
      <c r="M466" t="s">
        <v>4355</v>
      </c>
      <c r="N466" t="s">
        <v>4362</v>
      </c>
      <c r="O466" t="s">
        <v>24</v>
      </c>
    </row>
    <row r="467" spans="1:15" x14ac:dyDescent="0.25">
      <c r="A467">
        <v>466</v>
      </c>
      <c r="B467" t="str">
        <f>HYPERLINK("https://digitalcommons.unl.edu/cgi/viewcontent.cgi?article=1509&amp;context=tractormuseumlit","Click for test report")</f>
        <v>Click for test report</v>
      </c>
      <c r="C467">
        <v>1949</v>
      </c>
      <c r="D467" t="s">
        <v>6533</v>
      </c>
      <c r="F467" t="s">
        <v>5345</v>
      </c>
      <c r="G467" t="s">
        <v>5345</v>
      </c>
      <c r="H467" t="s">
        <v>6534</v>
      </c>
      <c r="I467" t="s">
        <v>50</v>
      </c>
      <c r="J467" t="s">
        <v>348</v>
      </c>
      <c r="K467" t="s">
        <v>4809</v>
      </c>
      <c r="M467" t="s">
        <v>4355</v>
      </c>
      <c r="N467" t="s">
        <v>4362</v>
      </c>
      <c r="O467" t="s">
        <v>24</v>
      </c>
    </row>
    <row r="468" spans="1:15" x14ac:dyDescent="0.25">
      <c r="A468">
        <v>467</v>
      </c>
      <c r="B468" t="str">
        <f>HYPERLINK("https://digitalcommons.unl.edu/cgi/viewcontent.cgi?article=2016&amp;context=tractormuseumlit","Click for test report")</f>
        <v>Click for test report</v>
      </c>
      <c r="C468">
        <v>1949</v>
      </c>
      <c r="D468" t="s">
        <v>6529</v>
      </c>
      <c r="F468" t="s">
        <v>6530</v>
      </c>
      <c r="G468" t="s">
        <v>6531</v>
      </c>
      <c r="H468" t="s">
        <v>6532</v>
      </c>
      <c r="I468" t="s">
        <v>50</v>
      </c>
      <c r="J468" t="s">
        <v>96</v>
      </c>
      <c r="K468" t="s">
        <v>4809</v>
      </c>
      <c r="M468" t="s">
        <v>4362</v>
      </c>
      <c r="N468" t="s">
        <v>4621</v>
      </c>
      <c r="O468" t="s">
        <v>24</v>
      </c>
    </row>
    <row r="469" spans="1:15" x14ac:dyDescent="0.25">
      <c r="A469">
        <v>468</v>
      </c>
      <c r="B469" t="str">
        <f>HYPERLINK("https://digitalcommons.unl.edu/cgi/viewcontent.cgi?article=2017&amp;context=tractormuseumlit","Click for test report")</f>
        <v>Click for test report</v>
      </c>
      <c r="C469">
        <v>1949</v>
      </c>
      <c r="D469" t="s">
        <v>6528</v>
      </c>
      <c r="F469" t="s">
        <v>3442</v>
      </c>
      <c r="G469" t="s">
        <v>3442</v>
      </c>
      <c r="H469" t="s">
        <v>6037</v>
      </c>
      <c r="I469" t="s">
        <v>50</v>
      </c>
      <c r="J469" t="s">
        <v>96</v>
      </c>
      <c r="K469" t="s">
        <v>21</v>
      </c>
      <c r="N469" t="s">
        <v>126</v>
      </c>
      <c r="O469" t="s">
        <v>2163</v>
      </c>
    </row>
    <row r="470" spans="1:15" x14ac:dyDescent="0.25">
      <c r="A470">
        <v>469</v>
      </c>
      <c r="B470" t="str">
        <f>HYPERLINK("https://digitalcommons.unl.edu/cgi/viewcontent.cgi?article=2018&amp;context=tractormuseumlit","Click for test report")</f>
        <v>Click for test report</v>
      </c>
      <c r="C470">
        <v>1949</v>
      </c>
      <c r="D470" t="s">
        <v>6527</v>
      </c>
      <c r="F470" t="s">
        <v>3442</v>
      </c>
      <c r="G470" t="s">
        <v>3442</v>
      </c>
      <c r="H470" t="s">
        <v>5977</v>
      </c>
      <c r="I470" t="s">
        <v>50</v>
      </c>
      <c r="J470" t="s">
        <v>96</v>
      </c>
      <c r="K470" t="s">
        <v>21</v>
      </c>
      <c r="M470" t="s">
        <v>740</v>
      </c>
      <c r="N470" t="s">
        <v>725</v>
      </c>
      <c r="O470" t="s">
        <v>24</v>
      </c>
    </row>
    <row r="471" spans="1:15" x14ac:dyDescent="0.25">
      <c r="A471">
        <v>470</v>
      </c>
      <c r="B471" t="str">
        <f>HYPERLINK("https://digitalcommons.unl.edu/cgi/viewcontent.cgi?article=2019&amp;context=tractormuseumlit","Click for test report")</f>
        <v>Click for test report</v>
      </c>
      <c r="C471">
        <v>1949</v>
      </c>
      <c r="D471" t="s">
        <v>6526</v>
      </c>
      <c r="F471" t="s">
        <v>3442</v>
      </c>
      <c r="G471" t="s">
        <v>3442</v>
      </c>
      <c r="H471" t="s">
        <v>5979</v>
      </c>
      <c r="I471" t="s">
        <v>50</v>
      </c>
      <c r="J471" t="s">
        <v>96</v>
      </c>
      <c r="K471" t="s">
        <v>21</v>
      </c>
      <c r="M471" t="s">
        <v>750</v>
      </c>
      <c r="N471" t="s">
        <v>2627</v>
      </c>
      <c r="O471" t="s">
        <v>24</v>
      </c>
    </row>
    <row r="472" spans="1:15" x14ac:dyDescent="0.25">
      <c r="A472">
        <v>471</v>
      </c>
      <c r="B472" t="str">
        <f>HYPERLINK("https://digitalcommons.unl.edu/cgi/viewcontent.cgi?article=2020&amp;context=tractormuseumlit","Click for test report")</f>
        <v>Click for test report</v>
      </c>
      <c r="C472">
        <v>1949</v>
      </c>
      <c r="D472" t="s">
        <v>6525</v>
      </c>
      <c r="F472" t="s">
        <v>3442</v>
      </c>
      <c r="G472" t="s">
        <v>3442</v>
      </c>
      <c r="H472" t="s">
        <v>6295</v>
      </c>
      <c r="I472" t="s">
        <v>50</v>
      </c>
      <c r="J472" t="s">
        <v>96</v>
      </c>
      <c r="K472" t="s">
        <v>21</v>
      </c>
      <c r="M472" t="s">
        <v>3973</v>
      </c>
      <c r="N472" t="s">
        <v>4440</v>
      </c>
      <c r="O472" t="s">
        <v>24</v>
      </c>
    </row>
    <row r="473" spans="1:15" x14ac:dyDescent="0.25">
      <c r="A473">
        <v>472</v>
      </c>
      <c r="B473" t="str">
        <f>HYPERLINK("https://digitalcommons.unl.edu/cgi/viewcontent.cgi?article=2021&amp;context=tractormuseumlit","Click for test report")</f>
        <v>Click for test report</v>
      </c>
      <c r="C473">
        <v>1949</v>
      </c>
      <c r="D473" t="s">
        <v>6522</v>
      </c>
      <c r="F473" t="s">
        <v>6517</v>
      </c>
      <c r="G473" t="s">
        <v>6517</v>
      </c>
      <c r="H473" t="s">
        <v>6524</v>
      </c>
      <c r="I473" t="s">
        <v>50</v>
      </c>
      <c r="J473" t="s">
        <v>348</v>
      </c>
      <c r="K473" t="s">
        <v>21</v>
      </c>
      <c r="M473" t="s">
        <v>4358</v>
      </c>
      <c r="N473" t="s">
        <v>4362</v>
      </c>
      <c r="O473" t="s">
        <v>24</v>
      </c>
    </row>
    <row r="474" spans="1:15" x14ac:dyDescent="0.25">
      <c r="A474">
        <v>473</v>
      </c>
      <c r="B474" t="str">
        <f>HYPERLINK("https://digitalcommons.unl.edu/cgi/viewcontent.cgi?article=2021&amp;context=tractormuseumlit","Click for test report")</f>
        <v>Click for test report</v>
      </c>
      <c r="C474">
        <v>1949</v>
      </c>
      <c r="D474" t="s">
        <v>6522</v>
      </c>
      <c r="F474" t="s">
        <v>6517</v>
      </c>
      <c r="G474" t="s">
        <v>6518</v>
      </c>
      <c r="H474" t="s">
        <v>6523</v>
      </c>
      <c r="I474" t="s">
        <v>50</v>
      </c>
      <c r="J474" t="s">
        <v>348</v>
      </c>
      <c r="K474" t="s">
        <v>21</v>
      </c>
      <c r="M474" t="s">
        <v>4358</v>
      </c>
      <c r="N474" t="s">
        <v>4362</v>
      </c>
      <c r="O474" t="s">
        <v>24</v>
      </c>
    </row>
    <row r="475" spans="1:15" x14ac:dyDescent="0.25">
      <c r="A475">
        <v>474</v>
      </c>
      <c r="B475" t="str">
        <f>HYPERLINK("https://digitalcommons.unl.edu/cgi/viewcontent.cgi?article=2022&amp;context=tractormuseumlit","Click for test report")</f>
        <v>Click for test report</v>
      </c>
      <c r="C475">
        <v>1949</v>
      </c>
      <c r="D475" t="s">
        <v>1206</v>
      </c>
      <c r="F475" t="s">
        <v>6369</v>
      </c>
      <c r="G475" t="s">
        <v>6369</v>
      </c>
      <c r="H475" t="s">
        <v>6521</v>
      </c>
      <c r="I475" t="s">
        <v>50</v>
      </c>
      <c r="J475" t="s">
        <v>348</v>
      </c>
      <c r="K475" t="s">
        <v>21</v>
      </c>
      <c r="M475" t="s">
        <v>4589</v>
      </c>
      <c r="N475" t="s">
        <v>4013</v>
      </c>
      <c r="O475" t="s">
        <v>24</v>
      </c>
    </row>
    <row r="476" spans="1:15" x14ac:dyDescent="0.25">
      <c r="A476">
        <v>475</v>
      </c>
      <c r="B476" t="str">
        <f>HYPERLINK("https://digitalcommons.unl.edu/cgi/viewcontent.cgi?article=2023&amp;context=tractormuseumlit","Click for test report")</f>
        <v>Click for test report</v>
      </c>
      <c r="C476">
        <v>1949</v>
      </c>
      <c r="D476" t="s">
        <v>6516</v>
      </c>
      <c r="F476" t="s">
        <v>6517</v>
      </c>
      <c r="G476" t="s">
        <v>6517</v>
      </c>
      <c r="H476" t="s">
        <v>6520</v>
      </c>
      <c r="I476" t="s">
        <v>50</v>
      </c>
      <c r="J476" t="s">
        <v>348</v>
      </c>
      <c r="K476" t="s">
        <v>4809</v>
      </c>
      <c r="M476" t="s">
        <v>4589</v>
      </c>
      <c r="N476" t="s">
        <v>4590</v>
      </c>
      <c r="O476" t="s">
        <v>24</v>
      </c>
    </row>
    <row r="477" spans="1:15" x14ac:dyDescent="0.25">
      <c r="A477">
        <v>476</v>
      </c>
      <c r="B477" t="str">
        <f>HYPERLINK("https://digitalcommons.unl.edu/cgi/viewcontent.cgi?article=2023&amp;context=tractormuseumlit","Click for test report")</f>
        <v>Click for test report</v>
      </c>
      <c r="C477">
        <v>1949</v>
      </c>
      <c r="D477" t="s">
        <v>6516</v>
      </c>
      <c r="F477" t="s">
        <v>6517</v>
      </c>
      <c r="G477" t="s">
        <v>6518</v>
      </c>
      <c r="H477" t="s">
        <v>6519</v>
      </c>
      <c r="I477" t="s">
        <v>50</v>
      </c>
      <c r="J477" t="s">
        <v>348</v>
      </c>
      <c r="K477" t="s">
        <v>4809</v>
      </c>
      <c r="M477" t="s">
        <v>4589</v>
      </c>
      <c r="N477" t="s">
        <v>4590</v>
      </c>
      <c r="O477" t="s">
        <v>24</v>
      </c>
    </row>
    <row r="478" spans="1:15" x14ac:dyDescent="0.25">
      <c r="A478">
        <v>477</v>
      </c>
      <c r="B478" t="str">
        <f>HYPERLINK("https://digitalcommons.unl.edu/cgi/viewcontent.cgi?article=2024&amp;context=tractormuseumlit","Click for test report")</f>
        <v>Click for test report</v>
      </c>
      <c r="C478">
        <v>1949</v>
      </c>
      <c r="D478" t="s">
        <v>6513</v>
      </c>
      <c r="F478" t="s">
        <v>6514</v>
      </c>
      <c r="G478" t="s">
        <v>6514</v>
      </c>
      <c r="H478" t="s">
        <v>6515</v>
      </c>
      <c r="I478" t="s">
        <v>50</v>
      </c>
      <c r="J478" t="s">
        <v>348</v>
      </c>
      <c r="K478" t="s">
        <v>4809</v>
      </c>
      <c r="M478" t="s">
        <v>3388</v>
      </c>
      <c r="N478" t="s">
        <v>4440</v>
      </c>
      <c r="O478" t="s">
        <v>24</v>
      </c>
    </row>
    <row r="479" spans="1:15" x14ac:dyDescent="0.25">
      <c r="A479">
        <v>478</v>
      </c>
      <c r="B479" t="str">
        <f>HYPERLINK("https://digitalcommons.unl.edu/cgi/viewcontent.cgi?article=1094&amp;context=tractormuseumlit","Click for test report")</f>
        <v>Click for test report</v>
      </c>
      <c r="C479">
        <v>1949</v>
      </c>
      <c r="D479" t="s">
        <v>6511</v>
      </c>
      <c r="F479" t="s">
        <v>17</v>
      </c>
      <c r="G479" t="s">
        <v>17</v>
      </c>
      <c r="H479" t="s">
        <v>6512</v>
      </c>
      <c r="I479" t="s">
        <v>50</v>
      </c>
      <c r="J479" t="s">
        <v>348</v>
      </c>
      <c r="K479" t="s">
        <v>4809</v>
      </c>
      <c r="M479" t="s">
        <v>4359</v>
      </c>
      <c r="N479" t="s">
        <v>4449</v>
      </c>
      <c r="O479" t="s">
        <v>24</v>
      </c>
    </row>
    <row r="480" spans="1:15" x14ac:dyDescent="0.25">
      <c r="A480">
        <v>479</v>
      </c>
      <c r="B480" t="str">
        <f>HYPERLINK("https://digitalcommons.unl.edu/cgi/viewcontent.cgi?article=2025&amp;context=tractormuseumlit","Click for test report")</f>
        <v>Click for test report</v>
      </c>
      <c r="C480">
        <v>1949</v>
      </c>
      <c r="D480" t="s">
        <v>5729</v>
      </c>
      <c r="F480" t="s">
        <v>6508</v>
      </c>
      <c r="G480" t="s">
        <v>6509</v>
      </c>
      <c r="H480" t="s">
        <v>6510</v>
      </c>
      <c r="I480" t="s">
        <v>50</v>
      </c>
      <c r="J480" t="s">
        <v>348</v>
      </c>
      <c r="K480" t="s">
        <v>4809</v>
      </c>
      <c r="M480" t="s">
        <v>4745</v>
      </c>
      <c r="N480" t="s">
        <v>4589</v>
      </c>
      <c r="O480" t="s">
        <v>24</v>
      </c>
    </row>
    <row r="481" spans="1:15" x14ac:dyDescent="0.25">
      <c r="A481">
        <v>480</v>
      </c>
      <c r="B481" t="str">
        <f>HYPERLINK("https://digitalcommons.unl.edu/cgi/viewcontent.cgi?article=1510&amp;context=tractormuseumlit","Click for test report")</f>
        <v>Click for test report</v>
      </c>
      <c r="C481">
        <v>1949</v>
      </c>
      <c r="D481" t="s">
        <v>6506</v>
      </c>
      <c r="F481" t="s">
        <v>5345</v>
      </c>
      <c r="G481" t="s">
        <v>5345</v>
      </c>
      <c r="H481" t="s">
        <v>6507</v>
      </c>
      <c r="I481" t="s">
        <v>50</v>
      </c>
      <c r="J481" t="s">
        <v>348</v>
      </c>
      <c r="K481" t="s">
        <v>4809</v>
      </c>
      <c r="M481" t="s">
        <v>1893</v>
      </c>
      <c r="N481" t="s">
        <v>4012</v>
      </c>
      <c r="O481" t="s">
        <v>24</v>
      </c>
    </row>
    <row r="482" spans="1:15" x14ac:dyDescent="0.25">
      <c r="A482">
        <v>481</v>
      </c>
      <c r="B482" t="str">
        <f>HYPERLINK("https://digitalcommons.unl.edu/cgi/viewcontent.cgi?article=2026&amp;context=tractormuseumlit","Click for test report")</f>
        <v>Click for test report</v>
      </c>
      <c r="C482">
        <v>1949</v>
      </c>
      <c r="D482" t="s">
        <v>6504</v>
      </c>
      <c r="F482" t="s">
        <v>6226</v>
      </c>
      <c r="G482" t="s">
        <v>6226</v>
      </c>
      <c r="H482" t="s">
        <v>6505</v>
      </c>
      <c r="I482" t="s">
        <v>50</v>
      </c>
      <c r="J482" t="s">
        <v>348</v>
      </c>
      <c r="K482" t="s">
        <v>21</v>
      </c>
      <c r="M482" t="s">
        <v>2627</v>
      </c>
      <c r="N482" t="s">
        <v>1893</v>
      </c>
      <c r="O482" t="s">
        <v>24</v>
      </c>
    </row>
    <row r="483" spans="1:15" x14ac:dyDescent="0.25">
      <c r="A483">
        <v>482</v>
      </c>
      <c r="B483" t="str">
        <f>HYPERLINK("https://digitalcommons.unl.edu/cgi/viewcontent.cgi?article=2027&amp;context=tractormuseumlit","Click for test report")</f>
        <v>Click for test report</v>
      </c>
      <c r="C483">
        <v>1949</v>
      </c>
      <c r="D483" t="s">
        <v>6502</v>
      </c>
      <c r="F483" t="s">
        <v>6226</v>
      </c>
      <c r="G483" t="s">
        <v>6226</v>
      </c>
      <c r="H483" t="s">
        <v>6503</v>
      </c>
      <c r="I483" t="s">
        <v>50</v>
      </c>
      <c r="J483" t="s">
        <v>348</v>
      </c>
      <c r="K483" t="s">
        <v>6166</v>
      </c>
      <c r="M483" t="s">
        <v>1802</v>
      </c>
      <c r="N483" t="s">
        <v>2825</v>
      </c>
      <c r="O483" t="s">
        <v>24</v>
      </c>
    </row>
    <row r="484" spans="1:15" x14ac:dyDescent="0.25">
      <c r="A484">
        <v>483</v>
      </c>
      <c r="B484" t="str">
        <f>HYPERLINK("https://digitalcommons.unl.edu/cgi/viewcontent.cgi?article=2028&amp;context=tractormuseumlit","Click for test report")</f>
        <v>Click for test report</v>
      </c>
      <c r="C484">
        <v>1949</v>
      </c>
      <c r="D484" t="s">
        <v>6500</v>
      </c>
      <c r="F484" t="s">
        <v>6226</v>
      </c>
      <c r="G484" t="s">
        <v>6226</v>
      </c>
      <c r="H484" t="s">
        <v>6501</v>
      </c>
      <c r="I484" t="s">
        <v>50</v>
      </c>
      <c r="J484" t="s">
        <v>348</v>
      </c>
      <c r="K484" t="s">
        <v>6166</v>
      </c>
      <c r="M484" t="s">
        <v>3319</v>
      </c>
      <c r="N484" t="s">
        <v>407</v>
      </c>
      <c r="O484" t="s">
        <v>24</v>
      </c>
    </row>
    <row r="485" spans="1:15" x14ac:dyDescent="0.25">
      <c r="A485">
        <v>484</v>
      </c>
      <c r="B485" t="str">
        <f>HYPERLINK("https://digitalcommons.unl.edu/cgi/viewcontent.cgi?article=1065&amp;context=tractormuseumlit","Click for test report")</f>
        <v>Click for test report</v>
      </c>
      <c r="C485">
        <v>1949</v>
      </c>
      <c r="D485" t="s">
        <v>6498</v>
      </c>
      <c r="F485" t="s">
        <v>17</v>
      </c>
      <c r="G485" t="s">
        <v>17</v>
      </c>
      <c r="H485" t="s">
        <v>6499</v>
      </c>
      <c r="I485" t="s">
        <v>50</v>
      </c>
      <c r="J485" t="s">
        <v>348</v>
      </c>
      <c r="K485" t="s">
        <v>4809</v>
      </c>
      <c r="M485" t="s">
        <v>1893</v>
      </c>
      <c r="N485" t="s">
        <v>3388</v>
      </c>
      <c r="O485" t="s">
        <v>24</v>
      </c>
    </row>
    <row r="486" spans="1:15" x14ac:dyDescent="0.25">
      <c r="A486">
        <v>485</v>
      </c>
      <c r="B486" t="str">
        <f>HYPERLINK("https://digitalcommons.unl.edu/cgi/viewcontent.cgi?article=2029&amp;context=tractormuseumlit","Click for test report")</f>
        <v>Click for test report</v>
      </c>
      <c r="C486">
        <v>1949</v>
      </c>
      <c r="D486" t="s">
        <v>6497</v>
      </c>
      <c r="F486" t="s">
        <v>3800</v>
      </c>
      <c r="G486" t="s">
        <v>4473</v>
      </c>
      <c r="H486" t="s">
        <v>6496</v>
      </c>
      <c r="I486" t="s">
        <v>50</v>
      </c>
      <c r="J486" t="s">
        <v>348</v>
      </c>
      <c r="K486" t="s">
        <v>6166</v>
      </c>
      <c r="M486" t="s">
        <v>4363</v>
      </c>
      <c r="N486" t="s">
        <v>4621</v>
      </c>
      <c r="O486" t="s">
        <v>24</v>
      </c>
    </row>
    <row r="487" spans="1:15" x14ac:dyDescent="0.25">
      <c r="A487">
        <v>486</v>
      </c>
      <c r="B487" t="str">
        <f>HYPERLINK("https://digitalcommons.unl.edu/cgi/viewcontent.cgi?article=2030&amp;context=tractormuseumlit","Click for test report")</f>
        <v>Click for test report</v>
      </c>
      <c r="C487">
        <v>1949</v>
      </c>
      <c r="D487" t="s">
        <v>5914</v>
      </c>
      <c r="F487" t="s">
        <v>3800</v>
      </c>
      <c r="G487" t="s">
        <v>4473</v>
      </c>
      <c r="H487" t="s">
        <v>6496</v>
      </c>
      <c r="I487" t="s">
        <v>50</v>
      </c>
      <c r="J487" t="s">
        <v>348</v>
      </c>
      <c r="K487" t="s">
        <v>4809</v>
      </c>
      <c r="M487" t="s">
        <v>4362</v>
      </c>
      <c r="N487" t="s">
        <v>4627</v>
      </c>
      <c r="O487" t="s">
        <v>24</v>
      </c>
    </row>
    <row r="488" spans="1:15" x14ac:dyDescent="0.25">
      <c r="A488">
        <v>487</v>
      </c>
      <c r="B488" t="str">
        <f>HYPERLINK("https://digitalcommons.unl.edu/cgi/viewcontent.cgi?article=2031&amp;context=tractormuseumlit","Click for test report")</f>
        <v>Click for test report</v>
      </c>
      <c r="C488">
        <v>1949</v>
      </c>
      <c r="D488" t="s">
        <v>6492</v>
      </c>
      <c r="F488" t="s">
        <v>6493</v>
      </c>
      <c r="G488" t="s">
        <v>6494</v>
      </c>
      <c r="H488" t="s">
        <v>6495</v>
      </c>
      <c r="I488" t="s">
        <v>50</v>
      </c>
      <c r="J488" t="s">
        <v>29</v>
      </c>
      <c r="K488" t="s">
        <v>4809</v>
      </c>
      <c r="M488" t="s">
        <v>4589</v>
      </c>
      <c r="N488" t="s">
        <v>4590</v>
      </c>
      <c r="O488" t="s">
        <v>24</v>
      </c>
    </row>
    <row r="489" spans="1:15" x14ac:dyDescent="0.25">
      <c r="A489">
        <v>488</v>
      </c>
      <c r="B489" t="str">
        <f>HYPERLINK("https://digitalcommons.unl.edu/cgi/viewcontent.cgi?article=2032&amp;context=tractormuseumlit","Click for test report")</f>
        <v>Click for test report</v>
      </c>
      <c r="C489">
        <v>1949</v>
      </c>
      <c r="D489" t="s">
        <v>6488</v>
      </c>
      <c r="F489" t="s">
        <v>6489</v>
      </c>
      <c r="G489" t="s">
        <v>6491</v>
      </c>
      <c r="H489" t="s">
        <v>6459</v>
      </c>
      <c r="I489" t="s">
        <v>50</v>
      </c>
      <c r="J489" t="s">
        <v>348</v>
      </c>
      <c r="K489" t="s">
        <v>21</v>
      </c>
      <c r="M489" t="s">
        <v>3152</v>
      </c>
      <c r="N489" t="s">
        <v>1893</v>
      </c>
      <c r="O489" t="s">
        <v>24</v>
      </c>
    </row>
    <row r="490" spans="1:15" x14ac:dyDescent="0.25">
      <c r="A490">
        <v>489</v>
      </c>
      <c r="B490" t="str">
        <f>HYPERLINK("https://digitalcommons.unl.edu/cgi/viewcontent.cgi?article=2032&amp;context=tractormuseumlit","Click for test report")</f>
        <v>Click for test report</v>
      </c>
      <c r="C490">
        <v>1949</v>
      </c>
      <c r="D490" t="s">
        <v>6488</v>
      </c>
      <c r="F490" t="s">
        <v>6489</v>
      </c>
      <c r="G490" t="s">
        <v>6489</v>
      </c>
      <c r="H490" t="s">
        <v>6459</v>
      </c>
      <c r="I490" t="s">
        <v>50</v>
      </c>
      <c r="J490" t="s">
        <v>348</v>
      </c>
      <c r="K490" t="s">
        <v>21</v>
      </c>
      <c r="M490" t="s">
        <v>3152</v>
      </c>
      <c r="N490" t="s">
        <v>1893</v>
      </c>
      <c r="O490" t="s">
        <v>6490</v>
      </c>
    </row>
    <row r="491" spans="1:15" x14ac:dyDescent="0.25">
      <c r="A491">
        <v>490</v>
      </c>
      <c r="B491" t="str">
        <f>HYPERLINK("https://digitalcommons.unl.edu/cgi/viewcontent.cgi?article=1511&amp;context=tractormuseumlit","Click for test report")</f>
        <v>Click for test report</v>
      </c>
      <c r="C491">
        <v>1949</v>
      </c>
      <c r="D491" t="s">
        <v>6485</v>
      </c>
      <c r="F491" t="s">
        <v>5345</v>
      </c>
      <c r="G491" t="s">
        <v>5345</v>
      </c>
      <c r="H491" t="s">
        <v>6487</v>
      </c>
      <c r="I491" t="s">
        <v>50</v>
      </c>
      <c r="J491" t="s">
        <v>96</v>
      </c>
      <c r="K491" t="s">
        <v>4809</v>
      </c>
      <c r="M491" t="s">
        <v>4590</v>
      </c>
      <c r="N491" t="s">
        <v>4362</v>
      </c>
      <c r="O491" t="s">
        <v>24</v>
      </c>
    </row>
    <row r="492" spans="1:15" x14ac:dyDescent="0.25">
      <c r="A492">
        <v>491</v>
      </c>
      <c r="B492" t="str">
        <f>HYPERLINK("https://digitalcommons.unl.edu/cgi/viewcontent.cgi?article=1511&amp;context=tractormuseumlit","Click for test report")</f>
        <v>Click for test report</v>
      </c>
      <c r="C492">
        <v>1949</v>
      </c>
      <c r="D492" t="s">
        <v>6485</v>
      </c>
      <c r="F492" t="s">
        <v>5345</v>
      </c>
      <c r="G492" t="s">
        <v>5345</v>
      </c>
      <c r="H492" t="s">
        <v>6486</v>
      </c>
      <c r="I492" t="s">
        <v>50</v>
      </c>
      <c r="J492" t="s">
        <v>96</v>
      </c>
      <c r="K492" t="s">
        <v>4809</v>
      </c>
      <c r="M492" t="s">
        <v>4590</v>
      </c>
      <c r="N492" t="s">
        <v>4362</v>
      </c>
      <c r="O492" t="s">
        <v>24</v>
      </c>
    </row>
    <row r="493" spans="1:15" x14ac:dyDescent="0.25">
      <c r="A493">
        <v>492</v>
      </c>
      <c r="B493" t="str">
        <f>HYPERLINK("https://digitalcommons.unl.edu/cgi/viewcontent.cgi?article=1512&amp;context=tractormuseumlit","Click for test report")</f>
        <v>Click for test report</v>
      </c>
      <c r="C493">
        <v>1949</v>
      </c>
      <c r="D493" t="s">
        <v>6031</v>
      </c>
      <c r="F493" t="s">
        <v>5345</v>
      </c>
      <c r="G493" t="s">
        <v>5345</v>
      </c>
      <c r="H493" t="s">
        <v>6484</v>
      </c>
      <c r="I493" t="s">
        <v>50</v>
      </c>
      <c r="J493" t="s">
        <v>96</v>
      </c>
      <c r="K493" t="s">
        <v>4809</v>
      </c>
      <c r="M493" t="s">
        <v>2747</v>
      </c>
      <c r="N493" t="s">
        <v>731</v>
      </c>
      <c r="O493" t="s">
        <v>24</v>
      </c>
    </row>
    <row r="494" spans="1:15" x14ac:dyDescent="0.25">
      <c r="A494">
        <v>493</v>
      </c>
      <c r="B494" t="str">
        <f>HYPERLINK("https://digitalcommons.unl.edu/cgi/viewcontent.cgi?article=1513&amp;context=tractormuseumlit","Click for test report")</f>
        <v>Click for test report</v>
      </c>
      <c r="C494">
        <v>1949</v>
      </c>
      <c r="D494" t="s">
        <v>6482</v>
      </c>
      <c r="F494" t="s">
        <v>5345</v>
      </c>
      <c r="G494" t="s">
        <v>5345</v>
      </c>
      <c r="H494" t="s">
        <v>6483</v>
      </c>
      <c r="I494" t="s">
        <v>50</v>
      </c>
      <c r="J494" t="s">
        <v>96</v>
      </c>
      <c r="K494" t="s">
        <v>21</v>
      </c>
      <c r="M494" t="s">
        <v>743</v>
      </c>
      <c r="N494" t="s">
        <v>353</v>
      </c>
      <c r="O494" t="s">
        <v>24</v>
      </c>
    </row>
    <row r="495" spans="1:15" x14ac:dyDescent="0.25">
      <c r="A495">
        <v>494</v>
      </c>
      <c r="B495" t="str">
        <f>HYPERLINK("https://digitalcommons.unl.edu/cgi/viewcontent.cgi?article=1142&amp;context=tractormuseumlit","Click for test report")</f>
        <v>Click for test report</v>
      </c>
      <c r="C495">
        <v>1950</v>
      </c>
      <c r="D495" t="s">
        <v>6481</v>
      </c>
      <c r="F495" t="s">
        <v>5347</v>
      </c>
      <c r="G495" t="s">
        <v>5347</v>
      </c>
      <c r="H495" t="s">
        <v>4809</v>
      </c>
      <c r="I495" t="s">
        <v>50</v>
      </c>
      <c r="J495" t="s">
        <v>348</v>
      </c>
      <c r="K495" t="s">
        <v>4809</v>
      </c>
      <c r="M495" t="s">
        <v>353</v>
      </c>
      <c r="N495" t="s">
        <v>1650</v>
      </c>
      <c r="O495" t="s">
        <v>24</v>
      </c>
    </row>
    <row r="496" spans="1:15" x14ac:dyDescent="0.25">
      <c r="A496">
        <v>495</v>
      </c>
      <c r="B496" t="str">
        <f>HYPERLINK("https://digitalcommons.unl.edu/cgi/viewcontent.cgi?article=1143&amp;context=tractormuseumlit","Click for test report")</f>
        <v>Click for test report</v>
      </c>
      <c r="C496">
        <v>1950</v>
      </c>
      <c r="D496" t="s">
        <v>6479</v>
      </c>
      <c r="F496" t="s">
        <v>5347</v>
      </c>
      <c r="G496" t="s">
        <v>5347</v>
      </c>
      <c r="H496" t="s">
        <v>6480</v>
      </c>
      <c r="I496" t="s">
        <v>50</v>
      </c>
      <c r="J496" t="s">
        <v>348</v>
      </c>
      <c r="K496" t="s">
        <v>4809</v>
      </c>
      <c r="M496" t="s">
        <v>3973</v>
      </c>
      <c r="N496" t="s">
        <v>4012</v>
      </c>
      <c r="O496" t="s">
        <v>24</v>
      </c>
    </row>
    <row r="497" spans="1:15" x14ac:dyDescent="0.25">
      <c r="A497">
        <v>496</v>
      </c>
      <c r="B497" t="str">
        <f>HYPERLINK("https://digitalcommons.unl.edu/cgi/viewcontent.cgi?article=1144&amp;context=tractormuseumlit","Click for test report")</f>
        <v>Click for test report</v>
      </c>
      <c r="C497">
        <v>1950</v>
      </c>
      <c r="D497" t="s">
        <v>6478</v>
      </c>
      <c r="F497" t="s">
        <v>4325</v>
      </c>
      <c r="G497" t="s">
        <v>4325</v>
      </c>
      <c r="H497" t="s">
        <v>6459</v>
      </c>
      <c r="I497" t="s">
        <v>50</v>
      </c>
      <c r="J497" t="s">
        <v>348</v>
      </c>
      <c r="K497" t="s">
        <v>4809</v>
      </c>
      <c r="M497" t="s">
        <v>4444</v>
      </c>
      <c r="N497" t="s">
        <v>4627</v>
      </c>
      <c r="O497" t="s">
        <v>24</v>
      </c>
    </row>
    <row r="498" spans="1:15" x14ac:dyDescent="0.25">
      <c r="A498">
        <v>497</v>
      </c>
      <c r="B498" t="str">
        <f>HYPERLINK("https://digitalcommons.unl.edu/cgi/viewcontent.cgi?article=1145&amp;context=tractormuseumlit","Click for test report")</f>
        <v>Click for test report</v>
      </c>
      <c r="C498">
        <v>1950</v>
      </c>
      <c r="D498" t="s">
        <v>6476</v>
      </c>
      <c r="F498" t="s">
        <v>4325</v>
      </c>
      <c r="G498" t="s">
        <v>4325</v>
      </c>
      <c r="H498" t="s">
        <v>6477</v>
      </c>
      <c r="I498" t="s">
        <v>50</v>
      </c>
      <c r="J498" t="s">
        <v>348</v>
      </c>
      <c r="K498" t="s">
        <v>4809</v>
      </c>
      <c r="M498" t="s">
        <v>3388</v>
      </c>
      <c r="N498" t="s">
        <v>4440</v>
      </c>
      <c r="O498" t="s">
        <v>24</v>
      </c>
    </row>
    <row r="499" spans="1:15" x14ac:dyDescent="0.25">
      <c r="A499">
        <v>498</v>
      </c>
      <c r="B499" t="str">
        <f>HYPERLINK("https://digitalcommons.unl.edu/cgi/viewcontent.cgi?article=1127&amp;context=tractormuseumlit","Click for test report")</f>
        <v>Click for test report</v>
      </c>
      <c r="C499">
        <v>1950</v>
      </c>
      <c r="D499" t="s">
        <v>5934</v>
      </c>
      <c r="F499" t="s">
        <v>4503</v>
      </c>
      <c r="G499" t="s">
        <v>6340</v>
      </c>
      <c r="H499" t="s">
        <v>6475</v>
      </c>
      <c r="I499" t="s">
        <v>50</v>
      </c>
      <c r="J499" t="s">
        <v>348</v>
      </c>
      <c r="K499" t="s">
        <v>21</v>
      </c>
      <c r="M499" t="s">
        <v>750</v>
      </c>
      <c r="N499" t="s">
        <v>410</v>
      </c>
      <c r="O499" t="s">
        <v>24</v>
      </c>
    </row>
    <row r="500" spans="1:15" x14ac:dyDescent="0.25">
      <c r="A500">
        <v>499</v>
      </c>
      <c r="B500" t="str">
        <f>HYPERLINK("https://digitalcommons.unl.edu/cgi/viewcontent.cgi?article=1147&amp;context=tractormuseumlit","Click for test report")</f>
        <v>Click for test report</v>
      </c>
      <c r="C500">
        <v>1950</v>
      </c>
      <c r="D500" t="s">
        <v>6472</v>
      </c>
      <c r="F500" t="s">
        <v>5831</v>
      </c>
      <c r="G500" t="s">
        <v>5831</v>
      </c>
      <c r="H500" t="s">
        <v>6234</v>
      </c>
      <c r="I500" t="s">
        <v>50</v>
      </c>
      <c r="J500" t="s">
        <v>348</v>
      </c>
      <c r="K500" t="s">
        <v>4809</v>
      </c>
      <c r="M500" t="s">
        <v>2090</v>
      </c>
      <c r="N500" t="s">
        <v>1893</v>
      </c>
      <c r="O500" t="s">
        <v>24</v>
      </c>
    </row>
    <row r="501" spans="1:15" x14ac:dyDescent="0.25">
      <c r="A501">
        <v>500</v>
      </c>
      <c r="B501" t="str">
        <f>HYPERLINK("https://digitalcommons.unl.edu/cgi/viewcontent.cgi?article=1147&amp;context=tractormuseumlit","Click for test report")</f>
        <v>Click for test report</v>
      </c>
      <c r="C501">
        <v>1950</v>
      </c>
      <c r="D501" t="s">
        <v>6472</v>
      </c>
      <c r="F501" t="s">
        <v>5831</v>
      </c>
      <c r="G501" t="s">
        <v>6387</v>
      </c>
      <c r="H501" t="s">
        <v>6473</v>
      </c>
      <c r="I501" t="s">
        <v>50</v>
      </c>
      <c r="J501" t="s">
        <v>348</v>
      </c>
      <c r="K501" t="s">
        <v>4809</v>
      </c>
      <c r="M501" t="s">
        <v>2090</v>
      </c>
      <c r="N501" t="s">
        <v>1893</v>
      </c>
      <c r="O501" t="s">
        <v>6474</v>
      </c>
    </row>
    <row r="502" spans="1:15" x14ac:dyDescent="0.25">
      <c r="A502">
        <v>501</v>
      </c>
      <c r="B502" t="str">
        <f>HYPERLINK("https://digitalcommons.unl.edu/cgi/viewcontent.cgi?article=1148&amp;context=tractormuseumlit","Click for test report")</f>
        <v>Click for test report</v>
      </c>
      <c r="C502">
        <v>1950</v>
      </c>
      <c r="D502" t="s">
        <v>6470</v>
      </c>
      <c r="F502" t="s">
        <v>4395</v>
      </c>
      <c r="G502" t="s">
        <v>3708</v>
      </c>
      <c r="H502" t="s">
        <v>6471</v>
      </c>
      <c r="I502" t="s">
        <v>50</v>
      </c>
      <c r="J502" t="s">
        <v>348</v>
      </c>
      <c r="K502" t="s">
        <v>4809</v>
      </c>
      <c r="M502" t="s">
        <v>4013</v>
      </c>
      <c r="N502" t="s">
        <v>4362</v>
      </c>
      <c r="O502" t="s">
        <v>24</v>
      </c>
    </row>
    <row r="503" spans="1:15" x14ac:dyDescent="0.25">
      <c r="A503">
        <v>502</v>
      </c>
      <c r="B503" t="str">
        <f>HYPERLINK("https://digitalcommons.unl.edu/cgi/viewcontent.cgi?article=1149&amp;context=tractormuseumlit","Click for test report")</f>
        <v>Click for test report</v>
      </c>
      <c r="C503">
        <v>1950</v>
      </c>
      <c r="D503" t="s">
        <v>5629</v>
      </c>
      <c r="F503" t="s">
        <v>4395</v>
      </c>
      <c r="G503" t="s">
        <v>3708</v>
      </c>
      <c r="H503" t="s">
        <v>6469</v>
      </c>
      <c r="I503" t="s">
        <v>50</v>
      </c>
      <c r="J503" t="s">
        <v>348</v>
      </c>
      <c r="K503" t="s">
        <v>6166</v>
      </c>
      <c r="M503" t="s">
        <v>4362</v>
      </c>
      <c r="N503" t="s">
        <v>4449</v>
      </c>
      <c r="O503" t="s">
        <v>24</v>
      </c>
    </row>
    <row r="504" spans="1:15" x14ac:dyDescent="0.25">
      <c r="A504">
        <v>503</v>
      </c>
      <c r="B504" t="str">
        <f>HYPERLINK("https://digitalcommons.unl.edu/cgi/viewcontent.cgi?article=1150&amp;context=tractormuseumlit","Click for test report")</f>
        <v>Click for test report</v>
      </c>
      <c r="C504">
        <v>1950</v>
      </c>
      <c r="D504" t="s">
        <v>6467</v>
      </c>
      <c r="F504" t="s">
        <v>4503</v>
      </c>
      <c r="G504" t="s">
        <v>4503</v>
      </c>
      <c r="H504" t="s">
        <v>6468</v>
      </c>
      <c r="I504" t="s">
        <v>50</v>
      </c>
      <c r="J504" t="s">
        <v>96</v>
      </c>
      <c r="K504" t="s">
        <v>21</v>
      </c>
      <c r="M504" t="s">
        <v>764</v>
      </c>
      <c r="N504" t="s">
        <v>1864</v>
      </c>
      <c r="O504" t="s">
        <v>24</v>
      </c>
    </row>
    <row r="505" spans="1:15" x14ac:dyDescent="0.25">
      <c r="A505">
        <v>504</v>
      </c>
      <c r="B505" t="str">
        <f>HYPERLINK("https://digitalcommons.unl.edu/cgi/viewcontent.cgi?article=1151&amp;context=tractormuseumlit","Click for test report")</f>
        <v>Click for test report</v>
      </c>
      <c r="C505">
        <v>1950</v>
      </c>
      <c r="D505" t="s">
        <v>6465</v>
      </c>
      <c r="F505" t="s">
        <v>4503</v>
      </c>
      <c r="G505" t="s">
        <v>4503</v>
      </c>
      <c r="H505" t="s">
        <v>6466</v>
      </c>
      <c r="I505" t="s">
        <v>50</v>
      </c>
      <c r="J505" t="s">
        <v>96</v>
      </c>
      <c r="K505" t="s">
        <v>21</v>
      </c>
      <c r="M505" t="s">
        <v>375</v>
      </c>
      <c r="N505" t="s">
        <v>1796</v>
      </c>
      <c r="O505" t="s">
        <v>24</v>
      </c>
    </row>
    <row r="506" spans="1:15" x14ac:dyDescent="0.25">
      <c r="A506">
        <v>505</v>
      </c>
      <c r="B506" t="str">
        <f>HYPERLINK("https://digitalcommons.unl.edu/cgi/viewcontent.cgi?article=1152&amp;context=tractormuseumlit","Click for test report")</f>
        <v>Click for test report</v>
      </c>
      <c r="C506">
        <v>1950</v>
      </c>
      <c r="D506" t="s">
        <v>6464</v>
      </c>
      <c r="F506" t="s">
        <v>4503</v>
      </c>
      <c r="G506" t="s">
        <v>4503</v>
      </c>
      <c r="H506" t="s">
        <v>6187</v>
      </c>
      <c r="I506" t="s">
        <v>50</v>
      </c>
      <c r="J506" t="s">
        <v>96</v>
      </c>
      <c r="K506" t="s">
        <v>21</v>
      </c>
      <c r="N506" t="s">
        <v>909</v>
      </c>
      <c r="O506" t="s">
        <v>2163</v>
      </c>
    </row>
    <row r="507" spans="1:15" x14ac:dyDescent="0.25">
      <c r="A507">
        <v>506</v>
      </c>
      <c r="B507" t="str">
        <f>HYPERLINK("https://digitalcommons.unl.edu/cgi/viewcontent.cgi?article=1067&amp;context=tractormuseumlit","Click for test report")</f>
        <v>Click for test report</v>
      </c>
      <c r="C507">
        <v>1950</v>
      </c>
      <c r="D507" t="s">
        <v>6462</v>
      </c>
      <c r="F507" t="s">
        <v>17</v>
      </c>
      <c r="G507" t="s">
        <v>17</v>
      </c>
      <c r="H507" t="s">
        <v>6463</v>
      </c>
      <c r="I507" t="s">
        <v>50</v>
      </c>
      <c r="J507" t="s">
        <v>96</v>
      </c>
      <c r="K507" t="s">
        <v>4809</v>
      </c>
      <c r="M507" t="s">
        <v>4362</v>
      </c>
      <c r="N507" t="s">
        <v>4363</v>
      </c>
      <c r="O507" t="s">
        <v>24</v>
      </c>
    </row>
    <row r="508" spans="1:15" x14ac:dyDescent="0.25">
      <c r="A508">
        <v>507</v>
      </c>
      <c r="B508" t="str">
        <f>HYPERLINK("https://digitalcommons.unl.edu/cgi/viewcontent.cgi?article=1153&amp;context=tractormuseumlit","Click for test report")</f>
        <v>Click for test report</v>
      </c>
      <c r="C508">
        <v>1950</v>
      </c>
      <c r="D508" t="s">
        <v>6456</v>
      </c>
      <c r="F508" t="s">
        <v>6457</v>
      </c>
      <c r="G508" t="s">
        <v>6458</v>
      </c>
      <c r="H508" t="s">
        <v>6459</v>
      </c>
      <c r="I508" t="s">
        <v>6005</v>
      </c>
      <c r="J508" t="s">
        <v>6460</v>
      </c>
      <c r="K508" t="s">
        <v>4809</v>
      </c>
      <c r="M508" t="s">
        <v>6006</v>
      </c>
      <c r="N508" t="s">
        <v>6461</v>
      </c>
      <c r="O508" t="s">
        <v>24</v>
      </c>
    </row>
    <row r="509" spans="1:15" x14ac:dyDescent="0.25">
      <c r="A509">
        <v>508</v>
      </c>
      <c r="B509" t="str">
        <f>HYPERLINK("https://digitalcommons.unl.edu/cgi/viewcontent.cgi?article=1154&amp;context=tractormuseumlit","Click for test report")</f>
        <v>Click for test report</v>
      </c>
      <c r="C509">
        <v>1950</v>
      </c>
      <c r="D509" t="s">
        <v>1305</v>
      </c>
      <c r="F509" t="s">
        <v>5345</v>
      </c>
      <c r="G509" t="s">
        <v>5345</v>
      </c>
      <c r="H509" t="s">
        <v>6455</v>
      </c>
      <c r="I509" t="s">
        <v>50</v>
      </c>
      <c r="J509" t="s">
        <v>348</v>
      </c>
      <c r="K509" t="s">
        <v>21</v>
      </c>
      <c r="M509" t="s">
        <v>2090</v>
      </c>
      <c r="N509" t="s">
        <v>1802</v>
      </c>
      <c r="O509" t="s">
        <v>24</v>
      </c>
    </row>
    <row r="510" spans="1:15" x14ac:dyDescent="0.25">
      <c r="A510">
        <v>509</v>
      </c>
      <c r="B510" t="str">
        <f>HYPERLINK("https://digitalcommons.unl.edu/cgi/viewcontent.cgi?article=1155&amp;context=tractormuseumlit","Click for test report")</f>
        <v>Click for test report</v>
      </c>
      <c r="C510">
        <v>1950</v>
      </c>
      <c r="D510" t="s">
        <v>2601</v>
      </c>
      <c r="F510" t="s">
        <v>5345</v>
      </c>
      <c r="G510" t="s">
        <v>5345</v>
      </c>
      <c r="H510" t="s">
        <v>6454</v>
      </c>
      <c r="I510" t="s">
        <v>50</v>
      </c>
      <c r="J510" t="s">
        <v>348</v>
      </c>
      <c r="K510" t="s">
        <v>4809</v>
      </c>
      <c r="M510" t="s">
        <v>1864</v>
      </c>
      <c r="N510" t="s">
        <v>3319</v>
      </c>
      <c r="O510" t="s">
        <v>24</v>
      </c>
    </row>
    <row r="511" spans="1:15" x14ac:dyDescent="0.25">
      <c r="A511">
        <v>510</v>
      </c>
      <c r="B511" t="str">
        <f>HYPERLINK("https://digitalcommons.unl.edu/cgi/viewcontent.cgi?article=1156&amp;context=tractormuseumlit","Click for test report")</f>
        <v>Click for test report</v>
      </c>
      <c r="C511">
        <v>1950</v>
      </c>
      <c r="D511" t="s">
        <v>6270</v>
      </c>
      <c r="F511" t="s">
        <v>6226</v>
      </c>
      <c r="G511" t="s">
        <v>6226</v>
      </c>
      <c r="H511" t="s">
        <v>6448</v>
      </c>
      <c r="I511" t="s">
        <v>50</v>
      </c>
      <c r="J511" t="s">
        <v>348</v>
      </c>
      <c r="K511" t="s">
        <v>21</v>
      </c>
      <c r="M511" t="s">
        <v>731</v>
      </c>
      <c r="N511" t="s">
        <v>3319</v>
      </c>
      <c r="O511" t="s">
        <v>24</v>
      </c>
    </row>
    <row r="512" spans="1:15" x14ac:dyDescent="0.25">
      <c r="A512">
        <v>511</v>
      </c>
      <c r="B512" t="str">
        <f>HYPERLINK("https://digitalcommons.unl.edu/cgi/viewcontent.cgi?article=1157&amp;context=tractormuseumlit","Click for test report")</f>
        <v>Click for test report</v>
      </c>
      <c r="C512">
        <v>1950</v>
      </c>
      <c r="D512" t="s">
        <v>6452</v>
      </c>
      <c r="F512" t="s">
        <v>4325</v>
      </c>
      <c r="G512" t="s">
        <v>4325</v>
      </c>
      <c r="H512" t="s">
        <v>6453</v>
      </c>
      <c r="I512" t="s">
        <v>50</v>
      </c>
      <c r="J512" t="s">
        <v>348</v>
      </c>
      <c r="K512" t="s">
        <v>4809</v>
      </c>
      <c r="M512" t="s">
        <v>4590</v>
      </c>
      <c r="N512" t="s">
        <v>4444</v>
      </c>
      <c r="O512" t="s">
        <v>24</v>
      </c>
    </row>
    <row r="513" spans="1:15" x14ac:dyDescent="0.25">
      <c r="A513">
        <v>512</v>
      </c>
      <c r="B513" t="str">
        <f>HYPERLINK("https://digitalcommons.unl.edu/cgi/viewcontent.cgi?article=1158&amp;context=tractormuseumlit","Click for test report")</f>
        <v>Click for test report</v>
      </c>
      <c r="C513">
        <v>1950</v>
      </c>
      <c r="D513" t="s">
        <v>5452</v>
      </c>
      <c r="F513" t="s">
        <v>6449</v>
      </c>
      <c r="G513" t="s">
        <v>6450</v>
      </c>
      <c r="H513" t="s">
        <v>6451</v>
      </c>
      <c r="I513" t="s">
        <v>50</v>
      </c>
      <c r="J513" t="s">
        <v>348</v>
      </c>
      <c r="K513" t="s">
        <v>4809</v>
      </c>
      <c r="M513" t="s">
        <v>3152</v>
      </c>
      <c r="N513" t="s">
        <v>2699</v>
      </c>
      <c r="O513" t="s">
        <v>24</v>
      </c>
    </row>
    <row r="514" spans="1:15" x14ac:dyDescent="0.25">
      <c r="A514">
        <v>513</v>
      </c>
      <c r="B514" t="str">
        <f>HYPERLINK("https://digitalcommons.unl.edu/cgi/viewcontent.cgi?article=1579&amp;context=tractormuseumlit","Click for test report")</f>
        <v>Click for test report</v>
      </c>
      <c r="C514">
        <v>1951</v>
      </c>
      <c r="D514" t="s">
        <v>6268</v>
      </c>
      <c r="F514" t="s">
        <v>6226</v>
      </c>
      <c r="G514" t="s">
        <v>6226</v>
      </c>
      <c r="H514" t="s">
        <v>6448</v>
      </c>
      <c r="I514" t="s">
        <v>50</v>
      </c>
      <c r="J514" t="s">
        <v>348</v>
      </c>
      <c r="K514" t="s">
        <v>4809</v>
      </c>
      <c r="M514" t="s">
        <v>747</v>
      </c>
      <c r="N514" t="s">
        <v>2029</v>
      </c>
      <c r="O514" t="s">
        <v>24</v>
      </c>
    </row>
    <row r="515" spans="1:15" x14ac:dyDescent="0.25">
      <c r="A515">
        <v>514</v>
      </c>
      <c r="B515" t="str">
        <f>HYPERLINK("https://digitalcommons.unl.edu/cgi/viewcontent.cgi?article=1580&amp;context=tractormuseumlit","Click for test report")</f>
        <v>Click for test report</v>
      </c>
      <c r="C515">
        <v>1951</v>
      </c>
      <c r="D515" t="s">
        <v>6446</v>
      </c>
      <c r="F515" t="s">
        <v>5999</v>
      </c>
      <c r="G515" t="s">
        <v>5999</v>
      </c>
      <c r="H515" t="s">
        <v>6447</v>
      </c>
      <c r="I515" t="s">
        <v>6005</v>
      </c>
      <c r="J515" t="s">
        <v>348</v>
      </c>
      <c r="K515" t="s">
        <v>4809</v>
      </c>
      <c r="M515" t="s">
        <v>6006</v>
      </c>
      <c r="N515" t="s">
        <v>6006</v>
      </c>
      <c r="O515" t="s">
        <v>24</v>
      </c>
    </row>
    <row r="516" spans="1:15" x14ac:dyDescent="0.25">
      <c r="A516">
        <v>515</v>
      </c>
      <c r="B516" t="str">
        <f>HYPERLINK("https://digitalcommons.unl.edu/cgi/viewcontent.cgi?article=1516&amp;context=tractormuseumlit","Click for test report")</f>
        <v>Click for test report</v>
      </c>
      <c r="C516">
        <v>1951</v>
      </c>
      <c r="D516" t="s">
        <v>6445</v>
      </c>
      <c r="F516" t="s">
        <v>5345</v>
      </c>
      <c r="G516" t="s">
        <v>5345</v>
      </c>
      <c r="H516" t="s">
        <v>6419</v>
      </c>
      <c r="I516" t="s">
        <v>50</v>
      </c>
      <c r="J516" t="s">
        <v>348</v>
      </c>
      <c r="K516" t="s">
        <v>21</v>
      </c>
      <c r="M516" t="s">
        <v>2825</v>
      </c>
      <c r="N516" t="s">
        <v>4008</v>
      </c>
      <c r="O516" t="s">
        <v>24</v>
      </c>
    </row>
    <row r="517" spans="1:15" x14ac:dyDescent="0.25">
      <c r="A517">
        <v>516</v>
      </c>
      <c r="B517" t="str">
        <f>HYPERLINK("https://digitalcommons.unl.edu/cgi/viewcontent.cgi?article=3302&amp;context=tractormuseumlit","Click for test report")</f>
        <v>Click for test report</v>
      </c>
      <c r="C517">
        <v>1951</v>
      </c>
      <c r="D517" t="s">
        <v>6443</v>
      </c>
      <c r="F517" t="s">
        <v>4503</v>
      </c>
      <c r="G517" t="s">
        <v>6201</v>
      </c>
      <c r="H517" t="s">
        <v>6444</v>
      </c>
      <c r="I517" t="s">
        <v>50</v>
      </c>
      <c r="J517" t="s">
        <v>348</v>
      </c>
      <c r="K517" t="s">
        <v>4809</v>
      </c>
      <c r="M517" t="s">
        <v>4358</v>
      </c>
      <c r="N517" t="s">
        <v>4359</v>
      </c>
      <c r="O517" t="s">
        <v>24</v>
      </c>
    </row>
    <row r="518" spans="1:15" x14ac:dyDescent="0.25">
      <c r="A518">
        <v>517</v>
      </c>
      <c r="B518" t="str">
        <f>HYPERLINK("https://digitalcommons.unl.edu/cgi/viewcontent.cgi?article=1581&amp;context=tractormuseumlit","Click for test report")</f>
        <v>Click for test report</v>
      </c>
      <c r="C518">
        <v>1951</v>
      </c>
      <c r="D518" t="s">
        <v>6441</v>
      </c>
      <c r="F518" t="s">
        <v>4503</v>
      </c>
      <c r="G518" t="s">
        <v>6340</v>
      </c>
      <c r="H518" t="s">
        <v>6442</v>
      </c>
      <c r="I518" t="s">
        <v>50</v>
      </c>
      <c r="J518" t="s">
        <v>348</v>
      </c>
      <c r="K518" t="s">
        <v>21</v>
      </c>
      <c r="M518" t="s">
        <v>1893</v>
      </c>
      <c r="N518" t="s">
        <v>4745</v>
      </c>
      <c r="O518" t="s">
        <v>24</v>
      </c>
    </row>
    <row r="519" spans="1:15" x14ac:dyDescent="0.25">
      <c r="A519">
        <v>518</v>
      </c>
      <c r="B519" t="str">
        <f>HYPERLINK("https://digitalcommons.unl.edu/cgi/viewcontent.cgi?article=1582&amp;context=tractormuseumlit","Click for test report")</f>
        <v>Click for test report</v>
      </c>
      <c r="C519">
        <v>1951</v>
      </c>
      <c r="D519" t="s">
        <v>5151</v>
      </c>
      <c r="F519" t="s">
        <v>4503</v>
      </c>
      <c r="G519" t="s">
        <v>6201</v>
      </c>
      <c r="H519" t="s">
        <v>6440</v>
      </c>
      <c r="I519" t="s">
        <v>50</v>
      </c>
      <c r="J519" t="s">
        <v>348</v>
      </c>
      <c r="K519" t="s">
        <v>21</v>
      </c>
      <c r="M519" t="s">
        <v>1802</v>
      </c>
      <c r="N519" t="s">
        <v>3388</v>
      </c>
      <c r="O519" t="s">
        <v>24</v>
      </c>
    </row>
    <row r="520" spans="1:15" x14ac:dyDescent="0.25">
      <c r="A520">
        <v>519</v>
      </c>
      <c r="B520" t="str">
        <f>HYPERLINK("https://digitalcommons.unl.edu/cgi/viewcontent.cgi?article=1583&amp;context=tractormuseumlit","Click for test report")</f>
        <v>Click for test report</v>
      </c>
      <c r="C520">
        <v>1951</v>
      </c>
      <c r="D520" t="s">
        <v>6439</v>
      </c>
      <c r="F520" t="s">
        <v>4503</v>
      </c>
      <c r="G520" t="s">
        <v>4503</v>
      </c>
      <c r="H520" t="s">
        <v>5968</v>
      </c>
      <c r="I520" t="s">
        <v>50</v>
      </c>
      <c r="J520" t="s">
        <v>96</v>
      </c>
      <c r="K520" t="s">
        <v>21</v>
      </c>
      <c r="M520" t="s">
        <v>410</v>
      </c>
      <c r="N520" t="s">
        <v>2826</v>
      </c>
      <c r="O520" t="s">
        <v>24</v>
      </c>
    </row>
    <row r="521" spans="1:15" x14ac:dyDescent="0.25">
      <c r="A521">
        <v>520</v>
      </c>
      <c r="B521" t="str">
        <f>HYPERLINK("https://digitalcommons.unl.edu/cgi/viewcontent.cgi?article=3303&amp;context=tractormuseumlit","Click for test report")</f>
        <v>Click for test report</v>
      </c>
      <c r="C521">
        <v>1951</v>
      </c>
      <c r="D521" t="s">
        <v>6438</v>
      </c>
      <c r="F521" t="s">
        <v>4503</v>
      </c>
      <c r="G521" t="s">
        <v>4503</v>
      </c>
      <c r="H521" t="s">
        <v>6240</v>
      </c>
      <c r="I521" t="s">
        <v>50</v>
      </c>
      <c r="J521" t="s">
        <v>96</v>
      </c>
      <c r="K521" t="s">
        <v>21</v>
      </c>
      <c r="M521" t="s">
        <v>1802</v>
      </c>
      <c r="N521" t="s">
        <v>4008</v>
      </c>
      <c r="O521" t="s">
        <v>24</v>
      </c>
    </row>
    <row r="522" spans="1:15" x14ac:dyDescent="0.25">
      <c r="A522">
        <v>521</v>
      </c>
      <c r="B522" t="str">
        <f>HYPERLINK("https://digitalcommons.unl.edu/cgi/viewcontent.cgi?article=1584&amp;context=tractormuseumlit","Click for test report")</f>
        <v>Click for test report</v>
      </c>
      <c r="C522">
        <v>1951</v>
      </c>
      <c r="D522" t="s">
        <v>6436</v>
      </c>
      <c r="F522" t="s">
        <v>4325</v>
      </c>
      <c r="G522" t="s">
        <v>4325</v>
      </c>
      <c r="H522" t="s">
        <v>6437</v>
      </c>
      <c r="I522" t="s">
        <v>50</v>
      </c>
      <c r="J522" t="s">
        <v>96</v>
      </c>
      <c r="K522" t="s">
        <v>21</v>
      </c>
      <c r="M522" t="s">
        <v>746</v>
      </c>
      <c r="N522" t="s">
        <v>1257</v>
      </c>
      <c r="O522" t="s">
        <v>24</v>
      </c>
    </row>
    <row r="523" spans="1:15" x14ac:dyDescent="0.25">
      <c r="A523">
        <v>522</v>
      </c>
      <c r="B523" t="str">
        <f>HYPERLINK("https://digitalcommons.unl.edu/cgi/viewcontent.cgi?article=1585&amp;context=tractormuseumlit","Click for test report")</f>
        <v>Click for test report</v>
      </c>
      <c r="C523">
        <v>1951</v>
      </c>
      <c r="D523" t="s">
        <v>5397</v>
      </c>
      <c r="F523" t="s">
        <v>4325</v>
      </c>
      <c r="G523" t="s">
        <v>4325</v>
      </c>
      <c r="H523" t="s">
        <v>6435</v>
      </c>
      <c r="I523" t="s">
        <v>50</v>
      </c>
      <c r="J523" t="s">
        <v>96</v>
      </c>
      <c r="K523" t="s">
        <v>21</v>
      </c>
      <c r="M523" t="s">
        <v>569</v>
      </c>
      <c r="N523" t="s">
        <v>130</v>
      </c>
      <c r="O523" t="s">
        <v>24</v>
      </c>
    </row>
    <row r="524" spans="1:15" x14ac:dyDescent="0.25">
      <c r="A524">
        <v>523</v>
      </c>
      <c r="B524" t="str">
        <f>HYPERLINK("https://digitalcommons.unl.edu/cgi/viewcontent.cgi?article=1586&amp;context=tractormuseumlit","Click for test report")</f>
        <v>Click for test report</v>
      </c>
      <c r="C524">
        <v>1951</v>
      </c>
      <c r="D524" t="s">
        <v>6433</v>
      </c>
      <c r="F524" t="s">
        <v>4325</v>
      </c>
      <c r="G524" t="s">
        <v>4325</v>
      </c>
      <c r="H524" t="s">
        <v>6434</v>
      </c>
      <c r="I524" t="s">
        <v>50</v>
      </c>
      <c r="J524" t="s">
        <v>96</v>
      </c>
      <c r="K524" t="s">
        <v>21</v>
      </c>
      <c r="N524" t="s">
        <v>122</v>
      </c>
      <c r="O524" t="s">
        <v>2163</v>
      </c>
    </row>
    <row r="525" spans="1:15" x14ac:dyDescent="0.25">
      <c r="A525">
        <v>524</v>
      </c>
      <c r="B525" t="str">
        <f>HYPERLINK("https://digitalcommons.unl.edu/cgi/viewcontent.cgi?article=3198&amp;context=tractormuseumlit","Click for test report")</f>
        <v>Click for test report</v>
      </c>
      <c r="C525">
        <v>1951</v>
      </c>
      <c r="D525" t="s">
        <v>6430</v>
      </c>
      <c r="F525" t="s">
        <v>6431</v>
      </c>
      <c r="G525" t="s">
        <v>6233</v>
      </c>
      <c r="H525" t="s">
        <v>6432</v>
      </c>
      <c r="I525" t="s">
        <v>50</v>
      </c>
      <c r="J525" t="s">
        <v>348</v>
      </c>
      <c r="K525" t="s">
        <v>4809</v>
      </c>
      <c r="M525" t="s">
        <v>4397</v>
      </c>
      <c r="N525" t="s">
        <v>4355</v>
      </c>
      <c r="O525" t="s">
        <v>24</v>
      </c>
    </row>
    <row r="526" spans="1:15" x14ac:dyDescent="0.25">
      <c r="A526">
        <v>525</v>
      </c>
      <c r="B526" t="str">
        <f>HYPERLINK("https://digitalcommons.unl.edu/cgi/viewcontent.cgi?article=1517&amp;context=tractormuseumlit","Click for test report")</f>
        <v>Click for test report</v>
      </c>
      <c r="C526">
        <v>1951</v>
      </c>
      <c r="D526" t="s">
        <v>6428</v>
      </c>
      <c r="F526" t="s">
        <v>5345</v>
      </c>
      <c r="G526" t="s">
        <v>5345</v>
      </c>
      <c r="H526" t="s">
        <v>6429</v>
      </c>
      <c r="I526" t="s">
        <v>50</v>
      </c>
      <c r="J526" t="s">
        <v>348</v>
      </c>
      <c r="K526" t="s">
        <v>21</v>
      </c>
      <c r="M526" t="s">
        <v>4590</v>
      </c>
      <c r="N526" t="s">
        <v>4444</v>
      </c>
      <c r="O526" t="s">
        <v>24</v>
      </c>
    </row>
    <row r="527" spans="1:15" x14ac:dyDescent="0.25">
      <c r="A527">
        <v>526</v>
      </c>
      <c r="B527" t="str">
        <f>HYPERLINK("https://digitalcommons.unl.edu/cgi/viewcontent.cgi?article=1588&amp;context=tractormuseumlit","Click for test report")</f>
        <v>Click for test report</v>
      </c>
      <c r="C527">
        <v>1951</v>
      </c>
      <c r="D527" t="s">
        <v>6426</v>
      </c>
      <c r="F527" t="s">
        <v>5347</v>
      </c>
      <c r="G527" t="s">
        <v>5347</v>
      </c>
      <c r="H527" t="s">
        <v>6427</v>
      </c>
      <c r="I527" t="s">
        <v>50</v>
      </c>
      <c r="J527" t="s">
        <v>348</v>
      </c>
      <c r="K527" t="s">
        <v>4809</v>
      </c>
      <c r="M527" t="s">
        <v>4352</v>
      </c>
      <c r="N527" t="s">
        <v>4358</v>
      </c>
      <c r="O527" t="s">
        <v>24</v>
      </c>
    </row>
    <row r="528" spans="1:15" x14ac:dyDescent="0.25">
      <c r="A528">
        <v>527</v>
      </c>
      <c r="B528" t="str">
        <f>HYPERLINK("https://digitalcommons.unl.edu/cgi/viewcontent.cgi?article=1589&amp;context=tractormuseumlit","Click for test report")</f>
        <v>Click for test report</v>
      </c>
      <c r="C528">
        <v>1951</v>
      </c>
      <c r="D528" t="s">
        <v>6423</v>
      </c>
      <c r="F528" t="s">
        <v>5347</v>
      </c>
      <c r="G528" t="s">
        <v>6425</v>
      </c>
      <c r="H528" t="s">
        <v>6424</v>
      </c>
      <c r="I528" t="s">
        <v>50</v>
      </c>
      <c r="J528" t="s">
        <v>348</v>
      </c>
      <c r="K528" t="s">
        <v>4809</v>
      </c>
      <c r="M528" t="s">
        <v>4352</v>
      </c>
      <c r="N528" t="s">
        <v>4355</v>
      </c>
      <c r="O528" t="s">
        <v>24</v>
      </c>
    </row>
    <row r="529" spans="1:15" x14ac:dyDescent="0.25">
      <c r="A529">
        <v>528</v>
      </c>
      <c r="B529" t="str">
        <f>HYPERLINK("https://digitalcommons.unl.edu/cgi/viewcontent.cgi?article=1589&amp;context=tractormuseumlit","Click for test report")</f>
        <v>Click for test report</v>
      </c>
      <c r="C529">
        <v>1951</v>
      </c>
      <c r="D529" t="s">
        <v>6423</v>
      </c>
      <c r="F529" t="s">
        <v>5347</v>
      </c>
      <c r="G529" t="s">
        <v>5347</v>
      </c>
      <c r="H529" t="s">
        <v>6424</v>
      </c>
      <c r="I529" t="s">
        <v>50</v>
      </c>
      <c r="J529" t="s">
        <v>348</v>
      </c>
      <c r="K529" t="s">
        <v>4809</v>
      </c>
      <c r="M529" t="s">
        <v>4352</v>
      </c>
      <c r="N529" t="s">
        <v>4355</v>
      </c>
      <c r="O529" t="s">
        <v>24</v>
      </c>
    </row>
    <row r="530" spans="1:15" x14ac:dyDescent="0.25">
      <c r="A530">
        <v>529</v>
      </c>
      <c r="B530" t="str">
        <f>HYPERLINK("https://digitalcommons.unl.edu/cgi/viewcontent.cgi?article=2011&amp;context=tractormuseumlit","Click for test report")</f>
        <v>Click for test report</v>
      </c>
      <c r="C530">
        <v>1952</v>
      </c>
      <c r="D530" t="s">
        <v>6420</v>
      </c>
      <c r="F530" t="s">
        <v>6226</v>
      </c>
      <c r="G530" t="s">
        <v>6226</v>
      </c>
      <c r="H530" t="s">
        <v>6421</v>
      </c>
      <c r="I530" t="s">
        <v>50</v>
      </c>
      <c r="J530" t="s">
        <v>348</v>
      </c>
      <c r="K530" t="s">
        <v>4809</v>
      </c>
      <c r="M530" t="s">
        <v>4008</v>
      </c>
      <c r="N530" t="s">
        <v>4444</v>
      </c>
      <c r="O530" t="s">
        <v>6422</v>
      </c>
    </row>
    <row r="531" spans="1:15" x14ac:dyDescent="0.25">
      <c r="A531">
        <v>530</v>
      </c>
      <c r="B531" t="str">
        <f>HYPERLINK("https://digitalcommons.unl.edu/cgi/viewcontent.cgi?article=1518&amp;context=tractormuseumlit","Click for test report")</f>
        <v>Click for test report</v>
      </c>
      <c r="C531">
        <v>1952</v>
      </c>
      <c r="D531" t="s">
        <v>1203</v>
      </c>
      <c r="F531" t="s">
        <v>5345</v>
      </c>
      <c r="G531" t="s">
        <v>5345</v>
      </c>
      <c r="H531" t="s">
        <v>6419</v>
      </c>
      <c r="I531" t="s">
        <v>50</v>
      </c>
      <c r="J531" t="s">
        <v>348</v>
      </c>
      <c r="K531" t="s">
        <v>5598</v>
      </c>
      <c r="M531" t="s">
        <v>3973</v>
      </c>
      <c r="N531" t="s">
        <v>4012</v>
      </c>
      <c r="O531" t="s">
        <v>24</v>
      </c>
    </row>
    <row r="532" spans="1:15" x14ac:dyDescent="0.25">
      <c r="A532">
        <v>531</v>
      </c>
      <c r="B532" t="str">
        <f>HYPERLINK("https://digitalcommons.unl.edu/cgi/viewcontent.cgi?article=1590&amp;context=tractormuseumlit","Click for test report")</f>
        <v>Click for test report</v>
      </c>
      <c r="C532">
        <v>1952</v>
      </c>
      <c r="D532" t="s">
        <v>2599</v>
      </c>
      <c r="F532" t="s">
        <v>6416</v>
      </c>
      <c r="G532" t="s">
        <v>6417</v>
      </c>
      <c r="H532" t="s">
        <v>6418</v>
      </c>
      <c r="I532" t="s">
        <v>50</v>
      </c>
      <c r="J532" t="s">
        <v>96</v>
      </c>
      <c r="K532" t="s">
        <v>4809</v>
      </c>
      <c r="M532" t="s">
        <v>4440</v>
      </c>
      <c r="N532" t="s">
        <v>4590</v>
      </c>
      <c r="O532" t="s">
        <v>24</v>
      </c>
    </row>
    <row r="533" spans="1:15" x14ac:dyDescent="0.25">
      <c r="A533">
        <v>532</v>
      </c>
      <c r="B533" t="str">
        <f>HYPERLINK("https://digitalcommons.unl.edu/cgi/viewcontent.cgi?article=3304&amp;context=tractormuseumlit","Click for test report")</f>
        <v>Click for test report</v>
      </c>
      <c r="C533">
        <v>1952</v>
      </c>
      <c r="D533" t="s">
        <v>4987</v>
      </c>
      <c r="F533" t="s">
        <v>17</v>
      </c>
      <c r="G533" t="s">
        <v>17</v>
      </c>
      <c r="H533" t="s">
        <v>4115</v>
      </c>
      <c r="I533" t="s">
        <v>50</v>
      </c>
      <c r="J533" t="s">
        <v>348</v>
      </c>
      <c r="K533" t="s">
        <v>4809</v>
      </c>
      <c r="M533" t="s">
        <v>2699</v>
      </c>
      <c r="N533" t="s">
        <v>2825</v>
      </c>
      <c r="O533" t="s">
        <v>24</v>
      </c>
    </row>
    <row r="534" spans="1:15" x14ac:dyDescent="0.25">
      <c r="A534">
        <v>533</v>
      </c>
      <c r="B534" t="str">
        <f>HYPERLINK("https://digitalcommons.unl.edu/cgi/viewcontent.cgi?article=1591&amp;context=tractormuseumlit","Click for test report")</f>
        <v>Click for test report</v>
      </c>
      <c r="C534">
        <v>1952</v>
      </c>
      <c r="D534" t="s">
        <v>6413</v>
      </c>
      <c r="F534" t="s">
        <v>6414</v>
      </c>
      <c r="G534" t="s">
        <v>6414</v>
      </c>
      <c r="H534" t="s">
        <v>6415</v>
      </c>
      <c r="I534" t="s">
        <v>6005</v>
      </c>
      <c r="J534" t="s">
        <v>348</v>
      </c>
      <c r="K534" t="s">
        <v>4809</v>
      </c>
      <c r="M534" t="s">
        <v>6006</v>
      </c>
      <c r="N534" t="s">
        <v>6006</v>
      </c>
      <c r="O534" t="s">
        <v>24</v>
      </c>
    </row>
    <row r="535" spans="1:15" x14ac:dyDescent="0.25">
      <c r="A535">
        <v>534</v>
      </c>
      <c r="B535" t="str">
        <f>HYPERLINK("https://digitalcommons.unl.edu/cgi/viewcontent.cgi?article=1592&amp;context=tractormuseumlit","Click for test report")</f>
        <v>Click for test report</v>
      </c>
      <c r="C535">
        <v>1952</v>
      </c>
      <c r="D535" t="s">
        <v>6409</v>
      </c>
      <c r="F535" t="s">
        <v>5831</v>
      </c>
      <c r="G535" t="s">
        <v>5831</v>
      </c>
      <c r="H535" t="s">
        <v>6412</v>
      </c>
      <c r="I535" t="s">
        <v>50</v>
      </c>
      <c r="J535" t="s">
        <v>348</v>
      </c>
      <c r="K535" t="s">
        <v>4809</v>
      </c>
      <c r="M535" t="s">
        <v>4589</v>
      </c>
      <c r="N535" t="s">
        <v>4590</v>
      </c>
      <c r="O535" t="s">
        <v>24</v>
      </c>
    </row>
    <row r="536" spans="1:15" x14ac:dyDescent="0.25">
      <c r="A536">
        <v>535</v>
      </c>
      <c r="B536" t="str">
        <f>HYPERLINK("https://digitalcommons.unl.edu/cgi/viewcontent.cgi?article=1592&amp;context=tractormuseumlit","Click for test report")</f>
        <v>Click for test report</v>
      </c>
      <c r="C536">
        <v>1952</v>
      </c>
      <c r="D536" t="s">
        <v>6409</v>
      </c>
      <c r="F536" t="s">
        <v>5831</v>
      </c>
      <c r="G536" t="s">
        <v>6387</v>
      </c>
      <c r="H536" t="s">
        <v>6410</v>
      </c>
      <c r="I536" t="s">
        <v>50</v>
      </c>
      <c r="J536" t="s">
        <v>348</v>
      </c>
      <c r="K536" t="s">
        <v>4809</v>
      </c>
      <c r="M536" t="s">
        <v>4589</v>
      </c>
      <c r="N536" t="s">
        <v>4590</v>
      </c>
      <c r="O536" t="s">
        <v>6411</v>
      </c>
    </row>
    <row r="537" spans="1:15" x14ac:dyDescent="0.25">
      <c r="A537">
        <v>536</v>
      </c>
      <c r="B537" t="str">
        <f>HYPERLINK("https://digitalcommons.unl.edu/cgi/viewcontent.cgi?article=1593&amp;context=tractormuseumlit","Click for test report")</f>
        <v>Click for test report</v>
      </c>
      <c r="C537">
        <v>1952</v>
      </c>
      <c r="D537" t="s">
        <v>6408</v>
      </c>
      <c r="F537" t="s">
        <v>4503</v>
      </c>
      <c r="G537" t="s">
        <v>6201</v>
      </c>
      <c r="H537" t="s">
        <v>6393</v>
      </c>
      <c r="I537" t="s">
        <v>50</v>
      </c>
      <c r="J537" t="s">
        <v>348</v>
      </c>
      <c r="K537" t="s">
        <v>4809</v>
      </c>
      <c r="M537" t="s">
        <v>410</v>
      </c>
      <c r="N537" t="s">
        <v>2627</v>
      </c>
      <c r="O537" t="s">
        <v>24</v>
      </c>
    </row>
    <row r="538" spans="1:15" x14ac:dyDescent="0.25">
      <c r="A538">
        <v>537</v>
      </c>
      <c r="B538" t="str">
        <f>HYPERLINK("https://digitalcommons.unl.edu/cgi/viewcontent.cgi?article=1594&amp;context=tractormuseumlit","Click for test report")</f>
        <v>Click for test report</v>
      </c>
      <c r="C538">
        <v>1952</v>
      </c>
      <c r="D538" t="s">
        <v>6407</v>
      </c>
      <c r="F538" t="s">
        <v>4503</v>
      </c>
      <c r="G538" t="s">
        <v>6340</v>
      </c>
      <c r="H538" t="s">
        <v>6392</v>
      </c>
      <c r="I538" t="s">
        <v>50</v>
      </c>
      <c r="J538" t="s">
        <v>348</v>
      </c>
      <c r="K538" t="s">
        <v>4809</v>
      </c>
      <c r="M538" t="s">
        <v>410</v>
      </c>
      <c r="N538" t="s">
        <v>2627</v>
      </c>
      <c r="O538" t="s">
        <v>24</v>
      </c>
    </row>
    <row r="539" spans="1:15" x14ac:dyDescent="0.25">
      <c r="A539">
        <v>538</v>
      </c>
      <c r="B539" t="str">
        <f>HYPERLINK("https://digitalcommons.unl.edu/cgi/viewcontent.cgi?article=1595&amp;context=tractormuseumlit","Click for test report")</f>
        <v>Click for test report</v>
      </c>
      <c r="C539">
        <v>1952</v>
      </c>
      <c r="D539" t="s">
        <v>6405</v>
      </c>
      <c r="F539" t="s">
        <v>4503</v>
      </c>
      <c r="G539" t="s">
        <v>6201</v>
      </c>
      <c r="H539" t="s">
        <v>6406</v>
      </c>
      <c r="I539" t="s">
        <v>50</v>
      </c>
      <c r="J539" t="s">
        <v>348</v>
      </c>
      <c r="K539" t="s">
        <v>21</v>
      </c>
      <c r="M539" t="s">
        <v>410</v>
      </c>
      <c r="N539" t="s">
        <v>3152</v>
      </c>
      <c r="O539" t="s">
        <v>24</v>
      </c>
    </row>
    <row r="540" spans="1:15" x14ac:dyDescent="0.25">
      <c r="A540">
        <v>539</v>
      </c>
      <c r="B540" t="str">
        <f>HYPERLINK("https://digitalcommons.unl.edu/cgi/viewcontent.cgi?article=1596&amp;context=tractormuseumlit","Click for test report")</f>
        <v>Click for test report</v>
      </c>
      <c r="C540">
        <v>1952</v>
      </c>
      <c r="D540" t="s">
        <v>6403</v>
      </c>
      <c r="F540" t="s">
        <v>4503</v>
      </c>
      <c r="G540" t="s">
        <v>6340</v>
      </c>
      <c r="H540" t="s">
        <v>6404</v>
      </c>
      <c r="I540" t="s">
        <v>50</v>
      </c>
      <c r="J540" t="s">
        <v>348</v>
      </c>
      <c r="K540" t="s">
        <v>21</v>
      </c>
      <c r="M540" t="s">
        <v>410</v>
      </c>
      <c r="N540" t="s">
        <v>2627</v>
      </c>
      <c r="O540" t="s">
        <v>24</v>
      </c>
    </row>
    <row r="541" spans="1:15" x14ac:dyDescent="0.25">
      <c r="A541">
        <v>540</v>
      </c>
      <c r="B541" t="str">
        <f>HYPERLINK("https://digitalcommons.unl.edu/cgi/viewcontent.cgi?article=1597&amp;context=tractormuseumlit","Click for test report")</f>
        <v>Click for test report</v>
      </c>
      <c r="C541">
        <v>1952</v>
      </c>
      <c r="D541" t="s">
        <v>6401</v>
      </c>
      <c r="F541" t="s">
        <v>6331</v>
      </c>
      <c r="G541" t="s">
        <v>6331</v>
      </c>
      <c r="H541" t="s">
        <v>6402</v>
      </c>
      <c r="I541" t="s">
        <v>50</v>
      </c>
      <c r="J541" t="s">
        <v>29</v>
      </c>
      <c r="K541" t="s">
        <v>4809</v>
      </c>
      <c r="N541" t="s">
        <v>735</v>
      </c>
      <c r="O541" t="s">
        <v>2163</v>
      </c>
    </row>
    <row r="542" spans="1:15" x14ac:dyDescent="0.25">
      <c r="A542">
        <v>541</v>
      </c>
      <c r="B542" t="str">
        <f>HYPERLINK("https://digitalcommons.unl.edu/cgi/viewcontent.cgi?article=1598&amp;context=tractormuseumlit","Click for test report")</f>
        <v>Click for test report</v>
      </c>
      <c r="C542">
        <v>1952</v>
      </c>
      <c r="D542" t="s">
        <v>6400</v>
      </c>
      <c r="F542" t="s">
        <v>3800</v>
      </c>
      <c r="G542" t="s">
        <v>4473</v>
      </c>
      <c r="H542" t="s">
        <v>6399</v>
      </c>
      <c r="I542" t="s">
        <v>50</v>
      </c>
      <c r="J542" t="s">
        <v>348</v>
      </c>
      <c r="K542" t="s">
        <v>4809</v>
      </c>
      <c r="M542" t="s">
        <v>353</v>
      </c>
      <c r="N542" t="s">
        <v>750</v>
      </c>
      <c r="O542" t="s">
        <v>24</v>
      </c>
    </row>
    <row r="543" spans="1:15" x14ac:dyDescent="0.25">
      <c r="A543">
        <v>542</v>
      </c>
      <c r="B543" t="str">
        <f>HYPERLINK("https://digitalcommons.unl.edu/cgi/viewcontent.cgi?article=1599&amp;context=tractormuseumlit","Click for test report")</f>
        <v>Click for test report</v>
      </c>
      <c r="C543">
        <v>1952</v>
      </c>
      <c r="D543" t="s">
        <v>2598</v>
      </c>
      <c r="F543" t="s">
        <v>3800</v>
      </c>
      <c r="G543" t="s">
        <v>4473</v>
      </c>
      <c r="H543" t="s">
        <v>6399</v>
      </c>
      <c r="I543" t="s">
        <v>50</v>
      </c>
      <c r="J543" t="s">
        <v>348</v>
      </c>
      <c r="K543" t="s">
        <v>6166</v>
      </c>
      <c r="M543" t="s">
        <v>2188</v>
      </c>
      <c r="N543" t="s">
        <v>1009</v>
      </c>
      <c r="O543" t="s">
        <v>24</v>
      </c>
    </row>
    <row r="544" spans="1:15" x14ac:dyDescent="0.25">
      <c r="A544">
        <v>543</v>
      </c>
      <c r="B544" t="str">
        <f>HYPERLINK("https://digitalcommons.unl.edu/cgi/viewcontent.cgi?article=1600&amp;context=tractormuseumlit","Click for test report")</f>
        <v>Click for test report</v>
      </c>
      <c r="C544">
        <v>1952</v>
      </c>
      <c r="D544" t="s">
        <v>4991</v>
      </c>
      <c r="F544" t="s">
        <v>3800</v>
      </c>
      <c r="G544" t="s">
        <v>4473</v>
      </c>
      <c r="H544" t="s">
        <v>6399</v>
      </c>
      <c r="I544" t="s">
        <v>50</v>
      </c>
      <c r="J544" t="s">
        <v>348</v>
      </c>
      <c r="K544" t="s">
        <v>5598</v>
      </c>
      <c r="M544" t="s">
        <v>731</v>
      </c>
      <c r="N544" t="s">
        <v>750</v>
      </c>
      <c r="O544" t="s">
        <v>24</v>
      </c>
    </row>
    <row r="545" spans="1:15" x14ac:dyDescent="0.25">
      <c r="A545">
        <v>544</v>
      </c>
      <c r="B545" t="str">
        <f>HYPERLINK("https://digitalcommons.unl.edu/cgi/viewcontent.cgi?article=1601&amp;context=tractormuseumlit","Click for test report")</f>
        <v>Click for test report</v>
      </c>
      <c r="C545">
        <v>1952</v>
      </c>
      <c r="D545" t="s">
        <v>6394</v>
      </c>
      <c r="F545" t="s">
        <v>6395</v>
      </c>
      <c r="G545" t="s">
        <v>6396</v>
      </c>
      <c r="H545" t="s">
        <v>6397</v>
      </c>
      <c r="I545" t="s">
        <v>50</v>
      </c>
      <c r="J545" t="s">
        <v>348</v>
      </c>
      <c r="K545" t="s">
        <v>4809</v>
      </c>
      <c r="M545" t="s">
        <v>5740</v>
      </c>
      <c r="N545" t="s">
        <v>6398</v>
      </c>
      <c r="O545" t="s">
        <v>24</v>
      </c>
    </row>
    <row r="546" spans="1:15" x14ac:dyDescent="0.25">
      <c r="A546">
        <v>545</v>
      </c>
      <c r="B546" t="str">
        <f>HYPERLINK("https://digitalcommons.unl.edu/cgi/viewcontent.cgi?article=1602&amp;context=tractormuseumlit","Click for test report")</f>
        <v>Click for test report</v>
      </c>
      <c r="C546">
        <v>1952</v>
      </c>
      <c r="D546" t="s">
        <v>5054</v>
      </c>
      <c r="F546" t="s">
        <v>4503</v>
      </c>
      <c r="G546" t="s">
        <v>6201</v>
      </c>
      <c r="H546" t="s">
        <v>6393</v>
      </c>
      <c r="I546" t="s">
        <v>50</v>
      </c>
      <c r="J546" t="s">
        <v>348</v>
      </c>
      <c r="K546" t="s">
        <v>5598</v>
      </c>
      <c r="M546" t="s">
        <v>407</v>
      </c>
      <c r="N546" t="s">
        <v>1009</v>
      </c>
      <c r="O546" t="s">
        <v>24</v>
      </c>
    </row>
    <row r="547" spans="1:15" x14ac:dyDescent="0.25">
      <c r="A547">
        <v>546</v>
      </c>
      <c r="B547" t="str">
        <f>HYPERLINK("https://digitalcommons.unl.edu/cgi/viewcontent.cgi?article=1603&amp;context=tractormuseumlit","Click for test report")</f>
        <v>Click for test report</v>
      </c>
      <c r="C547">
        <v>1952</v>
      </c>
      <c r="D547" t="s">
        <v>4339</v>
      </c>
      <c r="F547" t="s">
        <v>4503</v>
      </c>
      <c r="G547" t="s">
        <v>6340</v>
      </c>
      <c r="H547" t="s">
        <v>6392</v>
      </c>
      <c r="I547" t="s">
        <v>50</v>
      </c>
      <c r="J547" t="s">
        <v>348</v>
      </c>
      <c r="K547" t="s">
        <v>5598</v>
      </c>
      <c r="M547" t="s">
        <v>407</v>
      </c>
      <c r="N547" t="s">
        <v>3152</v>
      </c>
      <c r="O547" t="s">
        <v>24</v>
      </c>
    </row>
    <row r="548" spans="1:15" x14ac:dyDescent="0.25">
      <c r="A548">
        <v>547</v>
      </c>
      <c r="B548" t="str">
        <f>HYPERLINK("https://digitalcommons.unl.edu/cgi/viewcontent.cgi?article=1070&amp;context=tractormuseumlit","Click for test report")</f>
        <v>Click for test report</v>
      </c>
      <c r="C548">
        <v>1952</v>
      </c>
      <c r="D548" t="s">
        <v>6391</v>
      </c>
      <c r="F548" t="s">
        <v>17</v>
      </c>
      <c r="G548" t="s">
        <v>17</v>
      </c>
      <c r="H548" t="s">
        <v>5880</v>
      </c>
      <c r="I548" t="s">
        <v>50</v>
      </c>
      <c r="J548" t="s">
        <v>348</v>
      </c>
      <c r="K548" t="s">
        <v>4809</v>
      </c>
      <c r="M548" t="s">
        <v>4440</v>
      </c>
      <c r="N548" t="s">
        <v>4352</v>
      </c>
      <c r="O548" t="s">
        <v>24</v>
      </c>
    </row>
    <row r="549" spans="1:15" x14ac:dyDescent="0.25">
      <c r="A549">
        <v>548</v>
      </c>
      <c r="B549" t="str">
        <f>HYPERLINK("https://digitalcommons.unl.edu/cgi/viewcontent.cgi?article=1604&amp;context=tractormuseumlit","Click for test report")</f>
        <v>Click for test report</v>
      </c>
      <c r="C549">
        <v>1952</v>
      </c>
      <c r="D549" t="s">
        <v>6390</v>
      </c>
      <c r="F549" t="s">
        <v>5831</v>
      </c>
      <c r="G549" t="s">
        <v>5831</v>
      </c>
      <c r="H549" t="s">
        <v>5880</v>
      </c>
      <c r="I549" t="s">
        <v>50</v>
      </c>
      <c r="J549" t="s">
        <v>348</v>
      </c>
      <c r="K549" t="s">
        <v>21</v>
      </c>
      <c r="M549" t="s">
        <v>750</v>
      </c>
      <c r="N549" t="s">
        <v>410</v>
      </c>
      <c r="O549" t="s">
        <v>24</v>
      </c>
    </row>
    <row r="550" spans="1:15" x14ac:dyDescent="0.25">
      <c r="A550">
        <v>549</v>
      </c>
      <c r="B550" t="str">
        <f>HYPERLINK("https://digitalcommons.unl.edu/cgi/viewcontent.cgi?article=1604&amp;context=tractormuseumlit","Click for test report")</f>
        <v>Click for test report</v>
      </c>
      <c r="C550">
        <v>1952</v>
      </c>
      <c r="D550" t="s">
        <v>6390</v>
      </c>
      <c r="F550" t="s">
        <v>5831</v>
      </c>
      <c r="G550" t="s">
        <v>6387</v>
      </c>
      <c r="H550" t="s">
        <v>6388</v>
      </c>
      <c r="I550" t="s">
        <v>50</v>
      </c>
      <c r="J550" t="s">
        <v>348</v>
      </c>
      <c r="K550" t="s">
        <v>21</v>
      </c>
      <c r="M550" t="s">
        <v>750</v>
      </c>
      <c r="N550" t="s">
        <v>410</v>
      </c>
      <c r="O550" t="s">
        <v>6389</v>
      </c>
    </row>
    <row r="551" spans="1:15" x14ac:dyDescent="0.25">
      <c r="A551">
        <v>550</v>
      </c>
      <c r="B551" t="str">
        <f>HYPERLINK("https://digitalcommons.unl.edu/cgi/viewcontent.cgi?article=2037&amp;context=tractormuseumlit","Click for test report")</f>
        <v>Click for test report</v>
      </c>
      <c r="C551">
        <v>1952</v>
      </c>
      <c r="D551" t="s">
        <v>6386</v>
      </c>
      <c r="F551" t="s">
        <v>5831</v>
      </c>
      <c r="G551" t="s">
        <v>5831</v>
      </c>
      <c r="H551" t="s">
        <v>5880</v>
      </c>
      <c r="I551" t="s">
        <v>50</v>
      </c>
      <c r="J551" t="s">
        <v>348</v>
      </c>
      <c r="K551" t="s">
        <v>4809</v>
      </c>
      <c r="M551" t="s">
        <v>1970</v>
      </c>
      <c r="N551" t="s">
        <v>750</v>
      </c>
      <c r="O551" t="s">
        <v>24</v>
      </c>
    </row>
    <row r="552" spans="1:15" x14ac:dyDescent="0.25">
      <c r="A552">
        <v>551</v>
      </c>
      <c r="B552" t="str">
        <f>HYPERLINK("https://digitalcommons.unl.edu/cgi/viewcontent.cgi?article=2037&amp;context=tractormuseumlit","Click for test report")</f>
        <v>Click for test report</v>
      </c>
      <c r="C552">
        <v>1952</v>
      </c>
      <c r="D552" t="s">
        <v>6386</v>
      </c>
      <c r="F552" t="s">
        <v>5831</v>
      </c>
      <c r="G552" t="s">
        <v>6387</v>
      </c>
      <c r="H552" t="s">
        <v>6388</v>
      </c>
      <c r="I552" t="s">
        <v>50</v>
      </c>
      <c r="J552" t="s">
        <v>348</v>
      </c>
      <c r="K552" t="s">
        <v>4809</v>
      </c>
      <c r="M552" t="s">
        <v>1970</v>
      </c>
      <c r="N552" t="s">
        <v>750</v>
      </c>
      <c r="O552" t="s">
        <v>6389</v>
      </c>
    </row>
    <row r="553" spans="1:15" x14ac:dyDescent="0.25">
      <c r="A553">
        <v>552</v>
      </c>
      <c r="B553" t="str">
        <f>HYPERLINK("https://digitalcommons.unl.edu/cgi/viewcontent.cgi?article=1519&amp;context=tractormuseumlit","Click for test report")</f>
        <v>Click for test report</v>
      </c>
      <c r="C553">
        <v>1952</v>
      </c>
      <c r="D553" t="s">
        <v>6384</v>
      </c>
      <c r="F553" t="s">
        <v>5345</v>
      </c>
      <c r="G553" t="s">
        <v>5345</v>
      </c>
      <c r="H553" t="s">
        <v>6385</v>
      </c>
      <c r="I553" t="s">
        <v>50</v>
      </c>
      <c r="J553" t="s">
        <v>96</v>
      </c>
      <c r="K553" t="s">
        <v>21</v>
      </c>
      <c r="N553" t="s">
        <v>1397</v>
      </c>
      <c r="O553" t="s">
        <v>2163</v>
      </c>
    </row>
    <row r="554" spans="1:15" x14ac:dyDescent="0.25">
      <c r="A554">
        <v>553</v>
      </c>
      <c r="B554" t="str">
        <f>HYPERLINK("https://digitalcommons.unl.edu/cgi/viewcontent.cgi?article=2038&amp;context=tractormuseumlit","Click for test report")</f>
        <v>Click for test report</v>
      </c>
      <c r="C554">
        <v>1953</v>
      </c>
      <c r="D554" t="s">
        <v>6383</v>
      </c>
      <c r="F554" t="s">
        <v>17</v>
      </c>
      <c r="G554" t="s">
        <v>17</v>
      </c>
      <c r="H554" t="s">
        <v>4115</v>
      </c>
      <c r="I554" t="s">
        <v>50</v>
      </c>
      <c r="J554" t="s">
        <v>348</v>
      </c>
      <c r="K554" t="s">
        <v>6166</v>
      </c>
      <c r="M554" t="s">
        <v>4012</v>
      </c>
      <c r="N554" t="s">
        <v>4397</v>
      </c>
      <c r="O554" t="s">
        <v>24</v>
      </c>
    </row>
    <row r="555" spans="1:15" x14ac:dyDescent="0.25">
      <c r="A555">
        <v>554</v>
      </c>
      <c r="B555" t="str">
        <f>HYPERLINK("https://digitalcommons.unl.edu/cgi/viewcontent.cgi?article=2039&amp;context=tractormuseumlit","Click for test report")</f>
        <v>Click for test report</v>
      </c>
      <c r="C555">
        <v>1953</v>
      </c>
      <c r="D555" t="s">
        <v>2629</v>
      </c>
      <c r="F555" t="s">
        <v>4503</v>
      </c>
      <c r="G555" t="s">
        <v>6340</v>
      </c>
      <c r="H555" t="s">
        <v>6382</v>
      </c>
      <c r="I555" t="s">
        <v>50</v>
      </c>
      <c r="J555" t="s">
        <v>348</v>
      </c>
      <c r="K555" t="s">
        <v>4809</v>
      </c>
      <c r="M555" t="s">
        <v>4745</v>
      </c>
      <c r="N555" t="s">
        <v>4397</v>
      </c>
      <c r="O555" t="s">
        <v>24</v>
      </c>
    </row>
    <row r="556" spans="1:15" x14ac:dyDescent="0.25">
      <c r="A556">
        <v>555</v>
      </c>
      <c r="B556" t="str">
        <f>HYPERLINK("https://digitalcommons.unl.edu/cgi/viewcontent.cgi?article=2040&amp;context=tractormuseumlit","Click for test report")</f>
        <v>Click for test report</v>
      </c>
      <c r="C556">
        <v>1953</v>
      </c>
      <c r="D556" t="s">
        <v>2628</v>
      </c>
      <c r="F556" t="s">
        <v>4503</v>
      </c>
      <c r="G556" t="s">
        <v>6201</v>
      </c>
      <c r="H556" t="s">
        <v>6381</v>
      </c>
      <c r="I556" t="s">
        <v>50</v>
      </c>
      <c r="J556" t="s">
        <v>348</v>
      </c>
      <c r="K556" t="s">
        <v>4809</v>
      </c>
      <c r="M556" t="s">
        <v>4745</v>
      </c>
      <c r="N556" t="s">
        <v>4440</v>
      </c>
      <c r="O556" t="s">
        <v>24</v>
      </c>
    </row>
    <row r="557" spans="1:15" x14ac:dyDescent="0.25">
      <c r="A557">
        <v>556</v>
      </c>
      <c r="B557" t="str">
        <f>HYPERLINK("https://digitalcommons.unl.edu/cgi/viewcontent.cgi?article=1072&amp;context=tractormuseumlit","Click for test report")</f>
        <v>Click for test report</v>
      </c>
      <c r="C557">
        <v>1953</v>
      </c>
      <c r="D557" t="s">
        <v>6380</v>
      </c>
      <c r="F557" t="s">
        <v>17</v>
      </c>
      <c r="G557" t="s">
        <v>17</v>
      </c>
      <c r="H557" t="s">
        <v>6322</v>
      </c>
      <c r="I557" t="s">
        <v>50</v>
      </c>
      <c r="J557" t="s">
        <v>348</v>
      </c>
      <c r="K557" t="s">
        <v>4809</v>
      </c>
      <c r="M557" t="s">
        <v>2188</v>
      </c>
      <c r="N557" t="s">
        <v>3152</v>
      </c>
      <c r="O557" t="s">
        <v>24</v>
      </c>
    </row>
    <row r="558" spans="1:15" x14ac:dyDescent="0.25">
      <c r="A558">
        <v>557</v>
      </c>
      <c r="B558" t="str">
        <f>HYPERLINK("https://digitalcommons.unl.edu/cgi/viewcontent.cgi?article=2041&amp;context=tractormuseumlit","Click for test report")</f>
        <v>Click for test report</v>
      </c>
      <c r="C558">
        <v>1953</v>
      </c>
      <c r="D558" t="s">
        <v>6376</v>
      </c>
      <c r="F558" t="s">
        <v>4395</v>
      </c>
      <c r="G558" t="s">
        <v>3708</v>
      </c>
      <c r="H558" t="s">
        <v>6379</v>
      </c>
      <c r="I558" t="s">
        <v>50</v>
      </c>
      <c r="J558" t="s">
        <v>348</v>
      </c>
      <c r="K558" t="s">
        <v>4809</v>
      </c>
      <c r="M558" t="s">
        <v>4008</v>
      </c>
      <c r="N558" t="s">
        <v>4590</v>
      </c>
      <c r="O558" t="s">
        <v>24</v>
      </c>
    </row>
    <row r="559" spans="1:15" x14ac:dyDescent="0.25">
      <c r="A559">
        <v>558</v>
      </c>
      <c r="B559" t="str">
        <f>HYPERLINK("https://digitalcommons.unl.edu/cgi/viewcontent.cgi?article=2041&amp;context=tractormuseumlit","Click for test report")</f>
        <v>Click for test report</v>
      </c>
      <c r="C559">
        <v>1953</v>
      </c>
      <c r="D559" t="s">
        <v>6376</v>
      </c>
      <c r="F559" t="s">
        <v>4395</v>
      </c>
      <c r="G559" t="s">
        <v>3708</v>
      </c>
      <c r="H559" t="s">
        <v>6377</v>
      </c>
      <c r="I559" t="s">
        <v>50</v>
      </c>
      <c r="J559" t="s">
        <v>348</v>
      </c>
      <c r="K559" t="s">
        <v>4809</v>
      </c>
      <c r="M559" t="s">
        <v>4008</v>
      </c>
      <c r="N559" t="s">
        <v>4590</v>
      </c>
      <c r="O559" t="s">
        <v>6378</v>
      </c>
    </row>
    <row r="560" spans="1:15" x14ac:dyDescent="0.25">
      <c r="A560">
        <v>559</v>
      </c>
      <c r="B560" t="str">
        <f>HYPERLINK("https://digitalcommons.unl.edu/cgi/viewcontent.cgi?article=2042&amp;context=tractormuseumlit","Click for test report")</f>
        <v>Click for test report</v>
      </c>
      <c r="C560">
        <v>1953</v>
      </c>
      <c r="D560" t="s">
        <v>4095</v>
      </c>
      <c r="F560" t="s">
        <v>6195</v>
      </c>
      <c r="G560" t="s">
        <v>6195</v>
      </c>
      <c r="H560" t="s">
        <v>6375</v>
      </c>
      <c r="I560" t="s">
        <v>50</v>
      </c>
      <c r="J560" t="s">
        <v>348</v>
      </c>
      <c r="K560" t="s">
        <v>21</v>
      </c>
      <c r="M560" t="s">
        <v>1802</v>
      </c>
      <c r="N560" t="s">
        <v>4745</v>
      </c>
      <c r="O560" t="s">
        <v>24</v>
      </c>
    </row>
    <row r="561" spans="1:15" x14ac:dyDescent="0.25">
      <c r="A561">
        <v>560</v>
      </c>
      <c r="B561" t="str">
        <f>HYPERLINK("https://digitalcommons.unl.edu/cgi/viewcontent.cgi?article=1124&amp;context=tractormuseumlit","Click for test report")</f>
        <v>Click for test report</v>
      </c>
      <c r="C561">
        <v>1953</v>
      </c>
      <c r="D561" t="s">
        <v>6374</v>
      </c>
      <c r="F561" t="s">
        <v>3800</v>
      </c>
      <c r="G561" t="s">
        <v>4473</v>
      </c>
      <c r="H561" t="s">
        <v>6373</v>
      </c>
      <c r="I561" t="s">
        <v>50</v>
      </c>
      <c r="J561" t="s">
        <v>348</v>
      </c>
      <c r="K561" t="s">
        <v>4809</v>
      </c>
      <c r="M561" t="s">
        <v>4008</v>
      </c>
      <c r="N561" t="s">
        <v>4352</v>
      </c>
      <c r="O561" t="s">
        <v>24</v>
      </c>
    </row>
    <row r="562" spans="1:15" x14ac:dyDescent="0.25">
      <c r="A562">
        <v>561</v>
      </c>
      <c r="B562" t="str">
        <f>HYPERLINK("https://digitalcommons.unl.edu/cgi/viewcontent.cgi?article=2043&amp;context=tractormuseumlit","Click for test report")</f>
        <v>Click for test report</v>
      </c>
      <c r="C562">
        <v>1953</v>
      </c>
      <c r="D562" t="s">
        <v>6372</v>
      </c>
      <c r="F562" t="s">
        <v>3800</v>
      </c>
      <c r="G562" t="s">
        <v>4473</v>
      </c>
      <c r="H562" t="s">
        <v>6373</v>
      </c>
      <c r="I562" t="s">
        <v>50</v>
      </c>
      <c r="J562" t="s">
        <v>348</v>
      </c>
      <c r="K562" t="s">
        <v>6166</v>
      </c>
      <c r="M562" t="s">
        <v>4355</v>
      </c>
      <c r="N562" t="s">
        <v>4358</v>
      </c>
      <c r="O562" t="s">
        <v>24</v>
      </c>
    </row>
    <row r="563" spans="1:15" x14ac:dyDescent="0.25">
      <c r="A563">
        <v>562</v>
      </c>
      <c r="B563" t="str">
        <f>HYPERLINK("https://digitalcommons.unl.edu/cgi/viewcontent.cgi?article=2044&amp;context=tractormuseumlit","Click for test report")</f>
        <v>Click for test report</v>
      </c>
      <c r="C563">
        <v>1953</v>
      </c>
      <c r="D563" t="s">
        <v>6368</v>
      </c>
      <c r="F563" t="s">
        <v>6369</v>
      </c>
      <c r="G563" t="s">
        <v>6371</v>
      </c>
      <c r="H563" t="s">
        <v>6370</v>
      </c>
      <c r="I563" t="s">
        <v>50</v>
      </c>
      <c r="J563" t="s">
        <v>348</v>
      </c>
      <c r="K563" t="s">
        <v>21</v>
      </c>
      <c r="M563" t="s">
        <v>4745</v>
      </c>
      <c r="N563" t="s">
        <v>4008</v>
      </c>
      <c r="O563" t="s">
        <v>24</v>
      </c>
    </row>
    <row r="564" spans="1:15" x14ac:dyDescent="0.25">
      <c r="A564">
        <v>563</v>
      </c>
      <c r="B564" t="str">
        <f>HYPERLINK("https://digitalcommons.unl.edu/cgi/viewcontent.cgi?article=2044&amp;context=tractormuseumlit","Click for test report")</f>
        <v>Click for test report</v>
      </c>
      <c r="C564">
        <v>1953</v>
      </c>
      <c r="D564" t="s">
        <v>6368</v>
      </c>
      <c r="F564" t="s">
        <v>6369</v>
      </c>
      <c r="G564" t="s">
        <v>6369</v>
      </c>
      <c r="H564" t="s">
        <v>6370</v>
      </c>
      <c r="I564" t="s">
        <v>50</v>
      </c>
      <c r="J564" t="s">
        <v>348</v>
      </c>
      <c r="K564" t="s">
        <v>21</v>
      </c>
      <c r="M564" t="s">
        <v>4745</v>
      </c>
      <c r="N564" t="s">
        <v>4008</v>
      </c>
      <c r="O564" t="s">
        <v>24</v>
      </c>
    </row>
    <row r="565" spans="1:15" x14ac:dyDescent="0.25">
      <c r="A565">
        <v>564</v>
      </c>
      <c r="B565" t="str">
        <f>HYPERLINK("https://digitalcommons.unl.edu/cgi/viewcontent.cgi?article=2045&amp;context=tractormuseumlit","Click for test report")</f>
        <v>Click for test report</v>
      </c>
      <c r="C565">
        <v>1953</v>
      </c>
      <c r="D565" t="s">
        <v>6367</v>
      </c>
      <c r="F565" t="s">
        <v>4325</v>
      </c>
      <c r="G565" t="s">
        <v>4325</v>
      </c>
      <c r="H565" t="s">
        <v>6282</v>
      </c>
      <c r="I565" t="s">
        <v>50</v>
      </c>
      <c r="J565" t="s">
        <v>348</v>
      </c>
      <c r="K565" t="s">
        <v>4809</v>
      </c>
      <c r="M565" t="s">
        <v>2090</v>
      </c>
      <c r="N565" t="s">
        <v>1893</v>
      </c>
      <c r="O565" t="s">
        <v>24</v>
      </c>
    </row>
    <row r="566" spans="1:15" x14ac:dyDescent="0.25">
      <c r="A566">
        <v>565</v>
      </c>
      <c r="B566" t="str">
        <f>HYPERLINK("https://digitalcommons.unl.edu/cgi/viewcontent.cgi?article=2046&amp;context=tractormuseumlit","Click for test report")</f>
        <v>Click for test report</v>
      </c>
      <c r="C566">
        <v>1953</v>
      </c>
      <c r="D566" t="s">
        <v>1198</v>
      </c>
      <c r="F566" t="s">
        <v>4395</v>
      </c>
      <c r="G566" t="s">
        <v>6365</v>
      </c>
      <c r="H566" t="s">
        <v>6366</v>
      </c>
      <c r="I566" t="s">
        <v>50</v>
      </c>
      <c r="J566" t="s">
        <v>348</v>
      </c>
      <c r="K566" t="s">
        <v>21</v>
      </c>
      <c r="M566" t="s">
        <v>1802</v>
      </c>
      <c r="N566" t="s">
        <v>2825</v>
      </c>
      <c r="O566" t="s">
        <v>24</v>
      </c>
    </row>
    <row r="567" spans="1:15" x14ac:dyDescent="0.25">
      <c r="A567">
        <v>566</v>
      </c>
      <c r="B567" t="str">
        <f>HYPERLINK("https://digitalcommons.unl.edu/cgi/viewcontent.cgi?article=2047&amp;context=tractormuseumlit","Click for test report")</f>
        <v>Click for test report</v>
      </c>
      <c r="C567">
        <v>1953</v>
      </c>
      <c r="D567" t="s">
        <v>6364</v>
      </c>
      <c r="F567" t="s">
        <v>4395</v>
      </c>
      <c r="G567" t="s">
        <v>6365</v>
      </c>
      <c r="H567" t="s">
        <v>6366</v>
      </c>
      <c r="I567" t="s">
        <v>50</v>
      </c>
      <c r="J567" t="s">
        <v>348</v>
      </c>
      <c r="K567" t="s">
        <v>4809</v>
      </c>
      <c r="M567" t="s">
        <v>4745</v>
      </c>
      <c r="N567" t="s">
        <v>4440</v>
      </c>
      <c r="O567" t="s">
        <v>24</v>
      </c>
    </row>
    <row r="568" spans="1:15" x14ac:dyDescent="0.25">
      <c r="A568">
        <v>567</v>
      </c>
      <c r="B568" t="str">
        <f>HYPERLINK("https://digitalcommons.unl.edu/cgi/viewcontent.cgi?article=2048&amp;context=tractormuseumlit","Click for test report")</f>
        <v>Click for test report</v>
      </c>
      <c r="C568">
        <v>1953</v>
      </c>
      <c r="D568" t="s">
        <v>6360</v>
      </c>
      <c r="F568" t="s">
        <v>6361</v>
      </c>
      <c r="G568" t="s">
        <v>6362</v>
      </c>
      <c r="H568" t="s">
        <v>6363</v>
      </c>
      <c r="I568" t="s">
        <v>50</v>
      </c>
      <c r="J568" t="s">
        <v>29</v>
      </c>
      <c r="K568" t="s">
        <v>4809</v>
      </c>
      <c r="M568" t="s">
        <v>2825</v>
      </c>
      <c r="N568" t="s">
        <v>4352</v>
      </c>
      <c r="O568" t="s">
        <v>24</v>
      </c>
    </row>
    <row r="569" spans="1:15" x14ac:dyDescent="0.25">
      <c r="A569">
        <v>568</v>
      </c>
      <c r="B569" t="str">
        <f>HYPERLINK("https://digitalcommons.unl.edu/cgi/viewcontent.cgi?article=1073&amp;context=tractormuseumlit","Click for test report")</f>
        <v>Click for test report</v>
      </c>
      <c r="C569">
        <v>1953</v>
      </c>
      <c r="D569" t="s">
        <v>6359</v>
      </c>
      <c r="F569" t="s">
        <v>17</v>
      </c>
      <c r="G569" t="s">
        <v>17</v>
      </c>
      <c r="H569" t="s">
        <v>6234</v>
      </c>
      <c r="I569" t="s">
        <v>50</v>
      </c>
      <c r="J569" t="s">
        <v>348</v>
      </c>
      <c r="K569" t="s">
        <v>4809</v>
      </c>
      <c r="M569" t="s">
        <v>4355</v>
      </c>
      <c r="N569" t="s">
        <v>4362</v>
      </c>
      <c r="O569" t="s">
        <v>24</v>
      </c>
    </row>
    <row r="570" spans="1:15" x14ac:dyDescent="0.25">
      <c r="A570">
        <v>569</v>
      </c>
      <c r="B570" t="str">
        <f>HYPERLINK("https://digitalcommons.unl.edu/cgi/viewcontent.cgi?article=1074&amp;context=tractormuseumlit","Click for test report")</f>
        <v>Click for test report</v>
      </c>
      <c r="C570">
        <v>1953</v>
      </c>
      <c r="D570" t="s">
        <v>5855</v>
      </c>
      <c r="F570" t="s">
        <v>17</v>
      </c>
      <c r="G570" t="s">
        <v>17</v>
      </c>
      <c r="H570" t="s">
        <v>6306</v>
      </c>
      <c r="I570" t="s">
        <v>50</v>
      </c>
      <c r="J570" t="s">
        <v>348</v>
      </c>
      <c r="K570" t="s">
        <v>4809</v>
      </c>
      <c r="M570" t="s">
        <v>4358</v>
      </c>
      <c r="N570" t="s">
        <v>4362</v>
      </c>
      <c r="O570" t="s">
        <v>24</v>
      </c>
    </row>
    <row r="571" spans="1:15" x14ac:dyDescent="0.25">
      <c r="A571">
        <v>570</v>
      </c>
      <c r="B571" t="str">
        <f>HYPERLINK("https://digitalcommons.unl.edu/cgi/viewcontent.cgi?article=1075&amp;context=tractormuseumlit","Click for test report")</f>
        <v>Click for test report</v>
      </c>
      <c r="C571">
        <v>1953</v>
      </c>
      <c r="D571" t="s">
        <v>3978</v>
      </c>
      <c r="F571" t="s">
        <v>17</v>
      </c>
      <c r="G571" t="s">
        <v>17</v>
      </c>
      <c r="H571" t="s">
        <v>6358</v>
      </c>
      <c r="I571" t="s">
        <v>50</v>
      </c>
      <c r="J571" t="s">
        <v>96</v>
      </c>
      <c r="K571" t="s">
        <v>4809</v>
      </c>
      <c r="M571" t="s">
        <v>4355</v>
      </c>
      <c r="N571" t="s">
        <v>4627</v>
      </c>
      <c r="O571" t="s">
        <v>24</v>
      </c>
    </row>
    <row r="572" spans="1:15" x14ac:dyDescent="0.25">
      <c r="A572">
        <v>571</v>
      </c>
      <c r="B572" t="str">
        <f>HYPERLINK("https://digitalcommons.unl.edu/cgi/viewcontent.cgi?article=1076&amp;context=tractormuseumlit","Click for test report")</f>
        <v>Click for test report</v>
      </c>
      <c r="C572">
        <v>1953</v>
      </c>
      <c r="D572" t="s">
        <v>6357</v>
      </c>
      <c r="F572" t="s">
        <v>17</v>
      </c>
      <c r="G572" t="s">
        <v>17</v>
      </c>
      <c r="H572" t="s">
        <v>6322</v>
      </c>
      <c r="I572" t="s">
        <v>50</v>
      </c>
      <c r="J572" t="s">
        <v>348</v>
      </c>
      <c r="K572" t="s">
        <v>6166</v>
      </c>
      <c r="M572" t="s">
        <v>2090</v>
      </c>
      <c r="N572" t="s">
        <v>2826</v>
      </c>
      <c r="O572" t="s">
        <v>24</v>
      </c>
    </row>
    <row r="573" spans="1:15" x14ac:dyDescent="0.25">
      <c r="A573">
        <v>572</v>
      </c>
      <c r="B573" t="str">
        <f>HYPERLINK("https://digitalcommons.unl.edu/cgi/viewcontent.cgi?article=1077&amp;context=tractormuseumlit","Click for test report")</f>
        <v>Click for test report</v>
      </c>
      <c r="C573">
        <v>1953</v>
      </c>
      <c r="D573" t="s">
        <v>6356</v>
      </c>
      <c r="F573" t="s">
        <v>17</v>
      </c>
      <c r="G573" t="s">
        <v>17</v>
      </c>
      <c r="H573" t="s">
        <v>5880</v>
      </c>
      <c r="I573" t="s">
        <v>50</v>
      </c>
      <c r="J573" t="s">
        <v>348</v>
      </c>
      <c r="K573" t="s">
        <v>6166</v>
      </c>
      <c r="M573" t="s">
        <v>4355</v>
      </c>
      <c r="N573" t="s">
        <v>4444</v>
      </c>
      <c r="O573" t="s">
        <v>24</v>
      </c>
    </row>
    <row r="574" spans="1:15" x14ac:dyDescent="0.25">
      <c r="A574">
        <v>573</v>
      </c>
      <c r="B574" t="str">
        <f>HYPERLINK("https://digitalcommons.unl.edu/cgi/viewcontent.cgi?article=1126&amp;context=tractormuseumlit","Click for test report")</f>
        <v>Click for test report</v>
      </c>
      <c r="C574">
        <v>1953</v>
      </c>
      <c r="D574" t="s">
        <v>6355</v>
      </c>
      <c r="F574" t="s">
        <v>3800</v>
      </c>
      <c r="G574" t="s">
        <v>4473</v>
      </c>
      <c r="H574" t="s">
        <v>1198</v>
      </c>
      <c r="I574" t="s">
        <v>50</v>
      </c>
      <c r="J574" t="s">
        <v>348</v>
      </c>
      <c r="K574" t="s">
        <v>21</v>
      </c>
      <c r="M574" t="s">
        <v>728</v>
      </c>
      <c r="N574" t="s">
        <v>404</v>
      </c>
      <c r="O574" t="s">
        <v>24</v>
      </c>
    </row>
    <row r="575" spans="1:15" x14ac:dyDescent="0.25">
      <c r="A575">
        <v>574</v>
      </c>
      <c r="B575" t="str">
        <f>HYPERLINK("https://digitalcommons.unl.edu/cgi/viewcontent.cgi?article=2049&amp;context=tractormuseumlit","Click for test report")</f>
        <v>Click for test report</v>
      </c>
      <c r="C575">
        <v>1953</v>
      </c>
      <c r="D575" t="s">
        <v>6353</v>
      </c>
      <c r="F575" t="s">
        <v>6226</v>
      </c>
      <c r="G575" t="s">
        <v>6226</v>
      </c>
      <c r="H575" t="s">
        <v>6354</v>
      </c>
      <c r="I575" t="s">
        <v>50</v>
      </c>
      <c r="J575" t="s">
        <v>348</v>
      </c>
      <c r="K575" t="s">
        <v>4809</v>
      </c>
      <c r="M575" t="s">
        <v>2826</v>
      </c>
      <c r="N575" t="s">
        <v>2825</v>
      </c>
      <c r="O575" t="s">
        <v>24</v>
      </c>
    </row>
    <row r="576" spans="1:15" x14ac:dyDescent="0.25">
      <c r="A576">
        <v>575</v>
      </c>
      <c r="B576" t="str">
        <f>HYPERLINK("https://digitalcommons.unl.edu/cgi/viewcontent.cgi?article=2050&amp;context=tractormuseumlit","Click for test report")</f>
        <v>Click for test report</v>
      </c>
      <c r="C576">
        <v>1953</v>
      </c>
      <c r="D576" t="s">
        <v>4833</v>
      </c>
      <c r="F576" t="s">
        <v>6226</v>
      </c>
      <c r="G576" t="s">
        <v>6226</v>
      </c>
      <c r="H576" t="s">
        <v>6352</v>
      </c>
      <c r="I576" t="s">
        <v>50</v>
      </c>
      <c r="J576" t="s">
        <v>348</v>
      </c>
      <c r="K576" t="s">
        <v>4809</v>
      </c>
      <c r="M576" t="s">
        <v>2188</v>
      </c>
      <c r="N576" t="s">
        <v>2090</v>
      </c>
      <c r="O576" t="s">
        <v>24</v>
      </c>
    </row>
    <row r="577" spans="1:15" x14ac:dyDescent="0.25">
      <c r="A577">
        <v>576</v>
      </c>
      <c r="B577" t="str">
        <f>HYPERLINK("https://digitalcommons.unl.edu/cgi/viewcontent.cgi?article=2051&amp;context=tractormuseumlit","Click for test report")</f>
        <v>Click for test report</v>
      </c>
      <c r="C577">
        <v>1953</v>
      </c>
      <c r="D577" t="s">
        <v>6350</v>
      </c>
      <c r="F577" t="s">
        <v>4325</v>
      </c>
      <c r="G577" t="s">
        <v>4325</v>
      </c>
      <c r="H577" t="s">
        <v>6282</v>
      </c>
      <c r="I577" t="s">
        <v>50</v>
      </c>
      <c r="J577" t="s">
        <v>348</v>
      </c>
      <c r="K577" t="s">
        <v>6351</v>
      </c>
      <c r="M577" t="s">
        <v>4745</v>
      </c>
      <c r="N577" t="s">
        <v>4397</v>
      </c>
      <c r="O577" t="s">
        <v>24</v>
      </c>
    </row>
    <row r="578" spans="1:15" x14ac:dyDescent="0.25">
      <c r="A578">
        <v>577</v>
      </c>
      <c r="B578" t="str">
        <f>HYPERLINK("https://digitalcommons.unl.edu/cgi/viewcontent.cgi?article=1116&amp;context=tractormuseumlit","Click for test report")</f>
        <v>Click for test report</v>
      </c>
      <c r="C578">
        <v>1953</v>
      </c>
      <c r="D578" t="s">
        <v>6349</v>
      </c>
      <c r="F578" t="s">
        <v>4325</v>
      </c>
      <c r="G578" t="s">
        <v>4325</v>
      </c>
      <c r="H578" t="s">
        <v>6282</v>
      </c>
      <c r="I578" t="s">
        <v>50</v>
      </c>
      <c r="J578" t="s">
        <v>348</v>
      </c>
      <c r="K578" t="s">
        <v>5598</v>
      </c>
      <c r="M578" t="s">
        <v>1009</v>
      </c>
      <c r="N578" t="s">
        <v>1802</v>
      </c>
      <c r="O578" t="s">
        <v>24</v>
      </c>
    </row>
    <row r="579" spans="1:15" x14ac:dyDescent="0.25">
      <c r="A579">
        <v>578</v>
      </c>
      <c r="B579" t="str">
        <f>HYPERLINK("https://digitalcommons.unl.edu/cgi/viewcontent.cgi?article=1078&amp;context=tractormuseumlit","Click for test report")</f>
        <v>Click for test report</v>
      </c>
      <c r="C579">
        <v>1953</v>
      </c>
      <c r="D579" t="s">
        <v>6348</v>
      </c>
      <c r="F579" t="s">
        <v>17</v>
      </c>
      <c r="G579" t="s">
        <v>17</v>
      </c>
      <c r="H579" t="s">
        <v>4115</v>
      </c>
      <c r="I579" t="s">
        <v>50</v>
      </c>
      <c r="J579" t="s">
        <v>348</v>
      </c>
      <c r="K579" t="s">
        <v>5598</v>
      </c>
      <c r="M579" t="s">
        <v>2627</v>
      </c>
      <c r="N579" t="s">
        <v>1893</v>
      </c>
      <c r="O579" t="s">
        <v>24</v>
      </c>
    </row>
    <row r="580" spans="1:15" x14ac:dyDescent="0.25">
      <c r="A580">
        <v>579</v>
      </c>
      <c r="B580" t="str">
        <f>HYPERLINK("https://digitalcommons.unl.edu/cgi/viewcontent.cgi?article=1079&amp;context=tractormuseumlit","Click for test report")</f>
        <v>Click for test report</v>
      </c>
      <c r="C580">
        <v>1953</v>
      </c>
      <c r="D580" t="s">
        <v>6347</v>
      </c>
      <c r="F580" t="s">
        <v>17</v>
      </c>
      <c r="G580" t="s">
        <v>17</v>
      </c>
      <c r="H580" t="s">
        <v>6322</v>
      </c>
      <c r="I580" t="s">
        <v>50</v>
      </c>
      <c r="J580" t="s">
        <v>348</v>
      </c>
      <c r="K580" t="s">
        <v>5598</v>
      </c>
      <c r="M580" t="s">
        <v>735</v>
      </c>
      <c r="N580" t="s">
        <v>2511</v>
      </c>
      <c r="O580" t="s">
        <v>24</v>
      </c>
    </row>
    <row r="581" spans="1:15" x14ac:dyDescent="0.25">
      <c r="A581">
        <v>580</v>
      </c>
      <c r="B581" t="str">
        <f>HYPERLINK("https://digitalcommons.unl.edu/cgi/viewcontent.cgi?article=3299&amp;context=tractormuseumlit","Click for test report")</f>
        <v>Click for test report</v>
      </c>
      <c r="C581">
        <v>1953</v>
      </c>
      <c r="D581" t="s">
        <v>6345</v>
      </c>
      <c r="F581" t="s">
        <v>5999</v>
      </c>
      <c r="G581" t="s">
        <v>5999</v>
      </c>
      <c r="H581" t="s">
        <v>6346</v>
      </c>
      <c r="I581" t="s">
        <v>6005</v>
      </c>
      <c r="J581" t="s">
        <v>348</v>
      </c>
      <c r="K581" t="s">
        <v>4809</v>
      </c>
      <c r="M581" t="s">
        <v>6002</v>
      </c>
      <c r="N581" t="s">
        <v>6006</v>
      </c>
      <c r="O581" t="s">
        <v>24</v>
      </c>
    </row>
    <row r="582" spans="1:15" x14ac:dyDescent="0.25">
      <c r="A582">
        <v>581</v>
      </c>
      <c r="B582" t="str">
        <f>HYPERLINK("https://digitalcommons.unl.edu/cgi/viewcontent.cgi?article=1520&amp;context=tractormuseumlit","Click for test report")</f>
        <v>Click for test report</v>
      </c>
      <c r="C582">
        <v>1953</v>
      </c>
      <c r="D582" t="s">
        <v>6344</v>
      </c>
      <c r="F582" t="s">
        <v>5345</v>
      </c>
      <c r="G582" t="s">
        <v>5345</v>
      </c>
      <c r="H582" t="s">
        <v>6343</v>
      </c>
      <c r="I582" t="s">
        <v>50</v>
      </c>
      <c r="J582" t="s">
        <v>96</v>
      </c>
      <c r="K582" t="s">
        <v>4809</v>
      </c>
      <c r="N582" t="s">
        <v>4008</v>
      </c>
      <c r="O582" t="s">
        <v>2163</v>
      </c>
    </row>
    <row r="583" spans="1:15" x14ac:dyDescent="0.25">
      <c r="A583">
        <v>582</v>
      </c>
      <c r="B583" t="str">
        <f>HYPERLINK("https://digitalcommons.unl.edu/cgi/viewcontent.cgi?article=1521&amp;context=tractormuseumlit","Click for test report")</f>
        <v>Click for test report</v>
      </c>
      <c r="C583">
        <v>1953</v>
      </c>
      <c r="D583" t="s">
        <v>6342</v>
      </c>
      <c r="F583" t="s">
        <v>5345</v>
      </c>
      <c r="G583" t="s">
        <v>5345</v>
      </c>
      <c r="H583" t="s">
        <v>6343</v>
      </c>
      <c r="I583" t="s">
        <v>50</v>
      </c>
      <c r="J583" t="s">
        <v>96</v>
      </c>
      <c r="K583" t="s">
        <v>21</v>
      </c>
      <c r="N583" t="s">
        <v>4745</v>
      </c>
      <c r="O583" t="s">
        <v>2163</v>
      </c>
    </row>
    <row r="584" spans="1:15" x14ac:dyDescent="0.25">
      <c r="A584">
        <v>583</v>
      </c>
      <c r="B584" t="str">
        <f>HYPERLINK("https://digitalcommons.unl.edu/cgi/viewcontent.cgi?article=2052&amp;context=tractormuseumlit","Click for test report")</f>
        <v>Click for test report</v>
      </c>
      <c r="C584">
        <v>1954</v>
      </c>
      <c r="D584" t="s">
        <v>6221</v>
      </c>
      <c r="F584" t="s">
        <v>4503</v>
      </c>
      <c r="G584" t="s">
        <v>6340</v>
      </c>
      <c r="H584" t="s">
        <v>6341</v>
      </c>
      <c r="I584" t="s">
        <v>50</v>
      </c>
      <c r="J584" t="s">
        <v>348</v>
      </c>
      <c r="K584" t="s">
        <v>21</v>
      </c>
      <c r="M584" t="s">
        <v>1350</v>
      </c>
      <c r="N584" t="s">
        <v>2029</v>
      </c>
      <c r="O584" t="s">
        <v>24</v>
      </c>
    </row>
    <row r="585" spans="1:15" x14ac:dyDescent="0.25">
      <c r="A585">
        <v>584</v>
      </c>
      <c r="B585" t="str">
        <f>HYPERLINK("https://digitalcommons.unl.edu/cgi/viewcontent.cgi?article=2053&amp;context=tractormuseumlit","Click for test report")</f>
        <v>Click for test report</v>
      </c>
      <c r="C585">
        <v>1954</v>
      </c>
      <c r="D585" t="s">
        <v>6338</v>
      </c>
      <c r="F585" t="s">
        <v>6331</v>
      </c>
      <c r="G585" t="s">
        <v>6331</v>
      </c>
      <c r="H585" t="s">
        <v>6332</v>
      </c>
      <c r="I585" t="s">
        <v>50</v>
      </c>
      <c r="J585" t="s">
        <v>29</v>
      </c>
      <c r="K585" t="s">
        <v>21</v>
      </c>
      <c r="N585" t="s">
        <v>2090</v>
      </c>
      <c r="O585" t="s">
        <v>6339</v>
      </c>
    </row>
    <row r="586" spans="1:15" x14ac:dyDescent="0.25">
      <c r="A586">
        <v>585</v>
      </c>
      <c r="B586" t="str">
        <f>HYPERLINK("https://digitalcommons.unl.edu/cgi/viewcontent.cgi?article=2054&amp;context=tractormuseumlit","Click for test report")</f>
        <v>Click for test report</v>
      </c>
      <c r="C586">
        <v>1954</v>
      </c>
      <c r="D586" t="s">
        <v>6232</v>
      </c>
      <c r="F586" t="s">
        <v>5347</v>
      </c>
      <c r="G586" t="s">
        <v>5347</v>
      </c>
      <c r="H586" t="s">
        <v>6335</v>
      </c>
      <c r="I586" t="s">
        <v>50</v>
      </c>
      <c r="J586" t="s">
        <v>348</v>
      </c>
      <c r="K586" t="s">
        <v>4809</v>
      </c>
      <c r="M586" t="s">
        <v>2188</v>
      </c>
      <c r="N586" t="s">
        <v>3152</v>
      </c>
      <c r="O586" t="s">
        <v>24</v>
      </c>
    </row>
    <row r="587" spans="1:15" x14ac:dyDescent="0.25">
      <c r="A587">
        <v>586</v>
      </c>
      <c r="B587" t="str">
        <f>HYPERLINK("https://digitalcommons.unl.edu/cgi/viewcontent.cgi?article=2055&amp;context=tractormuseumlit","Click for test report")</f>
        <v>Click for test report</v>
      </c>
      <c r="C587">
        <v>1954</v>
      </c>
      <c r="D587" t="s">
        <v>6336</v>
      </c>
      <c r="F587" t="s">
        <v>5347</v>
      </c>
      <c r="G587" t="s">
        <v>5347</v>
      </c>
      <c r="H587" t="s">
        <v>6337</v>
      </c>
      <c r="I587" t="s">
        <v>50</v>
      </c>
      <c r="J587" t="s">
        <v>348</v>
      </c>
      <c r="K587" t="s">
        <v>6166</v>
      </c>
      <c r="M587" t="s">
        <v>1893</v>
      </c>
      <c r="N587" t="s">
        <v>4745</v>
      </c>
      <c r="O587" t="s">
        <v>24</v>
      </c>
    </row>
    <row r="588" spans="1:15" x14ac:dyDescent="0.25">
      <c r="A588">
        <v>587</v>
      </c>
      <c r="B588" t="str">
        <f>HYPERLINK("https://digitalcommons.unl.edu/cgi/viewcontent.cgi?article=2056&amp;context=tractormuseumlit","Click for test report")</f>
        <v>Click for test report</v>
      </c>
      <c r="C588">
        <v>1954</v>
      </c>
      <c r="D588" t="s">
        <v>6334</v>
      </c>
      <c r="F588" t="s">
        <v>5347</v>
      </c>
      <c r="G588" t="s">
        <v>5347</v>
      </c>
      <c r="H588" t="s">
        <v>6335</v>
      </c>
      <c r="I588" t="s">
        <v>50</v>
      </c>
      <c r="J588" t="s">
        <v>348</v>
      </c>
      <c r="K588" t="s">
        <v>5598</v>
      </c>
      <c r="M588" t="s">
        <v>750</v>
      </c>
      <c r="N588" t="s">
        <v>1009</v>
      </c>
      <c r="O588" t="s">
        <v>24</v>
      </c>
    </row>
    <row r="589" spans="1:15" x14ac:dyDescent="0.25">
      <c r="A589">
        <v>588</v>
      </c>
      <c r="B589" t="str">
        <f>HYPERLINK("https://digitalcommons.unl.edu/cgi/viewcontent.cgi?article=2057&amp;context=tractormuseumlit","Click for test report")</f>
        <v>Click for test report</v>
      </c>
      <c r="C589">
        <v>1954</v>
      </c>
      <c r="D589" t="s">
        <v>6330</v>
      </c>
      <c r="F589" t="s">
        <v>6331</v>
      </c>
      <c r="G589" t="s">
        <v>6331</v>
      </c>
      <c r="H589" t="s">
        <v>6332</v>
      </c>
      <c r="I589" t="s">
        <v>50</v>
      </c>
      <c r="J589" t="s">
        <v>29</v>
      </c>
      <c r="K589" t="s">
        <v>21</v>
      </c>
      <c r="N589" t="s">
        <v>3152</v>
      </c>
      <c r="O589" t="s">
        <v>6333</v>
      </c>
    </row>
    <row r="590" spans="1:15" x14ac:dyDescent="0.25">
      <c r="A590">
        <v>589</v>
      </c>
      <c r="B590" t="str">
        <f>HYPERLINK("https://digitalcommons.unl.edu/cgi/viewcontent.cgi?article=1522&amp;context=tractormuseumlit","Click for test report")</f>
        <v>Click for test report</v>
      </c>
      <c r="C590">
        <v>1954</v>
      </c>
      <c r="D590" t="s">
        <v>6328</v>
      </c>
      <c r="F590" t="s">
        <v>5345</v>
      </c>
      <c r="G590" t="s">
        <v>5345</v>
      </c>
      <c r="H590" t="s">
        <v>6329</v>
      </c>
      <c r="I590" t="s">
        <v>50</v>
      </c>
      <c r="J590" t="s">
        <v>348</v>
      </c>
      <c r="K590" t="s">
        <v>4809</v>
      </c>
      <c r="M590" t="s">
        <v>3388</v>
      </c>
      <c r="N590" t="s">
        <v>4397</v>
      </c>
      <c r="O590" t="s">
        <v>24</v>
      </c>
    </row>
    <row r="591" spans="1:15" x14ac:dyDescent="0.25">
      <c r="A591">
        <v>590</v>
      </c>
      <c r="B591" t="str">
        <f>HYPERLINK("https://digitalcommons.unl.edu/cgi/viewcontent.cgi?article=1523&amp;context=tractormuseumlit","Click for test report")</f>
        <v>Click for test report</v>
      </c>
      <c r="C591">
        <v>1954</v>
      </c>
      <c r="D591" t="s">
        <v>3977</v>
      </c>
      <c r="F591" t="s">
        <v>5345</v>
      </c>
      <c r="G591" t="s">
        <v>5345</v>
      </c>
      <c r="H591" t="s">
        <v>6327</v>
      </c>
      <c r="I591" t="s">
        <v>50</v>
      </c>
      <c r="J591" t="s">
        <v>348</v>
      </c>
      <c r="K591" t="s">
        <v>4809</v>
      </c>
      <c r="M591" t="s">
        <v>1970</v>
      </c>
      <c r="N591" t="s">
        <v>407</v>
      </c>
      <c r="O591" t="s">
        <v>24</v>
      </c>
    </row>
    <row r="592" spans="1:15" x14ac:dyDescent="0.25">
      <c r="A592">
        <v>591</v>
      </c>
      <c r="B592" t="str">
        <f>HYPERLINK("https://digitalcommons.unl.edu/cgi/viewcontent.cgi?article=1524&amp;context=tractormuseumlit","Click for test report")</f>
        <v>Click for test report</v>
      </c>
      <c r="C592">
        <v>1954</v>
      </c>
      <c r="D592" t="s">
        <v>6325</v>
      </c>
      <c r="F592" t="s">
        <v>5345</v>
      </c>
      <c r="G592" t="s">
        <v>5345</v>
      </c>
      <c r="H592" t="s">
        <v>6326</v>
      </c>
      <c r="I592" t="s">
        <v>50</v>
      </c>
      <c r="J592" t="s">
        <v>348</v>
      </c>
      <c r="K592" t="s">
        <v>21</v>
      </c>
      <c r="M592" t="s">
        <v>4745</v>
      </c>
      <c r="N592" t="s">
        <v>4352</v>
      </c>
      <c r="O592" t="s">
        <v>24</v>
      </c>
    </row>
    <row r="593" spans="1:15" x14ac:dyDescent="0.25">
      <c r="A593">
        <v>592</v>
      </c>
      <c r="B593" t="str">
        <f>HYPERLINK("https://digitalcommons.unl.edu/cgi/viewcontent.cgi?article=1525&amp;context=tractormuseumlit","Click for test report")</f>
        <v>Click for test report</v>
      </c>
      <c r="C593">
        <v>1954</v>
      </c>
      <c r="D593" t="s">
        <v>6323</v>
      </c>
      <c r="F593" t="s">
        <v>5345</v>
      </c>
      <c r="G593" t="s">
        <v>5345</v>
      </c>
      <c r="H593" t="s">
        <v>6324</v>
      </c>
      <c r="I593" t="s">
        <v>50</v>
      </c>
      <c r="J593" t="s">
        <v>348</v>
      </c>
      <c r="K593" t="s">
        <v>21</v>
      </c>
      <c r="M593" t="s">
        <v>1994</v>
      </c>
      <c r="N593" t="s">
        <v>1650</v>
      </c>
      <c r="O593" t="s">
        <v>24</v>
      </c>
    </row>
    <row r="594" spans="1:15" x14ac:dyDescent="0.25">
      <c r="A594">
        <v>593</v>
      </c>
      <c r="B594" t="str">
        <f>HYPERLINK("https://digitalcommons.unl.edu/cgi/viewcontent.cgi?article=1095&amp;context=tractormuseumlit","Click for test report")</f>
        <v>Click for test report</v>
      </c>
      <c r="C594">
        <v>1954</v>
      </c>
      <c r="D594" t="s">
        <v>6321</v>
      </c>
      <c r="F594" t="s">
        <v>17</v>
      </c>
      <c r="G594" t="s">
        <v>17</v>
      </c>
      <c r="H594" t="s">
        <v>6322</v>
      </c>
      <c r="I594" t="s">
        <v>50</v>
      </c>
      <c r="J594" t="s">
        <v>348</v>
      </c>
      <c r="K594" t="s">
        <v>21</v>
      </c>
      <c r="M594" t="s">
        <v>735</v>
      </c>
      <c r="N594" t="s">
        <v>2511</v>
      </c>
      <c r="O594" t="s">
        <v>24</v>
      </c>
    </row>
    <row r="595" spans="1:15" x14ac:dyDescent="0.25">
      <c r="A595">
        <v>594</v>
      </c>
      <c r="B595" t="str">
        <f>HYPERLINK("https://digitalcommons.unl.edu/cgi/viewcontent.cgi?article=2059&amp;context=tractormuseumlit","Click for test report")</f>
        <v>Click for test report</v>
      </c>
      <c r="C595">
        <v>1954</v>
      </c>
      <c r="D595" t="s">
        <v>6320</v>
      </c>
      <c r="F595" t="s">
        <v>4503</v>
      </c>
      <c r="G595" t="s">
        <v>4503</v>
      </c>
      <c r="H595" t="s">
        <v>6187</v>
      </c>
      <c r="I595" t="s">
        <v>50</v>
      </c>
      <c r="J595" t="s">
        <v>96</v>
      </c>
      <c r="K595" t="s">
        <v>21</v>
      </c>
      <c r="N595" t="s">
        <v>439</v>
      </c>
      <c r="O595" t="s">
        <v>2163</v>
      </c>
    </row>
    <row r="596" spans="1:15" x14ac:dyDescent="0.25">
      <c r="A596">
        <v>595</v>
      </c>
      <c r="B596" t="str">
        <f>HYPERLINK("https://digitalcommons.unl.edu/cgi/viewcontent.cgi?article=2060&amp;context=tractormuseumlit","Click for test report")</f>
        <v>Click for test report</v>
      </c>
      <c r="C596">
        <v>1954</v>
      </c>
      <c r="D596" t="s">
        <v>3649</v>
      </c>
      <c r="F596" t="s">
        <v>4472</v>
      </c>
      <c r="G596" t="s">
        <v>4472</v>
      </c>
      <c r="H596" t="s">
        <v>5797</v>
      </c>
      <c r="I596" t="s">
        <v>50</v>
      </c>
      <c r="J596" t="s">
        <v>348</v>
      </c>
      <c r="K596" t="s">
        <v>4809</v>
      </c>
      <c r="M596" t="s">
        <v>3388</v>
      </c>
      <c r="N596" t="s">
        <v>4013</v>
      </c>
      <c r="O596" t="s">
        <v>24</v>
      </c>
    </row>
    <row r="597" spans="1:15" x14ac:dyDescent="0.25">
      <c r="A597">
        <v>596</v>
      </c>
      <c r="B597" t="str">
        <f>HYPERLINK("https://digitalcommons.unl.edu/cgi/viewcontent.cgi?article=2061&amp;context=tractormuseumlit","Click for test report")</f>
        <v>Click for test report</v>
      </c>
      <c r="C597">
        <v>1954</v>
      </c>
      <c r="D597" t="s">
        <v>5937</v>
      </c>
      <c r="F597" t="s">
        <v>6225</v>
      </c>
      <c r="G597" t="s">
        <v>6226</v>
      </c>
      <c r="H597" t="s">
        <v>6319</v>
      </c>
      <c r="I597" t="s">
        <v>50</v>
      </c>
      <c r="J597" t="s">
        <v>348</v>
      </c>
      <c r="K597" t="s">
        <v>4809</v>
      </c>
      <c r="M597" t="s">
        <v>4449</v>
      </c>
      <c r="N597" t="s">
        <v>4363</v>
      </c>
      <c r="O597" t="s">
        <v>24</v>
      </c>
    </row>
    <row r="598" spans="1:15" x14ac:dyDescent="0.25">
      <c r="A598">
        <v>597</v>
      </c>
      <c r="B598" t="str">
        <f>HYPERLINK("https://digitalcommons.unl.edu/cgi/viewcontent.cgi?article=2062&amp;context=tractormuseumlit","Click for test report")</f>
        <v>Click for test report</v>
      </c>
      <c r="C598">
        <v>1954</v>
      </c>
      <c r="D598" t="s">
        <v>3648</v>
      </c>
      <c r="F598" t="s">
        <v>4503</v>
      </c>
      <c r="G598" t="s">
        <v>6201</v>
      </c>
      <c r="H598" t="s">
        <v>1301</v>
      </c>
      <c r="I598" t="s">
        <v>1961</v>
      </c>
      <c r="J598" t="s">
        <v>348</v>
      </c>
      <c r="K598" t="s">
        <v>4809</v>
      </c>
      <c r="M598" t="s">
        <v>735</v>
      </c>
      <c r="N598" t="s">
        <v>2511</v>
      </c>
      <c r="O598" t="s">
        <v>24</v>
      </c>
    </row>
    <row r="599" spans="1:15" x14ac:dyDescent="0.25">
      <c r="A599">
        <v>598</v>
      </c>
      <c r="B599" t="str">
        <f>HYPERLINK("https://digitalcommons.unl.edu/cgi/viewcontent.cgi?article=2063&amp;context=tractormuseumlit","Click for test report")</f>
        <v>Click for test report</v>
      </c>
      <c r="C599">
        <v>1955</v>
      </c>
      <c r="D599" t="s">
        <v>6266</v>
      </c>
      <c r="F599" t="s">
        <v>4503</v>
      </c>
      <c r="G599" t="s">
        <v>4503</v>
      </c>
      <c r="H599" t="s">
        <v>6262</v>
      </c>
      <c r="I599" t="s">
        <v>1961</v>
      </c>
      <c r="J599" t="s">
        <v>348</v>
      </c>
      <c r="K599" t="s">
        <v>4809</v>
      </c>
      <c r="M599" t="s">
        <v>750</v>
      </c>
      <c r="N599" t="s">
        <v>2511</v>
      </c>
      <c r="O599" t="s">
        <v>24</v>
      </c>
    </row>
    <row r="600" spans="1:15" x14ac:dyDescent="0.25">
      <c r="A600">
        <v>599</v>
      </c>
      <c r="B600" t="str">
        <f>HYPERLINK("https://digitalcommons.unl.edu/cgi/viewcontent.cgi?article=2064&amp;context=tractormuseumlit","Click for test report")</f>
        <v>Click for test report</v>
      </c>
      <c r="C600">
        <v>1955</v>
      </c>
      <c r="D600" t="s">
        <v>6318</v>
      </c>
      <c r="F600" t="s">
        <v>4503</v>
      </c>
      <c r="G600" t="s">
        <v>6201</v>
      </c>
      <c r="H600" t="s">
        <v>1301</v>
      </c>
      <c r="I600" t="s">
        <v>1961</v>
      </c>
      <c r="J600" t="s">
        <v>348</v>
      </c>
      <c r="K600" t="s">
        <v>21</v>
      </c>
      <c r="M600" t="s">
        <v>410</v>
      </c>
      <c r="N600" t="s">
        <v>3152</v>
      </c>
      <c r="O600" t="s">
        <v>24</v>
      </c>
    </row>
    <row r="601" spans="1:15" x14ac:dyDescent="0.25">
      <c r="A601">
        <v>600</v>
      </c>
      <c r="B601" t="str">
        <f>HYPERLINK("https://digitalcommons.unl.edu/cgi/viewcontent.cgi?article=2065&amp;context=tractormuseumlit","Click for test report")</f>
        <v>Click for test report</v>
      </c>
      <c r="C601">
        <v>1955</v>
      </c>
      <c r="D601" t="s">
        <v>6264</v>
      </c>
      <c r="F601" t="s">
        <v>4503</v>
      </c>
      <c r="G601" t="s">
        <v>4503</v>
      </c>
      <c r="H601" t="s">
        <v>6262</v>
      </c>
      <c r="I601" t="s">
        <v>1961</v>
      </c>
      <c r="J601" t="s">
        <v>348</v>
      </c>
      <c r="K601" t="s">
        <v>21</v>
      </c>
      <c r="M601" t="s">
        <v>410</v>
      </c>
      <c r="N601" t="s">
        <v>2090</v>
      </c>
      <c r="O601" t="s">
        <v>24</v>
      </c>
    </row>
    <row r="602" spans="1:15" x14ac:dyDescent="0.25">
      <c r="A602">
        <v>601</v>
      </c>
      <c r="B602" t="str">
        <f>HYPERLINK("https://digitalcommons.unl.edu/cgi/viewcontent.cgi?article=2066&amp;context=tractormuseumlit","Click for test report")</f>
        <v>Click for test report</v>
      </c>
      <c r="C602">
        <v>1955</v>
      </c>
      <c r="D602" t="s">
        <v>6317</v>
      </c>
      <c r="F602" t="s">
        <v>4503</v>
      </c>
      <c r="G602" t="s">
        <v>6201</v>
      </c>
      <c r="H602" t="s">
        <v>5462</v>
      </c>
      <c r="I602" t="s">
        <v>50</v>
      </c>
      <c r="J602" t="s">
        <v>348</v>
      </c>
      <c r="K602" t="s">
        <v>4809</v>
      </c>
      <c r="M602" t="s">
        <v>4355</v>
      </c>
      <c r="N602" t="s">
        <v>4359</v>
      </c>
      <c r="O602" t="s">
        <v>24</v>
      </c>
    </row>
    <row r="603" spans="1:15" x14ac:dyDescent="0.25">
      <c r="A603">
        <v>602</v>
      </c>
      <c r="B603" t="str">
        <f>HYPERLINK("https://digitalcommons.unl.edu/cgi/viewcontent.cgi?article=2067&amp;context=tractormuseumlit","Click for test report")</f>
        <v>Click for test report</v>
      </c>
      <c r="C603">
        <v>1955</v>
      </c>
      <c r="D603" t="s">
        <v>6316</v>
      </c>
      <c r="F603" t="s">
        <v>4503</v>
      </c>
      <c r="G603" t="s">
        <v>6201</v>
      </c>
      <c r="H603" t="s">
        <v>4202</v>
      </c>
      <c r="I603" t="s">
        <v>50</v>
      </c>
      <c r="J603" t="s">
        <v>348</v>
      </c>
      <c r="K603" t="s">
        <v>4809</v>
      </c>
      <c r="M603" t="s">
        <v>4359</v>
      </c>
      <c r="N603" t="s">
        <v>4363</v>
      </c>
      <c r="O603" t="s">
        <v>24</v>
      </c>
    </row>
    <row r="604" spans="1:15" x14ac:dyDescent="0.25">
      <c r="A604">
        <v>603</v>
      </c>
      <c r="B604" t="str">
        <f>HYPERLINK("https://digitalcommons.unl.edu/cgi/viewcontent.cgi?article=2068&amp;context=tractormuseumlit","Click for test report")</f>
        <v>Click for test report</v>
      </c>
      <c r="C604">
        <v>1955</v>
      </c>
      <c r="D604" t="s">
        <v>6315</v>
      </c>
      <c r="F604" t="s">
        <v>4503</v>
      </c>
      <c r="G604" t="s">
        <v>6201</v>
      </c>
      <c r="H604" t="s">
        <v>6259</v>
      </c>
      <c r="I604" t="s">
        <v>1961</v>
      </c>
      <c r="J604" t="s">
        <v>348</v>
      </c>
      <c r="K604" t="s">
        <v>4809</v>
      </c>
      <c r="M604" t="s">
        <v>1802</v>
      </c>
      <c r="N604" t="s">
        <v>4745</v>
      </c>
      <c r="O604" t="s">
        <v>24</v>
      </c>
    </row>
    <row r="605" spans="1:15" x14ac:dyDescent="0.25">
      <c r="A605">
        <v>604</v>
      </c>
      <c r="B605" t="str">
        <f>HYPERLINK("https://digitalcommons.unl.edu/cgi/viewcontent.cgi?article=2069&amp;context=tractormuseumlit","Click for test report")</f>
        <v>Click for test report</v>
      </c>
      <c r="C605">
        <v>1955</v>
      </c>
      <c r="D605" t="s">
        <v>6314</v>
      </c>
      <c r="F605" t="s">
        <v>4503</v>
      </c>
      <c r="G605" t="s">
        <v>4504</v>
      </c>
      <c r="H605" t="s">
        <v>6258</v>
      </c>
      <c r="I605" t="s">
        <v>1961</v>
      </c>
      <c r="J605" t="s">
        <v>348</v>
      </c>
      <c r="K605" t="s">
        <v>4809</v>
      </c>
      <c r="M605" t="s">
        <v>2627</v>
      </c>
      <c r="N605" t="s">
        <v>1893</v>
      </c>
      <c r="O605" t="s">
        <v>24</v>
      </c>
    </row>
    <row r="606" spans="1:15" x14ac:dyDescent="0.25">
      <c r="A606">
        <v>605</v>
      </c>
      <c r="B606" t="str">
        <f>HYPERLINK("https://digitalcommons.unl.edu/cgi/viewcontent.cgi?article=1096&amp;context=tractormuseumlit","Click for test report")</f>
        <v>Click for test report</v>
      </c>
      <c r="C606">
        <v>1955</v>
      </c>
      <c r="D606" t="s">
        <v>1195</v>
      </c>
      <c r="F606" t="s">
        <v>17</v>
      </c>
      <c r="G606" t="s">
        <v>17</v>
      </c>
      <c r="H606" t="s">
        <v>5880</v>
      </c>
      <c r="I606" t="s">
        <v>50</v>
      </c>
      <c r="J606" t="s">
        <v>348</v>
      </c>
      <c r="K606" t="s">
        <v>5598</v>
      </c>
      <c r="M606" t="s">
        <v>4008</v>
      </c>
      <c r="N606" t="s">
        <v>4589</v>
      </c>
      <c r="O606" t="s">
        <v>24</v>
      </c>
    </row>
    <row r="607" spans="1:15" x14ac:dyDescent="0.25">
      <c r="A607">
        <v>606</v>
      </c>
      <c r="B607" t="str">
        <f>HYPERLINK("https://digitalcommons.unl.edu/cgi/viewcontent.cgi?article=1526&amp;context=tractormuseumlit","Click for test report")</f>
        <v>Click for test report</v>
      </c>
      <c r="C607">
        <v>1955</v>
      </c>
      <c r="D607" t="s">
        <v>5938</v>
      </c>
      <c r="F607" t="s">
        <v>5345</v>
      </c>
      <c r="G607" t="s">
        <v>5345</v>
      </c>
      <c r="H607" t="s">
        <v>6313</v>
      </c>
      <c r="I607" t="s">
        <v>50</v>
      </c>
      <c r="J607" t="s">
        <v>348</v>
      </c>
      <c r="K607" t="s">
        <v>4809</v>
      </c>
      <c r="M607" t="s">
        <v>4745</v>
      </c>
      <c r="N607" t="s">
        <v>4352</v>
      </c>
      <c r="O607" t="s">
        <v>24</v>
      </c>
    </row>
    <row r="608" spans="1:15" x14ac:dyDescent="0.25">
      <c r="A608">
        <v>607</v>
      </c>
      <c r="B608" t="str">
        <f>HYPERLINK("https://digitalcommons.unl.edu/cgi/viewcontent.cgi?article=1527&amp;context=tractormuseumlit","Click for test report")</f>
        <v>Click for test report</v>
      </c>
      <c r="C608">
        <v>1955</v>
      </c>
      <c r="D608" t="s">
        <v>6311</v>
      </c>
      <c r="F608" t="s">
        <v>5345</v>
      </c>
      <c r="G608" t="s">
        <v>5345</v>
      </c>
      <c r="H608" t="s">
        <v>6312</v>
      </c>
      <c r="I608" t="s">
        <v>50</v>
      </c>
      <c r="J608" t="s">
        <v>348</v>
      </c>
      <c r="K608" t="s">
        <v>4809</v>
      </c>
      <c r="M608" t="s">
        <v>2090</v>
      </c>
      <c r="N608" t="s">
        <v>1893</v>
      </c>
      <c r="O608" t="s">
        <v>24</v>
      </c>
    </row>
    <row r="609" spans="1:15" x14ac:dyDescent="0.25">
      <c r="A609">
        <v>608</v>
      </c>
      <c r="B609" t="str">
        <f>HYPERLINK("https://digitalcommons.unl.edu/cgi/viewcontent.cgi?article=1528&amp;context=tractormuseumlit","Click for test report")</f>
        <v>Click for test report</v>
      </c>
      <c r="C609">
        <v>1955</v>
      </c>
      <c r="D609" t="s">
        <v>6309</v>
      </c>
      <c r="F609" t="s">
        <v>5345</v>
      </c>
      <c r="G609" t="s">
        <v>5345</v>
      </c>
      <c r="H609" t="s">
        <v>6310</v>
      </c>
      <c r="I609" t="s">
        <v>50</v>
      </c>
      <c r="J609" t="s">
        <v>348</v>
      </c>
      <c r="K609" t="s">
        <v>21</v>
      </c>
      <c r="M609" t="s">
        <v>1009</v>
      </c>
      <c r="N609" t="s">
        <v>1802</v>
      </c>
      <c r="O609" t="s">
        <v>24</v>
      </c>
    </row>
    <row r="610" spans="1:15" x14ac:dyDescent="0.25">
      <c r="A610">
        <v>609</v>
      </c>
      <c r="B610" t="str">
        <f>HYPERLINK("https://digitalcommons.unl.edu/cgi/viewcontent.cgi?article=1529&amp;context=tractormuseumlit","Click for test report")</f>
        <v>Click for test report</v>
      </c>
      <c r="C610">
        <v>1955</v>
      </c>
      <c r="D610" t="s">
        <v>5549</v>
      </c>
      <c r="F610" t="s">
        <v>5345</v>
      </c>
      <c r="G610" t="s">
        <v>5345</v>
      </c>
      <c r="H610" t="s">
        <v>6308</v>
      </c>
      <c r="I610" t="s">
        <v>50</v>
      </c>
      <c r="J610" t="s">
        <v>348</v>
      </c>
      <c r="K610" t="s">
        <v>21</v>
      </c>
      <c r="M610" t="s">
        <v>4745</v>
      </c>
      <c r="N610" t="s">
        <v>4352</v>
      </c>
      <c r="O610" t="s">
        <v>24</v>
      </c>
    </row>
    <row r="611" spans="1:15" x14ac:dyDescent="0.25">
      <c r="A611">
        <v>610</v>
      </c>
      <c r="B611" t="str">
        <f>HYPERLINK("https://digitalcommons.unl.edu/cgi/viewcontent.cgi?article=2071&amp;context=tractormuseumlit","Click for test report")</f>
        <v>Click for test report</v>
      </c>
      <c r="C611">
        <v>1955</v>
      </c>
      <c r="D611" t="s">
        <v>6307</v>
      </c>
      <c r="F611" t="s">
        <v>5347</v>
      </c>
      <c r="G611" t="s">
        <v>5347</v>
      </c>
      <c r="H611" t="s">
        <v>6274</v>
      </c>
      <c r="I611" t="s">
        <v>50</v>
      </c>
      <c r="J611" t="s">
        <v>348</v>
      </c>
      <c r="K611" t="s">
        <v>5598</v>
      </c>
      <c r="M611" t="s">
        <v>1347</v>
      </c>
      <c r="N611" t="s">
        <v>1864</v>
      </c>
      <c r="O611" t="s">
        <v>24</v>
      </c>
    </row>
    <row r="612" spans="1:15" x14ac:dyDescent="0.25">
      <c r="A612">
        <v>611</v>
      </c>
      <c r="B612" t="str">
        <f>HYPERLINK("https://digitalcommons.unl.edu/cgi/viewcontent.cgi?article=1097&amp;context=tractormuseumlit","Click for test report")</f>
        <v>Click for test report</v>
      </c>
      <c r="C612">
        <v>1955</v>
      </c>
      <c r="D612" t="s">
        <v>6305</v>
      </c>
      <c r="F612" t="s">
        <v>17</v>
      </c>
      <c r="G612" t="s">
        <v>17</v>
      </c>
      <c r="H612" t="s">
        <v>6306</v>
      </c>
      <c r="I612" t="s">
        <v>50</v>
      </c>
      <c r="J612" t="s">
        <v>348</v>
      </c>
      <c r="K612" t="s">
        <v>6166</v>
      </c>
      <c r="M612" t="s">
        <v>4359</v>
      </c>
      <c r="N612" t="s">
        <v>4449</v>
      </c>
      <c r="O612" t="s">
        <v>24</v>
      </c>
    </row>
    <row r="613" spans="1:15" x14ac:dyDescent="0.25">
      <c r="A613">
        <v>612</v>
      </c>
      <c r="B613" t="str">
        <f>HYPERLINK("https://digitalcommons.unl.edu/cgi/viewcontent.cgi?article=2072&amp;context=tractormuseumlit","Click for test report")</f>
        <v>Click for test report</v>
      </c>
      <c r="C613">
        <v>1955</v>
      </c>
      <c r="D613" t="s">
        <v>6304</v>
      </c>
      <c r="F613" t="s">
        <v>5347</v>
      </c>
      <c r="G613" t="s">
        <v>5347</v>
      </c>
      <c r="H613" t="s">
        <v>6274</v>
      </c>
      <c r="I613" t="s">
        <v>50</v>
      </c>
      <c r="J613" t="s">
        <v>348</v>
      </c>
      <c r="K613" t="s">
        <v>4809</v>
      </c>
      <c r="M613" t="s">
        <v>1350</v>
      </c>
      <c r="N613" t="s">
        <v>731</v>
      </c>
      <c r="O613" t="s">
        <v>24</v>
      </c>
    </row>
    <row r="614" spans="1:15" x14ac:dyDescent="0.25">
      <c r="A614">
        <v>613</v>
      </c>
      <c r="B614" t="str">
        <f>HYPERLINK("https://digitalcommons.unl.edu/cgi/viewcontent.cgi?article=1530&amp;context=tractormuseumlit","Click for test report")</f>
        <v>Click for test report</v>
      </c>
      <c r="C614">
        <v>1955</v>
      </c>
      <c r="D614" t="s">
        <v>6303</v>
      </c>
      <c r="F614" t="s">
        <v>5345</v>
      </c>
      <c r="G614" t="s">
        <v>5345</v>
      </c>
      <c r="H614" t="s">
        <v>6302</v>
      </c>
      <c r="I614" t="s">
        <v>50</v>
      </c>
      <c r="J614" t="s">
        <v>96</v>
      </c>
      <c r="K614" t="s">
        <v>4809</v>
      </c>
      <c r="M614" t="s">
        <v>2029</v>
      </c>
      <c r="N614" t="s">
        <v>735</v>
      </c>
      <c r="O614" t="s">
        <v>24</v>
      </c>
    </row>
    <row r="615" spans="1:15" x14ac:dyDescent="0.25">
      <c r="A615">
        <v>614</v>
      </c>
      <c r="B615" t="str">
        <f>HYPERLINK("https://digitalcommons.unl.edu/cgi/viewcontent.cgi?article=1531&amp;context=tractormuseumlit","Click for test report")</f>
        <v>Click for test report</v>
      </c>
      <c r="C615">
        <v>1955</v>
      </c>
      <c r="D615" t="s">
        <v>6301</v>
      </c>
      <c r="F615" t="s">
        <v>5345</v>
      </c>
      <c r="G615" t="s">
        <v>5345</v>
      </c>
      <c r="H615" t="s">
        <v>6302</v>
      </c>
      <c r="I615" t="s">
        <v>50</v>
      </c>
      <c r="J615" t="s">
        <v>96</v>
      </c>
      <c r="K615" t="s">
        <v>21</v>
      </c>
      <c r="M615" t="s">
        <v>404</v>
      </c>
      <c r="N615" t="s">
        <v>735</v>
      </c>
      <c r="O615" t="s">
        <v>24</v>
      </c>
    </row>
    <row r="616" spans="1:15" x14ac:dyDescent="0.25">
      <c r="A616">
        <v>615</v>
      </c>
      <c r="B616" t="str">
        <f>HYPERLINK("https://digitalcommons.unl.edu/cgi/viewcontent.cgi?article=2073&amp;context=tractormuseumlit","Click for test report")</f>
        <v>Click for test report</v>
      </c>
      <c r="C616">
        <v>1955</v>
      </c>
      <c r="D616" t="s">
        <v>6062</v>
      </c>
      <c r="F616" t="s">
        <v>4325</v>
      </c>
      <c r="G616" t="s">
        <v>4325</v>
      </c>
      <c r="H616" t="s">
        <v>6300</v>
      </c>
      <c r="I616" t="s">
        <v>5776</v>
      </c>
      <c r="J616" t="s">
        <v>96</v>
      </c>
      <c r="K616" t="s">
        <v>21</v>
      </c>
      <c r="N616" t="s">
        <v>1514</v>
      </c>
      <c r="O616" t="s">
        <v>2163</v>
      </c>
    </row>
    <row r="617" spans="1:15" x14ac:dyDescent="0.25">
      <c r="A617">
        <v>616</v>
      </c>
      <c r="B617" t="str">
        <f>HYPERLINK("https://digitalcommons.unl.edu/cgi/viewcontent.cgi?article=2074&amp;context=tractormuseumlit","Click for test report")</f>
        <v>Click for test report</v>
      </c>
      <c r="C617">
        <v>1955</v>
      </c>
      <c r="D617" t="s">
        <v>6298</v>
      </c>
      <c r="F617" t="s">
        <v>4325</v>
      </c>
      <c r="G617" t="s">
        <v>4325</v>
      </c>
      <c r="H617" t="s">
        <v>6299</v>
      </c>
      <c r="I617" t="s">
        <v>5776</v>
      </c>
      <c r="J617" t="s">
        <v>96</v>
      </c>
      <c r="K617" t="s">
        <v>21</v>
      </c>
      <c r="N617" t="s">
        <v>368</v>
      </c>
      <c r="O617" t="s">
        <v>2163</v>
      </c>
    </row>
    <row r="618" spans="1:15" x14ac:dyDescent="0.25">
      <c r="A618">
        <v>617</v>
      </c>
      <c r="B618" t="str">
        <f>HYPERLINK("https://digitalcommons.unl.edu/cgi/viewcontent.cgi?article=2075&amp;context=tractormuseumlit","Click for test report")</f>
        <v>Click for test report</v>
      </c>
      <c r="C618">
        <v>1955</v>
      </c>
      <c r="D618" t="s">
        <v>6296</v>
      </c>
      <c r="F618" t="s">
        <v>4325</v>
      </c>
      <c r="G618" t="s">
        <v>4325</v>
      </c>
      <c r="H618" t="s">
        <v>6297</v>
      </c>
      <c r="I618" t="s">
        <v>50</v>
      </c>
      <c r="J618" t="s">
        <v>96</v>
      </c>
      <c r="K618" t="s">
        <v>21</v>
      </c>
      <c r="M618" t="s">
        <v>2676</v>
      </c>
      <c r="N618" t="s">
        <v>333</v>
      </c>
      <c r="O618" t="s">
        <v>24</v>
      </c>
    </row>
    <row r="619" spans="1:15" x14ac:dyDescent="0.25">
      <c r="A619">
        <v>618</v>
      </c>
      <c r="B619" t="str">
        <f>HYPERLINK("https://digitalcommons.unl.edu/cgi/viewcontent.cgi?article=2076&amp;context=tractormuseumlit","Click for test report")</f>
        <v>Click for test report</v>
      </c>
      <c r="C619">
        <v>1955</v>
      </c>
      <c r="D619" t="s">
        <v>6294</v>
      </c>
      <c r="F619" t="s">
        <v>3442</v>
      </c>
      <c r="G619" t="s">
        <v>3442</v>
      </c>
      <c r="H619" t="s">
        <v>6295</v>
      </c>
      <c r="I619" t="s">
        <v>50</v>
      </c>
      <c r="J619" t="s">
        <v>96</v>
      </c>
      <c r="K619" t="s">
        <v>21</v>
      </c>
      <c r="M619" t="s">
        <v>2627</v>
      </c>
      <c r="N619" t="s">
        <v>3973</v>
      </c>
      <c r="O619" t="s">
        <v>24</v>
      </c>
    </row>
    <row r="620" spans="1:15" x14ac:dyDescent="0.25">
      <c r="A620">
        <v>619</v>
      </c>
      <c r="B620" t="str">
        <f>HYPERLINK("https://digitalcommons.unl.edu/cgi/viewcontent.cgi?article=2077&amp;context=tractormuseumlit","Click for test report")</f>
        <v>Click for test report</v>
      </c>
      <c r="C620">
        <v>1955</v>
      </c>
      <c r="D620" t="s">
        <v>6293</v>
      </c>
      <c r="F620" t="s">
        <v>3442</v>
      </c>
      <c r="G620" t="s">
        <v>3442</v>
      </c>
      <c r="H620" t="s">
        <v>5979</v>
      </c>
      <c r="I620" t="s">
        <v>50</v>
      </c>
      <c r="J620" t="s">
        <v>96</v>
      </c>
      <c r="K620" t="s">
        <v>21</v>
      </c>
      <c r="M620" t="s">
        <v>353</v>
      </c>
      <c r="N620" t="s">
        <v>2188</v>
      </c>
      <c r="O620" t="s">
        <v>24</v>
      </c>
    </row>
    <row r="621" spans="1:15" x14ac:dyDescent="0.25">
      <c r="A621">
        <v>620</v>
      </c>
      <c r="B621" t="str">
        <f>HYPERLINK("https://digitalcommons.unl.edu/cgi/viewcontent.cgi?article=2078&amp;context=tractormuseumlit","Click for test report")</f>
        <v>Click for test report</v>
      </c>
      <c r="C621">
        <v>1955</v>
      </c>
      <c r="D621" t="s">
        <v>5024</v>
      </c>
      <c r="F621" t="s">
        <v>3442</v>
      </c>
      <c r="G621" t="s">
        <v>3442</v>
      </c>
      <c r="H621" t="s">
        <v>5977</v>
      </c>
      <c r="I621" t="s">
        <v>50</v>
      </c>
      <c r="J621" t="s">
        <v>96</v>
      </c>
      <c r="K621" t="s">
        <v>21</v>
      </c>
      <c r="M621" t="s">
        <v>454</v>
      </c>
      <c r="N621" t="s">
        <v>743</v>
      </c>
      <c r="O621" t="s">
        <v>24</v>
      </c>
    </row>
    <row r="622" spans="1:15" x14ac:dyDescent="0.25">
      <c r="A622">
        <v>621</v>
      </c>
      <c r="B622" t="str">
        <f>HYPERLINK("https://digitalcommons.unl.edu/cgi/viewcontent.cgi?article=1532&amp;context=tractormuseumlit","Click for test report")</f>
        <v>Click for test report</v>
      </c>
      <c r="C622">
        <v>1955</v>
      </c>
      <c r="D622" t="s">
        <v>6291</v>
      </c>
      <c r="F622" t="s">
        <v>5345</v>
      </c>
      <c r="G622" t="s">
        <v>5345</v>
      </c>
      <c r="H622" t="s">
        <v>6292</v>
      </c>
      <c r="I622" t="s">
        <v>50</v>
      </c>
      <c r="J622" t="s">
        <v>348</v>
      </c>
      <c r="K622" t="s">
        <v>21</v>
      </c>
      <c r="M622" t="s">
        <v>1371</v>
      </c>
      <c r="N622" t="s">
        <v>743</v>
      </c>
      <c r="O622" t="s">
        <v>24</v>
      </c>
    </row>
    <row r="623" spans="1:15" x14ac:dyDescent="0.25">
      <c r="A623">
        <v>622</v>
      </c>
      <c r="B623" t="str">
        <f>HYPERLINK("https://digitalcommons.unl.edu/cgi/viewcontent.cgi?article=1533&amp;context=tractormuseumlit","Click for test report")</f>
        <v>Click for test report</v>
      </c>
      <c r="C623">
        <v>1955</v>
      </c>
      <c r="D623" t="s">
        <v>6289</v>
      </c>
      <c r="F623" t="s">
        <v>5345</v>
      </c>
      <c r="G623" t="s">
        <v>5345</v>
      </c>
      <c r="H623" t="s">
        <v>6290</v>
      </c>
      <c r="I623" t="s">
        <v>50</v>
      </c>
      <c r="J623" t="s">
        <v>348</v>
      </c>
      <c r="K623" t="s">
        <v>21</v>
      </c>
      <c r="M623" t="s">
        <v>1864</v>
      </c>
      <c r="N623" t="s">
        <v>353</v>
      </c>
      <c r="O623" t="s">
        <v>24</v>
      </c>
    </row>
    <row r="624" spans="1:15" x14ac:dyDescent="0.25">
      <c r="A624">
        <v>623</v>
      </c>
      <c r="B624" t="str">
        <f>HYPERLINK("https://digitalcommons.unl.edu/cgi/viewcontent.cgi?article=2080&amp;context=tractormuseumlit","Click for test report")</f>
        <v>Click for test report</v>
      </c>
      <c r="C624">
        <v>1955</v>
      </c>
      <c r="D624" t="s">
        <v>6287</v>
      </c>
      <c r="F624" t="s">
        <v>5876</v>
      </c>
      <c r="G624" t="s">
        <v>5734</v>
      </c>
      <c r="H624" t="s">
        <v>6288</v>
      </c>
      <c r="I624" t="s">
        <v>50</v>
      </c>
      <c r="J624" t="s">
        <v>348</v>
      </c>
      <c r="K624" t="s">
        <v>21</v>
      </c>
      <c r="M624" t="s">
        <v>2511</v>
      </c>
      <c r="N624" t="s">
        <v>2627</v>
      </c>
      <c r="O624" t="s">
        <v>24</v>
      </c>
    </row>
    <row r="625" spans="1:15" x14ac:dyDescent="0.25">
      <c r="A625">
        <v>624</v>
      </c>
      <c r="B625" t="str">
        <f>HYPERLINK("https://digitalcommons.unl.edu/cgi/viewcontent.cgi?article=2081&amp;context=tractormuseumlit","Click for test report")</f>
        <v>Click for test report</v>
      </c>
      <c r="C625">
        <v>1955</v>
      </c>
      <c r="D625" t="s">
        <v>6285</v>
      </c>
      <c r="F625" t="s">
        <v>5876</v>
      </c>
      <c r="G625" t="s">
        <v>5734</v>
      </c>
      <c r="H625" t="s">
        <v>6286</v>
      </c>
      <c r="I625" t="s">
        <v>50</v>
      </c>
      <c r="J625" t="s">
        <v>348</v>
      </c>
      <c r="K625" t="s">
        <v>4809</v>
      </c>
      <c r="M625" t="s">
        <v>1802</v>
      </c>
      <c r="N625" t="s">
        <v>3388</v>
      </c>
      <c r="O625" t="s">
        <v>24</v>
      </c>
    </row>
    <row r="626" spans="1:15" x14ac:dyDescent="0.25">
      <c r="A626">
        <v>625</v>
      </c>
      <c r="B626" t="str">
        <f>HYPERLINK("https://digitalcommons.unl.edu/cgi/viewcontent.cgi?article=2082&amp;context=tractormuseumlit","Click for test report")</f>
        <v>Click for test report</v>
      </c>
      <c r="C626">
        <v>1955</v>
      </c>
      <c r="D626" t="s">
        <v>5148</v>
      </c>
      <c r="F626" t="s">
        <v>4395</v>
      </c>
      <c r="G626" t="s">
        <v>3708</v>
      </c>
      <c r="H626" t="s">
        <v>5936</v>
      </c>
      <c r="I626" t="s">
        <v>50</v>
      </c>
      <c r="J626" t="s">
        <v>348</v>
      </c>
      <c r="K626" t="s">
        <v>4809</v>
      </c>
      <c r="M626" t="s">
        <v>4008</v>
      </c>
      <c r="N626" t="s">
        <v>4589</v>
      </c>
      <c r="O626" t="s">
        <v>24</v>
      </c>
    </row>
    <row r="627" spans="1:15" x14ac:dyDescent="0.25">
      <c r="A627">
        <v>626</v>
      </c>
      <c r="B627" t="str">
        <f>HYPERLINK("https://digitalcommons.unl.edu/cgi/viewcontent.cgi?article=2083&amp;context=tractormuseumlit","Click for test report")</f>
        <v>Click for test report</v>
      </c>
      <c r="C627">
        <v>1955</v>
      </c>
      <c r="D627" t="s">
        <v>6284</v>
      </c>
      <c r="F627" t="s">
        <v>4395</v>
      </c>
      <c r="G627" t="s">
        <v>3708</v>
      </c>
      <c r="H627" t="s">
        <v>6020</v>
      </c>
      <c r="I627" t="s">
        <v>50</v>
      </c>
      <c r="J627" t="s">
        <v>348</v>
      </c>
      <c r="K627" t="s">
        <v>4809</v>
      </c>
      <c r="M627" t="s">
        <v>3388</v>
      </c>
      <c r="N627" t="s">
        <v>4589</v>
      </c>
      <c r="O627" t="s">
        <v>24</v>
      </c>
    </row>
    <row r="628" spans="1:15" x14ac:dyDescent="0.25">
      <c r="A628">
        <v>627</v>
      </c>
      <c r="B628" t="str">
        <f>HYPERLINK("https://digitalcommons.unl.edu/cgi/viewcontent.cgi?article=2084&amp;context=tractormuseumlit","Click for test report")</f>
        <v>Click for test report</v>
      </c>
      <c r="C628">
        <v>1955</v>
      </c>
      <c r="D628" t="s">
        <v>6283</v>
      </c>
      <c r="F628" t="s">
        <v>4395</v>
      </c>
      <c r="G628" t="s">
        <v>3708</v>
      </c>
      <c r="H628" t="s">
        <v>5788</v>
      </c>
      <c r="I628" t="s">
        <v>50</v>
      </c>
      <c r="J628" t="s">
        <v>348</v>
      </c>
      <c r="K628" t="s">
        <v>4809</v>
      </c>
      <c r="M628" t="s">
        <v>2511</v>
      </c>
      <c r="N628" t="s">
        <v>2826</v>
      </c>
      <c r="O628" t="s">
        <v>24</v>
      </c>
    </row>
    <row r="629" spans="1:15" x14ac:dyDescent="0.25">
      <c r="A629">
        <v>628</v>
      </c>
      <c r="B629" t="str">
        <f>HYPERLINK("https://digitalcommons.unl.edu/cgi/viewcontent.cgi?article=1117&amp;context=tractormuseumlit","Click for test report")</f>
        <v>Click for test report</v>
      </c>
      <c r="C629">
        <v>1955</v>
      </c>
      <c r="D629" t="s">
        <v>6281</v>
      </c>
      <c r="F629" t="s">
        <v>4325</v>
      </c>
      <c r="G629" t="s">
        <v>4325</v>
      </c>
      <c r="H629" t="s">
        <v>6282</v>
      </c>
      <c r="I629" t="s">
        <v>50</v>
      </c>
      <c r="J629" t="s">
        <v>348</v>
      </c>
      <c r="K629" t="s">
        <v>21</v>
      </c>
      <c r="M629" t="s">
        <v>2090</v>
      </c>
      <c r="N629" t="s">
        <v>2826</v>
      </c>
      <c r="O629" t="s">
        <v>24</v>
      </c>
    </row>
    <row r="630" spans="1:15" x14ac:dyDescent="0.25">
      <c r="A630">
        <v>629</v>
      </c>
      <c r="B630" t="str">
        <f>HYPERLINK("https://digitalcommons.unl.edu/cgi/viewcontent.cgi?article=2085&amp;context=tractormuseumlit","Click for test report")</f>
        <v>Click for test report</v>
      </c>
      <c r="C630">
        <v>1955</v>
      </c>
      <c r="D630" t="s">
        <v>6280</v>
      </c>
      <c r="F630" t="s">
        <v>6225</v>
      </c>
      <c r="G630" t="s">
        <v>6233</v>
      </c>
      <c r="H630" t="s">
        <v>6075</v>
      </c>
      <c r="I630" t="s">
        <v>50</v>
      </c>
      <c r="J630" t="s">
        <v>348</v>
      </c>
      <c r="K630" t="s">
        <v>4809</v>
      </c>
      <c r="M630" t="s">
        <v>4745</v>
      </c>
      <c r="N630" t="s">
        <v>4440</v>
      </c>
      <c r="O630" t="s">
        <v>24</v>
      </c>
    </row>
    <row r="631" spans="1:15" x14ac:dyDescent="0.25">
      <c r="A631">
        <v>630</v>
      </c>
      <c r="B631" t="str">
        <f>HYPERLINK("https://digitalcommons.unl.edu/cgi/viewcontent.cgi?article=2085&amp;context=tractormuseumlit","Click for test report")</f>
        <v>Click for test report</v>
      </c>
      <c r="C631">
        <v>1955</v>
      </c>
      <c r="D631" t="s">
        <v>6280</v>
      </c>
      <c r="F631" t="s">
        <v>6225</v>
      </c>
      <c r="G631" t="s">
        <v>778</v>
      </c>
      <c r="H631" t="s">
        <v>5982</v>
      </c>
      <c r="I631" t="s">
        <v>50</v>
      </c>
      <c r="J631" t="s">
        <v>348</v>
      </c>
      <c r="K631" t="s">
        <v>4809</v>
      </c>
      <c r="M631" t="s">
        <v>4745</v>
      </c>
      <c r="N631" t="s">
        <v>4440</v>
      </c>
      <c r="O631" t="s">
        <v>24</v>
      </c>
    </row>
    <row r="632" spans="1:15" x14ac:dyDescent="0.25">
      <c r="A632">
        <v>631</v>
      </c>
      <c r="B632" t="str">
        <f>HYPERLINK("https://digitalcommons.unl.edu/cgi/viewcontent.cgi?article=2086&amp;context=tractormuseumlit","Click for test report")</f>
        <v>Click for test report</v>
      </c>
      <c r="C632">
        <v>1955</v>
      </c>
      <c r="D632" t="s">
        <v>6278</v>
      </c>
      <c r="F632" t="s">
        <v>3800</v>
      </c>
      <c r="G632" t="s">
        <v>4473</v>
      </c>
      <c r="H632" t="s">
        <v>6279</v>
      </c>
      <c r="I632" t="s">
        <v>50</v>
      </c>
      <c r="J632" t="s">
        <v>348</v>
      </c>
      <c r="K632" t="s">
        <v>21</v>
      </c>
      <c r="M632" t="s">
        <v>1650</v>
      </c>
      <c r="N632" t="s">
        <v>2090</v>
      </c>
      <c r="O632" t="s">
        <v>24</v>
      </c>
    </row>
    <row r="633" spans="1:15" x14ac:dyDescent="0.25">
      <c r="A633">
        <v>632</v>
      </c>
      <c r="B633" t="str">
        <f>HYPERLINK("https://digitalcommons.unl.edu/cgi/viewcontent.cgi?article=2087&amp;context=tractormuseumlit","Click for test report")</f>
        <v>Click for test report</v>
      </c>
      <c r="C633">
        <v>1955</v>
      </c>
      <c r="D633" t="s">
        <v>6276</v>
      </c>
      <c r="F633" t="s">
        <v>3800</v>
      </c>
      <c r="G633" t="s">
        <v>4473</v>
      </c>
      <c r="H633" t="s">
        <v>6277</v>
      </c>
      <c r="I633" t="s">
        <v>50</v>
      </c>
      <c r="J633" t="s">
        <v>348</v>
      </c>
      <c r="K633" t="s">
        <v>4809</v>
      </c>
      <c r="M633" t="s">
        <v>3123</v>
      </c>
      <c r="N633" t="s">
        <v>1009</v>
      </c>
      <c r="O633" t="s">
        <v>24</v>
      </c>
    </row>
    <row r="634" spans="1:15" x14ac:dyDescent="0.25">
      <c r="A634">
        <v>633</v>
      </c>
      <c r="B634" t="str">
        <f>HYPERLINK("https://digitalcommons.unl.edu/cgi/viewcontent.cgi?article=1098&amp;context=tractormuseumlit","Click for test report")</f>
        <v>Click for test report</v>
      </c>
      <c r="C634">
        <v>1955</v>
      </c>
      <c r="D634" t="s">
        <v>6275</v>
      </c>
      <c r="F634" t="s">
        <v>17</v>
      </c>
      <c r="G634" t="s">
        <v>17</v>
      </c>
      <c r="H634" t="s">
        <v>4112</v>
      </c>
      <c r="I634" t="s">
        <v>50</v>
      </c>
      <c r="J634" t="s">
        <v>348</v>
      </c>
      <c r="K634" t="s">
        <v>21</v>
      </c>
      <c r="M634" t="s">
        <v>1350</v>
      </c>
      <c r="N634" t="s">
        <v>1051</v>
      </c>
      <c r="O634" t="s">
        <v>24</v>
      </c>
    </row>
    <row r="635" spans="1:15" x14ac:dyDescent="0.25">
      <c r="A635">
        <v>634</v>
      </c>
      <c r="B635" t="str">
        <f>HYPERLINK("https://digitalcommons.unl.edu/cgi/viewcontent.cgi?article=2088&amp;context=tractormuseumlit","Click for test report")</f>
        <v>Click for test report</v>
      </c>
      <c r="C635">
        <v>1955</v>
      </c>
      <c r="D635" t="s">
        <v>6273</v>
      </c>
      <c r="F635" t="s">
        <v>5347</v>
      </c>
      <c r="G635" t="s">
        <v>5347</v>
      </c>
      <c r="H635" t="s">
        <v>6274</v>
      </c>
      <c r="I635" t="s">
        <v>50</v>
      </c>
      <c r="J635" t="s">
        <v>348</v>
      </c>
      <c r="K635" t="s">
        <v>21</v>
      </c>
      <c r="M635" t="s">
        <v>1864</v>
      </c>
      <c r="N635" t="s">
        <v>1970</v>
      </c>
      <c r="O635" t="s">
        <v>24</v>
      </c>
    </row>
    <row r="636" spans="1:15" x14ac:dyDescent="0.25">
      <c r="A636">
        <v>635</v>
      </c>
      <c r="B636" t="str">
        <f>HYPERLINK("https://digitalcommons.unl.edu/cgi/viewcontent.cgi?article=3300&amp;context=tractormuseumlit","Click for test report")</f>
        <v>Click for test report</v>
      </c>
      <c r="C636">
        <v>1955</v>
      </c>
      <c r="D636" t="s">
        <v>6272</v>
      </c>
      <c r="F636" t="s">
        <v>4395</v>
      </c>
      <c r="G636" t="s">
        <v>3708</v>
      </c>
      <c r="H636" t="s">
        <v>5660</v>
      </c>
      <c r="I636" t="s">
        <v>50</v>
      </c>
      <c r="J636" t="s">
        <v>348</v>
      </c>
      <c r="K636" t="s">
        <v>4809</v>
      </c>
      <c r="M636" t="s">
        <v>410</v>
      </c>
      <c r="N636" t="s">
        <v>1802</v>
      </c>
      <c r="O636" t="s">
        <v>24</v>
      </c>
    </row>
    <row r="637" spans="1:15" x14ac:dyDescent="0.25">
      <c r="A637">
        <v>636</v>
      </c>
      <c r="B637" t="str">
        <f>HYPERLINK("https://digitalcommons.unl.edu/cgi/viewcontent.cgi?article=2089&amp;context=tractormuseumlit","Click for test report")</f>
        <v>Click for test report</v>
      </c>
      <c r="C637">
        <v>1955</v>
      </c>
      <c r="D637" t="s">
        <v>3976</v>
      </c>
      <c r="F637" t="s">
        <v>4395</v>
      </c>
      <c r="G637" t="s">
        <v>3708</v>
      </c>
      <c r="H637" t="s">
        <v>5988</v>
      </c>
      <c r="I637" t="s">
        <v>50</v>
      </c>
      <c r="J637" t="s">
        <v>348</v>
      </c>
      <c r="K637" t="s">
        <v>4809</v>
      </c>
      <c r="M637" t="s">
        <v>4008</v>
      </c>
      <c r="N637" t="s">
        <v>4589</v>
      </c>
      <c r="O637" t="s">
        <v>24</v>
      </c>
    </row>
    <row r="638" spans="1:15" x14ac:dyDescent="0.25">
      <c r="A638">
        <v>637</v>
      </c>
      <c r="B638" t="str">
        <f>HYPERLINK("https://digitalcommons.unl.edu/cgi/viewcontent.cgi?article=1064&amp;context=tractormuseumlit","Click for test report")</f>
        <v>Click for test report</v>
      </c>
      <c r="C638">
        <v>1956</v>
      </c>
      <c r="D638" t="s">
        <v>6178</v>
      </c>
      <c r="F638" t="s">
        <v>17</v>
      </c>
      <c r="G638" t="s">
        <v>17</v>
      </c>
      <c r="H638" t="s">
        <v>6271</v>
      </c>
      <c r="I638" t="s">
        <v>50</v>
      </c>
      <c r="J638" t="s">
        <v>348</v>
      </c>
      <c r="K638" t="s">
        <v>4809</v>
      </c>
      <c r="M638" t="s">
        <v>4359</v>
      </c>
      <c r="N638" t="s">
        <v>4449</v>
      </c>
      <c r="O638" t="s">
        <v>6180</v>
      </c>
    </row>
    <row r="639" spans="1:15" x14ac:dyDescent="0.25">
      <c r="A639">
        <v>638</v>
      </c>
      <c r="B639" t="str">
        <f>HYPERLINK("https://digitalcommons.unl.edu/cgi/viewcontent.cgi?article=1156&amp;context=tractormuseumlit","Click for test report")</f>
        <v>Click for test report</v>
      </c>
      <c r="C639">
        <v>1956</v>
      </c>
      <c r="D639" t="s">
        <v>6270</v>
      </c>
      <c r="F639" t="s">
        <v>6226</v>
      </c>
      <c r="G639" t="s">
        <v>6226</v>
      </c>
      <c r="H639" t="s">
        <v>5024</v>
      </c>
      <c r="I639" t="s">
        <v>50</v>
      </c>
      <c r="J639" t="s">
        <v>348</v>
      </c>
      <c r="K639" t="s">
        <v>21</v>
      </c>
      <c r="M639" t="s">
        <v>731</v>
      </c>
      <c r="N639" t="s">
        <v>3319</v>
      </c>
      <c r="O639" t="s">
        <v>6269</v>
      </c>
    </row>
    <row r="640" spans="1:15" x14ac:dyDescent="0.25">
      <c r="A640">
        <v>639</v>
      </c>
      <c r="B640" t="str">
        <f>HYPERLINK("https://digitalcommons.unl.edu/cgi/viewcontent.cgi?article=1579&amp;context=tractormuseumlit","Click for test report")</f>
        <v>Click for test report</v>
      </c>
      <c r="C640">
        <v>1956</v>
      </c>
      <c r="D640" t="s">
        <v>6268</v>
      </c>
      <c r="F640" t="s">
        <v>6226</v>
      </c>
      <c r="G640" t="s">
        <v>6226</v>
      </c>
      <c r="H640" t="s">
        <v>5024</v>
      </c>
      <c r="I640" t="s">
        <v>50</v>
      </c>
      <c r="J640" t="s">
        <v>348</v>
      </c>
      <c r="K640" t="s">
        <v>4809</v>
      </c>
      <c r="M640" t="s">
        <v>747</v>
      </c>
      <c r="N640" t="s">
        <v>2029</v>
      </c>
      <c r="O640" t="s">
        <v>6269</v>
      </c>
    </row>
    <row r="641" spans="1:15" x14ac:dyDescent="0.25">
      <c r="A641">
        <v>640</v>
      </c>
      <c r="B641" t="str">
        <f>HYPERLINK("https://digitalcommons.unl.edu/cgi/viewcontent.cgi?article=2052&amp;context=tractormuseumlit","Click for test report")</f>
        <v>Click for test report</v>
      </c>
      <c r="C641">
        <v>1956</v>
      </c>
      <c r="D641" t="s">
        <v>6221</v>
      </c>
      <c r="F641" t="s">
        <v>4503</v>
      </c>
      <c r="G641" t="s">
        <v>6201</v>
      </c>
      <c r="H641" t="s">
        <v>5802</v>
      </c>
      <c r="I641" t="s">
        <v>50</v>
      </c>
      <c r="J641" t="s">
        <v>348</v>
      </c>
      <c r="K641" t="s">
        <v>21</v>
      </c>
      <c r="M641" t="s">
        <v>1350</v>
      </c>
      <c r="N641" t="s">
        <v>2029</v>
      </c>
      <c r="O641" t="s">
        <v>6267</v>
      </c>
    </row>
    <row r="642" spans="1:15" x14ac:dyDescent="0.25">
      <c r="A642">
        <v>641</v>
      </c>
      <c r="B642" t="str">
        <f>HYPERLINK("https://digitalcommons.unl.edu/cgi/viewcontent.cgi?article=2063&amp;context=tractormuseumlit","Click for test report")</f>
        <v>Click for test report</v>
      </c>
      <c r="C642">
        <v>1956</v>
      </c>
      <c r="D642" t="s">
        <v>6266</v>
      </c>
      <c r="F642" t="s">
        <v>4503</v>
      </c>
      <c r="G642" t="s">
        <v>4503</v>
      </c>
      <c r="H642" t="s">
        <v>6260</v>
      </c>
      <c r="I642" t="s">
        <v>1961</v>
      </c>
      <c r="J642" t="s">
        <v>348</v>
      </c>
      <c r="K642" t="s">
        <v>4809</v>
      </c>
      <c r="M642" t="s">
        <v>3319</v>
      </c>
      <c r="N642" t="s">
        <v>2511</v>
      </c>
      <c r="O642" t="s">
        <v>6265</v>
      </c>
    </row>
    <row r="643" spans="1:15" x14ac:dyDescent="0.25">
      <c r="A643">
        <v>642</v>
      </c>
      <c r="B643" t="str">
        <f>HYPERLINK("https://digitalcommons.unl.edu/cgi/viewcontent.cgi?article=2065&amp;context=tractormuseumlit","Click for test report")</f>
        <v>Click for test report</v>
      </c>
      <c r="C643">
        <v>1956</v>
      </c>
      <c r="D643" t="s">
        <v>6264</v>
      </c>
      <c r="F643" t="s">
        <v>4503</v>
      </c>
      <c r="G643" t="s">
        <v>4503</v>
      </c>
      <c r="H643" t="s">
        <v>6260</v>
      </c>
      <c r="I643" t="s">
        <v>1961</v>
      </c>
      <c r="J643" t="s">
        <v>348</v>
      </c>
      <c r="K643" t="s">
        <v>21</v>
      </c>
      <c r="M643" t="s">
        <v>410</v>
      </c>
      <c r="N643" t="s">
        <v>2090</v>
      </c>
      <c r="O643" t="s">
        <v>6265</v>
      </c>
    </row>
    <row r="644" spans="1:15" x14ac:dyDescent="0.25">
      <c r="A644">
        <v>643</v>
      </c>
      <c r="B644" t="str">
        <f>HYPERLINK("https://digitalcommons.unl.edu/cgi/viewcontent.cgi?article=2090&amp;context=tractormuseumlit","Click for test report")</f>
        <v>Click for test report</v>
      </c>
      <c r="C644">
        <v>1956</v>
      </c>
      <c r="D644" t="s">
        <v>6263</v>
      </c>
      <c r="F644" t="s">
        <v>4503</v>
      </c>
      <c r="G644" t="s">
        <v>6201</v>
      </c>
      <c r="H644" t="s">
        <v>1301</v>
      </c>
      <c r="I644" t="s">
        <v>1961</v>
      </c>
      <c r="J644" t="s">
        <v>348</v>
      </c>
      <c r="K644" t="s">
        <v>5598</v>
      </c>
      <c r="M644" t="s">
        <v>3319</v>
      </c>
      <c r="N644" t="s">
        <v>2188</v>
      </c>
      <c r="O644" t="s">
        <v>24</v>
      </c>
    </row>
    <row r="645" spans="1:15" x14ac:dyDescent="0.25">
      <c r="A645">
        <v>644</v>
      </c>
      <c r="B645" t="str">
        <f>HYPERLINK("https://digitalcommons.unl.edu/cgi/viewcontent.cgi?article=2091&amp;context=tractormuseumlit","Click for test report")</f>
        <v>Click for test report</v>
      </c>
      <c r="C645">
        <v>1956</v>
      </c>
      <c r="D645" t="s">
        <v>3975</v>
      </c>
      <c r="F645" t="s">
        <v>4503</v>
      </c>
      <c r="G645" t="s">
        <v>4503</v>
      </c>
      <c r="H645" t="s">
        <v>6262</v>
      </c>
      <c r="I645" t="s">
        <v>1961</v>
      </c>
      <c r="J645" t="s">
        <v>348</v>
      </c>
      <c r="K645" t="s">
        <v>5598</v>
      </c>
      <c r="M645" t="s">
        <v>735</v>
      </c>
      <c r="N645" t="s">
        <v>407</v>
      </c>
    </row>
    <row r="646" spans="1:15" x14ac:dyDescent="0.25">
      <c r="A646">
        <v>645</v>
      </c>
      <c r="B646" t="str">
        <f>HYPERLINK("https://digitalcommons.unl.edu/cgi/viewcontent.cgi?article=2091&amp;context=tractormuseumlit","Click for test report")</f>
        <v>Click for test report</v>
      </c>
      <c r="C646">
        <v>1956</v>
      </c>
      <c r="D646" t="s">
        <v>3975</v>
      </c>
      <c r="F646" t="s">
        <v>4503</v>
      </c>
      <c r="G646" t="s">
        <v>4503</v>
      </c>
      <c r="H646" t="s">
        <v>6260</v>
      </c>
      <c r="I646" t="s">
        <v>1961</v>
      </c>
      <c r="J646" t="s">
        <v>348</v>
      </c>
      <c r="K646" t="s">
        <v>5598</v>
      </c>
      <c r="M646" t="s">
        <v>735</v>
      </c>
      <c r="N646" t="s">
        <v>407</v>
      </c>
      <c r="O646" t="s">
        <v>6261</v>
      </c>
    </row>
    <row r="647" spans="1:15" x14ac:dyDescent="0.25">
      <c r="A647">
        <v>646</v>
      </c>
      <c r="B647" t="str">
        <f>HYPERLINK("https://digitalcommons.unl.edu/cgi/viewcontent.cgi?article=2092&amp;context=tractormuseumlit","Click for test report")</f>
        <v>Click for test report</v>
      </c>
      <c r="C647">
        <v>1956</v>
      </c>
      <c r="D647" t="s">
        <v>2578</v>
      </c>
      <c r="F647" t="s">
        <v>4503</v>
      </c>
      <c r="G647" t="s">
        <v>6201</v>
      </c>
      <c r="H647" t="s">
        <v>6259</v>
      </c>
      <c r="I647" t="s">
        <v>1961</v>
      </c>
      <c r="J647" t="s">
        <v>348</v>
      </c>
      <c r="K647" t="s">
        <v>5598</v>
      </c>
      <c r="M647" t="s">
        <v>1802</v>
      </c>
      <c r="N647" t="s">
        <v>2825</v>
      </c>
      <c r="O647" t="s">
        <v>24</v>
      </c>
    </row>
    <row r="648" spans="1:15" x14ac:dyDescent="0.25">
      <c r="A648">
        <v>647</v>
      </c>
      <c r="B648" t="str">
        <f>HYPERLINK("https://digitalcommons.unl.edu/cgi/viewcontent.cgi?article=2093&amp;context=tractormuseumlit","Click for test report")</f>
        <v>Click for test report</v>
      </c>
      <c r="C648">
        <v>1956</v>
      </c>
      <c r="D648" t="s">
        <v>5448</v>
      </c>
      <c r="F648" t="s">
        <v>4503</v>
      </c>
      <c r="G648" t="s">
        <v>4504</v>
      </c>
      <c r="H648" t="s">
        <v>6258</v>
      </c>
      <c r="I648" t="s">
        <v>1961</v>
      </c>
      <c r="J648" t="s">
        <v>348</v>
      </c>
      <c r="K648" t="s">
        <v>5598</v>
      </c>
      <c r="M648" t="s">
        <v>3152</v>
      </c>
      <c r="N648" t="s">
        <v>1802</v>
      </c>
      <c r="O648" t="s">
        <v>24</v>
      </c>
    </row>
    <row r="649" spans="1:15" x14ac:dyDescent="0.25">
      <c r="A649">
        <v>648</v>
      </c>
      <c r="B649" t="str">
        <f>HYPERLINK("https://digitalcommons.unl.edu/cgi/viewcontent.cgi?article=2094&amp;context=tractormuseumlit","Click for test report")</f>
        <v>Click for test report</v>
      </c>
      <c r="C649">
        <v>1956</v>
      </c>
      <c r="D649" t="s">
        <v>6255</v>
      </c>
      <c r="F649" t="s">
        <v>4503</v>
      </c>
      <c r="G649" t="s">
        <v>6201</v>
      </c>
      <c r="H649" t="s">
        <v>6256</v>
      </c>
      <c r="I649" t="s">
        <v>50</v>
      </c>
      <c r="J649" t="s">
        <v>348</v>
      </c>
      <c r="K649" t="s">
        <v>4809</v>
      </c>
      <c r="M649" t="s">
        <v>6257</v>
      </c>
      <c r="N649" t="s">
        <v>6061</v>
      </c>
      <c r="O649" t="s">
        <v>24</v>
      </c>
    </row>
    <row r="650" spans="1:15" x14ac:dyDescent="0.25">
      <c r="A650">
        <v>649</v>
      </c>
      <c r="B650" t="str">
        <f>HYPERLINK("https://digitalcommons.unl.edu/cgi/viewcontent.cgi?article=2095&amp;context=tractormuseumlit","Click for test report")</f>
        <v>Click for test report</v>
      </c>
      <c r="C650">
        <v>1956</v>
      </c>
      <c r="D650" t="s">
        <v>6254</v>
      </c>
      <c r="F650" t="s">
        <v>6225</v>
      </c>
      <c r="G650" t="s">
        <v>6226</v>
      </c>
      <c r="H650" t="s">
        <v>5629</v>
      </c>
      <c r="I650" t="s">
        <v>50</v>
      </c>
      <c r="J650" t="s">
        <v>348</v>
      </c>
      <c r="K650" t="s">
        <v>21</v>
      </c>
      <c r="M650" t="s">
        <v>2188</v>
      </c>
      <c r="N650" t="s">
        <v>1009</v>
      </c>
      <c r="O650" t="s">
        <v>24</v>
      </c>
    </row>
    <row r="651" spans="1:15" x14ac:dyDescent="0.25">
      <c r="A651">
        <v>650</v>
      </c>
      <c r="B651" t="str">
        <f>HYPERLINK("https://digitalcommons.unl.edu/cgi/viewcontent.cgi?article=2096&amp;context=tractormuseumlit","Click for test report")</f>
        <v>Click for test report</v>
      </c>
      <c r="C651">
        <v>1956</v>
      </c>
      <c r="D651" t="s">
        <v>6253</v>
      </c>
      <c r="F651" t="s">
        <v>6225</v>
      </c>
      <c r="G651" t="s">
        <v>6226</v>
      </c>
      <c r="H651" t="s">
        <v>6227</v>
      </c>
      <c r="I651" t="s">
        <v>50</v>
      </c>
      <c r="J651" t="s">
        <v>348</v>
      </c>
      <c r="K651" t="s">
        <v>21</v>
      </c>
      <c r="M651" t="s">
        <v>1893</v>
      </c>
      <c r="N651" t="s">
        <v>4745</v>
      </c>
      <c r="O651" t="s">
        <v>24</v>
      </c>
    </row>
    <row r="652" spans="1:15" x14ac:dyDescent="0.25">
      <c r="A652">
        <v>651</v>
      </c>
      <c r="B652" t="str">
        <f>HYPERLINK("https://digitalcommons.unl.edu/cgi/viewcontent.cgi?article=2097&amp;context=tractormuseumlit","Click for test report")</f>
        <v>Click for test report</v>
      </c>
      <c r="C652">
        <v>1956</v>
      </c>
      <c r="D652" t="s">
        <v>6251</v>
      </c>
      <c r="F652" t="s">
        <v>5347</v>
      </c>
      <c r="G652" t="s">
        <v>5347</v>
      </c>
      <c r="H652" t="s">
        <v>6252</v>
      </c>
      <c r="I652" t="s">
        <v>1961</v>
      </c>
      <c r="J652" t="s">
        <v>348</v>
      </c>
      <c r="K652" t="s">
        <v>4809</v>
      </c>
      <c r="M652" t="s">
        <v>2627</v>
      </c>
      <c r="N652" t="s">
        <v>1802</v>
      </c>
      <c r="O652" t="s">
        <v>24</v>
      </c>
    </row>
    <row r="653" spans="1:15" x14ac:dyDescent="0.25">
      <c r="A653">
        <v>652</v>
      </c>
      <c r="B653" t="str">
        <f>HYPERLINK("https://digitalcommons.unl.edu/cgi/viewcontent.cgi?article=2098&amp;context=tractormuseumlit","Click for test report")</f>
        <v>Click for test report</v>
      </c>
      <c r="C653">
        <v>1956</v>
      </c>
      <c r="D653" t="s">
        <v>6249</v>
      </c>
      <c r="F653" t="s">
        <v>5347</v>
      </c>
      <c r="G653" t="s">
        <v>5347</v>
      </c>
      <c r="H653" t="s">
        <v>6250</v>
      </c>
      <c r="I653" t="s">
        <v>1961</v>
      </c>
      <c r="J653" t="s">
        <v>348</v>
      </c>
      <c r="K653" t="s">
        <v>4809</v>
      </c>
      <c r="M653" t="s">
        <v>2627</v>
      </c>
      <c r="N653" t="s">
        <v>1802</v>
      </c>
      <c r="O653" t="s">
        <v>24</v>
      </c>
    </row>
    <row r="654" spans="1:15" x14ac:dyDescent="0.25">
      <c r="A654">
        <v>653</v>
      </c>
      <c r="B654" t="str">
        <f>HYPERLINK("https://digitalcommons.unl.edu/cgi/viewcontent.cgi?article=2099&amp;context=tractormuseumlit","Click for test report")</f>
        <v>Click for test report</v>
      </c>
      <c r="C654">
        <v>1956</v>
      </c>
      <c r="D654" t="s">
        <v>6247</v>
      </c>
      <c r="F654" t="s">
        <v>4325</v>
      </c>
      <c r="G654" t="s">
        <v>4325</v>
      </c>
      <c r="H654" t="s">
        <v>6248</v>
      </c>
      <c r="I654" t="s">
        <v>50</v>
      </c>
      <c r="J654" t="s">
        <v>96</v>
      </c>
      <c r="K654" t="s">
        <v>21</v>
      </c>
      <c r="M654" t="s">
        <v>1051</v>
      </c>
      <c r="N654" t="s">
        <v>1650</v>
      </c>
      <c r="O654" t="s">
        <v>24</v>
      </c>
    </row>
    <row r="655" spans="1:15" x14ac:dyDescent="0.25">
      <c r="A655">
        <v>654</v>
      </c>
      <c r="B655" t="str">
        <f>HYPERLINK("https://digitalcommons.unl.edu/cgi/viewcontent.cgi?article=2100&amp;context=tractormuseumlit","Click for test report")</f>
        <v>Click for test report</v>
      </c>
      <c r="C655">
        <v>1956</v>
      </c>
      <c r="D655" t="s">
        <v>6245</v>
      </c>
      <c r="F655" t="s">
        <v>4325</v>
      </c>
      <c r="G655" t="s">
        <v>4325</v>
      </c>
      <c r="H655" t="s">
        <v>6246</v>
      </c>
      <c r="I655" t="s">
        <v>50</v>
      </c>
      <c r="J655" t="s">
        <v>96</v>
      </c>
      <c r="K655" t="s">
        <v>21</v>
      </c>
      <c r="M655" t="s">
        <v>713</v>
      </c>
      <c r="N655" t="s">
        <v>743</v>
      </c>
      <c r="O655" t="s">
        <v>24</v>
      </c>
    </row>
    <row r="656" spans="1:15" x14ac:dyDescent="0.25">
      <c r="A656">
        <v>655</v>
      </c>
      <c r="B656" t="str">
        <f>HYPERLINK("https://digitalcommons.unl.edu/cgi/viewcontent.cgi?article=2101&amp;context=tractormuseumlit","Click for test report")</f>
        <v>Click for test report</v>
      </c>
      <c r="C656">
        <v>1956</v>
      </c>
      <c r="D656" t="s">
        <v>6244</v>
      </c>
      <c r="F656" t="s">
        <v>3442</v>
      </c>
      <c r="G656" t="s">
        <v>3442</v>
      </c>
      <c r="H656" t="s">
        <v>6039</v>
      </c>
      <c r="I656" t="s">
        <v>50</v>
      </c>
      <c r="J656" t="s">
        <v>96</v>
      </c>
      <c r="K656" t="s">
        <v>21</v>
      </c>
      <c r="M656" t="s">
        <v>794</v>
      </c>
      <c r="N656" t="s">
        <v>571</v>
      </c>
      <c r="O656" t="s">
        <v>24</v>
      </c>
    </row>
    <row r="657" spans="1:15" x14ac:dyDescent="0.25">
      <c r="A657">
        <v>656</v>
      </c>
      <c r="B657" t="str">
        <f>HYPERLINK("https://digitalcommons.unl.edu/cgi/viewcontent.cgi?article=2102&amp;context=tractormuseumlit","Click for test report")</f>
        <v>Click for test report</v>
      </c>
      <c r="C657">
        <v>1956</v>
      </c>
      <c r="D657" t="s">
        <v>2575</v>
      </c>
      <c r="F657" t="s">
        <v>3442</v>
      </c>
      <c r="G657" t="s">
        <v>3442</v>
      </c>
      <c r="H657" t="s">
        <v>6037</v>
      </c>
      <c r="I657" t="s">
        <v>50</v>
      </c>
      <c r="J657" t="s">
        <v>96</v>
      </c>
      <c r="K657" t="s">
        <v>21</v>
      </c>
      <c r="N657" t="s">
        <v>402</v>
      </c>
      <c r="O657" t="s">
        <v>2163</v>
      </c>
    </row>
    <row r="658" spans="1:15" x14ac:dyDescent="0.25">
      <c r="A658">
        <v>657</v>
      </c>
      <c r="B658" t="str">
        <f>HYPERLINK("https://digitalcommons.unl.edu/cgi/viewcontent.cgi?article=2103&amp;context=tractormuseumlit","Click for test report")</f>
        <v>Click for test report</v>
      </c>
      <c r="C658">
        <v>1956</v>
      </c>
      <c r="D658" t="s">
        <v>5052</v>
      </c>
      <c r="F658" t="s">
        <v>3442</v>
      </c>
      <c r="G658" t="s">
        <v>3442</v>
      </c>
      <c r="H658" t="s">
        <v>6243</v>
      </c>
      <c r="I658" t="s">
        <v>50</v>
      </c>
      <c r="J658" t="s">
        <v>96</v>
      </c>
      <c r="K658" t="s">
        <v>21</v>
      </c>
      <c r="N658" t="s">
        <v>605</v>
      </c>
      <c r="O658" t="s">
        <v>2163</v>
      </c>
    </row>
    <row r="659" spans="1:15" x14ac:dyDescent="0.25">
      <c r="A659">
        <v>658</v>
      </c>
      <c r="B659" t="str">
        <f>HYPERLINK("https://digitalcommons.unl.edu/cgi/viewcontent.cgi?article=2104&amp;context=tractormuseumlit","Click for test report")</f>
        <v>Click for test report</v>
      </c>
      <c r="C659">
        <v>1956</v>
      </c>
      <c r="D659" t="s">
        <v>4492</v>
      </c>
      <c r="F659" t="s">
        <v>4503</v>
      </c>
      <c r="G659" t="s">
        <v>4503</v>
      </c>
      <c r="H659" t="s">
        <v>6242</v>
      </c>
      <c r="I659" t="s">
        <v>50</v>
      </c>
      <c r="J659" t="s">
        <v>96</v>
      </c>
      <c r="K659" t="s">
        <v>21</v>
      </c>
      <c r="M659" t="s">
        <v>457</v>
      </c>
      <c r="N659" t="s">
        <v>740</v>
      </c>
      <c r="O659" t="s">
        <v>24</v>
      </c>
    </row>
    <row r="660" spans="1:15" x14ac:dyDescent="0.25">
      <c r="A660">
        <v>659</v>
      </c>
      <c r="B660" t="str">
        <f>HYPERLINK("https://digitalcommons.unl.edu/cgi/viewcontent.cgi?article=2105&amp;context=tractormuseumlit","Click for test report")</f>
        <v>Click for test report</v>
      </c>
      <c r="C660">
        <v>1956</v>
      </c>
      <c r="D660" t="s">
        <v>6241</v>
      </c>
      <c r="F660" t="s">
        <v>4503</v>
      </c>
      <c r="G660" t="s">
        <v>4503</v>
      </c>
      <c r="H660" t="s">
        <v>5968</v>
      </c>
      <c r="I660" t="s">
        <v>50</v>
      </c>
      <c r="J660" t="s">
        <v>96</v>
      </c>
      <c r="K660" t="s">
        <v>21</v>
      </c>
      <c r="M660" t="s">
        <v>1864</v>
      </c>
      <c r="N660" t="s">
        <v>3319</v>
      </c>
      <c r="O660" t="s">
        <v>24</v>
      </c>
    </row>
    <row r="661" spans="1:15" x14ac:dyDescent="0.25">
      <c r="A661">
        <v>660</v>
      </c>
      <c r="B661" t="str">
        <f>HYPERLINK("https://digitalcommons.unl.edu/cgi/viewcontent.cgi?article=2106&amp;context=tractormuseumlit","Click for test report")</f>
        <v>Click for test report</v>
      </c>
      <c r="C661">
        <v>1956</v>
      </c>
      <c r="D661" t="s">
        <v>6239</v>
      </c>
      <c r="F661" t="s">
        <v>4503</v>
      </c>
      <c r="G661" t="s">
        <v>4503</v>
      </c>
      <c r="H661" t="s">
        <v>6240</v>
      </c>
      <c r="I661" t="s">
        <v>50</v>
      </c>
      <c r="J661" t="s">
        <v>96</v>
      </c>
      <c r="K661" t="s">
        <v>21</v>
      </c>
      <c r="M661" t="s">
        <v>2188</v>
      </c>
      <c r="N661" t="s">
        <v>2826</v>
      </c>
      <c r="O661" t="s">
        <v>24</v>
      </c>
    </row>
    <row r="662" spans="1:15" x14ac:dyDescent="0.25">
      <c r="A662">
        <v>661</v>
      </c>
      <c r="B662" t="str">
        <f>HYPERLINK("https://digitalcommons.unl.edu/cgi/viewcontent.cgi?article=2107&amp;context=tractormuseumlit","Click for test report")</f>
        <v>Click for test report</v>
      </c>
      <c r="C662">
        <v>1956</v>
      </c>
      <c r="D662" t="s">
        <v>6238</v>
      </c>
      <c r="F662" t="s">
        <v>4503</v>
      </c>
      <c r="G662" t="s">
        <v>4503</v>
      </c>
      <c r="H662" t="s">
        <v>6189</v>
      </c>
      <c r="I662" t="s">
        <v>50</v>
      </c>
      <c r="J662" t="s">
        <v>96</v>
      </c>
      <c r="K662" t="s">
        <v>21</v>
      </c>
      <c r="M662" t="s">
        <v>794</v>
      </c>
      <c r="N662" t="s">
        <v>46</v>
      </c>
      <c r="O662" t="s">
        <v>24</v>
      </c>
    </row>
    <row r="663" spans="1:15" x14ac:dyDescent="0.25">
      <c r="A663">
        <v>662</v>
      </c>
      <c r="B663" t="str">
        <f>HYPERLINK("https://digitalcommons.unl.edu/cgi/viewcontent.cgi?article=2108&amp;context=tractormuseumlit","Click for test report")</f>
        <v>Click for test report</v>
      </c>
      <c r="C663">
        <v>1956</v>
      </c>
      <c r="D663" t="s">
        <v>6236</v>
      </c>
      <c r="F663" t="s">
        <v>4503</v>
      </c>
      <c r="G663" t="s">
        <v>4503</v>
      </c>
      <c r="H663" t="s">
        <v>6237</v>
      </c>
      <c r="I663" t="s">
        <v>50</v>
      </c>
      <c r="J663" t="s">
        <v>96</v>
      </c>
      <c r="K663" t="s">
        <v>4809</v>
      </c>
      <c r="M663" t="s">
        <v>2188</v>
      </c>
      <c r="N663" t="s">
        <v>2826</v>
      </c>
      <c r="O663" t="s">
        <v>24</v>
      </c>
    </row>
    <row r="664" spans="1:15" x14ac:dyDescent="0.25">
      <c r="A664">
        <v>663</v>
      </c>
      <c r="B664" t="str">
        <f>HYPERLINK("https://digitalcommons.unl.edu/cgi/viewcontent.cgi?article=1080&amp;context=tractormuseumlit","Click for test report")</f>
        <v>Click for test report</v>
      </c>
      <c r="C664">
        <v>1956</v>
      </c>
      <c r="D664" t="s">
        <v>6177</v>
      </c>
      <c r="F664" t="s">
        <v>17</v>
      </c>
      <c r="G664" t="s">
        <v>17</v>
      </c>
      <c r="H664" t="s">
        <v>6232</v>
      </c>
      <c r="I664" t="s">
        <v>50</v>
      </c>
      <c r="J664" t="s">
        <v>348</v>
      </c>
      <c r="K664" t="s">
        <v>5598</v>
      </c>
      <c r="M664" t="s">
        <v>1893</v>
      </c>
      <c r="N664" t="s">
        <v>4745</v>
      </c>
      <c r="O664" t="s">
        <v>24</v>
      </c>
    </row>
    <row r="665" spans="1:15" x14ac:dyDescent="0.25">
      <c r="A665">
        <v>664</v>
      </c>
      <c r="B665" t="str">
        <f>HYPERLINK("https://digitalcommons.unl.edu/cgi/viewcontent.cgi?article=1099&amp;context=tractormuseumlit","Click for test report")</f>
        <v>Click for test report</v>
      </c>
      <c r="C665">
        <v>1956</v>
      </c>
      <c r="D665" t="s">
        <v>6176</v>
      </c>
      <c r="F665" t="s">
        <v>17</v>
      </c>
      <c r="G665" t="s">
        <v>17</v>
      </c>
      <c r="H665" t="s">
        <v>6203</v>
      </c>
      <c r="I665" t="s">
        <v>50</v>
      </c>
      <c r="J665" t="s">
        <v>348</v>
      </c>
      <c r="K665" t="s">
        <v>5598</v>
      </c>
      <c r="M665" t="s">
        <v>1650</v>
      </c>
      <c r="N665" t="s">
        <v>1009</v>
      </c>
      <c r="O665" t="s">
        <v>24</v>
      </c>
    </row>
    <row r="666" spans="1:15" x14ac:dyDescent="0.25">
      <c r="A666">
        <v>665</v>
      </c>
      <c r="B666" t="str">
        <f>HYPERLINK("https://digitalcommons.unl.edu/cgi/viewcontent.cgi?article=1100&amp;context=tractormuseumlit","Click for test report")</f>
        <v>Click for test report</v>
      </c>
      <c r="C666">
        <v>1956</v>
      </c>
      <c r="D666" t="s">
        <v>6235</v>
      </c>
      <c r="F666" t="s">
        <v>17</v>
      </c>
      <c r="G666" t="s">
        <v>17</v>
      </c>
      <c r="H666" t="s">
        <v>6232</v>
      </c>
      <c r="I666" t="s">
        <v>50</v>
      </c>
      <c r="J666" t="s">
        <v>348</v>
      </c>
      <c r="K666" t="s">
        <v>6166</v>
      </c>
      <c r="M666" t="s">
        <v>4590</v>
      </c>
      <c r="N666" t="s">
        <v>4358</v>
      </c>
      <c r="O666" t="s">
        <v>24</v>
      </c>
    </row>
    <row r="667" spans="1:15" x14ac:dyDescent="0.25">
      <c r="A667">
        <v>666</v>
      </c>
      <c r="B667" t="str">
        <f>HYPERLINK("https://digitalcommons.unl.edu/cgi/viewcontent.cgi?article=1082&amp;context=tractormuseumlit","Click for test report")</f>
        <v>Click for test report</v>
      </c>
      <c r="C667">
        <v>1956</v>
      </c>
      <c r="D667" t="s">
        <v>2584</v>
      </c>
      <c r="F667" t="s">
        <v>17</v>
      </c>
      <c r="G667" t="s">
        <v>17</v>
      </c>
      <c r="H667" t="s">
        <v>6022</v>
      </c>
      <c r="I667" t="s">
        <v>50</v>
      </c>
      <c r="J667" t="s">
        <v>348</v>
      </c>
      <c r="K667" t="s">
        <v>5598</v>
      </c>
      <c r="M667" t="s">
        <v>2029</v>
      </c>
      <c r="N667" t="s">
        <v>3319</v>
      </c>
      <c r="O667" t="s">
        <v>24</v>
      </c>
    </row>
    <row r="668" spans="1:15" x14ac:dyDescent="0.25">
      <c r="A668">
        <v>667</v>
      </c>
      <c r="B668" t="str">
        <f>HYPERLINK("https://digitalcommons.unl.edu/cgi/viewcontent.cgi?article=1083&amp;context=tractormuseumlit","Click for test report")</f>
        <v>Click for test report</v>
      </c>
      <c r="C668">
        <v>1956</v>
      </c>
      <c r="D668" t="s">
        <v>6175</v>
      </c>
      <c r="F668" t="s">
        <v>17</v>
      </c>
      <c r="G668" t="s">
        <v>17</v>
      </c>
      <c r="H668" t="s">
        <v>6022</v>
      </c>
      <c r="I668" t="s">
        <v>50</v>
      </c>
      <c r="J668" t="s">
        <v>348</v>
      </c>
      <c r="K668" t="s">
        <v>21</v>
      </c>
      <c r="M668" t="s">
        <v>404</v>
      </c>
      <c r="N668" t="s">
        <v>750</v>
      </c>
      <c r="O668" t="s">
        <v>24</v>
      </c>
    </row>
    <row r="669" spans="1:15" x14ac:dyDescent="0.25">
      <c r="A669">
        <v>668</v>
      </c>
      <c r="B669" t="str">
        <f>HYPERLINK("https://digitalcommons.unl.edu/cgi/viewcontent.cgi?article=2109&amp;context=tractormuseumlit","Click for test report")</f>
        <v>Click for test report</v>
      </c>
      <c r="C669">
        <v>1956</v>
      </c>
      <c r="D669" t="s">
        <v>4090</v>
      </c>
      <c r="F669" t="s">
        <v>6225</v>
      </c>
      <c r="G669" t="s">
        <v>6226</v>
      </c>
      <c r="H669" t="s">
        <v>5880</v>
      </c>
      <c r="I669" t="s">
        <v>50</v>
      </c>
      <c r="J669" t="s">
        <v>348</v>
      </c>
      <c r="K669" t="s">
        <v>4809</v>
      </c>
      <c r="M669" t="s">
        <v>4012</v>
      </c>
      <c r="N669" t="s">
        <v>4440</v>
      </c>
      <c r="O669" t="s">
        <v>24</v>
      </c>
    </row>
    <row r="670" spans="1:15" x14ac:dyDescent="0.25">
      <c r="A670">
        <v>669</v>
      </c>
      <c r="B670" t="str">
        <f>HYPERLINK("https://digitalcommons.unl.edu/cgi/viewcontent.cgi?article=2110&amp;context=tractormuseumlit","Click for test report")</f>
        <v>Click for test report</v>
      </c>
      <c r="C670">
        <v>1956</v>
      </c>
      <c r="D670" t="s">
        <v>2581</v>
      </c>
      <c r="F670" t="s">
        <v>6225</v>
      </c>
      <c r="G670" t="s">
        <v>6233</v>
      </c>
      <c r="H670" t="s">
        <v>6234</v>
      </c>
      <c r="I670" t="s">
        <v>50</v>
      </c>
      <c r="J670" t="s">
        <v>348</v>
      </c>
      <c r="K670" t="s">
        <v>4809</v>
      </c>
      <c r="M670" t="s">
        <v>4012</v>
      </c>
      <c r="N670" t="s">
        <v>4440</v>
      </c>
      <c r="O670" t="s">
        <v>24</v>
      </c>
    </row>
    <row r="671" spans="1:15" x14ac:dyDescent="0.25">
      <c r="A671">
        <v>670</v>
      </c>
      <c r="B671" t="str">
        <f>HYPERLINK("https://digitalcommons.unl.edu/cgi/viewcontent.cgi?article=2110&amp;context=tractormuseumlit","Click for test report")</f>
        <v>Click for test report</v>
      </c>
      <c r="C671">
        <v>1956</v>
      </c>
      <c r="D671" t="s">
        <v>2581</v>
      </c>
      <c r="F671" t="s">
        <v>6225</v>
      </c>
      <c r="G671" t="s">
        <v>778</v>
      </c>
      <c r="H671" t="s">
        <v>5880</v>
      </c>
      <c r="I671" t="s">
        <v>50</v>
      </c>
      <c r="J671" t="s">
        <v>348</v>
      </c>
      <c r="K671" t="s">
        <v>4809</v>
      </c>
      <c r="M671" t="s">
        <v>4012</v>
      </c>
      <c r="N671" t="s">
        <v>4440</v>
      </c>
      <c r="O671" t="s">
        <v>24</v>
      </c>
    </row>
    <row r="672" spans="1:15" x14ac:dyDescent="0.25">
      <c r="A672">
        <v>671</v>
      </c>
      <c r="B672" t="str">
        <f>HYPERLINK("https://digitalcommons.unl.edu/cgi/viewcontent.cgi?article=1101&amp;context=tractormuseumlit","Click for test report")</f>
        <v>Click for test report</v>
      </c>
      <c r="C672">
        <v>1956</v>
      </c>
      <c r="D672" t="s">
        <v>6173</v>
      </c>
      <c r="F672" t="s">
        <v>17</v>
      </c>
      <c r="G672" t="s">
        <v>17</v>
      </c>
      <c r="H672" t="s">
        <v>6232</v>
      </c>
      <c r="I672" t="s">
        <v>50</v>
      </c>
      <c r="J672" t="s">
        <v>348</v>
      </c>
      <c r="K672" t="s">
        <v>4809</v>
      </c>
      <c r="M672" t="s">
        <v>1893</v>
      </c>
      <c r="N672" t="s">
        <v>4745</v>
      </c>
      <c r="O672" t="s">
        <v>24</v>
      </c>
    </row>
    <row r="673" spans="1:15" x14ac:dyDescent="0.25">
      <c r="A673">
        <v>672</v>
      </c>
      <c r="B673" t="str">
        <f>HYPERLINK("https://digitalcommons.unl.edu/cgi/viewcontent.cgi?article=1084&amp;context=tractormuseumlit","Click for test report")</f>
        <v>Click for test report</v>
      </c>
      <c r="C673">
        <v>1956</v>
      </c>
      <c r="D673" t="s">
        <v>6171</v>
      </c>
      <c r="F673" t="s">
        <v>17</v>
      </c>
      <c r="G673" t="s">
        <v>17</v>
      </c>
      <c r="H673" t="s">
        <v>6203</v>
      </c>
      <c r="I673" t="s">
        <v>50</v>
      </c>
      <c r="J673" t="s">
        <v>348</v>
      </c>
      <c r="K673" t="s">
        <v>4809</v>
      </c>
      <c r="M673" t="s">
        <v>410</v>
      </c>
      <c r="N673" t="s">
        <v>3152</v>
      </c>
      <c r="O673" t="s">
        <v>24</v>
      </c>
    </row>
    <row r="674" spans="1:15" x14ac:dyDescent="0.25">
      <c r="A674">
        <v>673</v>
      </c>
      <c r="B674" t="str">
        <f>HYPERLINK("https://digitalcommons.unl.edu/cgi/viewcontent.cgi?article=1086&amp;context=tractormuseumlit","Click for test report")</f>
        <v>Click for test report</v>
      </c>
      <c r="C674">
        <v>1956</v>
      </c>
      <c r="D674" t="s">
        <v>6168</v>
      </c>
      <c r="F674" t="s">
        <v>17</v>
      </c>
      <c r="G674" t="s">
        <v>17</v>
      </c>
      <c r="H674" t="s">
        <v>6231</v>
      </c>
      <c r="I674" t="s">
        <v>50</v>
      </c>
      <c r="J674" t="s">
        <v>348</v>
      </c>
      <c r="K674" t="s">
        <v>4809</v>
      </c>
      <c r="M674" t="s">
        <v>4589</v>
      </c>
      <c r="N674" t="s">
        <v>4013</v>
      </c>
      <c r="O674" t="s">
        <v>24</v>
      </c>
    </row>
    <row r="675" spans="1:15" x14ac:dyDescent="0.25">
      <c r="A675">
        <v>674</v>
      </c>
      <c r="B675" t="str">
        <f>HYPERLINK("https://digitalcommons.unl.edu/cgi/viewcontent.cgi?article=1102&amp;context=tractormuseumlit","Click for test report")</f>
        <v>Click for test report</v>
      </c>
      <c r="C675">
        <v>1956</v>
      </c>
      <c r="D675" t="s">
        <v>5802</v>
      </c>
      <c r="F675" t="s">
        <v>17</v>
      </c>
      <c r="G675" t="s">
        <v>17</v>
      </c>
      <c r="H675" t="s">
        <v>6230</v>
      </c>
      <c r="I675" t="s">
        <v>50</v>
      </c>
      <c r="J675" t="s">
        <v>348</v>
      </c>
      <c r="K675" t="s">
        <v>6166</v>
      </c>
      <c r="M675" t="s">
        <v>4444</v>
      </c>
      <c r="N675" t="s">
        <v>4362</v>
      </c>
      <c r="O675" t="s">
        <v>24</v>
      </c>
    </row>
    <row r="676" spans="1:15" x14ac:dyDescent="0.25">
      <c r="A676">
        <v>675</v>
      </c>
      <c r="B676" t="str">
        <f>HYPERLINK("https://digitalcommons.unl.edu/cgi/viewcontent.cgi?article=1087&amp;context=tractormuseumlit","Click for test report")</f>
        <v>Click for test report</v>
      </c>
      <c r="C676">
        <v>1956</v>
      </c>
      <c r="D676" t="s">
        <v>6162</v>
      </c>
      <c r="F676" t="s">
        <v>17</v>
      </c>
      <c r="G676" t="s">
        <v>17</v>
      </c>
      <c r="H676" t="s">
        <v>6229</v>
      </c>
      <c r="I676" t="s">
        <v>50</v>
      </c>
      <c r="J676" t="s">
        <v>96</v>
      </c>
      <c r="K676" t="s">
        <v>4809</v>
      </c>
      <c r="M676" t="s">
        <v>4589</v>
      </c>
      <c r="N676" t="s">
        <v>4358</v>
      </c>
      <c r="O676" t="s">
        <v>24</v>
      </c>
    </row>
    <row r="677" spans="1:15" x14ac:dyDescent="0.25">
      <c r="A677">
        <v>676</v>
      </c>
      <c r="B677" t="str">
        <f>HYPERLINK("https://digitalcommons.unl.edu/cgi/viewcontent.cgi?article=2111&amp;context=tractormuseumlit","Click for test report")</f>
        <v>Click for test report</v>
      </c>
      <c r="C677">
        <v>1956</v>
      </c>
      <c r="D677" t="s">
        <v>6228</v>
      </c>
      <c r="F677" t="s">
        <v>6225</v>
      </c>
      <c r="G677" t="s">
        <v>6226</v>
      </c>
      <c r="H677" t="s">
        <v>5629</v>
      </c>
      <c r="I677" t="s">
        <v>50</v>
      </c>
      <c r="J677" t="s">
        <v>348</v>
      </c>
      <c r="K677" t="s">
        <v>5598</v>
      </c>
      <c r="M677" t="s">
        <v>1650</v>
      </c>
      <c r="N677" t="s">
        <v>2511</v>
      </c>
      <c r="O677" t="s">
        <v>24</v>
      </c>
    </row>
    <row r="678" spans="1:15" x14ac:dyDescent="0.25">
      <c r="A678">
        <v>677</v>
      </c>
      <c r="B678" t="str">
        <f>HYPERLINK("https://digitalcommons.unl.edu/cgi/viewcontent.cgi?article=2112&amp;context=tractormuseumlit","Click for test report")</f>
        <v>Click for test report</v>
      </c>
      <c r="C678">
        <v>1956</v>
      </c>
      <c r="D678" t="s">
        <v>6224</v>
      </c>
      <c r="F678" t="s">
        <v>6225</v>
      </c>
      <c r="G678" t="s">
        <v>6226</v>
      </c>
      <c r="H678" t="s">
        <v>6227</v>
      </c>
      <c r="I678" t="s">
        <v>50</v>
      </c>
      <c r="J678" t="s">
        <v>348</v>
      </c>
      <c r="K678" t="s">
        <v>4809</v>
      </c>
      <c r="M678" t="s">
        <v>2627</v>
      </c>
      <c r="N678" t="s">
        <v>1893</v>
      </c>
      <c r="O678" t="s">
        <v>24</v>
      </c>
    </row>
    <row r="679" spans="1:15" x14ac:dyDescent="0.25">
      <c r="A679">
        <v>678</v>
      </c>
      <c r="B679" t="str">
        <f>HYPERLINK("https://digitalcommons.unl.edu/cgi/viewcontent.cgi?article=1088&amp;context=tractormuseumlit","Click for test report")</f>
        <v>Click for test report</v>
      </c>
      <c r="C679">
        <v>1956</v>
      </c>
      <c r="D679" t="s">
        <v>6223</v>
      </c>
      <c r="F679" t="s">
        <v>17</v>
      </c>
      <c r="G679" t="s">
        <v>17</v>
      </c>
      <c r="H679" t="s">
        <v>6203</v>
      </c>
      <c r="I679" t="s">
        <v>50</v>
      </c>
      <c r="J679" t="s">
        <v>348</v>
      </c>
      <c r="K679" t="s">
        <v>6166</v>
      </c>
      <c r="M679" t="s">
        <v>3388</v>
      </c>
      <c r="N679" t="s">
        <v>4012</v>
      </c>
      <c r="O679" t="s">
        <v>24</v>
      </c>
    </row>
    <row r="680" spans="1:15" x14ac:dyDescent="0.25">
      <c r="A680">
        <v>679</v>
      </c>
      <c r="B680" t="str">
        <f>HYPERLINK("https://digitalcommons.unl.edu/cgi/viewcontent.cgi?article=1089&amp;context=tractormuseumlit","Click for test report")</f>
        <v>Click for test report</v>
      </c>
      <c r="C680">
        <v>1956</v>
      </c>
      <c r="D680" t="s">
        <v>6160</v>
      </c>
      <c r="F680" t="s">
        <v>17</v>
      </c>
      <c r="G680" t="s">
        <v>17</v>
      </c>
      <c r="H680" t="s">
        <v>6022</v>
      </c>
      <c r="I680" t="s">
        <v>50</v>
      </c>
      <c r="J680" t="s">
        <v>348</v>
      </c>
      <c r="K680" t="s">
        <v>4809</v>
      </c>
      <c r="M680" t="s">
        <v>2029</v>
      </c>
      <c r="N680" t="s">
        <v>3123</v>
      </c>
      <c r="O680" t="s">
        <v>24</v>
      </c>
    </row>
    <row r="681" spans="1:15" x14ac:dyDescent="0.25">
      <c r="A681">
        <v>680</v>
      </c>
      <c r="B681" t="str">
        <f>HYPERLINK("https://digitalcommons.unl.edu/cgi/viewcontent.cgi?article=1090&amp;context=tractormuseumlit","Click for test report")</f>
        <v>Click for test report</v>
      </c>
      <c r="C681">
        <v>1956</v>
      </c>
      <c r="D681" t="s">
        <v>5843</v>
      </c>
      <c r="F681" t="s">
        <v>17</v>
      </c>
      <c r="G681" t="s">
        <v>17</v>
      </c>
      <c r="H681" t="s">
        <v>6022</v>
      </c>
      <c r="I681" t="s">
        <v>50</v>
      </c>
      <c r="J681" t="s">
        <v>348</v>
      </c>
      <c r="K681" t="s">
        <v>6166</v>
      </c>
      <c r="M681" t="s">
        <v>1009</v>
      </c>
      <c r="N681" t="s">
        <v>2699</v>
      </c>
      <c r="O681" t="s">
        <v>24</v>
      </c>
    </row>
    <row r="682" spans="1:15" x14ac:dyDescent="0.25">
      <c r="A682">
        <v>681</v>
      </c>
      <c r="B682" t="str">
        <f>HYPERLINK("https://digitalcommons.unl.edu/cgi/viewcontent.cgi?article=2052&amp;context=tractormuseumlit","Click for test report")</f>
        <v>Click for test report</v>
      </c>
      <c r="C682">
        <v>1957</v>
      </c>
      <c r="D682" t="s">
        <v>6221</v>
      </c>
      <c r="F682" t="s">
        <v>4503</v>
      </c>
      <c r="G682" t="s">
        <v>4504</v>
      </c>
      <c r="H682" t="s">
        <v>6135</v>
      </c>
      <c r="I682" t="s">
        <v>50</v>
      </c>
      <c r="J682" t="s">
        <v>348</v>
      </c>
      <c r="K682" t="s">
        <v>21</v>
      </c>
      <c r="M682" t="s">
        <v>1350</v>
      </c>
      <c r="N682" t="s">
        <v>2029</v>
      </c>
      <c r="O682" t="s">
        <v>6222</v>
      </c>
    </row>
    <row r="683" spans="1:15" x14ac:dyDescent="0.25">
      <c r="A683">
        <v>682</v>
      </c>
      <c r="B683" t="str">
        <f>HYPERLINK("https://digitalcommons.unl.edu/cgi/viewcontent.cgi?article=1007&amp;context=tractormuseumlit","Click for test report")</f>
        <v>Click for test report</v>
      </c>
      <c r="C683">
        <v>1957</v>
      </c>
      <c r="D683" t="s">
        <v>6218</v>
      </c>
      <c r="F683" t="s">
        <v>5259</v>
      </c>
      <c r="G683" t="s">
        <v>6219</v>
      </c>
      <c r="H683" t="s">
        <v>6220</v>
      </c>
      <c r="I683" t="s">
        <v>50</v>
      </c>
      <c r="J683" t="s">
        <v>29</v>
      </c>
      <c r="K683" t="s">
        <v>21</v>
      </c>
      <c r="M683" t="s">
        <v>4589</v>
      </c>
      <c r="N683" t="s">
        <v>4590</v>
      </c>
      <c r="O683" t="s">
        <v>24</v>
      </c>
    </row>
    <row r="684" spans="1:15" x14ac:dyDescent="0.25">
      <c r="A684">
        <v>683</v>
      </c>
      <c r="B684" t="str">
        <f>HYPERLINK("https://digitalcommons.unl.edu/cgi/viewcontent.cgi?article=1008&amp;context=tractormuseumlit","Click for test report")</f>
        <v>Click for test report</v>
      </c>
      <c r="C684">
        <v>1957</v>
      </c>
      <c r="D684" t="s">
        <v>6217</v>
      </c>
      <c r="F684" t="s">
        <v>4503</v>
      </c>
      <c r="G684" t="s">
        <v>6201</v>
      </c>
      <c r="H684" t="s">
        <v>1305</v>
      </c>
      <c r="I684" t="s">
        <v>1961</v>
      </c>
      <c r="J684" t="s">
        <v>348</v>
      </c>
      <c r="K684" t="s">
        <v>21</v>
      </c>
      <c r="M684" t="s">
        <v>2188</v>
      </c>
      <c r="N684" t="s">
        <v>2511</v>
      </c>
      <c r="O684" t="s">
        <v>24</v>
      </c>
    </row>
    <row r="685" spans="1:15" x14ac:dyDescent="0.25">
      <c r="A685">
        <v>684</v>
      </c>
      <c r="B685" t="str">
        <f>HYPERLINK("https://digitalcommons.unl.edu/cgi/viewcontent.cgi?article=1010&amp;context=tractormuseumlit","Click for test report")</f>
        <v>Click for test report</v>
      </c>
      <c r="C685">
        <v>1957</v>
      </c>
      <c r="D685" t="s">
        <v>6216</v>
      </c>
      <c r="F685" t="s">
        <v>4503</v>
      </c>
      <c r="G685" t="s">
        <v>6201</v>
      </c>
      <c r="H685" t="s">
        <v>6202</v>
      </c>
      <c r="I685" t="s">
        <v>1961</v>
      </c>
      <c r="J685" t="s">
        <v>348</v>
      </c>
      <c r="K685" t="s">
        <v>21</v>
      </c>
      <c r="M685" t="s">
        <v>1802</v>
      </c>
      <c r="N685" t="s">
        <v>3973</v>
      </c>
      <c r="O685" t="s">
        <v>24</v>
      </c>
    </row>
    <row r="686" spans="1:15" x14ac:dyDescent="0.25">
      <c r="A686">
        <v>685</v>
      </c>
      <c r="B686" t="str">
        <f>HYPERLINK("https://digitalcommons.unl.edu/cgi/viewcontent.cgi?article=1011&amp;context=tractormuseumlit","Click for test report")</f>
        <v>Click for test report</v>
      </c>
      <c r="C686">
        <v>1957</v>
      </c>
      <c r="D686" t="s">
        <v>4829</v>
      </c>
      <c r="F686" t="s">
        <v>4503</v>
      </c>
      <c r="G686" t="s">
        <v>4504</v>
      </c>
      <c r="H686" t="s">
        <v>6205</v>
      </c>
      <c r="I686" t="s">
        <v>1961</v>
      </c>
      <c r="J686" t="s">
        <v>348</v>
      </c>
      <c r="K686" t="s">
        <v>21</v>
      </c>
      <c r="M686" t="s">
        <v>3152</v>
      </c>
      <c r="N686" t="s">
        <v>2699</v>
      </c>
      <c r="O686" t="s">
        <v>24</v>
      </c>
    </row>
    <row r="687" spans="1:15" x14ac:dyDescent="0.25">
      <c r="A687">
        <v>686</v>
      </c>
      <c r="B687" t="str">
        <f>HYPERLINK("https://digitalcommons.unl.edu/cgi/viewcontent.cgi?article=1012&amp;context=tractormuseumlit","Click for test report")</f>
        <v>Click for test report</v>
      </c>
      <c r="C687">
        <v>1957</v>
      </c>
      <c r="D687" t="s">
        <v>6049</v>
      </c>
      <c r="F687" t="s">
        <v>4503</v>
      </c>
      <c r="G687" t="s">
        <v>6201</v>
      </c>
      <c r="H687" t="s">
        <v>6202</v>
      </c>
      <c r="I687" t="s">
        <v>1961</v>
      </c>
      <c r="J687" t="s">
        <v>348</v>
      </c>
      <c r="K687" t="s">
        <v>4809</v>
      </c>
      <c r="M687" t="s">
        <v>2699</v>
      </c>
      <c r="N687" t="s">
        <v>1893</v>
      </c>
      <c r="O687" t="s">
        <v>24</v>
      </c>
    </row>
    <row r="688" spans="1:15" x14ac:dyDescent="0.25">
      <c r="A688">
        <v>687</v>
      </c>
      <c r="B688" t="str">
        <f>HYPERLINK("https://digitalcommons.unl.edu/cgi/viewcontent.cgi?article=1013&amp;context=tractormuseumlit","Click for test report")</f>
        <v>Click for test report</v>
      </c>
      <c r="C688">
        <v>1957</v>
      </c>
      <c r="D688" t="s">
        <v>6215</v>
      </c>
      <c r="F688" t="s">
        <v>4503</v>
      </c>
      <c r="G688" t="s">
        <v>6201</v>
      </c>
      <c r="H688" t="s">
        <v>1305</v>
      </c>
      <c r="I688" t="s">
        <v>1961</v>
      </c>
      <c r="J688" t="s">
        <v>348</v>
      </c>
      <c r="K688" t="s">
        <v>4809</v>
      </c>
      <c r="M688" t="s">
        <v>1970</v>
      </c>
      <c r="N688" t="s">
        <v>750</v>
      </c>
      <c r="O688" t="s">
        <v>24</v>
      </c>
    </row>
    <row r="689" spans="1:15" x14ac:dyDescent="0.25">
      <c r="A689">
        <v>688</v>
      </c>
      <c r="B689" t="str">
        <f>HYPERLINK("https://digitalcommons.unl.edu/cgi/viewcontent.cgi?article=1120&amp;context=tractormuseumlit","Click for test report")</f>
        <v>Click for test report</v>
      </c>
      <c r="C689">
        <v>1957</v>
      </c>
      <c r="D689" t="s">
        <v>6213</v>
      </c>
      <c r="F689" t="s">
        <v>3800</v>
      </c>
      <c r="G689" t="s">
        <v>4473</v>
      </c>
      <c r="H689" t="s">
        <v>6214</v>
      </c>
      <c r="I689" t="s">
        <v>50</v>
      </c>
      <c r="J689" t="s">
        <v>348</v>
      </c>
      <c r="K689" t="s">
        <v>4809</v>
      </c>
      <c r="M689" t="s">
        <v>4745</v>
      </c>
      <c r="N689" t="s">
        <v>4397</v>
      </c>
      <c r="O689" t="s">
        <v>24</v>
      </c>
    </row>
    <row r="690" spans="1:15" x14ac:dyDescent="0.25">
      <c r="A690">
        <v>689</v>
      </c>
      <c r="B690" t="str">
        <f>HYPERLINK("https://digitalcommons.unl.edu/cgi/viewcontent.cgi?article=1015&amp;context=tractormuseumlit","Click for test report")</f>
        <v>Click for test report</v>
      </c>
      <c r="C690">
        <v>1957</v>
      </c>
      <c r="D690" t="s">
        <v>6210</v>
      </c>
      <c r="F690" t="s">
        <v>3800</v>
      </c>
      <c r="G690" t="s">
        <v>4473</v>
      </c>
      <c r="H690" t="s">
        <v>6212</v>
      </c>
      <c r="I690" t="s">
        <v>50</v>
      </c>
      <c r="J690" t="s">
        <v>348</v>
      </c>
      <c r="K690" t="s">
        <v>21</v>
      </c>
      <c r="M690" t="s">
        <v>4440</v>
      </c>
      <c r="N690" t="s">
        <v>4589</v>
      </c>
      <c r="O690" t="s">
        <v>24</v>
      </c>
    </row>
    <row r="691" spans="1:15" x14ac:dyDescent="0.25">
      <c r="A691">
        <v>690</v>
      </c>
      <c r="B691" t="str">
        <f>HYPERLINK("https://digitalcommons.unl.edu/cgi/viewcontent.cgi?article=1015&amp;context=tractormuseumlit","Click for test report")</f>
        <v>Click for test report</v>
      </c>
      <c r="C691">
        <v>1957</v>
      </c>
      <c r="D691" t="s">
        <v>6210</v>
      </c>
      <c r="F691" t="s">
        <v>3800</v>
      </c>
      <c r="G691" t="s">
        <v>4473</v>
      </c>
      <c r="H691" t="s">
        <v>6211</v>
      </c>
      <c r="I691" t="s">
        <v>50</v>
      </c>
      <c r="J691" t="s">
        <v>348</v>
      </c>
      <c r="K691" t="s">
        <v>21</v>
      </c>
      <c r="M691" t="s">
        <v>4440</v>
      </c>
      <c r="N691" t="s">
        <v>4589</v>
      </c>
      <c r="O691" t="s">
        <v>24</v>
      </c>
    </row>
    <row r="692" spans="1:15" x14ac:dyDescent="0.25">
      <c r="A692">
        <v>691</v>
      </c>
      <c r="B692" t="str">
        <f>HYPERLINK("https://digitalcommons.unl.edu/cgi/viewcontent.cgi?article=1016&amp;context=tractormuseumlit","Click for test report")</f>
        <v>Click for test report</v>
      </c>
      <c r="C692">
        <v>1957</v>
      </c>
      <c r="D692" t="s">
        <v>6209</v>
      </c>
      <c r="F692" t="s">
        <v>4503</v>
      </c>
      <c r="G692" t="s">
        <v>4504</v>
      </c>
      <c r="H692" t="s">
        <v>6205</v>
      </c>
      <c r="I692" t="s">
        <v>1961</v>
      </c>
      <c r="J692" t="s">
        <v>348</v>
      </c>
      <c r="K692" t="s">
        <v>4809</v>
      </c>
      <c r="M692" t="s">
        <v>2090</v>
      </c>
      <c r="N692" t="s">
        <v>2826</v>
      </c>
      <c r="O692" t="s">
        <v>24</v>
      </c>
    </row>
    <row r="693" spans="1:15" x14ac:dyDescent="0.25">
      <c r="A693">
        <v>692</v>
      </c>
      <c r="B693" t="str">
        <f>HYPERLINK("https://digitalcommons.unl.edu/cgi/viewcontent.cgi?article=1017&amp;context=tractormuseumlit","Click for test report")</f>
        <v>Click for test report</v>
      </c>
      <c r="C693">
        <v>1957</v>
      </c>
      <c r="D693" t="s">
        <v>6208</v>
      </c>
      <c r="F693" t="s">
        <v>4503</v>
      </c>
      <c r="G693" t="s">
        <v>6201</v>
      </c>
      <c r="H693" t="s">
        <v>5252</v>
      </c>
      <c r="I693" t="s">
        <v>50</v>
      </c>
      <c r="J693" t="s">
        <v>348</v>
      </c>
      <c r="K693" t="s">
        <v>4809</v>
      </c>
      <c r="M693" t="s">
        <v>4589</v>
      </c>
      <c r="N693" t="s">
        <v>4590</v>
      </c>
      <c r="O693" t="s">
        <v>24</v>
      </c>
    </row>
    <row r="694" spans="1:15" x14ac:dyDescent="0.25">
      <c r="A694">
        <v>693</v>
      </c>
      <c r="B694" t="str">
        <f>HYPERLINK("https://digitalcommons.unl.edu/cgi/viewcontent.cgi?article=1018&amp;context=tractormuseumlit","Click for test report")</f>
        <v>Click for test report</v>
      </c>
      <c r="C694">
        <v>1957</v>
      </c>
      <c r="D694" t="s">
        <v>6207</v>
      </c>
      <c r="F694" t="s">
        <v>4503</v>
      </c>
      <c r="G694" t="s">
        <v>6201</v>
      </c>
      <c r="H694" t="s">
        <v>5680</v>
      </c>
      <c r="I694" t="s">
        <v>50</v>
      </c>
      <c r="J694" t="s">
        <v>348</v>
      </c>
      <c r="K694" t="s">
        <v>4809</v>
      </c>
      <c r="M694" t="s">
        <v>4444</v>
      </c>
      <c r="N694" t="s">
        <v>4627</v>
      </c>
      <c r="O694" t="s">
        <v>24</v>
      </c>
    </row>
    <row r="695" spans="1:15" x14ac:dyDescent="0.25">
      <c r="A695">
        <v>694</v>
      </c>
      <c r="B695" t="str">
        <f>HYPERLINK("https://digitalcommons.unl.edu/cgi/viewcontent.cgi?article=1019&amp;context=tractormuseumlit","Click for test report")</f>
        <v>Click for test report</v>
      </c>
      <c r="C695">
        <v>1957</v>
      </c>
      <c r="D695" t="s">
        <v>6206</v>
      </c>
      <c r="F695" t="s">
        <v>4503</v>
      </c>
      <c r="G695" t="s">
        <v>4504</v>
      </c>
      <c r="H695" t="s">
        <v>6135</v>
      </c>
      <c r="I695" t="s">
        <v>50</v>
      </c>
      <c r="J695" t="s">
        <v>348</v>
      </c>
      <c r="K695" t="s">
        <v>4809</v>
      </c>
      <c r="M695" t="s">
        <v>1864</v>
      </c>
      <c r="N695" t="s">
        <v>404</v>
      </c>
      <c r="O695" t="s">
        <v>24</v>
      </c>
    </row>
    <row r="696" spans="1:15" x14ac:dyDescent="0.25">
      <c r="A696">
        <v>695</v>
      </c>
      <c r="B696" t="str">
        <f>HYPERLINK("https://digitalcommons.unl.edu/cgi/viewcontent.cgi?article=1020&amp;context=tractormuseumlit","Click for test report")</f>
        <v>Click for test report</v>
      </c>
      <c r="C696">
        <v>1957</v>
      </c>
      <c r="D696" t="s">
        <v>6204</v>
      </c>
      <c r="F696" t="s">
        <v>4503</v>
      </c>
      <c r="G696" t="s">
        <v>4504</v>
      </c>
      <c r="H696" t="s">
        <v>6205</v>
      </c>
      <c r="I696" t="s">
        <v>1961</v>
      </c>
      <c r="J696" t="s">
        <v>348</v>
      </c>
      <c r="K696" t="s">
        <v>5598</v>
      </c>
      <c r="M696" t="s">
        <v>2511</v>
      </c>
      <c r="N696" t="s">
        <v>2627</v>
      </c>
      <c r="O696" t="s">
        <v>24</v>
      </c>
    </row>
    <row r="697" spans="1:15" x14ac:dyDescent="0.25">
      <c r="A697">
        <v>696</v>
      </c>
      <c r="B697" t="str">
        <f>HYPERLINK("https://digitalcommons.unl.edu/cgi/viewcontent.cgi?article=1021&amp;context=tractormuseumlit","Click for test report")</f>
        <v>Click for test report</v>
      </c>
      <c r="C697">
        <v>1957</v>
      </c>
      <c r="D697" t="s">
        <v>6203</v>
      </c>
      <c r="F697" t="s">
        <v>4503</v>
      </c>
      <c r="G697" t="s">
        <v>6201</v>
      </c>
      <c r="H697" t="s">
        <v>1305</v>
      </c>
      <c r="I697" t="s">
        <v>1961</v>
      </c>
      <c r="J697" t="s">
        <v>348</v>
      </c>
      <c r="K697" t="s">
        <v>5598</v>
      </c>
      <c r="M697" t="s">
        <v>1994</v>
      </c>
      <c r="N697" t="s">
        <v>1650</v>
      </c>
      <c r="O697" t="s">
        <v>24</v>
      </c>
    </row>
    <row r="698" spans="1:15" x14ac:dyDescent="0.25">
      <c r="A698">
        <v>697</v>
      </c>
      <c r="B698" t="str">
        <f>HYPERLINK("https://digitalcommons.unl.edu/cgi/viewcontent.cgi?article=1022&amp;context=tractormuseumlit","Click for test report")</f>
        <v>Click for test report</v>
      </c>
      <c r="C698">
        <v>1957</v>
      </c>
      <c r="D698" t="s">
        <v>6087</v>
      </c>
      <c r="F698" t="s">
        <v>4503</v>
      </c>
      <c r="G698" t="s">
        <v>4504</v>
      </c>
      <c r="H698" t="s">
        <v>6135</v>
      </c>
      <c r="I698" t="s">
        <v>50</v>
      </c>
      <c r="J698" t="s">
        <v>348</v>
      </c>
      <c r="K698" t="s">
        <v>5598</v>
      </c>
      <c r="M698" t="s">
        <v>728</v>
      </c>
      <c r="N698" t="s">
        <v>353</v>
      </c>
      <c r="O698" t="s">
        <v>24</v>
      </c>
    </row>
    <row r="699" spans="1:15" x14ac:dyDescent="0.25">
      <c r="A699">
        <v>698</v>
      </c>
      <c r="B699" t="str">
        <f>HYPERLINK("https://digitalcommons.unl.edu/cgi/viewcontent.cgi?article=1023&amp;context=tractormuseumlit","Click for test report")</f>
        <v>Click for test report</v>
      </c>
      <c r="C699">
        <v>1957</v>
      </c>
      <c r="D699" t="s">
        <v>6200</v>
      </c>
      <c r="F699" t="s">
        <v>4503</v>
      </c>
      <c r="G699" t="s">
        <v>6201</v>
      </c>
      <c r="H699" t="s">
        <v>6202</v>
      </c>
      <c r="I699" t="s">
        <v>1961</v>
      </c>
      <c r="J699" t="s">
        <v>348</v>
      </c>
      <c r="K699" t="s">
        <v>5598</v>
      </c>
      <c r="M699" t="s">
        <v>2627</v>
      </c>
      <c r="N699" t="s">
        <v>1802</v>
      </c>
      <c r="O699" t="s">
        <v>24</v>
      </c>
    </row>
    <row r="700" spans="1:15" x14ac:dyDescent="0.25">
      <c r="A700">
        <v>699</v>
      </c>
      <c r="B700" t="str">
        <f>HYPERLINK("https://digitalcommons.unl.edu/cgi/viewcontent.cgi?article=1024&amp;context=tractormuseumlit","Click for test report")</f>
        <v>Click for test report</v>
      </c>
      <c r="C700">
        <v>1957</v>
      </c>
      <c r="D700" t="s">
        <v>6199</v>
      </c>
      <c r="F700" t="s">
        <v>4325</v>
      </c>
      <c r="G700" t="s">
        <v>4325</v>
      </c>
      <c r="H700" t="s">
        <v>6142</v>
      </c>
      <c r="I700" t="s">
        <v>1961</v>
      </c>
      <c r="J700" t="s">
        <v>348</v>
      </c>
      <c r="K700" t="s">
        <v>4809</v>
      </c>
      <c r="M700" t="s">
        <v>3388</v>
      </c>
      <c r="N700" t="s">
        <v>4440</v>
      </c>
      <c r="O700" t="s">
        <v>24</v>
      </c>
    </row>
    <row r="701" spans="1:15" x14ac:dyDescent="0.25">
      <c r="A701">
        <v>700</v>
      </c>
      <c r="B701" t="str">
        <f>HYPERLINK("https://digitalcommons.unl.edu/cgi/viewcontent.cgi?article=1025&amp;context=tractormuseumlit","Click for test report")</f>
        <v>Click for test report</v>
      </c>
      <c r="C701">
        <v>1957</v>
      </c>
      <c r="D701" t="s">
        <v>6197</v>
      </c>
      <c r="F701" t="s">
        <v>5347</v>
      </c>
      <c r="G701" t="s">
        <v>5347</v>
      </c>
      <c r="H701" t="s">
        <v>6198</v>
      </c>
      <c r="I701" t="s">
        <v>1961</v>
      </c>
      <c r="J701" t="s">
        <v>348</v>
      </c>
      <c r="K701" t="s">
        <v>4809</v>
      </c>
      <c r="M701" t="s">
        <v>4745</v>
      </c>
      <c r="N701" t="s">
        <v>4397</v>
      </c>
      <c r="O701" t="s">
        <v>24</v>
      </c>
    </row>
    <row r="702" spans="1:15" x14ac:dyDescent="0.25">
      <c r="A702">
        <v>701</v>
      </c>
      <c r="B702" t="str">
        <f>HYPERLINK("https://digitalcommons.unl.edu/cgi/viewcontent.cgi?article=1026&amp;context=tractormuseumlit","Click for test report")</f>
        <v>Click for test report</v>
      </c>
      <c r="C702">
        <v>1957</v>
      </c>
      <c r="D702" t="s">
        <v>6194</v>
      </c>
      <c r="F702" t="s">
        <v>6195</v>
      </c>
      <c r="G702" t="s">
        <v>6195</v>
      </c>
      <c r="H702" t="s">
        <v>6196</v>
      </c>
      <c r="I702" t="s">
        <v>50</v>
      </c>
      <c r="J702" t="s">
        <v>348</v>
      </c>
      <c r="K702" t="s">
        <v>21</v>
      </c>
      <c r="M702" t="s">
        <v>2699</v>
      </c>
      <c r="N702" t="s">
        <v>1893</v>
      </c>
      <c r="O702" t="s">
        <v>24</v>
      </c>
    </row>
    <row r="703" spans="1:15" x14ac:dyDescent="0.25">
      <c r="A703">
        <v>702</v>
      </c>
      <c r="B703" t="str">
        <f>HYPERLINK("https://digitalcommons.unl.edu/cgi/viewcontent.cgi?article=1027&amp;context=tractormuseumlit","Click for test report")</f>
        <v>Click for test report</v>
      </c>
      <c r="C703">
        <v>1957</v>
      </c>
      <c r="D703" t="s">
        <v>6193</v>
      </c>
      <c r="F703" t="s">
        <v>4395</v>
      </c>
      <c r="G703" t="s">
        <v>3708</v>
      </c>
      <c r="H703" t="s">
        <v>5115</v>
      </c>
      <c r="I703" t="s">
        <v>50</v>
      </c>
      <c r="J703" t="s">
        <v>348</v>
      </c>
      <c r="K703" t="s">
        <v>5598</v>
      </c>
      <c r="M703" t="s">
        <v>2826</v>
      </c>
      <c r="N703" t="s">
        <v>2825</v>
      </c>
      <c r="O703" t="s">
        <v>24</v>
      </c>
    </row>
    <row r="704" spans="1:15" x14ac:dyDescent="0.25">
      <c r="A704">
        <v>703</v>
      </c>
      <c r="B704" t="str">
        <f>HYPERLINK("https://digitalcommons.unl.edu/cgi/viewcontent.cgi?article=1028&amp;context=tractormuseumlit","Click for test report")</f>
        <v>Click for test report</v>
      </c>
      <c r="C704">
        <v>1957</v>
      </c>
      <c r="D704" t="s">
        <v>6091</v>
      </c>
      <c r="F704" t="s">
        <v>4395</v>
      </c>
      <c r="G704" t="s">
        <v>3708</v>
      </c>
      <c r="H704" t="s">
        <v>5936</v>
      </c>
      <c r="I704" t="s">
        <v>50</v>
      </c>
      <c r="J704" t="s">
        <v>348</v>
      </c>
      <c r="K704" t="s">
        <v>5598</v>
      </c>
      <c r="M704" t="s">
        <v>4589</v>
      </c>
      <c r="N704" t="s">
        <v>4352</v>
      </c>
      <c r="O704" t="s">
        <v>24</v>
      </c>
    </row>
    <row r="705" spans="1:15" x14ac:dyDescent="0.25">
      <c r="A705">
        <v>704</v>
      </c>
      <c r="B705" t="str">
        <f>HYPERLINK("https://digitalcommons.unl.edu/cgi/viewcontent.cgi?article=1029&amp;context=tractormuseumlit","Click for test report")</f>
        <v>Click for test report</v>
      </c>
      <c r="C705">
        <v>1957</v>
      </c>
      <c r="D705" t="s">
        <v>6190</v>
      </c>
      <c r="F705" t="s">
        <v>6191</v>
      </c>
      <c r="G705" t="s">
        <v>6191</v>
      </c>
      <c r="H705" t="s">
        <v>6192</v>
      </c>
      <c r="I705" t="s">
        <v>5776</v>
      </c>
      <c r="J705" t="s">
        <v>96</v>
      </c>
      <c r="K705" t="s">
        <v>21</v>
      </c>
      <c r="N705" t="s">
        <v>722</v>
      </c>
      <c r="O705" t="s">
        <v>2163</v>
      </c>
    </row>
    <row r="706" spans="1:15" x14ac:dyDescent="0.25">
      <c r="A706">
        <v>705</v>
      </c>
      <c r="B706" t="str">
        <f>HYPERLINK("https://digitalcommons.unl.edu/cgi/viewcontent.cgi?article=1030&amp;context=tractormuseumlit","Click for test report")</f>
        <v>Click for test report</v>
      </c>
      <c r="C706">
        <v>1957</v>
      </c>
      <c r="D706" t="s">
        <v>6188</v>
      </c>
      <c r="F706" t="s">
        <v>4503</v>
      </c>
      <c r="G706" t="s">
        <v>4503</v>
      </c>
      <c r="H706" t="s">
        <v>6189</v>
      </c>
      <c r="I706" t="s">
        <v>50</v>
      </c>
      <c r="J706" t="s">
        <v>96</v>
      </c>
      <c r="K706" t="s">
        <v>21</v>
      </c>
      <c r="N706" t="s">
        <v>677</v>
      </c>
      <c r="O706" t="s">
        <v>2163</v>
      </c>
    </row>
    <row r="707" spans="1:15" x14ac:dyDescent="0.25">
      <c r="A707">
        <v>706</v>
      </c>
      <c r="B707" t="str">
        <f>HYPERLINK("https://digitalcommons.unl.edu/cgi/viewcontent.cgi?article=1031&amp;context=tractormuseumlit","Click for test report")</f>
        <v>Click for test report</v>
      </c>
      <c r="C707">
        <v>1957</v>
      </c>
      <c r="D707" t="s">
        <v>5908</v>
      </c>
      <c r="F707" t="s">
        <v>4503</v>
      </c>
      <c r="G707" t="s">
        <v>4503</v>
      </c>
      <c r="H707" t="s">
        <v>6187</v>
      </c>
      <c r="I707" t="s">
        <v>50</v>
      </c>
      <c r="J707" t="s">
        <v>96</v>
      </c>
      <c r="K707" t="s">
        <v>21</v>
      </c>
      <c r="N707" t="s">
        <v>520</v>
      </c>
      <c r="O707" t="s">
        <v>2163</v>
      </c>
    </row>
    <row r="708" spans="1:15" x14ac:dyDescent="0.25">
      <c r="A708">
        <v>707</v>
      </c>
      <c r="B708" t="str">
        <f>HYPERLINK("https://digitalcommons.unl.edu/cgi/viewcontent.cgi?article=1032&amp;context=tractormuseumlit","Click for test report")</f>
        <v>Click for test report</v>
      </c>
      <c r="C708">
        <v>1957</v>
      </c>
      <c r="D708" t="s">
        <v>6086</v>
      </c>
      <c r="F708" t="s">
        <v>5779</v>
      </c>
      <c r="G708" t="s">
        <v>5779</v>
      </c>
      <c r="H708" t="s">
        <v>6186</v>
      </c>
      <c r="I708" t="s">
        <v>50</v>
      </c>
      <c r="J708" t="s">
        <v>29</v>
      </c>
      <c r="K708" t="s">
        <v>21</v>
      </c>
      <c r="N708" t="s">
        <v>340</v>
      </c>
      <c r="O708" t="s">
        <v>2163</v>
      </c>
    </row>
    <row r="709" spans="1:15" x14ac:dyDescent="0.25">
      <c r="A709">
        <v>708</v>
      </c>
      <c r="B709" t="str">
        <f>HYPERLINK("https://digitalcommons.unl.edu/cgi/viewcontent.cgi?article=1091&amp;context=tractormuseumlit","Click for test report")</f>
        <v>Click for test report</v>
      </c>
      <c r="C709">
        <v>1957</v>
      </c>
      <c r="D709" t="s">
        <v>6158</v>
      </c>
      <c r="F709" t="s">
        <v>17</v>
      </c>
      <c r="G709" t="s">
        <v>17</v>
      </c>
      <c r="H709" t="s">
        <v>4103</v>
      </c>
      <c r="I709" t="s">
        <v>50</v>
      </c>
      <c r="J709" t="s">
        <v>348</v>
      </c>
      <c r="K709" t="s">
        <v>21</v>
      </c>
      <c r="M709" t="s">
        <v>722</v>
      </c>
      <c r="N709" t="s">
        <v>1257</v>
      </c>
      <c r="O709" t="s">
        <v>24</v>
      </c>
    </row>
    <row r="710" spans="1:15" x14ac:dyDescent="0.25">
      <c r="A710">
        <v>709</v>
      </c>
      <c r="B710" t="str">
        <f>HYPERLINK("https://digitalcommons.unl.edu/cgi/viewcontent.cgi?article=1034&amp;context=tractormuseumlit","Click for test report")</f>
        <v>Click for test report</v>
      </c>
      <c r="C710">
        <v>1957</v>
      </c>
      <c r="D710" t="s">
        <v>6184</v>
      </c>
      <c r="F710" t="s">
        <v>5345</v>
      </c>
      <c r="G710" t="s">
        <v>5345</v>
      </c>
      <c r="H710" t="s">
        <v>6185</v>
      </c>
      <c r="I710" t="s">
        <v>50</v>
      </c>
      <c r="J710" t="s">
        <v>96</v>
      </c>
      <c r="K710" t="s">
        <v>21</v>
      </c>
      <c r="M710" t="s">
        <v>51</v>
      </c>
      <c r="N710" t="s">
        <v>457</v>
      </c>
      <c r="O710" t="s">
        <v>24</v>
      </c>
    </row>
    <row r="711" spans="1:15" x14ac:dyDescent="0.25">
      <c r="A711">
        <v>710</v>
      </c>
      <c r="B711" t="str">
        <f>HYPERLINK("https://digitalcommons.unl.edu/cgi/viewcontent.cgi?article=1035&amp;context=tractormuseumlit","Click for test report")</f>
        <v>Click for test report</v>
      </c>
      <c r="C711">
        <v>1957</v>
      </c>
      <c r="D711" t="s">
        <v>6155</v>
      </c>
      <c r="F711" t="s">
        <v>4503</v>
      </c>
      <c r="G711" t="s">
        <v>4504</v>
      </c>
      <c r="H711" t="s">
        <v>6183</v>
      </c>
      <c r="I711" t="s">
        <v>1961</v>
      </c>
      <c r="J711" t="s">
        <v>348</v>
      </c>
      <c r="K711" t="s">
        <v>4809</v>
      </c>
      <c r="M711" t="s">
        <v>3388</v>
      </c>
      <c r="N711" t="s">
        <v>4008</v>
      </c>
      <c r="O711" t="s">
        <v>24</v>
      </c>
    </row>
    <row r="712" spans="1:15" x14ac:dyDescent="0.25">
      <c r="A712">
        <v>711</v>
      </c>
      <c r="B712" t="str">
        <f>HYPERLINK("https://digitalcommons.unl.edu/cgi/viewcontent.cgi?article=1036&amp;context=tractormuseumlit","Click for test report")</f>
        <v>Click for test report</v>
      </c>
      <c r="C712">
        <v>1957</v>
      </c>
      <c r="D712" t="s">
        <v>6182</v>
      </c>
      <c r="F712" t="s">
        <v>4325</v>
      </c>
      <c r="G712" t="s">
        <v>4325</v>
      </c>
      <c r="H712" t="s">
        <v>6144</v>
      </c>
      <c r="I712" t="s">
        <v>1961</v>
      </c>
      <c r="J712" t="s">
        <v>348</v>
      </c>
      <c r="K712" t="s">
        <v>4809</v>
      </c>
      <c r="M712" t="s">
        <v>3319</v>
      </c>
      <c r="N712" t="s">
        <v>2188</v>
      </c>
      <c r="O712" t="s">
        <v>5872</v>
      </c>
    </row>
    <row r="713" spans="1:15" x14ac:dyDescent="0.25">
      <c r="A713">
        <v>712</v>
      </c>
      <c r="B713" t="str">
        <f>HYPERLINK("https://digitalcommons.unl.edu/cgi/viewcontent.cgi?article=1037&amp;context=tractormuseumlit","Click for test report")</f>
        <v>Click for test report</v>
      </c>
      <c r="C713">
        <v>1957</v>
      </c>
      <c r="D713" t="s">
        <v>6181</v>
      </c>
      <c r="F713" t="s">
        <v>4325</v>
      </c>
      <c r="G713" t="s">
        <v>4325</v>
      </c>
      <c r="H713" t="s">
        <v>6144</v>
      </c>
      <c r="I713" t="s">
        <v>1961</v>
      </c>
      <c r="J713" t="s">
        <v>348</v>
      </c>
      <c r="K713" t="s">
        <v>21</v>
      </c>
      <c r="M713" t="s">
        <v>750</v>
      </c>
      <c r="N713" t="s">
        <v>410</v>
      </c>
      <c r="O713" t="s">
        <v>5872</v>
      </c>
    </row>
    <row r="714" spans="1:15" x14ac:dyDescent="0.25">
      <c r="A714">
        <v>713</v>
      </c>
      <c r="B714" t="str">
        <f>HYPERLINK("https://digitalcommons.unl.edu/cgi/viewcontent.cgi?article=1064&amp;context=tractormuseumlit","Click for test report")</f>
        <v>Click for test report</v>
      </c>
      <c r="C714">
        <v>1958</v>
      </c>
      <c r="D714" t="s">
        <v>6178</v>
      </c>
      <c r="F714" t="s">
        <v>17</v>
      </c>
      <c r="G714" t="s">
        <v>17</v>
      </c>
      <c r="H714" t="s">
        <v>6179</v>
      </c>
      <c r="I714" t="s">
        <v>50</v>
      </c>
      <c r="J714" t="s">
        <v>348</v>
      </c>
      <c r="K714" t="s">
        <v>4809</v>
      </c>
      <c r="M714" t="s">
        <v>4359</v>
      </c>
      <c r="N714" t="s">
        <v>4449</v>
      </c>
      <c r="O714" t="s">
        <v>6180</v>
      </c>
    </row>
    <row r="715" spans="1:15" x14ac:dyDescent="0.25">
      <c r="A715">
        <v>714</v>
      </c>
      <c r="B715" t="str">
        <f>HYPERLINK("https://digitalcommons.unl.edu/cgi/viewcontent.cgi?article=1080&amp;context=tractormuseumlit","Click for test report")</f>
        <v>Click for test report</v>
      </c>
      <c r="C715">
        <v>1958</v>
      </c>
      <c r="D715" t="s">
        <v>6177</v>
      </c>
      <c r="F715" t="s">
        <v>17</v>
      </c>
      <c r="G715" t="s">
        <v>17</v>
      </c>
      <c r="H715" t="s">
        <v>3649</v>
      </c>
      <c r="I715" t="s">
        <v>50</v>
      </c>
      <c r="J715" t="s">
        <v>348</v>
      </c>
      <c r="K715" t="s">
        <v>5598</v>
      </c>
      <c r="M715" t="s">
        <v>1893</v>
      </c>
      <c r="N715" t="s">
        <v>4745</v>
      </c>
      <c r="O715" t="s">
        <v>6174</v>
      </c>
    </row>
    <row r="716" spans="1:15" x14ac:dyDescent="0.25">
      <c r="A716">
        <v>715</v>
      </c>
      <c r="B716" t="str">
        <f>HYPERLINK("https://digitalcommons.unl.edu/cgi/viewcontent.cgi?article=1099&amp;context=tractormuseumlit","Click for test report")</f>
        <v>Click for test report</v>
      </c>
      <c r="C716">
        <v>1958</v>
      </c>
      <c r="D716" t="s">
        <v>6176</v>
      </c>
      <c r="F716" t="s">
        <v>17</v>
      </c>
      <c r="G716" t="s">
        <v>17</v>
      </c>
      <c r="H716" t="s">
        <v>5908</v>
      </c>
      <c r="I716" t="s">
        <v>50</v>
      </c>
      <c r="J716" t="s">
        <v>348</v>
      </c>
      <c r="K716" t="s">
        <v>5598</v>
      </c>
      <c r="M716" t="s">
        <v>1650</v>
      </c>
      <c r="N716" t="s">
        <v>1009</v>
      </c>
      <c r="O716" t="s">
        <v>6172</v>
      </c>
    </row>
    <row r="717" spans="1:15" x14ac:dyDescent="0.25">
      <c r="A717">
        <v>716</v>
      </c>
      <c r="B717" t="str">
        <f>HYPERLINK("https://digitalcommons.unl.edu/cgi/viewcontent.cgi?article=1082&amp;context=tractormuseumlit","Click for test report")</f>
        <v>Click for test report</v>
      </c>
      <c r="C717">
        <v>1958</v>
      </c>
      <c r="D717" t="s">
        <v>2584</v>
      </c>
      <c r="F717" t="s">
        <v>17</v>
      </c>
      <c r="G717" t="s">
        <v>17</v>
      </c>
      <c r="H717" t="s">
        <v>6007</v>
      </c>
      <c r="I717" t="s">
        <v>50</v>
      </c>
      <c r="J717" t="s">
        <v>348</v>
      </c>
      <c r="K717" t="s">
        <v>5598</v>
      </c>
      <c r="M717" t="s">
        <v>2029</v>
      </c>
      <c r="N717" t="s">
        <v>3319</v>
      </c>
      <c r="O717" t="s">
        <v>6161</v>
      </c>
    </row>
    <row r="718" spans="1:15" x14ac:dyDescent="0.25">
      <c r="A718">
        <v>717</v>
      </c>
      <c r="B718" t="str">
        <f>HYPERLINK("https://digitalcommons.unl.edu/cgi/viewcontent.cgi?article=1083&amp;context=tractormuseumlit","Click for test report")</f>
        <v>Click for test report</v>
      </c>
      <c r="C718">
        <v>1958</v>
      </c>
      <c r="D718" t="s">
        <v>6175</v>
      </c>
      <c r="F718" t="s">
        <v>17</v>
      </c>
      <c r="G718" t="s">
        <v>17</v>
      </c>
      <c r="H718" t="s">
        <v>6007</v>
      </c>
      <c r="I718" t="s">
        <v>50</v>
      </c>
      <c r="J718" t="s">
        <v>348</v>
      </c>
      <c r="K718" t="s">
        <v>21</v>
      </c>
      <c r="M718" t="s">
        <v>404</v>
      </c>
      <c r="N718" t="s">
        <v>750</v>
      </c>
      <c r="O718" t="s">
        <v>6161</v>
      </c>
    </row>
    <row r="719" spans="1:15" x14ac:dyDescent="0.25">
      <c r="A719">
        <v>718</v>
      </c>
      <c r="B719" t="str">
        <f>HYPERLINK("https://digitalcommons.unl.edu/cgi/viewcontent.cgi?article=1101&amp;context=tractormuseumlit","Click for test report")</f>
        <v>Click for test report</v>
      </c>
      <c r="C719">
        <v>1958</v>
      </c>
      <c r="D719" t="s">
        <v>6173</v>
      </c>
      <c r="F719" t="s">
        <v>17</v>
      </c>
      <c r="G719" t="s">
        <v>17</v>
      </c>
      <c r="H719" t="s">
        <v>3649</v>
      </c>
      <c r="I719" t="s">
        <v>50</v>
      </c>
      <c r="J719" t="s">
        <v>348</v>
      </c>
      <c r="K719" t="s">
        <v>4809</v>
      </c>
      <c r="M719" t="s">
        <v>1893</v>
      </c>
      <c r="N719" t="s">
        <v>4745</v>
      </c>
      <c r="O719" t="s">
        <v>6174</v>
      </c>
    </row>
    <row r="720" spans="1:15" x14ac:dyDescent="0.25">
      <c r="A720">
        <v>719</v>
      </c>
      <c r="B720" t="str">
        <f>HYPERLINK("https://digitalcommons.unl.edu/cgi/viewcontent.cgi?article=1084&amp;context=tractormuseumlit","Click for test report")</f>
        <v>Click for test report</v>
      </c>
      <c r="C720">
        <v>1958</v>
      </c>
      <c r="D720" t="s">
        <v>6171</v>
      </c>
      <c r="F720" t="s">
        <v>17</v>
      </c>
      <c r="G720" t="s">
        <v>17</v>
      </c>
      <c r="H720" t="s">
        <v>5908</v>
      </c>
      <c r="I720" t="s">
        <v>50</v>
      </c>
      <c r="J720" t="s">
        <v>348</v>
      </c>
      <c r="K720" t="s">
        <v>4809</v>
      </c>
      <c r="M720" t="s">
        <v>410</v>
      </c>
      <c r="N720" t="s">
        <v>3152</v>
      </c>
      <c r="O720" t="s">
        <v>6172</v>
      </c>
    </row>
    <row r="721" spans="1:15" x14ac:dyDescent="0.25">
      <c r="A721">
        <v>720</v>
      </c>
      <c r="B721" t="str">
        <f>HYPERLINK("https://digitalcommons.unl.edu/cgi/viewcontent.cgi?article=1086&amp;context=tractormuseumlit","Click for test report")</f>
        <v>Click for test report</v>
      </c>
      <c r="C721">
        <v>1958</v>
      </c>
      <c r="D721" t="s">
        <v>6168</v>
      </c>
      <c r="F721" t="s">
        <v>17</v>
      </c>
      <c r="G721" t="s">
        <v>17</v>
      </c>
      <c r="H721" t="s">
        <v>6169</v>
      </c>
      <c r="I721" t="s">
        <v>50</v>
      </c>
      <c r="J721" t="s">
        <v>348</v>
      </c>
      <c r="K721" t="s">
        <v>4809</v>
      </c>
      <c r="M721" t="s">
        <v>4589</v>
      </c>
      <c r="N721" t="s">
        <v>4013</v>
      </c>
      <c r="O721" t="s">
        <v>6170</v>
      </c>
    </row>
    <row r="722" spans="1:15" x14ac:dyDescent="0.25">
      <c r="A722">
        <v>721</v>
      </c>
      <c r="B722" t="str">
        <f>HYPERLINK("https://digitalcommons.unl.edu/cgi/viewcontent.cgi?article=1102&amp;context=tractormuseumlit","Click for test report")</f>
        <v>Click for test report</v>
      </c>
      <c r="C722">
        <v>1958</v>
      </c>
      <c r="D722" t="s">
        <v>5802</v>
      </c>
      <c r="F722" t="s">
        <v>17</v>
      </c>
      <c r="G722" t="s">
        <v>17</v>
      </c>
      <c r="H722" t="s">
        <v>6165</v>
      </c>
      <c r="I722" t="s">
        <v>50</v>
      </c>
      <c r="J722" t="s">
        <v>348</v>
      </c>
      <c r="K722" t="s">
        <v>6166</v>
      </c>
      <c r="M722" t="s">
        <v>4444</v>
      </c>
      <c r="N722" t="s">
        <v>4362</v>
      </c>
      <c r="O722" t="s">
        <v>6167</v>
      </c>
    </row>
    <row r="723" spans="1:15" x14ac:dyDescent="0.25">
      <c r="A723">
        <v>722</v>
      </c>
      <c r="B723" t="str">
        <f>HYPERLINK("https://digitalcommons.unl.edu/cgi/viewcontent.cgi?article=1087&amp;context=tractormuseumlit","Click for test report")</f>
        <v>Click for test report</v>
      </c>
      <c r="C723">
        <v>1958</v>
      </c>
      <c r="D723" t="s">
        <v>6162</v>
      </c>
      <c r="F723" t="s">
        <v>17</v>
      </c>
      <c r="G723" t="s">
        <v>17</v>
      </c>
      <c r="H723" t="s">
        <v>6163</v>
      </c>
      <c r="I723" t="s">
        <v>50</v>
      </c>
      <c r="J723" t="s">
        <v>96</v>
      </c>
      <c r="K723" t="s">
        <v>4809</v>
      </c>
      <c r="M723" t="s">
        <v>4589</v>
      </c>
      <c r="N723" t="s">
        <v>4358</v>
      </c>
      <c r="O723" t="s">
        <v>6164</v>
      </c>
    </row>
    <row r="724" spans="1:15" x14ac:dyDescent="0.25">
      <c r="A724">
        <v>723</v>
      </c>
      <c r="B724" t="str">
        <f>HYPERLINK("https://digitalcommons.unl.edu/cgi/viewcontent.cgi?article=1089&amp;context=tractormuseumlit","Click for test report")</f>
        <v>Click for test report</v>
      </c>
      <c r="C724">
        <v>1958</v>
      </c>
      <c r="D724" t="s">
        <v>6160</v>
      </c>
      <c r="F724" t="s">
        <v>17</v>
      </c>
      <c r="G724" t="s">
        <v>17</v>
      </c>
      <c r="H724" t="s">
        <v>6007</v>
      </c>
      <c r="I724" t="s">
        <v>50</v>
      </c>
      <c r="J724" t="s">
        <v>348</v>
      </c>
      <c r="K724" t="s">
        <v>4809</v>
      </c>
      <c r="M724" t="s">
        <v>2029</v>
      </c>
      <c r="N724" t="s">
        <v>3123</v>
      </c>
      <c r="O724" t="s">
        <v>6161</v>
      </c>
    </row>
    <row r="725" spans="1:15" x14ac:dyDescent="0.25">
      <c r="A725">
        <v>724</v>
      </c>
      <c r="B725" t="str">
        <f>HYPERLINK("https://digitalcommons.unl.edu/cgi/viewcontent.cgi?article=1091&amp;context=tractormuseumlit","Click for test report")</f>
        <v>Click for test report</v>
      </c>
      <c r="C725">
        <v>1958</v>
      </c>
      <c r="D725" t="s">
        <v>6158</v>
      </c>
      <c r="F725" t="s">
        <v>17</v>
      </c>
      <c r="G725" t="s">
        <v>17</v>
      </c>
      <c r="H725" t="s">
        <v>5373</v>
      </c>
      <c r="I725" t="s">
        <v>50</v>
      </c>
      <c r="J725" t="s">
        <v>348</v>
      </c>
      <c r="K725" t="s">
        <v>21</v>
      </c>
      <c r="M725" t="s">
        <v>722</v>
      </c>
      <c r="N725" t="s">
        <v>1257</v>
      </c>
      <c r="O725" t="s">
        <v>6159</v>
      </c>
    </row>
    <row r="726" spans="1:15" x14ac:dyDescent="0.25">
      <c r="A726">
        <v>725</v>
      </c>
      <c r="B726" t="str">
        <f>HYPERLINK("https://digitalcommons.unl.edu/cgi/viewcontent.cgi?article=1035&amp;context=tractormuseumlit","Click for test report")</f>
        <v>Click for test report</v>
      </c>
      <c r="C726">
        <v>1958</v>
      </c>
      <c r="D726" t="s">
        <v>6155</v>
      </c>
      <c r="F726" t="s">
        <v>4503</v>
      </c>
      <c r="G726" t="s">
        <v>4504</v>
      </c>
      <c r="H726" t="s">
        <v>6156</v>
      </c>
      <c r="I726" t="s">
        <v>1961</v>
      </c>
      <c r="J726" t="s">
        <v>348</v>
      </c>
      <c r="K726" t="s">
        <v>4809</v>
      </c>
      <c r="M726" t="s">
        <v>3388</v>
      </c>
      <c r="N726" t="s">
        <v>4008</v>
      </c>
      <c r="O726" t="s">
        <v>6157</v>
      </c>
    </row>
    <row r="727" spans="1:15" x14ac:dyDescent="0.25">
      <c r="A727">
        <v>726</v>
      </c>
      <c r="B727" t="str">
        <f>HYPERLINK("https://digitalcommons.unl.edu/cgi/viewcontent.cgi?article=2113&amp;context=tractormuseumlit","Click for test report")</f>
        <v>Click for test report</v>
      </c>
      <c r="C727">
        <v>1958</v>
      </c>
      <c r="D727" t="s">
        <v>6153</v>
      </c>
      <c r="F727" t="s">
        <v>6150</v>
      </c>
      <c r="G727" t="s">
        <v>6151</v>
      </c>
      <c r="H727" t="s">
        <v>6154</v>
      </c>
      <c r="I727" t="s">
        <v>50</v>
      </c>
      <c r="J727" t="s">
        <v>348</v>
      </c>
      <c r="K727" t="s">
        <v>4809</v>
      </c>
      <c r="M727" t="s">
        <v>4358</v>
      </c>
      <c r="N727" t="s">
        <v>4444</v>
      </c>
      <c r="O727" t="s">
        <v>24</v>
      </c>
    </row>
    <row r="728" spans="1:15" x14ac:dyDescent="0.25">
      <c r="A728">
        <v>727</v>
      </c>
      <c r="B728" t="str">
        <f>HYPERLINK("https://digitalcommons.unl.edu/cgi/viewcontent.cgi?article=2114&amp;context=tractormuseumlit","Click for test report")</f>
        <v>Click for test report</v>
      </c>
      <c r="C728">
        <v>1958</v>
      </c>
      <c r="D728" t="s">
        <v>6149</v>
      </c>
      <c r="F728" t="s">
        <v>6150</v>
      </c>
      <c r="G728" t="s">
        <v>6151</v>
      </c>
      <c r="H728" t="s">
        <v>6152</v>
      </c>
      <c r="I728" t="s">
        <v>50</v>
      </c>
      <c r="J728" t="s">
        <v>348</v>
      </c>
      <c r="K728" t="s">
        <v>21</v>
      </c>
      <c r="M728" t="s">
        <v>728</v>
      </c>
      <c r="N728" t="s">
        <v>731</v>
      </c>
      <c r="O728" t="s">
        <v>24</v>
      </c>
    </row>
    <row r="729" spans="1:15" x14ac:dyDescent="0.25">
      <c r="A729">
        <v>728</v>
      </c>
      <c r="B729" t="str">
        <f>HYPERLINK("https://digitalcommons.unl.edu/cgi/viewcontent.cgi?article=2115&amp;context=tractormuseumlit","Click for test report")</f>
        <v>Click for test report</v>
      </c>
      <c r="C729">
        <v>1958</v>
      </c>
      <c r="D729" t="s">
        <v>6148</v>
      </c>
      <c r="F729" t="s">
        <v>4395</v>
      </c>
      <c r="G729" t="s">
        <v>3708</v>
      </c>
      <c r="H729" t="s">
        <v>5814</v>
      </c>
      <c r="I729" t="s">
        <v>50</v>
      </c>
      <c r="J729" t="s">
        <v>348</v>
      </c>
      <c r="K729" t="s">
        <v>5598</v>
      </c>
      <c r="M729" t="s">
        <v>2627</v>
      </c>
      <c r="N729" t="s">
        <v>2699</v>
      </c>
      <c r="O729" t="s">
        <v>24</v>
      </c>
    </row>
    <row r="730" spans="1:15" x14ac:dyDescent="0.25">
      <c r="A730">
        <v>729</v>
      </c>
      <c r="B730" t="str">
        <f>HYPERLINK("https://digitalcommons.unl.edu/cgi/viewcontent.cgi?article=2116&amp;context=tractormuseumlit","Click for test report")</f>
        <v>Click for test report</v>
      </c>
      <c r="C730">
        <v>1958</v>
      </c>
      <c r="D730" t="s">
        <v>5936</v>
      </c>
      <c r="F730" t="s">
        <v>4395</v>
      </c>
      <c r="G730" t="s">
        <v>3708</v>
      </c>
      <c r="H730" t="s">
        <v>5800</v>
      </c>
      <c r="I730" t="s">
        <v>50</v>
      </c>
      <c r="J730" t="s">
        <v>348</v>
      </c>
      <c r="K730" t="s">
        <v>4809</v>
      </c>
      <c r="M730" t="s">
        <v>2188</v>
      </c>
      <c r="N730" t="s">
        <v>2627</v>
      </c>
      <c r="O730" t="s">
        <v>24</v>
      </c>
    </row>
    <row r="731" spans="1:15" x14ac:dyDescent="0.25">
      <c r="A731">
        <v>730</v>
      </c>
      <c r="B731" t="str">
        <f>HYPERLINK("https://digitalcommons.unl.edu/cgi/viewcontent.cgi?article=2116&amp;context=tractormuseumlit","Click for test report")</f>
        <v>Click for test report</v>
      </c>
      <c r="C731">
        <v>1958</v>
      </c>
      <c r="D731" t="s">
        <v>5936</v>
      </c>
      <c r="F731" t="s">
        <v>4395</v>
      </c>
      <c r="G731" t="s">
        <v>3708</v>
      </c>
      <c r="H731" t="s">
        <v>5784</v>
      </c>
      <c r="I731" t="s">
        <v>50</v>
      </c>
      <c r="J731" t="s">
        <v>348</v>
      </c>
      <c r="K731" t="s">
        <v>4809</v>
      </c>
      <c r="M731" t="s">
        <v>2188</v>
      </c>
      <c r="N731" t="s">
        <v>2627</v>
      </c>
      <c r="O731" t="s">
        <v>6130</v>
      </c>
    </row>
    <row r="732" spans="1:15" x14ac:dyDescent="0.25">
      <c r="A732">
        <v>731</v>
      </c>
      <c r="B732" t="str">
        <f>HYPERLINK("https://digitalcommons.unl.edu/cgi/viewcontent.cgi?article=2117&amp;context=tractormuseumlit","Click for test report")</f>
        <v>Click for test report</v>
      </c>
      <c r="C732">
        <v>1958</v>
      </c>
      <c r="D732" t="s">
        <v>6085</v>
      </c>
      <c r="F732" t="s">
        <v>4395</v>
      </c>
      <c r="G732" t="s">
        <v>3708</v>
      </c>
      <c r="H732" t="s">
        <v>5814</v>
      </c>
      <c r="I732" t="s">
        <v>50</v>
      </c>
      <c r="J732" t="s">
        <v>348</v>
      </c>
      <c r="K732" t="s">
        <v>4809</v>
      </c>
      <c r="M732" t="s">
        <v>1009</v>
      </c>
      <c r="N732" t="s">
        <v>2627</v>
      </c>
      <c r="O732" t="s">
        <v>24</v>
      </c>
    </row>
    <row r="733" spans="1:15" x14ac:dyDescent="0.25">
      <c r="A733">
        <v>732</v>
      </c>
      <c r="B733" t="str">
        <f>HYPERLINK("https://digitalcommons.unl.edu/cgi/viewcontent.cgi?article=2118&amp;context=tractormuseumlit","Click for test report")</f>
        <v>Click for test report</v>
      </c>
      <c r="C733">
        <v>1958</v>
      </c>
      <c r="D733" t="s">
        <v>6147</v>
      </c>
      <c r="F733" t="s">
        <v>4395</v>
      </c>
      <c r="G733" t="s">
        <v>3708</v>
      </c>
      <c r="H733" t="s">
        <v>5938</v>
      </c>
      <c r="I733" t="s">
        <v>50</v>
      </c>
      <c r="J733" t="s">
        <v>348</v>
      </c>
      <c r="K733" t="s">
        <v>4809</v>
      </c>
      <c r="M733" t="s">
        <v>4745</v>
      </c>
      <c r="N733" t="s">
        <v>4397</v>
      </c>
      <c r="O733" t="s">
        <v>6084</v>
      </c>
    </row>
    <row r="734" spans="1:15" x14ac:dyDescent="0.25">
      <c r="A734">
        <v>733</v>
      </c>
      <c r="B734" t="str">
        <f>HYPERLINK("https://digitalcommons.unl.edu/cgi/viewcontent.cgi?article=2118&amp;context=tractormuseumlit","Click for test report")</f>
        <v>Click for test report</v>
      </c>
      <c r="C734">
        <v>1958</v>
      </c>
      <c r="D734" t="s">
        <v>6147</v>
      </c>
      <c r="F734" t="s">
        <v>4395</v>
      </c>
      <c r="G734" t="s">
        <v>3708</v>
      </c>
      <c r="H734" t="s">
        <v>6085</v>
      </c>
      <c r="I734" t="s">
        <v>50</v>
      </c>
      <c r="J734" t="s">
        <v>348</v>
      </c>
      <c r="K734" t="s">
        <v>4809</v>
      </c>
      <c r="M734" t="s">
        <v>4745</v>
      </c>
      <c r="N734" t="s">
        <v>4397</v>
      </c>
      <c r="O734" t="s">
        <v>24</v>
      </c>
    </row>
    <row r="735" spans="1:15" x14ac:dyDescent="0.25">
      <c r="A735">
        <v>734</v>
      </c>
      <c r="B735" t="str">
        <f>HYPERLINK("https://digitalcommons.unl.edu/cgi/viewcontent.cgi?article=2119&amp;context=tractormuseumlit","Click for test report")</f>
        <v>Click for test report</v>
      </c>
      <c r="C735">
        <v>1958</v>
      </c>
      <c r="D735" t="s">
        <v>6145</v>
      </c>
      <c r="F735" t="s">
        <v>4395</v>
      </c>
      <c r="G735" t="s">
        <v>3708</v>
      </c>
      <c r="H735" t="s">
        <v>6134</v>
      </c>
      <c r="I735" t="s">
        <v>50</v>
      </c>
      <c r="J735" t="s">
        <v>348</v>
      </c>
      <c r="K735" t="s">
        <v>4809</v>
      </c>
      <c r="M735" t="s">
        <v>2825</v>
      </c>
      <c r="N735" t="s">
        <v>4397</v>
      </c>
      <c r="O735" t="s">
        <v>24</v>
      </c>
    </row>
    <row r="736" spans="1:15" x14ac:dyDescent="0.25">
      <c r="A736">
        <v>735</v>
      </c>
      <c r="B736" t="str">
        <f>HYPERLINK("https://digitalcommons.unl.edu/cgi/viewcontent.cgi?article=2119&amp;context=tractormuseumlit","Click for test report")</f>
        <v>Click for test report</v>
      </c>
      <c r="C736">
        <v>1958</v>
      </c>
      <c r="D736" t="s">
        <v>6145</v>
      </c>
      <c r="F736" t="s">
        <v>4395</v>
      </c>
      <c r="G736" t="s">
        <v>3708</v>
      </c>
      <c r="H736" t="s">
        <v>6119</v>
      </c>
      <c r="I736" t="s">
        <v>50</v>
      </c>
      <c r="J736" t="s">
        <v>348</v>
      </c>
      <c r="K736" t="s">
        <v>4809</v>
      </c>
      <c r="M736" t="s">
        <v>2825</v>
      </c>
      <c r="N736" t="s">
        <v>4397</v>
      </c>
      <c r="O736" t="s">
        <v>6146</v>
      </c>
    </row>
    <row r="737" spans="1:15" x14ac:dyDescent="0.25">
      <c r="A737">
        <v>736</v>
      </c>
      <c r="B737" t="str">
        <f>HYPERLINK("https://digitalcommons.unl.edu/cgi/viewcontent.cgi?article=2120&amp;context=tractormuseumlit","Click for test report")</f>
        <v>Click for test report</v>
      </c>
      <c r="C737">
        <v>1958</v>
      </c>
      <c r="D737" t="s">
        <v>6143</v>
      </c>
      <c r="F737" t="s">
        <v>4325</v>
      </c>
      <c r="G737" t="s">
        <v>4325</v>
      </c>
      <c r="H737" t="s">
        <v>6144</v>
      </c>
      <c r="I737" t="s">
        <v>1961</v>
      </c>
      <c r="J737" t="s">
        <v>348</v>
      </c>
      <c r="K737" t="s">
        <v>5598</v>
      </c>
      <c r="M737" t="s">
        <v>735</v>
      </c>
      <c r="N737" t="s">
        <v>410</v>
      </c>
      <c r="O737" t="s">
        <v>5872</v>
      </c>
    </row>
    <row r="738" spans="1:15" x14ac:dyDescent="0.25">
      <c r="A738">
        <v>737</v>
      </c>
      <c r="B738" t="str">
        <f>HYPERLINK("https://digitalcommons.unl.edu/cgi/viewcontent.cgi?article=2121&amp;context=tractormuseumlit","Click for test report")</f>
        <v>Click for test report</v>
      </c>
      <c r="C738">
        <v>1958</v>
      </c>
      <c r="D738" t="s">
        <v>6141</v>
      </c>
      <c r="F738" t="s">
        <v>4325</v>
      </c>
      <c r="G738" t="s">
        <v>4325</v>
      </c>
      <c r="H738" t="s">
        <v>6142</v>
      </c>
      <c r="I738" t="s">
        <v>1961</v>
      </c>
      <c r="J738" t="s">
        <v>348</v>
      </c>
      <c r="K738" t="s">
        <v>5598</v>
      </c>
      <c r="M738" t="s">
        <v>4008</v>
      </c>
      <c r="N738" t="s">
        <v>4589</v>
      </c>
      <c r="O738" t="s">
        <v>24</v>
      </c>
    </row>
    <row r="739" spans="1:15" x14ac:dyDescent="0.25">
      <c r="A739">
        <v>738</v>
      </c>
      <c r="B739" t="str">
        <f>HYPERLINK("https://digitalcommons.unl.edu/cgi/viewcontent.cgi?article=2122&amp;context=tractormuseumlit","Click for test report")</f>
        <v>Click for test report</v>
      </c>
      <c r="C739">
        <v>1958</v>
      </c>
      <c r="D739" t="s">
        <v>6139</v>
      </c>
      <c r="F739" t="s">
        <v>3800</v>
      </c>
      <c r="G739" t="s">
        <v>4473</v>
      </c>
      <c r="H739" t="s">
        <v>6140</v>
      </c>
      <c r="I739" t="s">
        <v>50</v>
      </c>
      <c r="J739" t="s">
        <v>348</v>
      </c>
      <c r="K739" t="s">
        <v>4809</v>
      </c>
      <c r="M739" t="s">
        <v>2511</v>
      </c>
      <c r="N739" t="s">
        <v>2826</v>
      </c>
      <c r="O739" t="s">
        <v>24</v>
      </c>
    </row>
    <row r="740" spans="1:15" x14ac:dyDescent="0.25">
      <c r="A740">
        <v>739</v>
      </c>
      <c r="B740" t="str">
        <f>HYPERLINK("https://digitalcommons.unl.edu/cgi/viewcontent.cgi?article=1535&amp;context=tractormuseumlit","Click for test report")</f>
        <v>Click for test report</v>
      </c>
      <c r="C740">
        <v>1958</v>
      </c>
      <c r="D740" t="s">
        <v>6138</v>
      </c>
      <c r="F740" t="s">
        <v>5345</v>
      </c>
      <c r="G740" t="s">
        <v>5345</v>
      </c>
      <c r="H740" t="s">
        <v>5683</v>
      </c>
      <c r="I740" t="s">
        <v>50</v>
      </c>
      <c r="J740" t="s">
        <v>348</v>
      </c>
      <c r="K740" t="s">
        <v>4809</v>
      </c>
      <c r="M740" t="s">
        <v>725</v>
      </c>
      <c r="N740" t="s">
        <v>1994</v>
      </c>
      <c r="O740" t="s">
        <v>24</v>
      </c>
    </row>
    <row r="741" spans="1:15" x14ac:dyDescent="0.25">
      <c r="A741">
        <v>740</v>
      </c>
      <c r="B741" t="str">
        <f>HYPERLINK("https://digitalcommons.unl.edu/cgi/viewcontent.cgi?article=1536&amp;context=tractormuseumlit","Click for test report")</f>
        <v>Click for test report</v>
      </c>
      <c r="C741">
        <v>1958</v>
      </c>
      <c r="D741" t="s">
        <v>6137</v>
      </c>
      <c r="F741" t="s">
        <v>5345</v>
      </c>
      <c r="G741" t="s">
        <v>5345</v>
      </c>
      <c r="H741" t="s">
        <v>5467</v>
      </c>
      <c r="I741" t="s">
        <v>50</v>
      </c>
      <c r="J741" t="s">
        <v>348</v>
      </c>
      <c r="K741" t="s">
        <v>4809</v>
      </c>
      <c r="M741" t="s">
        <v>735</v>
      </c>
      <c r="N741" t="s">
        <v>3152</v>
      </c>
      <c r="O741" t="s">
        <v>24</v>
      </c>
    </row>
    <row r="742" spans="1:15" x14ac:dyDescent="0.25">
      <c r="A742">
        <v>741</v>
      </c>
      <c r="B742" t="str">
        <f>HYPERLINK("https://digitalcommons.unl.edu/cgi/viewcontent.cgi?article=1537&amp;context=tractormuseumlit","Click for test report")</f>
        <v>Click for test report</v>
      </c>
      <c r="C742">
        <v>1958</v>
      </c>
      <c r="D742" t="s">
        <v>6136</v>
      </c>
      <c r="F742" t="s">
        <v>5345</v>
      </c>
      <c r="G742" t="s">
        <v>5345</v>
      </c>
      <c r="H742" t="s">
        <v>5467</v>
      </c>
      <c r="I742" t="s">
        <v>50</v>
      </c>
      <c r="J742" t="s">
        <v>348</v>
      </c>
      <c r="K742" t="s">
        <v>21</v>
      </c>
      <c r="M742" t="s">
        <v>2188</v>
      </c>
      <c r="N742" t="s">
        <v>1009</v>
      </c>
      <c r="O742" t="s">
        <v>24</v>
      </c>
    </row>
    <row r="743" spans="1:15" x14ac:dyDescent="0.25">
      <c r="A743">
        <v>742</v>
      </c>
      <c r="B743" t="str">
        <f>HYPERLINK("https://digitalcommons.unl.edu/cgi/viewcontent.cgi?article=1538&amp;context=tractormuseumlit","Click for test report")</f>
        <v>Click for test report</v>
      </c>
      <c r="C743">
        <v>1958</v>
      </c>
      <c r="D743" t="s">
        <v>6135</v>
      </c>
      <c r="F743" t="s">
        <v>5345</v>
      </c>
      <c r="G743" t="s">
        <v>5345</v>
      </c>
      <c r="H743" t="s">
        <v>5683</v>
      </c>
      <c r="I743" t="s">
        <v>50</v>
      </c>
      <c r="J743" t="s">
        <v>348</v>
      </c>
      <c r="K743" t="s">
        <v>21</v>
      </c>
      <c r="M743" t="s">
        <v>731</v>
      </c>
      <c r="N743" t="s">
        <v>3319</v>
      </c>
      <c r="O743" t="s">
        <v>24</v>
      </c>
    </row>
    <row r="744" spans="1:15" x14ac:dyDescent="0.25">
      <c r="A744">
        <v>743</v>
      </c>
      <c r="B744" t="str">
        <f>HYPERLINK("https://digitalcommons.unl.edu/cgi/viewcontent.cgi?article=2123&amp;context=tractormuseumlit","Click for test report")</f>
        <v>Click for test report</v>
      </c>
      <c r="C744">
        <v>1958</v>
      </c>
      <c r="D744" t="s">
        <v>6134</v>
      </c>
      <c r="F744" t="s">
        <v>5347</v>
      </c>
      <c r="G744" t="s">
        <v>5347</v>
      </c>
      <c r="H744" t="s">
        <v>6133</v>
      </c>
      <c r="I744" t="s">
        <v>1961</v>
      </c>
      <c r="J744" t="s">
        <v>348</v>
      </c>
      <c r="K744" t="s">
        <v>5598</v>
      </c>
      <c r="M744" t="s">
        <v>1994</v>
      </c>
      <c r="N744" t="s">
        <v>1650</v>
      </c>
      <c r="O744" t="s">
        <v>24</v>
      </c>
    </row>
    <row r="745" spans="1:15" x14ac:dyDescent="0.25">
      <c r="A745">
        <v>744</v>
      </c>
      <c r="B745" t="str">
        <f>HYPERLINK("https://digitalcommons.unl.edu/cgi/viewcontent.cgi?article=2124&amp;context=tractormuseumlit","Click for test report")</f>
        <v>Click for test report</v>
      </c>
      <c r="C745">
        <v>1958</v>
      </c>
      <c r="D745" t="s">
        <v>6132</v>
      </c>
      <c r="F745" t="s">
        <v>5347</v>
      </c>
      <c r="G745" t="s">
        <v>5347</v>
      </c>
      <c r="H745" t="s">
        <v>6133</v>
      </c>
      <c r="I745" t="s">
        <v>1961</v>
      </c>
      <c r="J745" t="s">
        <v>348</v>
      </c>
      <c r="K745" t="s">
        <v>21</v>
      </c>
      <c r="M745" t="s">
        <v>1994</v>
      </c>
      <c r="N745" t="s">
        <v>1650</v>
      </c>
      <c r="O745" t="s">
        <v>24</v>
      </c>
    </row>
    <row r="746" spans="1:15" x14ac:dyDescent="0.25">
      <c r="A746">
        <v>745</v>
      </c>
      <c r="B746" t="str">
        <f>HYPERLINK("https://digitalcommons.unl.edu/cgi/viewcontent.cgi?article=2126&amp;context=tractormuseumlit","Click for test report")</f>
        <v>Click for test report</v>
      </c>
      <c r="C746">
        <v>1958</v>
      </c>
      <c r="D746" t="s">
        <v>6131</v>
      </c>
      <c r="F746" t="s">
        <v>4395</v>
      </c>
      <c r="G746" t="s">
        <v>3708</v>
      </c>
      <c r="H746" t="s">
        <v>5814</v>
      </c>
      <c r="I746" t="s">
        <v>50</v>
      </c>
      <c r="J746" t="s">
        <v>348</v>
      </c>
      <c r="K746" t="s">
        <v>21</v>
      </c>
      <c r="M746" t="s">
        <v>2826</v>
      </c>
      <c r="N746" t="s">
        <v>3973</v>
      </c>
      <c r="O746" t="s">
        <v>24</v>
      </c>
    </row>
    <row r="747" spans="1:15" x14ac:dyDescent="0.25">
      <c r="A747">
        <v>746</v>
      </c>
      <c r="B747" t="str">
        <f>HYPERLINK("https://digitalcommons.unl.edu/cgi/viewcontent.cgi?article=1121&amp;context=tractormuseumlit","Click for test report")</f>
        <v>Click for test report</v>
      </c>
      <c r="C747">
        <v>1958</v>
      </c>
      <c r="D747" t="s">
        <v>6129</v>
      </c>
      <c r="F747" t="s">
        <v>4395</v>
      </c>
      <c r="G747" t="s">
        <v>3708</v>
      </c>
      <c r="H747" t="s">
        <v>5800</v>
      </c>
      <c r="I747" t="s">
        <v>50</v>
      </c>
      <c r="J747" t="s">
        <v>348</v>
      </c>
      <c r="K747" t="s">
        <v>21</v>
      </c>
      <c r="M747" t="s">
        <v>2627</v>
      </c>
      <c r="N747" t="s">
        <v>3973</v>
      </c>
      <c r="O747" t="s">
        <v>24</v>
      </c>
    </row>
    <row r="748" spans="1:15" x14ac:dyDescent="0.25">
      <c r="A748">
        <v>747</v>
      </c>
      <c r="B748" t="str">
        <f>HYPERLINK("https://digitalcommons.unl.edu/cgi/viewcontent.cgi?article=1121&amp;context=tractormuseumlit","Click for test report")</f>
        <v>Click for test report</v>
      </c>
      <c r="C748">
        <v>1958</v>
      </c>
      <c r="D748" t="s">
        <v>6129</v>
      </c>
      <c r="F748" t="s">
        <v>4395</v>
      </c>
      <c r="G748" t="s">
        <v>3708</v>
      </c>
      <c r="H748" t="s">
        <v>5784</v>
      </c>
      <c r="I748" t="s">
        <v>50</v>
      </c>
      <c r="J748" t="s">
        <v>348</v>
      </c>
      <c r="K748" t="s">
        <v>21</v>
      </c>
      <c r="M748" t="s">
        <v>2627</v>
      </c>
      <c r="N748" t="s">
        <v>3973</v>
      </c>
      <c r="O748" t="s">
        <v>6130</v>
      </c>
    </row>
    <row r="749" spans="1:15" x14ac:dyDescent="0.25">
      <c r="A749">
        <v>748</v>
      </c>
      <c r="B749" t="str">
        <f>HYPERLINK("https://digitalcommons.unl.edu/cgi/viewcontent.cgi?article=1539&amp;context=tractormuseumlit","Click for test report")</f>
        <v>Click for test report</v>
      </c>
      <c r="C749">
        <v>1958</v>
      </c>
      <c r="D749" t="s">
        <v>6128</v>
      </c>
      <c r="F749" t="s">
        <v>5345</v>
      </c>
      <c r="G749" t="s">
        <v>5345</v>
      </c>
      <c r="H749" t="s">
        <v>6127</v>
      </c>
      <c r="I749" t="s">
        <v>50</v>
      </c>
      <c r="J749" t="s">
        <v>96</v>
      </c>
      <c r="K749" t="s">
        <v>21</v>
      </c>
      <c r="M749" t="s">
        <v>4013</v>
      </c>
      <c r="N749" t="s">
        <v>4355</v>
      </c>
      <c r="O749" t="s">
        <v>24</v>
      </c>
    </row>
    <row r="750" spans="1:15" x14ac:dyDescent="0.25">
      <c r="A750">
        <v>749</v>
      </c>
      <c r="B750" t="str">
        <f>HYPERLINK("https://digitalcommons.unl.edu/cgi/viewcontent.cgi?article=1540&amp;context=tractormuseumlit","Click for test report")</f>
        <v>Click for test report</v>
      </c>
      <c r="C750">
        <v>1958</v>
      </c>
      <c r="D750" t="s">
        <v>6126</v>
      </c>
      <c r="F750" t="s">
        <v>5345</v>
      </c>
      <c r="G750" t="s">
        <v>5345</v>
      </c>
      <c r="H750" t="s">
        <v>6127</v>
      </c>
      <c r="I750" t="s">
        <v>50</v>
      </c>
      <c r="J750" t="s">
        <v>96</v>
      </c>
      <c r="K750" t="s">
        <v>4809</v>
      </c>
      <c r="M750" t="s">
        <v>4590</v>
      </c>
      <c r="N750" t="s">
        <v>4358</v>
      </c>
      <c r="O750" t="s">
        <v>24</v>
      </c>
    </row>
    <row r="751" spans="1:15" x14ac:dyDescent="0.25">
      <c r="A751">
        <v>750</v>
      </c>
      <c r="B751" t="str">
        <f>HYPERLINK("https://digitalcommons.unl.edu/cgi/viewcontent.cgi?article=2127&amp;context=tractormuseumlit","Click for test report")</f>
        <v>Click for test report</v>
      </c>
      <c r="C751">
        <v>1958</v>
      </c>
      <c r="D751" t="s">
        <v>6125</v>
      </c>
      <c r="F751" t="s">
        <v>778</v>
      </c>
      <c r="G751" t="s">
        <v>778</v>
      </c>
      <c r="H751" t="s">
        <v>5878</v>
      </c>
      <c r="I751" t="s">
        <v>50</v>
      </c>
      <c r="J751" t="s">
        <v>348</v>
      </c>
      <c r="K751" t="s">
        <v>5598</v>
      </c>
      <c r="M751" t="s">
        <v>3152</v>
      </c>
      <c r="N751" t="s">
        <v>1802</v>
      </c>
      <c r="O751" t="s">
        <v>24</v>
      </c>
    </row>
    <row r="752" spans="1:15" x14ac:dyDescent="0.25">
      <c r="A752">
        <v>751</v>
      </c>
      <c r="B752" t="str">
        <f>HYPERLINK("https://digitalcommons.unl.edu/cgi/viewcontent.cgi?article=2128&amp;context=tractormuseumlit","Click for test report")</f>
        <v>Click for test report</v>
      </c>
      <c r="C752">
        <v>1958</v>
      </c>
      <c r="D752" t="s">
        <v>6124</v>
      </c>
      <c r="F752" t="s">
        <v>778</v>
      </c>
      <c r="G752" t="s">
        <v>778</v>
      </c>
      <c r="H752" t="s">
        <v>5880</v>
      </c>
      <c r="I752" t="s">
        <v>50</v>
      </c>
      <c r="J752" t="s">
        <v>348</v>
      </c>
      <c r="K752" t="s">
        <v>5598</v>
      </c>
      <c r="M752" t="s">
        <v>4012</v>
      </c>
      <c r="N752" t="s">
        <v>4397</v>
      </c>
      <c r="O752" t="s">
        <v>24</v>
      </c>
    </row>
    <row r="753" spans="1:15" x14ac:dyDescent="0.25">
      <c r="A753">
        <v>752</v>
      </c>
      <c r="B753" t="str">
        <f>HYPERLINK("https://digitalcommons.unl.edu/cgi/viewcontent.cgi?article=2129&amp;context=tractormuseumlit","Click for test report")</f>
        <v>Click for test report</v>
      </c>
      <c r="C753">
        <v>1958</v>
      </c>
      <c r="D753" t="s">
        <v>6123</v>
      </c>
      <c r="F753" t="s">
        <v>778</v>
      </c>
      <c r="G753" t="s">
        <v>778</v>
      </c>
      <c r="H753" t="s">
        <v>5878</v>
      </c>
      <c r="I753" t="s">
        <v>50</v>
      </c>
      <c r="J753" t="s">
        <v>348</v>
      </c>
      <c r="K753" t="s">
        <v>4809</v>
      </c>
      <c r="M753" t="s">
        <v>410</v>
      </c>
      <c r="N753" t="s">
        <v>2627</v>
      </c>
      <c r="O753" t="s">
        <v>24</v>
      </c>
    </row>
    <row r="754" spans="1:15" x14ac:dyDescent="0.25">
      <c r="A754">
        <v>753</v>
      </c>
      <c r="B754" t="str">
        <f>HYPERLINK("https://digitalcommons.unl.edu/cgi/viewcontent.cgi?article=1541&amp;context=tractormuseumlit","Click for test report")</f>
        <v>Click for test report</v>
      </c>
      <c r="C754">
        <v>1958</v>
      </c>
      <c r="D754" t="s">
        <v>6020</v>
      </c>
      <c r="F754" t="s">
        <v>5345</v>
      </c>
      <c r="G754" t="s">
        <v>5345</v>
      </c>
      <c r="H754" t="s">
        <v>5113</v>
      </c>
      <c r="I754" t="s">
        <v>50</v>
      </c>
      <c r="J754" t="s">
        <v>348</v>
      </c>
      <c r="K754" t="s">
        <v>21</v>
      </c>
      <c r="M754" t="s">
        <v>1257</v>
      </c>
      <c r="N754" t="s">
        <v>725</v>
      </c>
      <c r="O754" t="s">
        <v>24</v>
      </c>
    </row>
    <row r="755" spans="1:15" x14ac:dyDescent="0.25">
      <c r="A755">
        <v>754</v>
      </c>
      <c r="B755" t="str">
        <f>HYPERLINK("https://digitalcommons.unl.edu/cgi/viewcontent.cgi?article=1542&amp;context=tractormuseumlit","Click for test report")</f>
        <v>Click for test report</v>
      </c>
      <c r="C755">
        <v>1958</v>
      </c>
      <c r="D755" t="s">
        <v>6119</v>
      </c>
      <c r="F755" t="s">
        <v>5345</v>
      </c>
      <c r="G755" t="s">
        <v>778</v>
      </c>
      <c r="H755" t="s">
        <v>6121</v>
      </c>
      <c r="I755" t="s">
        <v>50</v>
      </c>
      <c r="J755" t="s">
        <v>348</v>
      </c>
      <c r="K755" t="s">
        <v>21</v>
      </c>
      <c r="M755" t="s">
        <v>343</v>
      </c>
      <c r="N755" t="s">
        <v>378</v>
      </c>
      <c r="O755" t="s">
        <v>6122</v>
      </c>
    </row>
    <row r="756" spans="1:15" x14ac:dyDescent="0.25">
      <c r="A756">
        <v>755</v>
      </c>
      <c r="B756" t="str">
        <f>HYPERLINK("https://digitalcommons.unl.edu/cgi/viewcontent.cgi?article=1542&amp;context=tractormuseumlit","Click for test report")</f>
        <v>Click for test report</v>
      </c>
      <c r="C756">
        <v>1958</v>
      </c>
      <c r="D756" t="s">
        <v>6119</v>
      </c>
      <c r="F756" t="s">
        <v>5345</v>
      </c>
      <c r="G756" t="s">
        <v>5345</v>
      </c>
      <c r="H756" t="s">
        <v>6120</v>
      </c>
      <c r="I756" t="s">
        <v>50</v>
      </c>
      <c r="J756" t="s">
        <v>348</v>
      </c>
      <c r="K756" t="s">
        <v>21</v>
      </c>
      <c r="M756" t="s">
        <v>343</v>
      </c>
      <c r="N756" t="s">
        <v>378</v>
      </c>
      <c r="O756" t="s">
        <v>24</v>
      </c>
    </row>
    <row r="757" spans="1:15" x14ac:dyDescent="0.25">
      <c r="A757">
        <v>756</v>
      </c>
      <c r="B757" t="str">
        <f>HYPERLINK("https://digitalcommons.unl.edu/cgi/viewcontent.cgi?article=1543&amp;context=tractormuseumlit","Click for test report")</f>
        <v>Click for test report</v>
      </c>
      <c r="C757">
        <v>1958</v>
      </c>
      <c r="D757" t="s">
        <v>6117</v>
      </c>
      <c r="F757" t="s">
        <v>5345</v>
      </c>
      <c r="G757" t="s">
        <v>5345</v>
      </c>
      <c r="H757" t="s">
        <v>6118</v>
      </c>
      <c r="I757" t="s">
        <v>5776</v>
      </c>
      <c r="J757" t="s">
        <v>348</v>
      </c>
      <c r="K757" t="s">
        <v>21</v>
      </c>
      <c r="M757" t="s">
        <v>1796</v>
      </c>
      <c r="N757" t="s">
        <v>764</v>
      </c>
      <c r="O757" t="s">
        <v>24</v>
      </c>
    </row>
    <row r="758" spans="1:15" x14ac:dyDescent="0.25">
      <c r="A758">
        <v>757</v>
      </c>
      <c r="B758" t="str">
        <f>HYPERLINK("https://digitalcommons.unl.edu/cgi/viewcontent.cgi?article=2130&amp;context=tractormuseumlit","Click for test report")</f>
        <v>Click for test report</v>
      </c>
      <c r="C758">
        <v>1958</v>
      </c>
      <c r="D758" t="s">
        <v>6115</v>
      </c>
      <c r="F758" t="s">
        <v>5876</v>
      </c>
      <c r="G758" t="s">
        <v>5734</v>
      </c>
      <c r="H758" t="s">
        <v>6116</v>
      </c>
      <c r="I758" t="s">
        <v>50</v>
      </c>
      <c r="J758" t="s">
        <v>348</v>
      </c>
      <c r="K758" t="s">
        <v>21</v>
      </c>
      <c r="M758" t="s">
        <v>3388</v>
      </c>
      <c r="N758" t="s">
        <v>4008</v>
      </c>
      <c r="O758" t="s">
        <v>24</v>
      </c>
    </row>
    <row r="759" spans="1:15" x14ac:dyDescent="0.25">
      <c r="A759">
        <v>758</v>
      </c>
      <c r="B759" t="str">
        <f>HYPERLINK("https://digitalcommons.unl.edu/cgi/viewcontent.cgi?article=2131&amp;context=tractormuseumlit","Click for test report")</f>
        <v>Click for test report</v>
      </c>
      <c r="C759">
        <v>1958</v>
      </c>
      <c r="D759" t="s">
        <v>6113</v>
      </c>
      <c r="F759" t="s">
        <v>4325</v>
      </c>
      <c r="G759" t="s">
        <v>4325</v>
      </c>
      <c r="H759" t="s">
        <v>6114</v>
      </c>
      <c r="I759" t="s">
        <v>5776</v>
      </c>
      <c r="J759" t="s">
        <v>96</v>
      </c>
      <c r="K759" t="s">
        <v>21</v>
      </c>
      <c r="N759" t="s">
        <v>325</v>
      </c>
      <c r="O759" t="s">
        <v>2163</v>
      </c>
    </row>
    <row r="760" spans="1:15" x14ac:dyDescent="0.25">
      <c r="A760">
        <v>759</v>
      </c>
      <c r="B760" t="str">
        <f>HYPERLINK("https://digitalcommons.unl.edu/cgi/viewcontent.cgi?article=2132&amp;context=tractormuseumlit","Click for test report")</f>
        <v>Click for test report</v>
      </c>
      <c r="C760">
        <v>1958</v>
      </c>
      <c r="D760" t="s">
        <v>6111</v>
      </c>
      <c r="F760" t="s">
        <v>4503</v>
      </c>
      <c r="G760" t="s">
        <v>4504</v>
      </c>
      <c r="H760" t="s">
        <v>6112</v>
      </c>
      <c r="I760" t="s">
        <v>50</v>
      </c>
      <c r="J760" t="s">
        <v>348</v>
      </c>
      <c r="K760" t="s">
        <v>4809</v>
      </c>
      <c r="M760" t="s">
        <v>3388</v>
      </c>
      <c r="N760" t="s">
        <v>4008</v>
      </c>
      <c r="O760" t="s">
        <v>5550</v>
      </c>
    </row>
    <row r="761" spans="1:15" x14ac:dyDescent="0.25">
      <c r="A761">
        <v>760</v>
      </c>
      <c r="B761" t="str">
        <f>HYPERLINK("https://digitalcommons.unl.edu/cgi/viewcontent.cgi?article=2132&amp;context=tractormuseumlit","Click for test report")</f>
        <v>Click for test report</v>
      </c>
      <c r="C761">
        <v>1958</v>
      </c>
      <c r="D761" t="s">
        <v>6111</v>
      </c>
      <c r="F761" t="s">
        <v>4503</v>
      </c>
      <c r="G761" t="s">
        <v>4504</v>
      </c>
      <c r="H761" t="s">
        <v>5933</v>
      </c>
      <c r="I761" t="s">
        <v>50</v>
      </c>
      <c r="J761" t="s">
        <v>348</v>
      </c>
      <c r="K761" t="s">
        <v>4809</v>
      </c>
      <c r="M761" t="s">
        <v>3388</v>
      </c>
      <c r="N761" t="s">
        <v>4008</v>
      </c>
      <c r="O761" t="s">
        <v>24</v>
      </c>
    </row>
    <row r="762" spans="1:15" x14ac:dyDescent="0.25">
      <c r="A762">
        <v>761</v>
      </c>
      <c r="B762" t="str">
        <f>HYPERLINK("https://digitalcommons.unl.edu/cgi/viewcontent.cgi?article=2133&amp;context=tractormuseumlit","Click for test report")</f>
        <v>Click for test report</v>
      </c>
      <c r="C762">
        <v>1958</v>
      </c>
      <c r="D762" t="s">
        <v>5365</v>
      </c>
      <c r="F762" t="s">
        <v>4503</v>
      </c>
      <c r="G762" t="s">
        <v>4504</v>
      </c>
      <c r="H762" t="s">
        <v>4199</v>
      </c>
      <c r="I762" t="s">
        <v>50</v>
      </c>
      <c r="J762" t="s">
        <v>348</v>
      </c>
      <c r="K762" t="s">
        <v>4809</v>
      </c>
      <c r="M762" t="s">
        <v>4358</v>
      </c>
      <c r="N762" t="s">
        <v>4008</v>
      </c>
      <c r="O762" t="s">
        <v>6110</v>
      </c>
    </row>
    <row r="763" spans="1:15" x14ac:dyDescent="0.25">
      <c r="A763">
        <v>762</v>
      </c>
      <c r="B763" t="str">
        <f>HYPERLINK("https://digitalcommons.unl.edu/cgi/viewcontent.cgi?article=4346&amp;context=tractormuseumlit","Click for test report")</f>
        <v>Click for test report</v>
      </c>
      <c r="C763">
        <v>1958</v>
      </c>
      <c r="D763" t="s">
        <v>6109</v>
      </c>
      <c r="F763" t="s">
        <v>4503</v>
      </c>
      <c r="G763" t="s">
        <v>4504</v>
      </c>
      <c r="H763" t="s">
        <v>4563</v>
      </c>
      <c r="I763" t="s">
        <v>50</v>
      </c>
      <c r="J763" t="s">
        <v>348</v>
      </c>
      <c r="K763" t="s">
        <v>4809</v>
      </c>
      <c r="M763" t="s">
        <v>4440</v>
      </c>
      <c r="N763" t="s">
        <v>4352</v>
      </c>
      <c r="O763" t="s">
        <v>24</v>
      </c>
    </row>
    <row r="764" spans="1:15" x14ac:dyDescent="0.25">
      <c r="A764">
        <v>763</v>
      </c>
      <c r="B764" t="str">
        <f>HYPERLINK("https://digitalcommons.unl.edu/cgi/viewcontent.cgi?article=2137&amp;context=tractormuseumlit","Click for test report")</f>
        <v>Click for test report</v>
      </c>
      <c r="C764">
        <v>1958</v>
      </c>
      <c r="D764" t="s">
        <v>6107</v>
      </c>
      <c r="F764" t="s">
        <v>4503</v>
      </c>
      <c r="G764" t="s">
        <v>4504</v>
      </c>
      <c r="H764" t="s">
        <v>6108</v>
      </c>
      <c r="I764" t="s">
        <v>50</v>
      </c>
      <c r="J764" t="s">
        <v>348</v>
      </c>
      <c r="K764" t="s">
        <v>4809</v>
      </c>
      <c r="M764" t="s">
        <v>4440</v>
      </c>
      <c r="N764" t="s">
        <v>4589</v>
      </c>
      <c r="O764" t="s">
        <v>24</v>
      </c>
    </row>
    <row r="765" spans="1:15" x14ac:dyDescent="0.25">
      <c r="A765">
        <v>764</v>
      </c>
      <c r="B765" t="str">
        <f>HYPERLINK("https://digitalcommons.unl.edu/cgi/viewcontent.cgi?article=2138&amp;context=tractormuseumlit","Click for test report")</f>
        <v>Click for test report</v>
      </c>
      <c r="C765">
        <v>1958</v>
      </c>
      <c r="D765" t="s">
        <v>6106</v>
      </c>
      <c r="F765" t="s">
        <v>4503</v>
      </c>
      <c r="G765" t="s">
        <v>4504</v>
      </c>
      <c r="H765" t="s">
        <v>5148</v>
      </c>
      <c r="I765" t="s">
        <v>1961</v>
      </c>
      <c r="J765" t="s">
        <v>348</v>
      </c>
      <c r="K765" t="s">
        <v>21</v>
      </c>
      <c r="M765" t="s">
        <v>731</v>
      </c>
      <c r="N765" t="s">
        <v>1994</v>
      </c>
      <c r="O765" t="s">
        <v>5550</v>
      </c>
    </row>
    <row r="766" spans="1:15" x14ac:dyDescent="0.25">
      <c r="A766">
        <v>765</v>
      </c>
      <c r="B766" t="str">
        <f>HYPERLINK("https://digitalcommons.unl.edu/cgi/viewcontent.cgi?article=2139&amp;context=tractormuseumlit","Click for test report")</f>
        <v>Click for test report</v>
      </c>
      <c r="C766">
        <v>1958</v>
      </c>
      <c r="D766" t="s">
        <v>4526</v>
      </c>
      <c r="F766" t="s">
        <v>4503</v>
      </c>
      <c r="G766" t="s">
        <v>4504</v>
      </c>
      <c r="H766" t="s">
        <v>5151</v>
      </c>
      <c r="I766" t="s">
        <v>1961</v>
      </c>
      <c r="J766" t="s">
        <v>348</v>
      </c>
      <c r="K766" t="s">
        <v>4809</v>
      </c>
      <c r="M766" t="s">
        <v>1650</v>
      </c>
      <c r="N766" t="s">
        <v>2511</v>
      </c>
      <c r="O766" t="s">
        <v>5550</v>
      </c>
    </row>
    <row r="767" spans="1:15" x14ac:dyDescent="0.25">
      <c r="A767">
        <v>766</v>
      </c>
      <c r="B767" t="str">
        <f>HYPERLINK("https://digitalcommons.unl.edu/cgi/viewcontent.cgi?article=2140&amp;context=tractormuseumlit","Click for test report")</f>
        <v>Click for test report</v>
      </c>
      <c r="C767">
        <v>1958</v>
      </c>
      <c r="D767" t="s">
        <v>6048</v>
      </c>
      <c r="F767" t="s">
        <v>4503</v>
      </c>
      <c r="G767" t="s">
        <v>4504</v>
      </c>
      <c r="H767" t="s">
        <v>5148</v>
      </c>
      <c r="I767" t="s">
        <v>1961</v>
      </c>
      <c r="J767" t="s">
        <v>348</v>
      </c>
      <c r="K767" t="s">
        <v>4809</v>
      </c>
      <c r="M767" t="s">
        <v>728</v>
      </c>
      <c r="N767" t="s">
        <v>353</v>
      </c>
      <c r="O767" t="s">
        <v>5550</v>
      </c>
    </row>
    <row r="768" spans="1:15" x14ac:dyDescent="0.25">
      <c r="A768">
        <v>767</v>
      </c>
      <c r="B768" t="str">
        <f>HYPERLINK("https://digitalcommons.unl.edu/cgi/viewcontent.cgi?article=2141&amp;context=tractormuseumlit","Click for test report")</f>
        <v>Click for test report</v>
      </c>
      <c r="C768">
        <v>1958</v>
      </c>
      <c r="D768" t="s">
        <v>6105</v>
      </c>
      <c r="F768" t="s">
        <v>4503</v>
      </c>
      <c r="G768" t="s">
        <v>4504</v>
      </c>
      <c r="H768" t="s">
        <v>5151</v>
      </c>
      <c r="I768" t="s">
        <v>1961</v>
      </c>
      <c r="J768" t="s">
        <v>348</v>
      </c>
      <c r="K768" t="s">
        <v>21</v>
      </c>
      <c r="M768" t="s">
        <v>735</v>
      </c>
      <c r="N768" t="s">
        <v>410</v>
      </c>
      <c r="O768" t="s">
        <v>5550</v>
      </c>
    </row>
    <row r="769" spans="1:15" x14ac:dyDescent="0.25">
      <c r="A769">
        <v>768</v>
      </c>
      <c r="B769" t="str">
        <f>HYPERLINK("https://digitalcommons.unl.edu/cgi/viewcontent.cgi?article=2142&amp;context=tractormuseumlit","Click for test report")</f>
        <v>Click for test report</v>
      </c>
      <c r="C769">
        <v>1958</v>
      </c>
      <c r="D769" t="s">
        <v>6104</v>
      </c>
      <c r="F769" t="s">
        <v>4503</v>
      </c>
      <c r="G769" t="s">
        <v>4504</v>
      </c>
      <c r="H769" t="s">
        <v>6101</v>
      </c>
      <c r="I769" t="s">
        <v>1961</v>
      </c>
      <c r="J769" t="s">
        <v>348</v>
      </c>
      <c r="K769" t="s">
        <v>21</v>
      </c>
      <c r="M769" t="s">
        <v>735</v>
      </c>
      <c r="N769" t="s">
        <v>2511</v>
      </c>
      <c r="O769" t="s">
        <v>24</v>
      </c>
    </row>
    <row r="770" spans="1:15" x14ac:dyDescent="0.25">
      <c r="A770">
        <v>769</v>
      </c>
      <c r="B770" t="str">
        <f>HYPERLINK("https://digitalcommons.unl.edu/cgi/viewcontent.cgi?article=2143&amp;context=tractormuseumlit","Click for test report")</f>
        <v>Click for test report</v>
      </c>
      <c r="C770">
        <v>1958</v>
      </c>
      <c r="D770" t="s">
        <v>5394</v>
      </c>
      <c r="F770" t="s">
        <v>4503</v>
      </c>
      <c r="G770" t="s">
        <v>4504</v>
      </c>
      <c r="H770" t="s">
        <v>6101</v>
      </c>
      <c r="I770" t="s">
        <v>1961</v>
      </c>
      <c r="J770" t="s">
        <v>348</v>
      </c>
      <c r="K770" t="s">
        <v>4809</v>
      </c>
      <c r="M770" t="s">
        <v>1650</v>
      </c>
      <c r="N770" t="s">
        <v>2511</v>
      </c>
      <c r="O770" t="s">
        <v>24</v>
      </c>
    </row>
    <row r="771" spans="1:15" x14ac:dyDescent="0.25">
      <c r="A771">
        <v>770</v>
      </c>
      <c r="B771" t="str">
        <f>HYPERLINK("https://digitalcommons.unl.edu/cgi/viewcontent.cgi?article=2144&amp;context=tractormuseumlit","Click for test report")</f>
        <v>Click for test report</v>
      </c>
      <c r="C771">
        <v>1958</v>
      </c>
      <c r="D771" t="s">
        <v>6103</v>
      </c>
      <c r="F771" t="s">
        <v>4503</v>
      </c>
      <c r="G771" t="s">
        <v>4504</v>
      </c>
      <c r="H771" t="s">
        <v>5148</v>
      </c>
      <c r="I771" t="s">
        <v>1961</v>
      </c>
      <c r="J771" t="s">
        <v>348</v>
      </c>
      <c r="K771" t="s">
        <v>5598</v>
      </c>
      <c r="M771" t="s">
        <v>1051</v>
      </c>
      <c r="N771" t="s">
        <v>1970</v>
      </c>
      <c r="O771" t="s">
        <v>5550</v>
      </c>
    </row>
    <row r="772" spans="1:15" x14ac:dyDescent="0.25">
      <c r="A772">
        <v>771</v>
      </c>
      <c r="B772" t="str">
        <f>HYPERLINK("https://digitalcommons.unl.edu/cgi/viewcontent.cgi?article=2145&amp;context=tractormuseumlit","Click for test report")</f>
        <v>Click for test report</v>
      </c>
      <c r="C772">
        <v>1958</v>
      </c>
      <c r="D772" t="s">
        <v>6102</v>
      </c>
      <c r="F772" t="s">
        <v>4503</v>
      </c>
      <c r="G772" t="s">
        <v>4504</v>
      </c>
      <c r="H772" t="s">
        <v>5151</v>
      </c>
      <c r="I772" t="s">
        <v>1961</v>
      </c>
      <c r="J772" t="s">
        <v>348</v>
      </c>
      <c r="K772" t="s">
        <v>5598</v>
      </c>
      <c r="M772" t="s">
        <v>1650</v>
      </c>
      <c r="N772" t="s">
        <v>410</v>
      </c>
      <c r="O772" t="s">
        <v>5550</v>
      </c>
    </row>
    <row r="773" spans="1:15" x14ac:dyDescent="0.25">
      <c r="A773">
        <v>772</v>
      </c>
      <c r="B773" t="str">
        <f>HYPERLINK("https://digitalcommons.unl.edu/cgi/viewcontent.cgi?article=2146&amp;context=tractormuseumlit","Click for test report")</f>
        <v>Click for test report</v>
      </c>
      <c r="C773">
        <v>1958</v>
      </c>
      <c r="D773" t="s">
        <v>6100</v>
      </c>
      <c r="F773" t="s">
        <v>4503</v>
      </c>
      <c r="G773" t="s">
        <v>4504</v>
      </c>
      <c r="H773" t="s">
        <v>6101</v>
      </c>
      <c r="I773" t="s">
        <v>1961</v>
      </c>
      <c r="J773" t="s">
        <v>348</v>
      </c>
      <c r="K773" t="s">
        <v>5598</v>
      </c>
      <c r="M773" t="s">
        <v>2188</v>
      </c>
      <c r="N773" t="s">
        <v>2511</v>
      </c>
      <c r="O773" t="s">
        <v>24</v>
      </c>
    </row>
    <row r="774" spans="1:15" x14ac:dyDescent="0.25">
      <c r="A774">
        <v>773</v>
      </c>
      <c r="B774" t="str">
        <f>HYPERLINK("https://digitalcommons.unl.edu/cgi/viewcontent.cgi?article=2147&amp;context=tractormuseumlit","Click for test report")</f>
        <v>Click for test report</v>
      </c>
      <c r="C774">
        <v>1958</v>
      </c>
      <c r="D774" t="s">
        <v>6099</v>
      </c>
      <c r="F774" t="s">
        <v>3800</v>
      </c>
      <c r="G774" t="s">
        <v>4473</v>
      </c>
      <c r="H774" t="s">
        <v>6069</v>
      </c>
      <c r="I774" t="s">
        <v>50</v>
      </c>
      <c r="J774" t="s">
        <v>348</v>
      </c>
      <c r="K774" t="s">
        <v>4809</v>
      </c>
      <c r="M774" t="s">
        <v>3319</v>
      </c>
      <c r="N774" t="s">
        <v>410</v>
      </c>
      <c r="O774" t="s">
        <v>24</v>
      </c>
    </row>
    <row r="775" spans="1:15" x14ac:dyDescent="0.25">
      <c r="A775">
        <v>774</v>
      </c>
      <c r="B775" t="str">
        <f>HYPERLINK("https://digitalcommons.unl.edu/cgi/viewcontent.cgi?article=2148&amp;context=tractormuseumlit","Click for test report")</f>
        <v>Click for test report</v>
      </c>
      <c r="C775">
        <v>1958</v>
      </c>
      <c r="D775" t="s">
        <v>6098</v>
      </c>
      <c r="F775" t="s">
        <v>3800</v>
      </c>
      <c r="G775" t="s">
        <v>4473</v>
      </c>
      <c r="H775" t="s">
        <v>6067</v>
      </c>
      <c r="I775" t="s">
        <v>5776</v>
      </c>
      <c r="J775" t="s">
        <v>348</v>
      </c>
      <c r="K775" t="s">
        <v>4809</v>
      </c>
      <c r="M775" t="s">
        <v>3123</v>
      </c>
      <c r="N775" t="s">
        <v>1650</v>
      </c>
      <c r="O775" t="s">
        <v>24</v>
      </c>
    </row>
    <row r="776" spans="1:15" x14ac:dyDescent="0.25">
      <c r="A776">
        <v>775</v>
      </c>
      <c r="B776" t="str">
        <f>HYPERLINK("https://digitalcommons.unl.edu/cgi/viewcontent.cgi?article=2148&amp;context=tractormuseumlit","Click for test report")</f>
        <v>Click for test report</v>
      </c>
      <c r="C776">
        <v>1958</v>
      </c>
      <c r="D776" t="s">
        <v>6098</v>
      </c>
      <c r="F776" t="s">
        <v>3800</v>
      </c>
      <c r="G776" t="s">
        <v>4473</v>
      </c>
      <c r="H776" t="s">
        <v>6066</v>
      </c>
      <c r="I776" t="s">
        <v>5776</v>
      </c>
      <c r="J776" t="s">
        <v>348</v>
      </c>
      <c r="K776" t="s">
        <v>4809</v>
      </c>
      <c r="M776" t="s">
        <v>3123</v>
      </c>
      <c r="N776" t="s">
        <v>2090</v>
      </c>
      <c r="O776" t="s">
        <v>24</v>
      </c>
    </row>
    <row r="777" spans="1:15" x14ac:dyDescent="0.25">
      <c r="A777">
        <v>776</v>
      </c>
      <c r="B777" t="str">
        <f>HYPERLINK("https://digitalcommons.unl.edu/cgi/viewcontent.cgi?article=2149&amp;context=tractormuseumlit","Click for test report")</f>
        <v>Click for test report</v>
      </c>
      <c r="C777">
        <v>1958</v>
      </c>
      <c r="D777" t="s">
        <v>6095</v>
      </c>
      <c r="F777" t="s">
        <v>3800</v>
      </c>
      <c r="G777" t="s">
        <v>4473</v>
      </c>
      <c r="H777" t="s">
        <v>6097</v>
      </c>
      <c r="I777" t="s">
        <v>5776</v>
      </c>
      <c r="J777" t="s">
        <v>348</v>
      </c>
      <c r="K777" t="s">
        <v>21</v>
      </c>
      <c r="M777" t="s">
        <v>1994</v>
      </c>
      <c r="N777" t="s">
        <v>750</v>
      </c>
      <c r="O777" t="s">
        <v>24</v>
      </c>
    </row>
    <row r="778" spans="1:15" x14ac:dyDescent="0.25">
      <c r="A778">
        <v>777</v>
      </c>
      <c r="B778" t="str">
        <f>HYPERLINK("https://digitalcommons.unl.edu/cgi/viewcontent.cgi?article=2149&amp;context=tractormuseumlit","Click for test report")</f>
        <v>Click for test report</v>
      </c>
      <c r="C778">
        <v>1958</v>
      </c>
      <c r="D778" t="s">
        <v>6095</v>
      </c>
      <c r="F778" t="s">
        <v>3800</v>
      </c>
      <c r="G778" t="s">
        <v>4473</v>
      </c>
      <c r="H778" t="s">
        <v>6096</v>
      </c>
      <c r="I778" t="s">
        <v>5776</v>
      </c>
      <c r="J778" t="s">
        <v>348</v>
      </c>
      <c r="K778" t="s">
        <v>21</v>
      </c>
      <c r="M778" t="s">
        <v>1994</v>
      </c>
      <c r="N778" t="s">
        <v>410</v>
      </c>
      <c r="O778" t="s">
        <v>24</v>
      </c>
    </row>
    <row r="779" spans="1:15" x14ac:dyDescent="0.25">
      <c r="A779">
        <v>778</v>
      </c>
      <c r="B779" t="str">
        <f>HYPERLINK("https://digitalcommons.unl.edu/cgi/viewcontent.cgi?article=2150&amp;context=tractormuseumlit","Click for test report")</f>
        <v>Click for test report</v>
      </c>
      <c r="C779">
        <v>1958</v>
      </c>
      <c r="D779" t="s">
        <v>6047</v>
      </c>
      <c r="F779" t="s">
        <v>5831</v>
      </c>
      <c r="G779" t="s">
        <v>5831</v>
      </c>
      <c r="H779" t="s">
        <v>6062</v>
      </c>
      <c r="I779" t="s">
        <v>50</v>
      </c>
      <c r="J779" t="s">
        <v>348</v>
      </c>
      <c r="K779" t="s">
        <v>21</v>
      </c>
      <c r="M779" t="s">
        <v>1802</v>
      </c>
      <c r="N779" t="s">
        <v>3388</v>
      </c>
      <c r="O779" t="s">
        <v>24</v>
      </c>
    </row>
    <row r="780" spans="1:15" x14ac:dyDescent="0.25">
      <c r="A780">
        <v>779</v>
      </c>
      <c r="B780" t="str">
        <f>HYPERLINK("https://digitalcommons.unl.edu/cgi/viewcontent.cgi?article=2151&amp;context=tractormuseumlit","Click for test report")</f>
        <v>Click for test report</v>
      </c>
      <c r="C780">
        <v>1958</v>
      </c>
      <c r="D780" t="s">
        <v>6094</v>
      </c>
      <c r="F780" t="s">
        <v>5831</v>
      </c>
      <c r="G780" t="s">
        <v>5831</v>
      </c>
      <c r="H780" t="s">
        <v>5148</v>
      </c>
      <c r="I780" t="s">
        <v>50</v>
      </c>
      <c r="J780" t="s">
        <v>348</v>
      </c>
      <c r="K780" t="s">
        <v>21</v>
      </c>
      <c r="M780" t="s">
        <v>2188</v>
      </c>
      <c r="N780" t="s">
        <v>2511</v>
      </c>
      <c r="O780" t="s">
        <v>24</v>
      </c>
    </row>
    <row r="781" spans="1:15" x14ac:dyDescent="0.25">
      <c r="A781">
        <v>780</v>
      </c>
      <c r="B781" t="str">
        <f>HYPERLINK("https://digitalcommons.unl.edu/cgi/viewcontent.cgi?article=2152&amp;context=tractormuseumlit","Click for test report")</f>
        <v>Click for test report</v>
      </c>
      <c r="C781">
        <v>1958</v>
      </c>
      <c r="D781" t="s">
        <v>6093</v>
      </c>
      <c r="F781" t="s">
        <v>5831</v>
      </c>
      <c r="G781" t="s">
        <v>5831</v>
      </c>
      <c r="H781" t="s">
        <v>3976</v>
      </c>
      <c r="I781" t="s">
        <v>50</v>
      </c>
      <c r="J781" t="s">
        <v>348</v>
      </c>
      <c r="K781" t="s">
        <v>21</v>
      </c>
      <c r="M781" t="s">
        <v>1051</v>
      </c>
      <c r="N781" t="s">
        <v>3319</v>
      </c>
      <c r="O781" t="s">
        <v>24</v>
      </c>
    </row>
    <row r="782" spans="1:15" x14ac:dyDescent="0.25">
      <c r="A782">
        <v>781</v>
      </c>
      <c r="B782" t="str">
        <f>HYPERLINK("https://digitalcommons.unl.edu/cgi/viewcontent.cgi?article=1028&amp;context=tractormuseumlit","Click for test report")</f>
        <v>Click for test report</v>
      </c>
      <c r="C782">
        <v>1959</v>
      </c>
      <c r="D782" t="s">
        <v>6091</v>
      </c>
      <c r="F782" t="s">
        <v>4395</v>
      </c>
      <c r="G782" t="s">
        <v>3708</v>
      </c>
      <c r="H782" t="s">
        <v>5938</v>
      </c>
      <c r="I782" t="s">
        <v>50</v>
      </c>
      <c r="J782" t="s">
        <v>348</v>
      </c>
      <c r="K782" t="s">
        <v>5598</v>
      </c>
      <c r="M782" t="s">
        <v>4589</v>
      </c>
      <c r="N782" t="s">
        <v>4352</v>
      </c>
      <c r="O782" t="s">
        <v>6092</v>
      </c>
    </row>
    <row r="783" spans="1:15" x14ac:dyDescent="0.25">
      <c r="A783">
        <v>782</v>
      </c>
      <c r="B783" t="str">
        <f>HYPERLINK("https://digitalcommons.unl.edu/cgi/viewcontent.cgi?article=1110&amp;context=tractormuseumlit","Click for test report")</f>
        <v>Click for test report</v>
      </c>
      <c r="C783">
        <v>1959</v>
      </c>
      <c r="D783" t="s">
        <v>5050</v>
      </c>
      <c r="F783" t="s">
        <v>4395</v>
      </c>
      <c r="G783" t="s">
        <v>6088</v>
      </c>
      <c r="H783" t="s">
        <v>6090</v>
      </c>
      <c r="I783" t="s">
        <v>50</v>
      </c>
      <c r="J783" t="s">
        <v>348</v>
      </c>
      <c r="K783" t="s">
        <v>21</v>
      </c>
      <c r="L783" t="s">
        <v>4008</v>
      </c>
      <c r="N783" t="s">
        <v>4352</v>
      </c>
      <c r="O783" t="s">
        <v>24</v>
      </c>
    </row>
    <row r="784" spans="1:15" x14ac:dyDescent="0.25">
      <c r="A784">
        <v>783</v>
      </c>
      <c r="B784" t="str">
        <f>HYPERLINK("https://digitalcommons.unl.edu/cgi/viewcontent.cgi?article=2153&amp;context=tractormuseumlit","Click for test report")</f>
        <v>Click for test report</v>
      </c>
      <c r="C784">
        <v>1959</v>
      </c>
      <c r="D784" t="s">
        <v>4286</v>
      </c>
      <c r="F784" t="s">
        <v>4395</v>
      </c>
      <c r="G784" t="s">
        <v>6088</v>
      </c>
      <c r="H784" t="s">
        <v>6089</v>
      </c>
      <c r="I784" t="s">
        <v>50</v>
      </c>
      <c r="J784" t="s">
        <v>348</v>
      </c>
      <c r="K784" t="s">
        <v>21</v>
      </c>
      <c r="L784" t="s">
        <v>407</v>
      </c>
      <c r="N784" t="s">
        <v>2090</v>
      </c>
      <c r="O784" t="s">
        <v>24</v>
      </c>
    </row>
    <row r="785" spans="1:15" x14ac:dyDescent="0.25">
      <c r="A785">
        <v>784</v>
      </c>
      <c r="B785" t="str">
        <f>HYPERLINK("https://digitalcommons.unl.edu/cgi/viewcontent.cgi?article=2154&amp;context=tractormuseumlit","Click for test report")</f>
        <v>Click for test report</v>
      </c>
      <c r="C785">
        <v>1959</v>
      </c>
      <c r="D785" t="s">
        <v>5004</v>
      </c>
      <c r="F785" t="s">
        <v>4395</v>
      </c>
      <c r="G785" t="s">
        <v>3708</v>
      </c>
      <c r="H785" t="s">
        <v>5938</v>
      </c>
      <c r="I785" t="s">
        <v>50</v>
      </c>
      <c r="J785" t="s">
        <v>348</v>
      </c>
      <c r="K785" t="s">
        <v>21</v>
      </c>
      <c r="L785" t="s">
        <v>4008</v>
      </c>
      <c r="N785" t="s">
        <v>4397</v>
      </c>
      <c r="O785" t="s">
        <v>6084</v>
      </c>
    </row>
    <row r="786" spans="1:15" x14ac:dyDescent="0.25">
      <c r="A786">
        <v>785</v>
      </c>
      <c r="B786" t="str">
        <f>HYPERLINK("https://digitalcommons.unl.edu/cgi/viewcontent.cgi?article=2154&amp;context=tractormuseumlit","Click for test report")</f>
        <v>Click for test report</v>
      </c>
      <c r="C786">
        <v>1959</v>
      </c>
      <c r="D786" t="s">
        <v>5004</v>
      </c>
      <c r="F786" t="s">
        <v>4395</v>
      </c>
      <c r="G786" t="s">
        <v>3708</v>
      </c>
      <c r="H786" t="s">
        <v>6087</v>
      </c>
      <c r="I786" t="s">
        <v>50</v>
      </c>
      <c r="J786" t="s">
        <v>348</v>
      </c>
      <c r="K786" t="s">
        <v>21</v>
      </c>
      <c r="L786" t="s">
        <v>4008</v>
      </c>
      <c r="N786" t="s">
        <v>4397</v>
      </c>
      <c r="O786" t="s">
        <v>6084</v>
      </c>
    </row>
    <row r="787" spans="1:15" x14ac:dyDescent="0.25">
      <c r="A787">
        <v>786</v>
      </c>
      <c r="B787" t="str">
        <f>HYPERLINK("https://digitalcommons.unl.edu/cgi/viewcontent.cgi?article=2154&amp;context=tractormuseumlit","Click for test report")</f>
        <v>Click for test report</v>
      </c>
      <c r="C787">
        <v>1959</v>
      </c>
      <c r="D787" t="s">
        <v>5004</v>
      </c>
      <c r="F787" t="s">
        <v>4395</v>
      </c>
      <c r="G787" t="s">
        <v>3708</v>
      </c>
      <c r="H787" t="s">
        <v>6086</v>
      </c>
      <c r="I787" t="s">
        <v>50</v>
      </c>
      <c r="J787" t="s">
        <v>348</v>
      </c>
      <c r="K787" t="s">
        <v>21</v>
      </c>
      <c r="L787" t="s">
        <v>4008</v>
      </c>
      <c r="N787" t="s">
        <v>4397</v>
      </c>
      <c r="O787" t="s">
        <v>6084</v>
      </c>
    </row>
    <row r="788" spans="1:15" x14ac:dyDescent="0.25">
      <c r="A788">
        <v>787</v>
      </c>
      <c r="B788" t="str">
        <f>HYPERLINK("https://digitalcommons.unl.edu/cgi/viewcontent.cgi?article=2154&amp;context=tractormuseumlit","Click for test report")</f>
        <v>Click for test report</v>
      </c>
      <c r="C788">
        <v>1959</v>
      </c>
      <c r="D788" t="s">
        <v>5004</v>
      </c>
      <c r="F788" t="s">
        <v>4395</v>
      </c>
      <c r="G788" t="s">
        <v>3708</v>
      </c>
      <c r="H788" t="s">
        <v>6085</v>
      </c>
      <c r="I788" t="s">
        <v>50</v>
      </c>
      <c r="J788" t="s">
        <v>348</v>
      </c>
      <c r="K788" t="s">
        <v>21</v>
      </c>
      <c r="L788" t="s">
        <v>4008</v>
      </c>
      <c r="N788" t="s">
        <v>4397</v>
      </c>
      <c r="O788" t="s">
        <v>24</v>
      </c>
    </row>
    <row r="789" spans="1:15" x14ac:dyDescent="0.25">
      <c r="A789">
        <v>788</v>
      </c>
      <c r="B789" t="str">
        <f>HYPERLINK("https://digitalcommons.unl.edu/cgi/viewcontent.cgi?article=2154&amp;context=tractormuseumlit","Click for test report")</f>
        <v>Click for test report</v>
      </c>
      <c r="C789">
        <v>1959</v>
      </c>
      <c r="D789" t="s">
        <v>5004</v>
      </c>
      <c r="F789" t="s">
        <v>4395</v>
      </c>
      <c r="G789" t="s">
        <v>3708</v>
      </c>
      <c r="H789" t="s">
        <v>5921</v>
      </c>
      <c r="I789" t="s">
        <v>50</v>
      </c>
      <c r="J789" t="s">
        <v>348</v>
      </c>
      <c r="K789" t="s">
        <v>21</v>
      </c>
      <c r="L789" t="s">
        <v>4008</v>
      </c>
      <c r="N789" t="s">
        <v>4397</v>
      </c>
      <c r="O789" t="s">
        <v>6084</v>
      </c>
    </row>
    <row r="790" spans="1:15" x14ac:dyDescent="0.25">
      <c r="A790">
        <v>789</v>
      </c>
      <c r="B790" t="str">
        <f>HYPERLINK("https://digitalcommons.unl.edu/cgi/viewcontent.cgi?article=2155&amp;context=tractormuseumlit","Click for test report")</f>
        <v>Click for test report</v>
      </c>
      <c r="C790">
        <v>1959</v>
      </c>
      <c r="D790" t="s">
        <v>6081</v>
      </c>
      <c r="F790" t="s">
        <v>3800</v>
      </c>
      <c r="G790" t="s">
        <v>4473</v>
      </c>
      <c r="H790" t="s">
        <v>6083</v>
      </c>
      <c r="I790" t="s">
        <v>5776</v>
      </c>
      <c r="J790" t="s">
        <v>348</v>
      </c>
      <c r="K790" t="s">
        <v>4809</v>
      </c>
      <c r="L790" t="s">
        <v>1009</v>
      </c>
      <c r="N790" t="s">
        <v>1893</v>
      </c>
      <c r="O790" t="s">
        <v>24</v>
      </c>
    </row>
    <row r="791" spans="1:15" x14ac:dyDescent="0.25">
      <c r="A791">
        <v>790</v>
      </c>
      <c r="B791" t="str">
        <f>HYPERLINK("https://digitalcommons.unl.edu/cgi/viewcontent.cgi?article=2155&amp;context=tractormuseumlit","Click for test report")</f>
        <v>Click for test report</v>
      </c>
      <c r="C791">
        <v>1959</v>
      </c>
      <c r="D791" t="s">
        <v>6081</v>
      </c>
      <c r="F791" t="s">
        <v>3800</v>
      </c>
      <c r="G791" t="s">
        <v>4473</v>
      </c>
      <c r="H791" t="s">
        <v>6082</v>
      </c>
      <c r="I791" t="s">
        <v>5776</v>
      </c>
      <c r="J791" t="s">
        <v>348</v>
      </c>
      <c r="K791" t="s">
        <v>4809</v>
      </c>
      <c r="L791" t="s">
        <v>1009</v>
      </c>
      <c r="N791" t="s">
        <v>4012</v>
      </c>
      <c r="O791" t="s">
        <v>24</v>
      </c>
    </row>
    <row r="792" spans="1:15" x14ac:dyDescent="0.25">
      <c r="A792">
        <v>791</v>
      </c>
      <c r="B792" t="str">
        <f>HYPERLINK("https://digitalcommons.unl.edu/cgi/viewcontent.cgi?article=2156&amp;context=tractormuseumlit","Click for test report")</f>
        <v>Click for test report</v>
      </c>
      <c r="C792">
        <v>1959</v>
      </c>
      <c r="D792" t="s">
        <v>6079</v>
      </c>
      <c r="F792" t="s">
        <v>3800</v>
      </c>
      <c r="G792" t="s">
        <v>4473</v>
      </c>
      <c r="H792" t="s">
        <v>6080</v>
      </c>
      <c r="I792" t="s">
        <v>50</v>
      </c>
      <c r="J792" t="s">
        <v>348</v>
      </c>
      <c r="K792" t="s">
        <v>4809</v>
      </c>
      <c r="L792" t="s">
        <v>4440</v>
      </c>
      <c r="N792" t="s">
        <v>4013</v>
      </c>
      <c r="O792" t="s">
        <v>24</v>
      </c>
    </row>
    <row r="793" spans="1:15" x14ac:dyDescent="0.25">
      <c r="A793">
        <v>792</v>
      </c>
      <c r="B793" t="str">
        <f>HYPERLINK("https://digitalcommons.unl.edu/cgi/viewcontent.cgi?article=2157&amp;context=tractormuseumlit","Click for test report")</f>
        <v>Click for test report</v>
      </c>
      <c r="C793">
        <v>1959</v>
      </c>
      <c r="D793" t="s">
        <v>6076</v>
      </c>
      <c r="F793" t="s">
        <v>3800</v>
      </c>
      <c r="G793" t="s">
        <v>4473</v>
      </c>
      <c r="H793" t="s">
        <v>6078</v>
      </c>
      <c r="I793" t="s">
        <v>5776</v>
      </c>
      <c r="J793" t="s">
        <v>348</v>
      </c>
      <c r="K793" t="s">
        <v>4809</v>
      </c>
      <c r="L793" t="s">
        <v>1893</v>
      </c>
      <c r="N793" t="s">
        <v>4008</v>
      </c>
      <c r="O793" t="s">
        <v>24</v>
      </c>
    </row>
    <row r="794" spans="1:15" x14ac:dyDescent="0.25">
      <c r="A794">
        <v>793</v>
      </c>
      <c r="B794" t="str">
        <f>HYPERLINK("https://digitalcommons.unl.edu/cgi/viewcontent.cgi?article=2157&amp;context=tractormuseumlit","Click for test report")</f>
        <v>Click for test report</v>
      </c>
      <c r="C794">
        <v>1959</v>
      </c>
      <c r="D794" t="s">
        <v>6076</v>
      </c>
      <c r="F794" t="s">
        <v>3800</v>
      </c>
      <c r="G794" t="s">
        <v>4473</v>
      </c>
      <c r="H794" t="s">
        <v>6077</v>
      </c>
      <c r="I794" t="s">
        <v>5776</v>
      </c>
      <c r="J794" t="s">
        <v>348</v>
      </c>
      <c r="K794" t="s">
        <v>4809</v>
      </c>
      <c r="L794" t="s">
        <v>1893</v>
      </c>
      <c r="N794" t="s">
        <v>4352</v>
      </c>
      <c r="O794" t="s">
        <v>24</v>
      </c>
    </row>
    <row r="795" spans="1:15" x14ac:dyDescent="0.25">
      <c r="A795">
        <v>794</v>
      </c>
      <c r="B795" t="str">
        <f>HYPERLINK("https://digitalcommons.unl.edu/cgi/viewcontent.cgi?article=2158&amp;context=tractormuseumlit","Click for test report")</f>
        <v>Click for test report</v>
      </c>
      <c r="C795">
        <v>1959</v>
      </c>
      <c r="D795" t="s">
        <v>4524</v>
      </c>
      <c r="F795" t="s">
        <v>778</v>
      </c>
      <c r="G795" t="s">
        <v>778</v>
      </c>
      <c r="H795" t="s">
        <v>6075</v>
      </c>
      <c r="I795" t="s">
        <v>50</v>
      </c>
      <c r="J795" t="s">
        <v>348</v>
      </c>
      <c r="K795" t="s">
        <v>21</v>
      </c>
      <c r="L795" t="s">
        <v>4012</v>
      </c>
      <c r="N795" t="s">
        <v>4440</v>
      </c>
      <c r="O795" t="s">
        <v>24</v>
      </c>
    </row>
    <row r="796" spans="1:15" x14ac:dyDescent="0.25">
      <c r="A796">
        <v>795</v>
      </c>
      <c r="B796" t="str">
        <f>HYPERLINK("https://digitalcommons.unl.edu/cgi/viewcontent.cgi?article=2159&amp;context=tractormuseumlit","Click for test report")</f>
        <v>Click for test report</v>
      </c>
      <c r="C796">
        <v>1959</v>
      </c>
      <c r="D796" t="s">
        <v>6074</v>
      </c>
      <c r="F796" t="s">
        <v>4472</v>
      </c>
      <c r="G796" t="s">
        <v>4472</v>
      </c>
      <c r="H796" t="s">
        <v>5113</v>
      </c>
      <c r="I796" t="s">
        <v>50</v>
      </c>
      <c r="J796" t="s">
        <v>348</v>
      </c>
      <c r="K796" t="s">
        <v>21</v>
      </c>
      <c r="L796" t="s">
        <v>2826</v>
      </c>
      <c r="N796" t="s">
        <v>3973</v>
      </c>
      <c r="O796" t="s">
        <v>24</v>
      </c>
    </row>
    <row r="797" spans="1:15" x14ac:dyDescent="0.25">
      <c r="A797">
        <v>796</v>
      </c>
      <c r="B797" t="str">
        <f>HYPERLINK("https://digitalcommons.unl.edu/cgi/viewcontent.cgi?article=2160&amp;context=tractormuseumlit","Click for test report")</f>
        <v>Click for test report</v>
      </c>
      <c r="C797">
        <v>1959</v>
      </c>
      <c r="D797" t="s">
        <v>6072</v>
      </c>
      <c r="F797" t="s">
        <v>3800</v>
      </c>
      <c r="G797" t="s">
        <v>4473</v>
      </c>
      <c r="H797" t="s">
        <v>6073</v>
      </c>
      <c r="I797" t="s">
        <v>50</v>
      </c>
      <c r="J797" t="s">
        <v>348</v>
      </c>
      <c r="K797" t="s">
        <v>21</v>
      </c>
      <c r="L797" t="s">
        <v>1347</v>
      </c>
      <c r="N797" t="s">
        <v>747</v>
      </c>
      <c r="O797" t="s">
        <v>24</v>
      </c>
    </row>
    <row r="798" spans="1:15" x14ac:dyDescent="0.25">
      <c r="A798">
        <v>797</v>
      </c>
      <c r="B798" t="str">
        <f>HYPERLINK("https://digitalcommons.unl.edu/cgi/viewcontent.cgi?article=2161&amp;context=tractormuseumlit","Click for test report")</f>
        <v>Click for test report</v>
      </c>
      <c r="C798">
        <v>1959</v>
      </c>
      <c r="D798" t="s">
        <v>6070</v>
      </c>
      <c r="F798" t="s">
        <v>3800</v>
      </c>
      <c r="G798" t="s">
        <v>4473</v>
      </c>
      <c r="H798" t="s">
        <v>6071</v>
      </c>
      <c r="I798" t="s">
        <v>50</v>
      </c>
      <c r="J798" t="s">
        <v>348</v>
      </c>
      <c r="K798" t="s">
        <v>21</v>
      </c>
      <c r="L798" t="s">
        <v>750</v>
      </c>
      <c r="N798" t="s">
        <v>407</v>
      </c>
      <c r="O798" t="s">
        <v>24</v>
      </c>
    </row>
    <row r="799" spans="1:15" x14ac:dyDescent="0.25">
      <c r="A799">
        <v>798</v>
      </c>
      <c r="B799" t="str">
        <f>HYPERLINK("https://digitalcommons.unl.edu/cgi/viewcontent.cgi?article=2162&amp;context=tractormuseumlit","Click for test report")</f>
        <v>Click for test report</v>
      </c>
      <c r="C799">
        <v>1959</v>
      </c>
      <c r="D799" t="s">
        <v>6068</v>
      </c>
      <c r="F799" t="s">
        <v>3800</v>
      </c>
      <c r="G799" t="s">
        <v>4473</v>
      </c>
      <c r="H799" t="s">
        <v>6069</v>
      </c>
      <c r="I799" t="s">
        <v>50</v>
      </c>
      <c r="J799" t="s">
        <v>348</v>
      </c>
      <c r="K799" t="s">
        <v>5598</v>
      </c>
      <c r="L799" t="s">
        <v>3123</v>
      </c>
      <c r="N799" t="s">
        <v>2188</v>
      </c>
      <c r="O799" t="s">
        <v>24</v>
      </c>
    </row>
    <row r="800" spans="1:15" x14ac:dyDescent="0.25">
      <c r="A800">
        <v>799</v>
      </c>
      <c r="B800" t="str">
        <f>HYPERLINK("https://digitalcommons.unl.edu/cgi/viewcontent.cgi?article=2163&amp;context=tractormuseumlit","Click for test report")</f>
        <v>Click for test report</v>
      </c>
      <c r="C800">
        <v>1959</v>
      </c>
      <c r="D800" t="s">
        <v>4037</v>
      </c>
      <c r="F800" t="s">
        <v>3800</v>
      </c>
      <c r="G800" t="s">
        <v>4473</v>
      </c>
      <c r="H800" t="s">
        <v>6067</v>
      </c>
      <c r="I800" t="s">
        <v>5776</v>
      </c>
      <c r="J800" t="s">
        <v>348</v>
      </c>
      <c r="K800" t="s">
        <v>5598</v>
      </c>
      <c r="L800" t="s">
        <v>1970</v>
      </c>
      <c r="N800" t="s">
        <v>735</v>
      </c>
      <c r="O800" t="s">
        <v>24</v>
      </c>
    </row>
    <row r="801" spans="1:15" x14ac:dyDescent="0.25">
      <c r="A801">
        <v>800</v>
      </c>
      <c r="B801" t="str">
        <f>HYPERLINK("https://digitalcommons.unl.edu/cgi/viewcontent.cgi?article=2163&amp;context=tractormuseumlit","Click for test report")</f>
        <v>Click for test report</v>
      </c>
      <c r="C801">
        <v>1959</v>
      </c>
      <c r="D801" t="s">
        <v>4037</v>
      </c>
      <c r="F801" t="s">
        <v>3800</v>
      </c>
      <c r="G801" t="s">
        <v>4473</v>
      </c>
      <c r="H801" t="s">
        <v>6066</v>
      </c>
      <c r="I801" t="s">
        <v>5776</v>
      </c>
      <c r="J801" t="s">
        <v>348</v>
      </c>
      <c r="K801" t="s">
        <v>5598</v>
      </c>
      <c r="L801" t="s">
        <v>1970</v>
      </c>
      <c r="N801" t="s">
        <v>410</v>
      </c>
      <c r="O801" t="s">
        <v>24</v>
      </c>
    </row>
    <row r="802" spans="1:15" x14ac:dyDescent="0.25">
      <c r="A802">
        <v>801</v>
      </c>
      <c r="B802" t="str">
        <f>HYPERLINK("https://digitalcommons.unl.edu/cgi/viewcontent.cgi?article=2164&amp;context=tractormuseumlit","Click for test report")</f>
        <v>Click for test report</v>
      </c>
      <c r="C802">
        <v>1959</v>
      </c>
      <c r="D802" t="s">
        <v>6064</v>
      </c>
      <c r="F802" t="s">
        <v>3800</v>
      </c>
      <c r="G802" t="s">
        <v>4473</v>
      </c>
      <c r="H802" t="s">
        <v>5687</v>
      </c>
      <c r="I802" t="s">
        <v>50</v>
      </c>
      <c r="J802" t="s">
        <v>348</v>
      </c>
      <c r="K802" t="s">
        <v>5598</v>
      </c>
      <c r="L802" t="s">
        <v>764</v>
      </c>
      <c r="N802" t="s">
        <v>1864</v>
      </c>
      <c r="O802" t="s">
        <v>24</v>
      </c>
    </row>
    <row r="803" spans="1:15" x14ac:dyDescent="0.25">
      <c r="A803">
        <v>802</v>
      </c>
      <c r="B803" t="str">
        <f>HYPERLINK("https://digitalcommons.unl.edu/cgi/viewcontent.cgi?article=2164&amp;context=tractormuseumlit","Click for test report")</f>
        <v>Click for test report</v>
      </c>
      <c r="C803">
        <v>1959</v>
      </c>
      <c r="D803" t="s">
        <v>6064</v>
      </c>
      <c r="F803" t="s">
        <v>3800</v>
      </c>
      <c r="G803" t="s">
        <v>4473</v>
      </c>
      <c r="H803" t="s">
        <v>6065</v>
      </c>
      <c r="I803" t="s">
        <v>50</v>
      </c>
      <c r="J803" t="s">
        <v>348</v>
      </c>
      <c r="K803" t="s">
        <v>5598</v>
      </c>
      <c r="L803" t="s">
        <v>764</v>
      </c>
      <c r="N803" t="s">
        <v>1864</v>
      </c>
      <c r="O803" t="s">
        <v>24</v>
      </c>
    </row>
    <row r="804" spans="1:15" x14ac:dyDescent="0.25">
      <c r="A804">
        <v>803</v>
      </c>
      <c r="B804" t="str">
        <f>HYPERLINK("https://digitalcommons.unl.edu/cgi/viewcontent.cgi?article=1544&amp;context=tractormuseumlit","Click for test report")</f>
        <v>Click for test report</v>
      </c>
      <c r="C804">
        <v>1959</v>
      </c>
      <c r="D804" t="s">
        <v>6063</v>
      </c>
      <c r="F804" t="s">
        <v>5345</v>
      </c>
      <c r="G804" t="s">
        <v>5345</v>
      </c>
      <c r="H804" t="s">
        <v>6062</v>
      </c>
      <c r="I804" t="s">
        <v>50</v>
      </c>
      <c r="J804" t="s">
        <v>348</v>
      </c>
      <c r="K804" t="s">
        <v>4809</v>
      </c>
      <c r="L804" t="s">
        <v>2627</v>
      </c>
      <c r="N804" t="s">
        <v>2825</v>
      </c>
      <c r="O804" t="s">
        <v>24</v>
      </c>
    </row>
    <row r="805" spans="1:15" x14ac:dyDescent="0.25">
      <c r="A805">
        <v>804</v>
      </c>
      <c r="B805" t="str">
        <f>HYPERLINK("https://digitalcommons.unl.edu/cgi/viewcontent.cgi?article=1545&amp;context=tractormuseumlit","Click for test report")</f>
        <v>Click for test report</v>
      </c>
      <c r="C805">
        <v>1959</v>
      </c>
      <c r="D805" t="s">
        <v>4522</v>
      </c>
      <c r="F805" t="s">
        <v>5345</v>
      </c>
      <c r="G805" t="s">
        <v>5345</v>
      </c>
      <c r="H805" t="s">
        <v>6062</v>
      </c>
      <c r="I805" t="s">
        <v>50</v>
      </c>
      <c r="J805" t="s">
        <v>348</v>
      </c>
      <c r="K805" t="s">
        <v>21</v>
      </c>
      <c r="L805" t="s">
        <v>2826</v>
      </c>
      <c r="N805" t="s">
        <v>2825</v>
      </c>
      <c r="O805" t="s">
        <v>24</v>
      </c>
    </row>
    <row r="806" spans="1:15" x14ac:dyDescent="0.25">
      <c r="A806">
        <v>805</v>
      </c>
      <c r="B806" t="str">
        <f>HYPERLINK("https://digitalcommons.unl.edu/cgi/viewcontent.cgi?article=2165&amp;context=tractormuseumlit","Click for test report")</f>
        <v>Click for test report</v>
      </c>
      <c r="C806">
        <v>1959</v>
      </c>
      <c r="D806" t="s">
        <v>4520</v>
      </c>
      <c r="F806" t="s">
        <v>6013</v>
      </c>
      <c r="G806" t="s">
        <v>6013</v>
      </c>
      <c r="H806" t="s">
        <v>6059</v>
      </c>
      <c r="I806" t="s">
        <v>50</v>
      </c>
      <c r="J806" t="s">
        <v>348</v>
      </c>
      <c r="K806" t="s">
        <v>21</v>
      </c>
      <c r="L806" t="s">
        <v>6060</v>
      </c>
      <c r="N806" t="s">
        <v>6061</v>
      </c>
      <c r="O806" t="s">
        <v>24</v>
      </c>
    </row>
    <row r="807" spans="1:15" x14ac:dyDescent="0.25">
      <c r="A807">
        <v>806</v>
      </c>
      <c r="B807" t="str">
        <f>HYPERLINK("https://digitalcommons.unl.edu/cgi/viewcontent.cgi?article=2166&amp;context=tractormuseumlit","Click for test report")</f>
        <v>Click for test report</v>
      </c>
      <c r="C807">
        <v>1959</v>
      </c>
      <c r="D807" t="s">
        <v>6057</v>
      </c>
      <c r="F807" t="s">
        <v>5779</v>
      </c>
      <c r="G807" t="s">
        <v>5779</v>
      </c>
      <c r="H807" t="s">
        <v>6058</v>
      </c>
      <c r="I807" t="s">
        <v>50</v>
      </c>
      <c r="J807" t="s">
        <v>29</v>
      </c>
      <c r="K807" t="s">
        <v>21</v>
      </c>
      <c r="N807" t="s">
        <v>1037</v>
      </c>
      <c r="O807" t="s">
        <v>2163</v>
      </c>
    </row>
    <row r="808" spans="1:15" x14ac:dyDescent="0.25">
      <c r="A808">
        <v>807</v>
      </c>
      <c r="B808" t="str">
        <f>HYPERLINK("https://digitalcommons.unl.edu/cgi/viewcontent.cgi?article=2167&amp;context=tractormuseumlit","Click for test report")</f>
        <v>Click for test report</v>
      </c>
      <c r="C808">
        <v>1959</v>
      </c>
      <c r="D808" t="s">
        <v>6056</v>
      </c>
      <c r="F808" t="s">
        <v>4395</v>
      </c>
      <c r="G808" t="s">
        <v>3708</v>
      </c>
      <c r="H808" t="s">
        <v>5873</v>
      </c>
      <c r="I808" t="s">
        <v>28</v>
      </c>
      <c r="J808" t="s">
        <v>348</v>
      </c>
      <c r="K808" t="s">
        <v>4809</v>
      </c>
      <c r="L808" t="s">
        <v>410</v>
      </c>
      <c r="N808" t="s">
        <v>1893</v>
      </c>
      <c r="O808" t="s">
        <v>6051</v>
      </c>
    </row>
    <row r="809" spans="1:15" x14ac:dyDescent="0.25">
      <c r="A809">
        <v>808</v>
      </c>
      <c r="B809" t="str">
        <f>HYPERLINK("https://digitalcommons.unl.edu/cgi/viewcontent.cgi?article=2167&amp;context=tractormuseumlit","Click for test report")</f>
        <v>Click for test report</v>
      </c>
      <c r="C809">
        <v>1959</v>
      </c>
      <c r="D809" t="s">
        <v>6056</v>
      </c>
      <c r="F809" t="s">
        <v>4395</v>
      </c>
      <c r="G809" t="s">
        <v>3708</v>
      </c>
      <c r="H809" t="s">
        <v>5760</v>
      </c>
      <c r="I809" t="s">
        <v>28</v>
      </c>
      <c r="J809" t="s">
        <v>348</v>
      </c>
      <c r="K809" t="s">
        <v>4809</v>
      </c>
      <c r="L809" t="s">
        <v>410</v>
      </c>
      <c r="N809" t="s">
        <v>1893</v>
      </c>
      <c r="O809" t="s">
        <v>24</v>
      </c>
    </row>
    <row r="810" spans="1:15" x14ac:dyDescent="0.25">
      <c r="A810">
        <v>809</v>
      </c>
      <c r="B810" t="str">
        <f>HYPERLINK("https://digitalcommons.unl.edu/cgi/viewcontent.cgi?article=2168&amp;context=tractormuseumlit","Click for test report")</f>
        <v>Click for test report</v>
      </c>
      <c r="C810">
        <v>1959</v>
      </c>
      <c r="D810" t="s">
        <v>6055</v>
      </c>
      <c r="F810" t="s">
        <v>4395</v>
      </c>
      <c r="G810" t="s">
        <v>3708</v>
      </c>
      <c r="H810" t="s">
        <v>6049</v>
      </c>
      <c r="I810" t="s">
        <v>28</v>
      </c>
      <c r="J810" t="s">
        <v>348</v>
      </c>
      <c r="K810" t="s">
        <v>4809</v>
      </c>
      <c r="L810" t="s">
        <v>3388</v>
      </c>
      <c r="N810" t="s">
        <v>4352</v>
      </c>
      <c r="O810" t="s">
        <v>6046</v>
      </c>
    </row>
    <row r="811" spans="1:15" x14ac:dyDescent="0.25">
      <c r="A811">
        <v>810</v>
      </c>
      <c r="B811" t="str">
        <f>HYPERLINK("https://digitalcommons.unl.edu/cgi/viewcontent.cgi?article=2168&amp;context=tractormuseumlit","Click for test report")</f>
        <v>Click for test report</v>
      </c>
      <c r="C811">
        <v>1959</v>
      </c>
      <c r="D811" t="s">
        <v>6055</v>
      </c>
      <c r="F811" t="s">
        <v>4395</v>
      </c>
      <c r="G811" t="s">
        <v>3708</v>
      </c>
      <c r="H811" t="s">
        <v>6048</v>
      </c>
      <c r="I811" t="s">
        <v>28</v>
      </c>
      <c r="J811" t="s">
        <v>348</v>
      </c>
      <c r="K811" t="s">
        <v>4809</v>
      </c>
      <c r="L811" t="s">
        <v>3388</v>
      </c>
      <c r="N811" t="s">
        <v>4352</v>
      </c>
      <c r="O811" t="s">
        <v>6046</v>
      </c>
    </row>
    <row r="812" spans="1:15" x14ac:dyDescent="0.25">
      <c r="A812">
        <v>811</v>
      </c>
      <c r="B812" t="str">
        <f>HYPERLINK("https://digitalcommons.unl.edu/cgi/viewcontent.cgi?article=2168&amp;context=tractormuseumlit","Click for test report")</f>
        <v>Click for test report</v>
      </c>
      <c r="C812">
        <v>1959</v>
      </c>
      <c r="D812" t="s">
        <v>6055</v>
      </c>
      <c r="F812" t="s">
        <v>4395</v>
      </c>
      <c r="G812" t="s">
        <v>3708</v>
      </c>
      <c r="H812" t="s">
        <v>6047</v>
      </c>
      <c r="I812" t="s">
        <v>28</v>
      </c>
      <c r="J812" t="s">
        <v>348</v>
      </c>
      <c r="K812" t="s">
        <v>4809</v>
      </c>
      <c r="L812" t="s">
        <v>3388</v>
      </c>
      <c r="N812" t="s">
        <v>4352</v>
      </c>
      <c r="O812" t="s">
        <v>24</v>
      </c>
    </row>
    <row r="813" spans="1:15" x14ac:dyDescent="0.25">
      <c r="A813">
        <v>812</v>
      </c>
      <c r="B813" t="str">
        <f>HYPERLINK("https://digitalcommons.unl.edu/cgi/viewcontent.cgi?article=2168&amp;context=tractormuseumlit","Click for test report")</f>
        <v>Click for test report</v>
      </c>
      <c r="C813">
        <v>1959</v>
      </c>
      <c r="D813" t="s">
        <v>6055</v>
      </c>
      <c r="F813" t="s">
        <v>4395</v>
      </c>
      <c r="G813" t="s">
        <v>3708</v>
      </c>
      <c r="H813" t="s">
        <v>5614</v>
      </c>
      <c r="I813" t="s">
        <v>28</v>
      </c>
      <c r="J813" t="s">
        <v>348</v>
      </c>
      <c r="K813" t="s">
        <v>4809</v>
      </c>
      <c r="L813" t="s">
        <v>3388</v>
      </c>
      <c r="N813" t="s">
        <v>4352</v>
      </c>
      <c r="O813" t="s">
        <v>6046</v>
      </c>
    </row>
    <row r="814" spans="1:15" x14ac:dyDescent="0.25">
      <c r="A814">
        <v>813</v>
      </c>
      <c r="B814" t="str">
        <f>HYPERLINK("https://digitalcommons.unl.edu/cgi/viewcontent.cgi?article=2169&amp;context=tractormuseumlit","Click for test report")</f>
        <v>Click for test report</v>
      </c>
      <c r="C814">
        <v>1959</v>
      </c>
      <c r="D814" t="s">
        <v>6054</v>
      </c>
      <c r="F814" t="s">
        <v>4395</v>
      </c>
      <c r="G814" t="s">
        <v>3708</v>
      </c>
      <c r="H814" t="s">
        <v>5873</v>
      </c>
      <c r="I814" t="s">
        <v>28</v>
      </c>
      <c r="J814" t="s">
        <v>348</v>
      </c>
      <c r="K814" t="s">
        <v>5598</v>
      </c>
      <c r="L814" t="s">
        <v>2090</v>
      </c>
      <c r="N814" t="s">
        <v>3388</v>
      </c>
      <c r="O814" t="s">
        <v>6051</v>
      </c>
    </row>
    <row r="815" spans="1:15" x14ac:dyDescent="0.25">
      <c r="A815">
        <v>814</v>
      </c>
      <c r="B815" t="str">
        <f>HYPERLINK("https://digitalcommons.unl.edu/cgi/viewcontent.cgi?article=2169&amp;context=tractormuseumlit","Click for test report")</f>
        <v>Click for test report</v>
      </c>
      <c r="C815">
        <v>1959</v>
      </c>
      <c r="D815" t="s">
        <v>6054</v>
      </c>
      <c r="F815" t="s">
        <v>4395</v>
      </c>
      <c r="G815" t="s">
        <v>3708</v>
      </c>
      <c r="H815" t="s">
        <v>5760</v>
      </c>
      <c r="I815" t="s">
        <v>28</v>
      </c>
      <c r="J815" t="s">
        <v>348</v>
      </c>
      <c r="K815" t="s">
        <v>5598</v>
      </c>
      <c r="L815" t="s">
        <v>2090</v>
      </c>
      <c r="N815" t="s">
        <v>3388</v>
      </c>
      <c r="O815" t="s">
        <v>24</v>
      </c>
    </row>
    <row r="816" spans="1:15" x14ac:dyDescent="0.25">
      <c r="A816">
        <v>815</v>
      </c>
      <c r="B816" t="str">
        <f>HYPERLINK("https://digitalcommons.unl.edu/cgi/viewcontent.cgi?article=2169&amp;context=tractormuseumlit","Click for test report")</f>
        <v>Click for test report</v>
      </c>
      <c r="C816">
        <v>1959</v>
      </c>
      <c r="D816" t="s">
        <v>6054</v>
      </c>
      <c r="F816" t="s">
        <v>4395</v>
      </c>
      <c r="G816" t="s">
        <v>3708</v>
      </c>
      <c r="H816" t="s">
        <v>5648</v>
      </c>
      <c r="I816" t="s">
        <v>28</v>
      </c>
      <c r="J816" t="s">
        <v>348</v>
      </c>
      <c r="K816" t="s">
        <v>5598</v>
      </c>
      <c r="L816" t="s">
        <v>2090</v>
      </c>
      <c r="N816" t="s">
        <v>3388</v>
      </c>
      <c r="O816" t="s">
        <v>6051</v>
      </c>
    </row>
    <row r="817" spans="1:15" x14ac:dyDescent="0.25">
      <c r="A817">
        <v>816</v>
      </c>
      <c r="B817" t="str">
        <f>HYPERLINK("https://digitalcommons.unl.edu/cgi/viewcontent.cgi?article=2169&amp;context=tractormuseumlit","Click for test report")</f>
        <v>Click for test report</v>
      </c>
      <c r="C817">
        <v>1959</v>
      </c>
      <c r="D817" t="s">
        <v>6054</v>
      </c>
      <c r="F817" t="s">
        <v>4395</v>
      </c>
      <c r="G817" t="s">
        <v>3708</v>
      </c>
      <c r="H817" t="s">
        <v>5636</v>
      </c>
      <c r="I817" t="s">
        <v>28</v>
      </c>
      <c r="J817" t="s">
        <v>348</v>
      </c>
      <c r="K817" t="s">
        <v>5598</v>
      </c>
      <c r="L817" t="s">
        <v>2090</v>
      </c>
      <c r="N817" t="s">
        <v>3388</v>
      </c>
      <c r="O817" t="s">
        <v>6051</v>
      </c>
    </row>
    <row r="818" spans="1:15" x14ac:dyDescent="0.25">
      <c r="A818">
        <v>817</v>
      </c>
      <c r="B818" t="str">
        <f>HYPERLINK("https://digitalcommons.unl.edu/cgi/viewcontent.cgi?article=2169&amp;context=tractormuseumlit","Click for test report")</f>
        <v>Click for test report</v>
      </c>
      <c r="C818">
        <v>1959</v>
      </c>
      <c r="D818" t="s">
        <v>6054</v>
      </c>
      <c r="F818" t="s">
        <v>4395</v>
      </c>
      <c r="G818" t="s">
        <v>3708</v>
      </c>
      <c r="H818" t="s">
        <v>5769</v>
      </c>
      <c r="I818" t="s">
        <v>28</v>
      </c>
      <c r="J818" t="s">
        <v>348</v>
      </c>
      <c r="K818" t="s">
        <v>5598</v>
      </c>
      <c r="L818" t="s">
        <v>2090</v>
      </c>
      <c r="N818" t="s">
        <v>3388</v>
      </c>
      <c r="O818" t="s">
        <v>6051</v>
      </c>
    </row>
    <row r="819" spans="1:15" x14ac:dyDescent="0.25">
      <c r="A819">
        <v>818</v>
      </c>
      <c r="B819" t="str">
        <f>HYPERLINK("https://digitalcommons.unl.edu/cgi/viewcontent.cgi?article=2170&amp;context=tractormuseumlit","Click for test report")</f>
        <v>Click for test report</v>
      </c>
      <c r="C819">
        <v>1959</v>
      </c>
      <c r="D819" t="s">
        <v>6053</v>
      </c>
      <c r="F819" t="s">
        <v>4395</v>
      </c>
      <c r="G819" t="s">
        <v>3708</v>
      </c>
      <c r="H819" t="s">
        <v>6049</v>
      </c>
      <c r="I819" t="s">
        <v>28</v>
      </c>
      <c r="J819" t="s">
        <v>348</v>
      </c>
      <c r="K819" t="s">
        <v>5598</v>
      </c>
      <c r="L819" t="s">
        <v>4012</v>
      </c>
      <c r="N819" t="s">
        <v>4013</v>
      </c>
      <c r="O819" t="s">
        <v>6046</v>
      </c>
    </row>
    <row r="820" spans="1:15" x14ac:dyDescent="0.25">
      <c r="A820">
        <v>819</v>
      </c>
      <c r="B820" t="str">
        <f>HYPERLINK("https://digitalcommons.unl.edu/cgi/viewcontent.cgi?article=2170&amp;context=tractormuseumlit","Click for test report")</f>
        <v>Click for test report</v>
      </c>
      <c r="C820">
        <v>1959</v>
      </c>
      <c r="D820" t="s">
        <v>6053</v>
      </c>
      <c r="F820" t="s">
        <v>4395</v>
      </c>
      <c r="G820" t="s">
        <v>3708</v>
      </c>
      <c r="H820" t="s">
        <v>6048</v>
      </c>
      <c r="I820" t="s">
        <v>28</v>
      </c>
      <c r="J820" t="s">
        <v>348</v>
      </c>
      <c r="K820" t="s">
        <v>5598</v>
      </c>
      <c r="L820" t="s">
        <v>4012</v>
      </c>
      <c r="N820" t="s">
        <v>4013</v>
      </c>
      <c r="O820" t="s">
        <v>6046</v>
      </c>
    </row>
    <row r="821" spans="1:15" x14ac:dyDescent="0.25">
      <c r="A821">
        <v>820</v>
      </c>
      <c r="B821" t="str">
        <f>HYPERLINK("https://digitalcommons.unl.edu/cgi/viewcontent.cgi?article=2170&amp;context=tractormuseumlit","Click for test report")</f>
        <v>Click for test report</v>
      </c>
      <c r="C821">
        <v>1959</v>
      </c>
      <c r="D821" t="s">
        <v>6053</v>
      </c>
      <c r="F821" t="s">
        <v>4395</v>
      </c>
      <c r="G821" t="s">
        <v>3708</v>
      </c>
      <c r="H821" t="s">
        <v>6047</v>
      </c>
      <c r="I821" t="s">
        <v>28</v>
      </c>
      <c r="J821" t="s">
        <v>348</v>
      </c>
      <c r="K821" t="s">
        <v>5598</v>
      </c>
      <c r="L821" t="s">
        <v>4012</v>
      </c>
      <c r="N821" t="s">
        <v>4013</v>
      </c>
      <c r="O821" t="s">
        <v>24</v>
      </c>
    </row>
    <row r="822" spans="1:15" x14ac:dyDescent="0.25">
      <c r="A822">
        <v>821</v>
      </c>
      <c r="B822" t="str">
        <f>HYPERLINK("https://digitalcommons.unl.edu/cgi/viewcontent.cgi?article=2170&amp;context=tractormuseumlit","Click for test report")</f>
        <v>Click for test report</v>
      </c>
      <c r="C822">
        <v>1959</v>
      </c>
      <c r="D822" t="s">
        <v>6053</v>
      </c>
      <c r="F822" t="s">
        <v>4395</v>
      </c>
      <c r="G822" t="s">
        <v>3708</v>
      </c>
      <c r="H822" t="s">
        <v>5614</v>
      </c>
      <c r="I822" t="s">
        <v>28</v>
      </c>
      <c r="J822" t="s">
        <v>348</v>
      </c>
      <c r="K822" t="s">
        <v>5598</v>
      </c>
      <c r="L822" t="s">
        <v>4012</v>
      </c>
      <c r="N822" t="s">
        <v>4013</v>
      </c>
      <c r="O822" t="s">
        <v>6046</v>
      </c>
    </row>
    <row r="823" spans="1:15" x14ac:dyDescent="0.25">
      <c r="A823">
        <v>822</v>
      </c>
      <c r="B823" t="str">
        <f>HYPERLINK("https://digitalcommons.unl.edu/cgi/viewcontent.cgi?article=2171&amp;context=tractormuseumlit","Click for test report")</f>
        <v>Click for test report</v>
      </c>
      <c r="C823">
        <v>1959</v>
      </c>
      <c r="D823" t="s">
        <v>6050</v>
      </c>
      <c r="F823" t="s">
        <v>4395</v>
      </c>
      <c r="G823" t="s">
        <v>3708</v>
      </c>
      <c r="H823" t="s">
        <v>5873</v>
      </c>
      <c r="I823" t="s">
        <v>28</v>
      </c>
      <c r="J823" t="s">
        <v>348</v>
      </c>
      <c r="K823" t="s">
        <v>21</v>
      </c>
      <c r="L823" t="s">
        <v>2627</v>
      </c>
      <c r="N823" t="s">
        <v>4745</v>
      </c>
      <c r="O823" t="s">
        <v>6052</v>
      </c>
    </row>
    <row r="824" spans="1:15" x14ac:dyDescent="0.25">
      <c r="A824">
        <v>823</v>
      </c>
      <c r="B824" t="str">
        <f>HYPERLINK("https://digitalcommons.unl.edu/cgi/viewcontent.cgi?article=2171&amp;context=tractormuseumlit","Click for test report")</f>
        <v>Click for test report</v>
      </c>
      <c r="C824">
        <v>1959</v>
      </c>
      <c r="D824" t="s">
        <v>6050</v>
      </c>
      <c r="F824" t="s">
        <v>4395</v>
      </c>
      <c r="G824" t="s">
        <v>3708</v>
      </c>
      <c r="H824" t="s">
        <v>5769</v>
      </c>
      <c r="I824" t="s">
        <v>28</v>
      </c>
      <c r="J824" t="s">
        <v>348</v>
      </c>
      <c r="K824" t="s">
        <v>21</v>
      </c>
      <c r="L824" t="s">
        <v>2627</v>
      </c>
      <c r="N824" t="s">
        <v>4745</v>
      </c>
      <c r="O824" t="s">
        <v>6051</v>
      </c>
    </row>
    <row r="825" spans="1:15" x14ac:dyDescent="0.25">
      <c r="A825">
        <v>824</v>
      </c>
      <c r="B825" t="str">
        <f>HYPERLINK("https://digitalcommons.unl.edu/cgi/viewcontent.cgi?article=2171&amp;context=tractormuseumlit","Click for test report")</f>
        <v>Click for test report</v>
      </c>
      <c r="C825">
        <v>1959</v>
      </c>
      <c r="D825" t="s">
        <v>6050</v>
      </c>
      <c r="F825" t="s">
        <v>4395</v>
      </c>
      <c r="G825" t="s">
        <v>3708</v>
      </c>
      <c r="H825" t="s">
        <v>5760</v>
      </c>
      <c r="I825" t="s">
        <v>28</v>
      </c>
      <c r="J825" t="s">
        <v>348</v>
      </c>
      <c r="K825" t="s">
        <v>21</v>
      </c>
      <c r="L825" t="s">
        <v>2627</v>
      </c>
      <c r="N825" t="s">
        <v>4745</v>
      </c>
      <c r="O825" t="s">
        <v>24</v>
      </c>
    </row>
    <row r="826" spans="1:15" x14ac:dyDescent="0.25">
      <c r="A826">
        <v>825</v>
      </c>
      <c r="B826" t="str">
        <f>HYPERLINK("https://digitalcommons.unl.edu/cgi/viewcontent.cgi?article=2171&amp;context=tractormuseumlit","Click for test report")</f>
        <v>Click for test report</v>
      </c>
      <c r="C826">
        <v>1959</v>
      </c>
      <c r="D826" t="s">
        <v>6050</v>
      </c>
      <c r="F826" t="s">
        <v>4395</v>
      </c>
      <c r="G826" t="s">
        <v>3708</v>
      </c>
      <c r="H826" t="s">
        <v>5648</v>
      </c>
      <c r="I826" t="s">
        <v>28</v>
      </c>
      <c r="J826" t="s">
        <v>348</v>
      </c>
      <c r="K826" t="s">
        <v>21</v>
      </c>
      <c r="L826" t="s">
        <v>2627</v>
      </c>
      <c r="N826" t="s">
        <v>4745</v>
      </c>
      <c r="O826" t="s">
        <v>6051</v>
      </c>
    </row>
    <row r="827" spans="1:15" x14ac:dyDescent="0.25">
      <c r="A827">
        <v>826</v>
      </c>
      <c r="B827" t="str">
        <f>HYPERLINK("https://digitalcommons.unl.edu/cgi/viewcontent.cgi?article=2171&amp;context=tractormuseumlit","Click for test report")</f>
        <v>Click for test report</v>
      </c>
      <c r="C827">
        <v>1959</v>
      </c>
      <c r="D827" t="s">
        <v>6050</v>
      </c>
      <c r="F827" t="s">
        <v>4395</v>
      </c>
      <c r="G827" t="s">
        <v>3708</v>
      </c>
      <c r="H827" t="s">
        <v>5636</v>
      </c>
      <c r="I827" t="s">
        <v>28</v>
      </c>
      <c r="J827" t="s">
        <v>348</v>
      </c>
      <c r="K827" t="s">
        <v>21</v>
      </c>
      <c r="L827" t="s">
        <v>2627</v>
      </c>
      <c r="N827" t="s">
        <v>4745</v>
      </c>
      <c r="O827" t="s">
        <v>6051</v>
      </c>
    </row>
    <row r="828" spans="1:15" x14ac:dyDescent="0.25">
      <c r="A828">
        <v>827</v>
      </c>
      <c r="B828" t="str">
        <f>HYPERLINK("https://digitalcommons.unl.edu/cgi/viewcontent.cgi?article=2172&amp;context=tractormuseumlit","Click for test report")</f>
        <v>Click for test report</v>
      </c>
      <c r="C828">
        <v>1959</v>
      </c>
      <c r="D828" t="s">
        <v>5789</v>
      </c>
      <c r="F828" t="s">
        <v>4395</v>
      </c>
      <c r="G828" t="s">
        <v>3708</v>
      </c>
      <c r="H828" t="s">
        <v>6049</v>
      </c>
      <c r="I828" t="s">
        <v>28</v>
      </c>
      <c r="J828" t="s">
        <v>348</v>
      </c>
      <c r="K828" t="s">
        <v>21</v>
      </c>
      <c r="L828" t="s">
        <v>4008</v>
      </c>
      <c r="N828" t="s">
        <v>4590</v>
      </c>
      <c r="O828" t="s">
        <v>6046</v>
      </c>
    </row>
    <row r="829" spans="1:15" x14ac:dyDescent="0.25">
      <c r="A829">
        <v>828</v>
      </c>
      <c r="B829" t="str">
        <f>HYPERLINK("https://digitalcommons.unl.edu/cgi/viewcontent.cgi?article=2172&amp;context=tractormuseumlit","Click for test report")</f>
        <v>Click for test report</v>
      </c>
      <c r="C829">
        <v>1959</v>
      </c>
      <c r="D829" t="s">
        <v>5789</v>
      </c>
      <c r="F829" t="s">
        <v>4395</v>
      </c>
      <c r="G829" t="s">
        <v>3708</v>
      </c>
      <c r="H829" t="s">
        <v>6048</v>
      </c>
      <c r="I829" t="s">
        <v>28</v>
      </c>
      <c r="J829" t="s">
        <v>348</v>
      </c>
      <c r="K829" t="s">
        <v>21</v>
      </c>
      <c r="L829" t="s">
        <v>4008</v>
      </c>
      <c r="N829" t="s">
        <v>4590</v>
      </c>
      <c r="O829" t="s">
        <v>6046</v>
      </c>
    </row>
    <row r="830" spans="1:15" x14ac:dyDescent="0.25">
      <c r="A830">
        <v>829</v>
      </c>
      <c r="B830" t="str">
        <f>HYPERLINK("https://digitalcommons.unl.edu/cgi/viewcontent.cgi?article=2172&amp;context=tractormuseumlit","Click for test report")</f>
        <v>Click for test report</v>
      </c>
      <c r="C830">
        <v>1959</v>
      </c>
      <c r="D830" t="s">
        <v>5789</v>
      </c>
      <c r="F830" t="s">
        <v>4395</v>
      </c>
      <c r="G830" t="s">
        <v>3708</v>
      </c>
      <c r="H830" t="s">
        <v>6047</v>
      </c>
      <c r="I830" t="s">
        <v>28</v>
      </c>
      <c r="J830" t="s">
        <v>348</v>
      </c>
      <c r="K830" t="s">
        <v>21</v>
      </c>
      <c r="L830" t="s">
        <v>4008</v>
      </c>
      <c r="N830" t="s">
        <v>4590</v>
      </c>
      <c r="O830" t="s">
        <v>24</v>
      </c>
    </row>
    <row r="831" spans="1:15" x14ac:dyDescent="0.25">
      <c r="A831">
        <v>830</v>
      </c>
      <c r="B831" t="str">
        <f>HYPERLINK("https://digitalcommons.unl.edu/cgi/viewcontent.cgi?article=2172&amp;context=tractormuseumlit","Click for test report")</f>
        <v>Click for test report</v>
      </c>
      <c r="C831">
        <v>1959</v>
      </c>
      <c r="D831" t="s">
        <v>5789</v>
      </c>
      <c r="F831" t="s">
        <v>4395</v>
      </c>
      <c r="G831" t="s">
        <v>3708</v>
      </c>
      <c r="H831" t="s">
        <v>5614</v>
      </c>
      <c r="I831" t="s">
        <v>28</v>
      </c>
      <c r="J831" t="s">
        <v>348</v>
      </c>
      <c r="K831" t="s">
        <v>21</v>
      </c>
      <c r="L831" t="s">
        <v>4008</v>
      </c>
      <c r="N831" t="s">
        <v>4590</v>
      </c>
      <c r="O831" t="s">
        <v>6046</v>
      </c>
    </row>
    <row r="832" spans="1:15" x14ac:dyDescent="0.25">
      <c r="A832">
        <v>831</v>
      </c>
      <c r="B832" t="str">
        <f>HYPERLINK("https://digitalcommons.unl.edu/cgi/viewcontent.cgi?article=2173&amp;context=tractormuseumlit","Click for test report")</f>
        <v>Click for test report</v>
      </c>
      <c r="C832">
        <v>1959</v>
      </c>
      <c r="D832" t="s">
        <v>6044</v>
      </c>
      <c r="F832" t="s">
        <v>5087</v>
      </c>
      <c r="G832" t="s">
        <v>5087</v>
      </c>
      <c r="H832" t="s">
        <v>6045</v>
      </c>
      <c r="I832" t="s">
        <v>50</v>
      </c>
      <c r="J832" t="s">
        <v>348</v>
      </c>
      <c r="K832" t="s">
        <v>21</v>
      </c>
      <c r="L832" t="s">
        <v>3973</v>
      </c>
      <c r="N832" t="s">
        <v>4745</v>
      </c>
      <c r="O832" t="s">
        <v>24</v>
      </c>
    </row>
    <row r="833" spans="1:15" x14ac:dyDescent="0.25">
      <c r="A833">
        <v>832</v>
      </c>
      <c r="B833" t="str">
        <f>HYPERLINK("https://digitalcommons.unl.edu/cgi/viewcontent.cgi?article=2174&amp;context=tractormuseumlit","Click for test report")</f>
        <v>Click for test report</v>
      </c>
      <c r="C833">
        <v>1959</v>
      </c>
      <c r="D833" t="s">
        <v>6042</v>
      </c>
      <c r="F833" t="s">
        <v>5087</v>
      </c>
      <c r="G833" t="s">
        <v>5087</v>
      </c>
      <c r="H833" t="s">
        <v>6043</v>
      </c>
      <c r="I833" t="s">
        <v>50</v>
      </c>
      <c r="J833" t="s">
        <v>96</v>
      </c>
      <c r="K833" t="s">
        <v>21</v>
      </c>
      <c r="L833" t="s">
        <v>1893</v>
      </c>
      <c r="N833" t="s">
        <v>4397</v>
      </c>
      <c r="O833" t="s">
        <v>24</v>
      </c>
    </row>
    <row r="834" spans="1:15" x14ac:dyDescent="0.25">
      <c r="A834">
        <v>833</v>
      </c>
      <c r="B834" t="str">
        <f>HYPERLINK("https://digitalcommons.unl.edu/cgi/viewcontent.cgi?article=2175&amp;context=tractormuseumlit","Click for test report")</f>
        <v>Click for test report</v>
      </c>
      <c r="C834">
        <v>1959</v>
      </c>
      <c r="D834" t="s">
        <v>6040</v>
      </c>
      <c r="F834" t="s">
        <v>3800</v>
      </c>
      <c r="G834" t="s">
        <v>4473</v>
      </c>
      <c r="H834" t="s">
        <v>6041</v>
      </c>
      <c r="I834" t="s">
        <v>50</v>
      </c>
      <c r="J834" t="s">
        <v>96</v>
      </c>
      <c r="K834" t="s">
        <v>4809</v>
      </c>
      <c r="L834" t="s">
        <v>4745</v>
      </c>
      <c r="N834" t="s">
        <v>4352</v>
      </c>
      <c r="O834" t="s">
        <v>24</v>
      </c>
    </row>
    <row r="835" spans="1:15" x14ac:dyDescent="0.25">
      <c r="A835">
        <v>834</v>
      </c>
      <c r="B835" t="str">
        <f>HYPERLINK("https://digitalcommons.unl.edu/cgi/viewcontent.cgi?article=2176&amp;context=tractormuseumlit","Click for test report")</f>
        <v>Click for test report</v>
      </c>
      <c r="C835">
        <v>1959</v>
      </c>
      <c r="D835" t="s">
        <v>6038</v>
      </c>
      <c r="F835" t="s">
        <v>3442</v>
      </c>
      <c r="G835" t="s">
        <v>3442</v>
      </c>
      <c r="H835" t="s">
        <v>6039</v>
      </c>
      <c r="I835" t="s">
        <v>50</v>
      </c>
      <c r="J835" t="s">
        <v>96</v>
      </c>
      <c r="K835" t="s">
        <v>21</v>
      </c>
      <c r="N835" t="s">
        <v>336</v>
      </c>
      <c r="O835" t="s">
        <v>2163</v>
      </c>
    </row>
    <row r="836" spans="1:15" x14ac:dyDescent="0.25">
      <c r="A836">
        <v>835</v>
      </c>
      <c r="B836" t="str">
        <f>HYPERLINK("https://digitalcommons.unl.edu/cgi/viewcontent.cgi?article=2177&amp;context=tractormuseumlit","Click for test report")</f>
        <v>Click for test report</v>
      </c>
      <c r="C836">
        <v>1959</v>
      </c>
      <c r="D836" t="s">
        <v>6036</v>
      </c>
      <c r="F836" t="s">
        <v>3442</v>
      </c>
      <c r="G836" t="s">
        <v>3442</v>
      </c>
      <c r="H836" t="s">
        <v>6037</v>
      </c>
      <c r="I836" t="s">
        <v>50</v>
      </c>
      <c r="J836" t="s">
        <v>96</v>
      </c>
      <c r="K836" t="s">
        <v>21</v>
      </c>
      <c r="N836" t="s">
        <v>1240</v>
      </c>
      <c r="O836" t="s">
        <v>2163</v>
      </c>
    </row>
    <row r="837" spans="1:15" x14ac:dyDescent="0.25">
      <c r="A837">
        <v>836</v>
      </c>
      <c r="B837" t="str">
        <f>HYPERLINK("https://digitalcommons.unl.edu/cgi/viewcontent.cgi?article=2178&amp;context=tractormuseumlit","Click for test report")</f>
        <v>Click for test report</v>
      </c>
      <c r="C837">
        <v>1959</v>
      </c>
      <c r="D837" t="s">
        <v>6035</v>
      </c>
      <c r="F837" t="s">
        <v>3800</v>
      </c>
      <c r="G837" t="s">
        <v>4473</v>
      </c>
      <c r="H837" t="s">
        <v>5578</v>
      </c>
      <c r="I837" t="s">
        <v>5776</v>
      </c>
      <c r="J837" t="s">
        <v>96</v>
      </c>
      <c r="K837" t="s">
        <v>21</v>
      </c>
      <c r="N837" t="s">
        <v>1970</v>
      </c>
      <c r="O837" t="s">
        <v>2163</v>
      </c>
    </row>
    <row r="838" spans="1:15" x14ac:dyDescent="0.25">
      <c r="A838">
        <v>837</v>
      </c>
      <c r="B838" t="str">
        <f>HYPERLINK("https://digitalcommons.unl.edu/cgi/viewcontent.cgi?article=2179&amp;context=tractormuseumlit","Click for test report")</f>
        <v>Click for test report</v>
      </c>
      <c r="C838">
        <v>1959</v>
      </c>
      <c r="D838" t="s">
        <v>6034</v>
      </c>
      <c r="F838" t="s">
        <v>3800</v>
      </c>
      <c r="G838" t="s">
        <v>4473</v>
      </c>
      <c r="H838" t="s">
        <v>5874</v>
      </c>
      <c r="I838" t="s">
        <v>5776</v>
      </c>
      <c r="J838" t="s">
        <v>96</v>
      </c>
      <c r="K838" t="s">
        <v>21</v>
      </c>
      <c r="N838" t="s">
        <v>2699</v>
      </c>
      <c r="O838" t="s">
        <v>2163</v>
      </c>
    </row>
    <row r="839" spans="1:15" x14ac:dyDescent="0.25">
      <c r="A839">
        <v>838</v>
      </c>
      <c r="B839" t="str">
        <f>HYPERLINK("https://digitalcommons.unl.edu/cgi/viewcontent.cgi?article=2180&amp;context=tractormuseumlit","Click for test report")</f>
        <v>Click for test report</v>
      </c>
      <c r="C839">
        <v>1959</v>
      </c>
      <c r="D839" t="s">
        <v>6033</v>
      </c>
      <c r="F839" t="s">
        <v>3800</v>
      </c>
      <c r="G839" t="s">
        <v>4473</v>
      </c>
      <c r="H839" t="s">
        <v>4829</v>
      </c>
      <c r="I839" t="s">
        <v>5776</v>
      </c>
      <c r="J839" t="s">
        <v>96</v>
      </c>
      <c r="K839" t="s">
        <v>21</v>
      </c>
      <c r="L839" t="s">
        <v>1802</v>
      </c>
      <c r="N839" t="s">
        <v>4745</v>
      </c>
      <c r="O839" t="s">
        <v>24</v>
      </c>
    </row>
    <row r="840" spans="1:15" x14ac:dyDescent="0.25">
      <c r="A840">
        <v>839</v>
      </c>
      <c r="B840" t="str">
        <f>HYPERLINK("https://digitalcommons.unl.edu/cgi/viewcontent.cgi?article=2181&amp;context=tractormuseumlit","Click for test report")</f>
        <v>Click for test report</v>
      </c>
      <c r="C840">
        <v>1959</v>
      </c>
      <c r="D840" t="s">
        <v>6032</v>
      </c>
      <c r="F840" t="s">
        <v>4503</v>
      </c>
      <c r="G840" t="s">
        <v>4504</v>
      </c>
      <c r="H840" t="s">
        <v>6020</v>
      </c>
      <c r="I840" t="s">
        <v>1961</v>
      </c>
      <c r="J840" t="s">
        <v>348</v>
      </c>
      <c r="K840" t="s">
        <v>21</v>
      </c>
      <c r="L840" t="s">
        <v>1371</v>
      </c>
      <c r="N840" t="s">
        <v>764</v>
      </c>
      <c r="O840" t="s">
        <v>24</v>
      </c>
    </row>
    <row r="841" spans="1:15" x14ac:dyDescent="0.25">
      <c r="A841">
        <v>840</v>
      </c>
      <c r="B841" t="str">
        <f>HYPERLINK("https://digitalcommons.unl.edu/cgi/viewcontent.cgi?article=1381&amp;context=tractormuseumlit","Click for test report")</f>
        <v>Click for test report</v>
      </c>
      <c r="C841">
        <v>1959</v>
      </c>
      <c r="D841" t="s">
        <v>6030</v>
      </c>
      <c r="F841" t="s">
        <v>17</v>
      </c>
      <c r="G841" t="s">
        <v>17</v>
      </c>
      <c r="H841" t="s">
        <v>6031</v>
      </c>
      <c r="I841" t="s">
        <v>50</v>
      </c>
      <c r="J841" t="s">
        <v>348</v>
      </c>
      <c r="K841" t="s">
        <v>21</v>
      </c>
      <c r="L841" t="s">
        <v>4012</v>
      </c>
      <c r="N841" t="s">
        <v>4589</v>
      </c>
      <c r="O841" t="s">
        <v>24</v>
      </c>
    </row>
    <row r="842" spans="1:15" x14ac:dyDescent="0.25">
      <c r="A842">
        <v>841</v>
      </c>
      <c r="B842" t="str">
        <f>HYPERLINK("https://digitalcommons.unl.edu/cgi/viewcontent.cgi?article=1382&amp;context=tractormuseumlit","Click for test report")</f>
        <v>Click for test report</v>
      </c>
      <c r="C842">
        <v>1959</v>
      </c>
      <c r="D842" t="s">
        <v>6028</v>
      </c>
      <c r="F842" t="s">
        <v>17</v>
      </c>
      <c r="G842" t="s">
        <v>17</v>
      </c>
      <c r="H842" t="s">
        <v>6029</v>
      </c>
      <c r="I842" t="s">
        <v>50</v>
      </c>
      <c r="J842" t="s">
        <v>348</v>
      </c>
      <c r="K842" t="s">
        <v>21</v>
      </c>
      <c r="L842" t="s">
        <v>4012</v>
      </c>
      <c r="N842" t="s">
        <v>4352</v>
      </c>
      <c r="O842" t="s">
        <v>24</v>
      </c>
    </row>
    <row r="843" spans="1:15" x14ac:dyDescent="0.25">
      <c r="A843">
        <v>842</v>
      </c>
      <c r="B843" t="str">
        <f>HYPERLINK("https://digitalcommons.unl.edu/cgi/viewcontent.cgi?article=1383&amp;context=tractormuseumlit","Click for test report")</f>
        <v>Click for test report</v>
      </c>
      <c r="C843">
        <v>1959</v>
      </c>
      <c r="D843" t="s">
        <v>6026</v>
      </c>
      <c r="F843" t="s">
        <v>17</v>
      </c>
      <c r="G843" t="s">
        <v>17</v>
      </c>
      <c r="H843" t="s">
        <v>6027</v>
      </c>
      <c r="I843" t="s">
        <v>50</v>
      </c>
      <c r="J843" t="s">
        <v>348</v>
      </c>
      <c r="K843" t="s">
        <v>4809</v>
      </c>
      <c r="L843" t="s">
        <v>4008</v>
      </c>
      <c r="N843" t="s">
        <v>4013</v>
      </c>
      <c r="O843" t="s">
        <v>24</v>
      </c>
    </row>
    <row r="844" spans="1:15" x14ac:dyDescent="0.25">
      <c r="A844">
        <v>843</v>
      </c>
      <c r="B844" t="str">
        <f>HYPERLINK("https://digitalcommons.unl.edu/cgi/viewcontent.cgi?article=1384&amp;context=tractormuseumlit","Click for test report")</f>
        <v>Click for test report</v>
      </c>
      <c r="C844">
        <v>1959</v>
      </c>
      <c r="D844" t="s">
        <v>6024</v>
      </c>
      <c r="F844" t="s">
        <v>17</v>
      </c>
      <c r="G844" t="s">
        <v>17</v>
      </c>
      <c r="H844" t="s">
        <v>6025</v>
      </c>
      <c r="I844" t="s">
        <v>50</v>
      </c>
      <c r="J844" t="s">
        <v>96</v>
      </c>
      <c r="K844" t="s">
        <v>21</v>
      </c>
      <c r="L844" t="s">
        <v>4012</v>
      </c>
      <c r="N844" t="s">
        <v>4013</v>
      </c>
      <c r="O844" t="s">
        <v>24</v>
      </c>
    </row>
    <row r="845" spans="1:15" x14ac:dyDescent="0.25">
      <c r="A845">
        <v>844</v>
      </c>
      <c r="B845" t="str">
        <f>HYPERLINK("https://digitalcommons.unl.edu/cgi/viewcontent.cgi?article=1385&amp;context=tractormuseumlit","Click for test report")</f>
        <v>Click for test report</v>
      </c>
      <c r="C845">
        <v>1959</v>
      </c>
      <c r="D845" t="s">
        <v>6022</v>
      </c>
      <c r="F845" t="s">
        <v>17</v>
      </c>
      <c r="G845" t="s">
        <v>17</v>
      </c>
      <c r="H845" t="s">
        <v>6023</v>
      </c>
      <c r="I845" t="s">
        <v>50</v>
      </c>
      <c r="J845" t="s">
        <v>96</v>
      </c>
      <c r="K845" t="s">
        <v>4809</v>
      </c>
      <c r="L845" t="s">
        <v>4008</v>
      </c>
      <c r="N845" t="s">
        <v>4355</v>
      </c>
      <c r="O845" t="s">
        <v>24</v>
      </c>
    </row>
    <row r="846" spans="1:15" x14ac:dyDescent="0.25">
      <c r="A846">
        <v>845</v>
      </c>
      <c r="B846" t="str">
        <f>HYPERLINK("https://digitalcommons.unl.edu/cgi/viewcontent.cgi?article=2183&amp;context=tractormuseumlit","Click for test report")</f>
        <v>Click for test report</v>
      </c>
      <c r="C846">
        <v>1959</v>
      </c>
      <c r="D846" t="s">
        <v>6021</v>
      </c>
      <c r="F846" t="s">
        <v>4503</v>
      </c>
      <c r="G846" t="s">
        <v>4504</v>
      </c>
      <c r="H846" t="s">
        <v>6020</v>
      </c>
      <c r="I846" t="s">
        <v>1961</v>
      </c>
      <c r="J846" t="s">
        <v>348</v>
      </c>
      <c r="K846" t="s">
        <v>4809</v>
      </c>
      <c r="L846" t="s">
        <v>574</v>
      </c>
      <c r="N846" t="s">
        <v>764</v>
      </c>
      <c r="O846" t="s">
        <v>24</v>
      </c>
    </row>
    <row r="847" spans="1:15" x14ac:dyDescent="0.25">
      <c r="A847">
        <v>846</v>
      </c>
      <c r="B847" t="str">
        <f>HYPERLINK("https://digitalcommons.unl.edu/cgi/viewcontent.cgi?article=2184&amp;context=tractormuseumlit","Click for test report")</f>
        <v>Click for test report</v>
      </c>
      <c r="C847">
        <v>1959</v>
      </c>
      <c r="D847" t="s">
        <v>6019</v>
      </c>
      <c r="F847" t="s">
        <v>4503</v>
      </c>
      <c r="G847" t="s">
        <v>4504</v>
      </c>
      <c r="H847" t="s">
        <v>6020</v>
      </c>
      <c r="I847" t="s">
        <v>1961</v>
      </c>
      <c r="J847" t="s">
        <v>348</v>
      </c>
      <c r="K847" t="s">
        <v>5598</v>
      </c>
      <c r="L847" t="s">
        <v>344</v>
      </c>
      <c r="N847" t="s">
        <v>764</v>
      </c>
      <c r="O847" t="s">
        <v>24</v>
      </c>
    </row>
    <row r="848" spans="1:15" x14ac:dyDescent="0.25">
      <c r="A848">
        <v>847</v>
      </c>
      <c r="B848" t="str">
        <f>HYPERLINK("https://digitalcommons.unl.edu/cgi/viewcontent.cgi?article=2185&amp;context=tractormuseumlit","Click for test report")</f>
        <v>Click for test report</v>
      </c>
      <c r="C848">
        <v>1959</v>
      </c>
      <c r="D848" t="s">
        <v>6018</v>
      </c>
      <c r="F848" t="s">
        <v>4325</v>
      </c>
      <c r="G848" t="s">
        <v>4325</v>
      </c>
      <c r="H848" t="s">
        <v>5867</v>
      </c>
      <c r="I848" t="s">
        <v>50</v>
      </c>
      <c r="J848" t="s">
        <v>348</v>
      </c>
      <c r="K848" t="s">
        <v>4809</v>
      </c>
      <c r="L848" t="s">
        <v>4589</v>
      </c>
      <c r="N848" t="s">
        <v>4355</v>
      </c>
      <c r="O848" t="s">
        <v>24</v>
      </c>
    </row>
    <row r="849" spans="1:15" x14ac:dyDescent="0.25">
      <c r="A849">
        <v>848</v>
      </c>
      <c r="B849" t="str">
        <f>HYPERLINK("https://digitalcommons.unl.edu/cgi/viewcontent.cgi?article=2186&amp;context=tractormuseumlit","Click for test report")</f>
        <v>Click for test report</v>
      </c>
      <c r="C849">
        <v>1959</v>
      </c>
      <c r="D849" t="s">
        <v>6017</v>
      </c>
      <c r="F849" t="s">
        <v>4325</v>
      </c>
      <c r="G849" t="s">
        <v>4325</v>
      </c>
      <c r="H849" t="s">
        <v>5871</v>
      </c>
      <c r="I849" t="s">
        <v>50</v>
      </c>
      <c r="J849" t="s">
        <v>348</v>
      </c>
      <c r="K849" t="s">
        <v>4809</v>
      </c>
      <c r="L849" t="s">
        <v>4589</v>
      </c>
      <c r="N849" t="s">
        <v>4590</v>
      </c>
      <c r="O849" t="s">
        <v>24</v>
      </c>
    </row>
    <row r="850" spans="1:15" x14ac:dyDescent="0.25">
      <c r="A850">
        <v>849</v>
      </c>
      <c r="B850" t="str">
        <f>HYPERLINK("https://digitalcommons.unl.edu/cgi/viewcontent.cgi?article=2187&amp;context=tractormuseumlit","Click for test report")</f>
        <v>Click for test report</v>
      </c>
      <c r="C850">
        <v>1959</v>
      </c>
      <c r="D850" t="s">
        <v>6015</v>
      </c>
      <c r="F850" t="s">
        <v>4503</v>
      </c>
      <c r="G850" t="s">
        <v>4503</v>
      </c>
      <c r="H850" t="s">
        <v>6016</v>
      </c>
      <c r="I850" t="s">
        <v>50</v>
      </c>
      <c r="J850" t="s">
        <v>96</v>
      </c>
      <c r="K850" t="s">
        <v>4809</v>
      </c>
      <c r="L850" t="s">
        <v>3973</v>
      </c>
      <c r="N850" t="s">
        <v>4008</v>
      </c>
      <c r="O850" t="s">
        <v>24</v>
      </c>
    </row>
    <row r="851" spans="1:15" x14ac:dyDescent="0.25">
      <c r="A851">
        <v>850</v>
      </c>
      <c r="B851" t="str">
        <f>HYPERLINK("https://digitalcommons.unl.edu/cgi/viewcontent.cgi?article=2188&amp;context=tractormuseumlit","Click for test report")</f>
        <v>Click for test report</v>
      </c>
      <c r="C851">
        <v>1959</v>
      </c>
      <c r="D851" t="s">
        <v>5919</v>
      </c>
      <c r="F851" t="s">
        <v>778</v>
      </c>
      <c r="G851" t="s">
        <v>778</v>
      </c>
      <c r="H851" t="s">
        <v>5948</v>
      </c>
      <c r="I851" t="s">
        <v>50</v>
      </c>
      <c r="J851" t="s">
        <v>348</v>
      </c>
      <c r="K851" t="s">
        <v>4809</v>
      </c>
      <c r="L851" t="s">
        <v>725</v>
      </c>
      <c r="N851" t="s">
        <v>3319</v>
      </c>
      <c r="O851" t="s">
        <v>24</v>
      </c>
    </row>
    <row r="852" spans="1:15" x14ac:dyDescent="0.25">
      <c r="A852">
        <v>851</v>
      </c>
      <c r="B852" t="str">
        <f>HYPERLINK("https://digitalcommons.unl.edu/cgi/viewcontent.cgi?article=2189&amp;context=tractormuseumlit","Click for test report")</f>
        <v>Click for test report</v>
      </c>
      <c r="C852">
        <v>1959</v>
      </c>
      <c r="D852" t="s">
        <v>5916</v>
      </c>
      <c r="F852" t="s">
        <v>778</v>
      </c>
      <c r="G852" t="s">
        <v>778</v>
      </c>
      <c r="H852" t="s">
        <v>5948</v>
      </c>
      <c r="I852" t="s">
        <v>50</v>
      </c>
      <c r="J852" t="s">
        <v>348</v>
      </c>
      <c r="K852" t="s">
        <v>5598</v>
      </c>
      <c r="L852" t="s">
        <v>1864</v>
      </c>
      <c r="N852" t="s">
        <v>404</v>
      </c>
      <c r="O852" t="s">
        <v>24</v>
      </c>
    </row>
    <row r="853" spans="1:15" x14ac:dyDescent="0.25">
      <c r="A853">
        <v>852</v>
      </c>
      <c r="B853" t="str">
        <f>HYPERLINK("https://digitalcommons.unl.edu/cgi/viewcontent.cgi?article=2190&amp;context=tractormuseumlit","Click for test report")</f>
        <v>Click for test report</v>
      </c>
      <c r="C853">
        <v>1959</v>
      </c>
      <c r="D853" t="s">
        <v>6012</v>
      </c>
      <c r="F853" t="s">
        <v>6013</v>
      </c>
      <c r="G853" t="s">
        <v>6013</v>
      </c>
      <c r="H853" t="s">
        <v>6014</v>
      </c>
      <c r="I853" t="s">
        <v>50</v>
      </c>
      <c r="J853" t="s">
        <v>348</v>
      </c>
      <c r="K853" t="s">
        <v>21</v>
      </c>
      <c r="L853" t="s">
        <v>1893</v>
      </c>
      <c r="N853" t="s">
        <v>4745</v>
      </c>
      <c r="O853" t="s">
        <v>24</v>
      </c>
    </row>
    <row r="854" spans="1:15" x14ac:dyDescent="0.25">
      <c r="A854">
        <v>853</v>
      </c>
      <c r="B854" t="str">
        <f>HYPERLINK("https://digitalcommons.unl.edu/cgi/viewcontent.cgi?article=2191&amp;context=tractormuseumlit","Click for test report")</f>
        <v>Click for test report</v>
      </c>
      <c r="C854">
        <v>1959</v>
      </c>
      <c r="D854" t="s">
        <v>6010</v>
      </c>
      <c r="F854" t="s">
        <v>5999</v>
      </c>
      <c r="G854" t="s">
        <v>5999</v>
      </c>
      <c r="H854" t="s">
        <v>6011</v>
      </c>
      <c r="I854" t="s">
        <v>6005</v>
      </c>
      <c r="J854" t="s">
        <v>348</v>
      </c>
      <c r="K854" t="s">
        <v>4809</v>
      </c>
      <c r="M854" t="s">
        <v>6009</v>
      </c>
      <c r="N854" t="s">
        <v>6002</v>
      </c>
      <c r="O854" t="s">
        <v>24</v>
      </c>
    </row>
    <row r="855" spans="1:15" x14ac:dyDescent="0.25">
      <c r="A855">
        <v>854</v>
      </c>
      <c r="B855" t="str">
        <f>HYPERLINK("https://digitalcommons.unl.edu/cgi/viewcontent.cgi?article=2192&amp;context=tractormuseumlit","Click for test report")</f>
        <v>Click for test report</v>
      </c>
      <c r="C855">
        <v>1959</v>
      </c>
      <c r="D855" t="s">
        <v>6007</v>
      </c>
      <c r="F855" t="s">
        <v>5999</v>
      </c>
      <c r="G855" t="s">
        <v>5999</v>
      </c>
      <c r="H855" t="s">
        <v>6008</v>
      </c>
      <c r="I855" t="s">
        <v>6005</v>
      </c>
      <c r="J855" t="s">
        <v>348</v>
      </c>
      <c r="K855" t="s">
        <v>4809</v>
      </c>
      <c r="M855" t="s">
        <v>6009</v>
      </c>
      <c r="N855" t="s">
        <v>6009</v>
      </c>
      <c r="O855" t="s">
        <v>24</v>
      </c>
    </row>
    <row r="856" spans="1:15" x14ac:dyDescent="0.25">
      <c r="A856">
        <v>855</v>
      </c>
      <c r="B856" t="str">
        <f>HYPERLINK("https://digitalcommons.unl.edu/cgi/viewcontent.cgi?article=2193&amp;context=tractormuseumlit","Click for test report")</f>
        <v>Click for test report</v>
      </c>
      <c r="C856">
        <v>1959</v>
      </c>
      <c r="D856" t="s">
        <v>5984</v>
      </c>
      <c r="F856" t="s">
        <v>5999</v>
      </c>
      <c r="G856" t="s">
        <v>5999</v>
      </c>
      <c r="H856" t="s">
        <v>6004</v>
      </c>
      <c r="I856" t="s">
        <v>6005</v>
      </c>
      <c r="J856" t="s">
        <v>348</v>
      </c>
      <c r="K856" t="s">
        <v>4809</v>
      </c>
      <c r="M856" t="s">
        <v>6006</v>
      </c>
      <c r="N856" t="s">
        <v>6006</v>
      </c>
      <c r="O856" t="s">
        <v>24</v>
      </c>
    </row>
    <row r="857" spans="1:15" x14ac:dyDescent="0.25">
      <c r="A857">
        <v>856</v>
      </c>
      <c r="B857" t="str">
        <f>HYPERLINK("https://digitalcommons.unl.edu/cgi/viewcontent.cgi?article=2194&amp;context=tractormuseumlit","Click for test report")</f>
        <v>Click for test report</v>
      </c>
      <c r="C857">
        <v>1959</v>
      </c>
      <c r="D857" t="s">
        <v>5998</v>
      </c>
      <c r="F857" t="s">
        <v>5999</v>
      </c>
      <c r="G857" t="s">
        <v>5999</v>
      </c>
      <c r="H857" t="s">
        <v>6000</v>
      </c>
      <c r="I857" t="s">
        <v>6001</v>
      </c>
      <c r="J857" t="s">
        <v>348</v>
      </c>
      <c r="K857" t="s">
        <v>4809</v>
      </c>
      <c r="M857" t="s">
        <v>6002</v>
      </c>
      <c r="N857" t="s">
        <v>6003</v>
      </c>
      <c r="O857" t="s">
        <v>24</v>
      </c>
    </row>
    <row r="858" spans="1:15" x14ac:dyDescent="0.25">
      <c r="A858">
        <v>857</v>
      </c>
      <c r="B858" t="str">
        <f>HYPERLINK("https://digitalcommons.unl.edu/cgi/viewcontent.cgi?article=2195&amp;context=tractormuseumlit","Click for test report")</f>
        <v>Click for test report</v>
      </c>
      <c r="C858">
        <v>1960</v>
      </c>
      <c r="D858" t="s">
        <v>5464</v>
      </c>
      <c r="F858" t="s">
        <v>5081</v>
      </c>
      <c r="G858" t="s">
        <v>4504</v>
      </c>
      <c r="H858" t="s">
        <v>5997</v>
      </c>
      <c r="I858" t="s">
        <v>50</v>
      </c>
      <c r="J858" t="s">
        <v>348</v>
      </c>
      <c r="K858" t="s">
        <v>21</v>
      </c>
      <c r="L858" t="s">
        <v>4012</v>
      </c>
      <c r="N858" t="s">
        <v>4440</v>
      </c>
      <c r="O858" t="s">
        <v>24</v>
      </c>
    </row>
    <row r="859" spans="1:15" x14ac:dyDescent="0.25">
      <c r="A859">
        <v>858</v>
      </c>
      <c r="B859" t="str">
        <f>HYPERLINK("https://digitalcommons.unl.edu/cgi/viewcontent.cgi?article=2196&amp;context=tractormuseumlit","Click for test report")</f>
        <v>Click for test report</v>
      </c>
      <c r="C859">
        <v>1960</v>
      </c>
      <c r="D859" t="s">
        <v>5996</v>
      </c>
      <c r="F859" t="s">
        <v>4472</v>
      </c>
      <c r="G859" t="s">
        <v>4472</v>
      </c>
      <c r="H859" t="s">
        <v>5115</v>
      </c>
      <c r="I859" t="s">
        <v>50</v>
      </c>
      <c r="J859" t="s">
        <v>348</v>
      </c>
      <c r="K859" t="s">
        <v>21</v>
      </c>
      <c r="L859" t="s">
        <v>4745</v>
      </c>
      <c r="N859" t="s">
        <v>4008</v>
      </c>
      <c r="O859" t="s">
        <v>24</v>
      </c>
    </row>
    <row r="860" spans="1:15" x14ac:dyDescent="0.25">
      <c r="A860">
        <v>859</v>
      </c>
      <c r="B860" t="str">
        <f>HYPERLINK("https://digitalcommons.unl.edu/cgi/viewcontent.cgi?article=2197&amp;context=tractormuseumlit","Click for test report")</f>
        <v>Click for test report</v>
      </c>
      <c r="C860">
        <v>1960</v>
      </c>
      <c r="D860" t="s">
        <v>5995</v>
      </c>
      <c r="F860" t="s">
        <v>4472</v>
      </c>
      <c r="G860" t="s">
        <v>4472</v>
      </c>
      <c r="H860" t="s">
        <v>5115</v>
      </c>
      <c r="I860" t="s">
        <v>50</v>
      </c>
      <c r="J860" t="s">
        <v>348</v>
      </c>
      <c r="K860" t="s">
        <v>4809</v>
      </c>
      <c r="L860" t="s">
        <v>4012</v>
      </c>
      <c r="N860" t="s">
        <v>4589</v>
      </c>
      <c r="O860" t="s">
        <v>24</v>
      </c>
    </row>
    <row r="861" spans="1:15" x14ac:dyDescent="0.25">
      <c r="A861">
        <v>860</v>
      </c>
      <c r="B861" t="str">
        <f>HYPERLINK("https://digitalcommons.unl.edu/cgi/viewcontent.cgi?article=2198&amp;context=tractormuseumlit","Click for test report")</f>
        <v>Click for test report</v>
      </c>
      <c r="C861">
        <v>1960</v>
      </c>
      <c r="D861" t="s">
        <v>5992</v>
      </c>
      <c r="F861" t="s">
        <v>3800</v>
      </c>
      <c r="G861" t="s">
        <v>4473</v>
      </c>
      <c r="H861" t="s">
        <v>5994</v>
      </c>
      <c r="I861" t="s">
        <v>5776</v>
      </c>
      <c r="J861" t="s">
        <v>348</v>
      </c>
      <c r="K861" t="s">
        <v>21</v>
      </c>
      <c r="L861" t="s">
        <v>728</v>
      </c>
      <c r="N861" t="s">
        <v>353</v>
      </c>
      <c r="O861" t="s">
        <v>24</v>
      </c>
    </row>
    <row r="862" spans="1:15" x14ac:dyDescent="0.25">
      <c r="A862">
        <v>861</v>
      </c>
      <c r="B862" t="str">
        <f>HYPERLINK("https://digitalcommons.unl.edu/cgi/viewcontent.cgi?article=2198&amp;context=tractormuseumlit","Click for test report")</f>
        <v>Click for test report</v>
      </c>
      <c r="C862">
        <v>1960</v>
      </c>
      <c r="D862" t="s">
        <v>5992</v>
      </c>
      <c r="F862" t="s">
        <v>3800</v>
      </c>
      <c r="G862" t="s">
        <v>4473</v>
      </c>
      <c r="H862" t="s">
        <v>5993</v>
      </c>
      <c r="I862" t="s">
        <v>5776</v>
      </c>
      <c r="J862" t="s">
        <v>348</v>
      </c>
      <c r="K862" t="s">
        <v>21</v>
      </c>
      <c r="L862" t="s">
        <v>728</v>
      </c>
      <c r="N862" t="s">
        <v>3319</v>
      </c>
      <c r="O862" t="s">
        <v>24</v>
      </c>
    </row>
    <row r="863" spans="1:15" x14ac:dyDescent="0.25">
      <c r="A863">
        <v>862</v>
      </c>
      <c r="B863" t="str">
        <f>HYPERLINK("https://digitalcommons.unl.edu/cgi/viewcontent.cgi?article=2199&amp;context=tractormuseumlit","Click for test report")</f>
        <v>Click for test report</v>
      </c>
      <c r="C863">
        <v>1960</v>
      </c>
      <c r="D863" t="s">
        <v>5991</v>
      </c>
      <c r="F863" t="s">
        <v>3800</v>
      </c>
      <c r="G863" t="s">
        <v>4473</v>
      </c>
      <c r="H863" t="s">
        <v>5834</v>
      </c>
      <c r="I863" t="s">
        <v>50</v>
      </c>
      <c r="J863" t="s">
        <v>348</v>
      </c>
      <c r="K863" t="s">
        <v>21</v>
      </c>
      <c r="L863" t="s">
        <v>728</v>
      </c>
      <c r="N863" t="s">
        <v>1970</v>
      </c>
      <c r="O863" t="s">
        <v>24</v>
      </c>
    </row>
    <row r="864" spans="1:15" x14ac:dyDescent="0.25">
      <c r="A864">
        <v>863</v>
      </c>
      <c r="B864" t="str">
        <f>HYPERLINK("https://digitalcommons.unl.edu/cgi/viewcontent.cgi?article=2200&amp;context=tractormuseumlit","Click for test report")</f>
        <v>Click for test report</v>
      </c>
      <c r="C864">
        <v>1960</v>
      </c>
      <c r="D864" t="s">
        <v>5990</v>
      </c>
      <c r="F864" t="s">
        <v>3800</v>
      </c>
      <c r="G864" t="s">
        <v>4473</v>
      </c>
      <c r="H864" t="s">
        <v>5814</v>
      </c>
      <c r="I864" t="s">
        <v>50</v>
      </c>
      <c r="J864" t="s">
        <v>348</v>
      </c>
      <c r="K864" t="s">
        <v>4809</v>
      </c>
      <c r="L864" t="s">
        <v>349</v>
      </c>
      <c r="N864" t="s">
        <v>3123</v>
      </c>
      <c r="O864" t="s">
        <v>24</v>
      </c>
    </row>
    <row r="865" spans="1:15" x14ac:dyDescent="0.25">
      <c r="A865">
        <v>864</v>
      </c>
      <c r="B865" t="str">
        <f>HYPERLINK("https://digitalcommons.unl.edu/cgi/viewcontent.cgi?article=2201&amp;context=tractormuseumlit","Click for test report")</f>
        <v>Click for test report</v>
      </c>
      <c r="C865">
        <v>1960</v>
      </c>
      <c r="D865" t="s">
        <v>5989</v>
      </c>
      <c r="F865" t="s">
        <v>3800</v>
      </c>
      <c r="G865" t="s">
        <v>4473</v>
      </c>
      <c r="H865" t="s">
        <v>5687</v>
      </c>
      <c r="I865" t="s">
        <v>50</v>
      </c>
      <c r="J865" t="s">
        <v>348</v>
      </c>
      <c r="K865" t="s">
        <v>5598</v>
      </c>
      <c r="L865" t="s">
        <v>746</v>
      </c>
      <c r="N865" t="s">
        <v>764</v>
      </c>
      <c r="O865" t="s">
        <v>24</v>
      </c>
    </row>
    <row r="866" spans="1:15" x14ac:dyDescent="0.25">
      <c r="A866">
        <v>865</v>
      </c>
      <c r="B866" t="str">
        <f>HYPERLINK("https://digitalcommons.unl.edu/cgi/viewcontent.cgi?article=2202&amp;context=tractormuseumlit","Click for test report")</f>
        <v>Click for test report</v>
      </c>
      <c r="C866">
        <v>1960</v>
      </c>
      <c r="D866" t="s">
        <v>5988</v>
      </c>
      <c r="F866" t="s">
        <v>3800</v>
      </c>
      <c r="G866" t="s">
        <v>4473</v>
      </c>
      <c r="H866" t="s">
        <v>5814</v>
      </c>
      <c r="I866" t="s">
        <v>50</v>
      </c>
      <c r="J866" t="s">
        <v>348</v>
      </c>
      <c r="K866" t="s">
        <v>5598</v>
      </c>
      <c r="L866" t="s">
        <v>728</v>
      </c>
      <c r="N866" t="s">
        <v>1994</v>
      </c>
      <c r="O866" t="s">
        <v>24</v>
      </c>
    </row>
    <row r="867" spans="1:15" x14ac:dyDescent="0.25">
      <c r="A867">
        <v>866</v>
      </c>
      <c r="B867" t="str">
        <f>HYPERLINK("https://digitalcommons.unl.edu/cgi/viewcontent.cgi?article=2203&amp;context=tractormuseumlit","Click for test report")</f>
        <v>Click for test report</v>
      </c>
      <c r="C867">
        <v>1960</v>
      </c>
      <c r="D867" t="s">
        <v>5921</v>
      </c>
      <c r="F867" t="s">
        <v>3800</v>
      </c>
      <c r="G867" t="s">
        <v>4473</v>
      </c>
      <c r="H867" t="s">
        <v>5705</v>
      </c>
      <c r="I867" t="s">
        <v>50</v>
      </c>
      <c r="J867" t="s">
        <v>348</v>
      </c>
      <c r="K867" t="s">
        <v>21</v>
      </c>
      <c r="L867" t="s">
        <v>344</v>
      </c>
      <c r="N867" t="s">
        <v>764</v>
      </c>
      <c r="O867" t="s">
        <v>24</v>
      </c>
    </row>
    <row r="868" spans="1:15" x14ac:dyDescent="0.25">
      <c r="A868">
        <v>867</v>
      </c>
      <c r="B868" t="str">
        <f>HYPERLINK("https://digitalcommons.unl.edu/cgi/viewcontent.cgi?article=2204&amp;context=tractormuseumlit","Click for test report")</f>
        <v>Click for test report</v>
      </c>
      <c r="C868">
        <v>1960</v>
      </c>
      <c r="D868" t="s">
        <v>5985</v>
      </c>
      <c r="F868" t="s">
        <v>3800</v>
      </c>
      <c r="G868" t="s">
        <v>4473</v>
      </c>
      <c r="H868" t="s">
        <v>5987</v>
      </c>
      <c r="I868" t="s">
        <v>5776</v>
      </c>
      <c r="J868" t="s">
        <v>348</v>
      </c>
      <c r="K868" t="s">
        <v>21</v>
      </c>
      <c r="L868" t="s">
        <v>404</v>
      </c>
      <c r="N868" t="s">
        <v>735</v>
      </c>
      <c r="O868" t="s">
        <v>24</v>
      </c>
    </row>
    <row r="869" spans="1:15" x14ac:dyDescent="0.25">
      <c r="A869">
        <v>868</v>
      </c>
      <c r="B869" t="str">
        <f>HYPERLINK("https://digitalcommons.unl.edu/cgi/viewcontent.cgi?article=2204&amp;context=tractormuseumlit","Click for test report")</f>
        <v>Click for test report</v>
      </c>
      <c r="C869">
        <v>1960</v>
      </c>
      <c r="D869" t="s">
        <v>5985</v>
      </c>
      <c r="F869" t="s">
        <v>3800</v>
      </c>
      <c r="G869" t="s">
        <v>4473</v>
      </c>
      <c r="H869" t="s">
        <v>5986</v>
      </c>
      <c r="I869" t="s">
        <v>5776</v>
      </c>
      <c r="J869" t="s">
        <v>348</v>
      </c>
      <c r="K869" t="s">
        <v>21</v>
      </c>
      <c r="L869" t="s">
        <v>404</v>
      </c>
      <c r="N869" t="s">
        <v>1009</v>
      </c>
      <c r="O869" t="s">
        <v>24</v>
      </c>
    </row>
    <row r="870" spans="1:15" x14ac:dyDescent="0.25">
      <c r="A870">
        <v>869</v>
      </c>
      <c r="B870" t="str">
        <f>HYPERLINK("https://digitalcommons.unl.edu/cgi/viewcontent.cgi?article=2205&amp;context=tractormuseumlit","Click for test report")</f>
        <v>Click for test report</v>
      </c>
      <c r="C870">
        <v>1960</v>
      </c>
      <c r="D870" t="s">
        <v>5983</v>
      </c>
      <c r="F870" t="s">
        <v>3800</v>
      </c>
      <c r="G870" t="s">
        <v>4473</v>
      </c>
      <c r="H870" t="s">
        <v>5984</v>
      </c>
      <c r="I870" t="s">
        <v>50</v>
      </c>
      <c r="J870" t="s">
        <v>348</v>
      </c>
      <c r="K870" t="s">
        <v>21</v>
      </c>
      <c r="L870" t="s">
        <v>404</v>
      </c>
      <c r="N870" t="s">
        <v>2188</v>
      </c>
      <c r="O870" t="s">
        <v>24</v>
      </c>
    </row>
    <row r="871" spans="1:15" x14ac:dyDescent="0.25">
      <c r="A871">
        <v>870</v>
      </c>
      <c r="B871" t="str">
        <f>HYPERLINK("https://digitalcommons.unl.edu/cgi/viewcontent.cgi?article=2206&amp;context=tractormuseumlit","Click for test report")</f>
        <v>Click for test report</v>
      </c>
      <c r="C871">
        <v>1960</v>
      </c>
      <c r="D871" t="s">
        <v>5981</v>
      </c>
      <c r="F871" t="s">
        <v>778</v>
      </c>
      <c r="G871" t="s">
        <v>778</v>
      </c>
      <c r="H871" t="s">
        <v>5982</v>
      </c>
      <c r="I871" t="s">
        <v>50</v>
      </c>
      <c r="J871" t="s">
        <v>348</v>
      </c>
      <c r="K871" t="s">
        <v>21</v>
      </c>
      <c r="L871" t="s">
        <v>1893</v>
      </c>
      <c r="N871" t="s">
        <v>4745</v>
      </c>
      <c r="O871" t="s">
        <v>24</v>
      </c>
    </row>
    <row r="872" spans="1:15" x14ac:dyDescent="0.25">
      <c r="A872">
        <v>871</v>
      </c>
      <c r="B872" t="str">
        <f>HYPERLINK("https://digitalcommons.unl.edu/cgi/viewcontent.cgi?article=2207&amp;context=tractormuseumlit","Click for test report")</f>
        <v>Click for test report</v>
      </c>
      <c r="C872">
        <v>1960</v>
      </c>
      <c r="D872" t="s">
        <v>5980</v>
      </c>
      <c r="F872" t="s">
        <v>778</v>
      </c>
      <c r="G872" t="s">
        <v>778</v>
      </c>
      <c r="H872" t="s">
        <v>5878</v>
      </c>
      <c r="I872" t="s">
        <v>50</v>
      </c>
      <c r="J872" t="s">
        <v>348</v>
      </c>
      <c r="K872" t="s">
        <v>21</v>
      </c>
      <c r="L872" t="s">
        <v>2188</v>
      </c>
      <c r="N872" t="s">
        <v>3152</v>
      </c>
      <c r="O872" t="s">
        <v>24</v>
      </c>
    </row>
    <row r="873" spans="1:15" x14ac:dyDescent="0.25">
      <c r="A873">
        <v>872</v>
      </c>
      <c r="B873" t="str">
        <f>HYPERLINK("https://digitalcommons.unl.edu/cgi/viewcontent.cgi?article=2208&amp;context=tractormuseumlit","Click for test report")</f>
        <v>Click for test report</v>
      </c>
      <c r="C873">
        <v>1960</v>
      </c>
      <c r="D873" t="s">
        <v>5978</v>
      </c>
      <c r="F873" t="s">
        <v>3442</v>
      </c>
      <c r="G873" t="s">
        <v>3442</v>
      </c>
      <c r="H873" t="s">
        <v>5979</v>
      </c>
      <c r="I873" t="s">
        <v>50</v>
      </c>
      <c r="J873" t="s">
        <v>96</v>
      </c>
      <c r="K873" t="s">
        <v>21</v>
      </c>
      <c r="M873" t="s">
        <v>404</v>
      </c>
      <c r="N873" t="s">
        <v>735</v>
      </c>
      <c r="O873" t="s">
        <v>24</v>
      </c>
    </row>
    <row r="874" spans="1:15" x14ac:dyDescent="0.25">
      <c r="A874">
        <v>873</v>
      </c>
      <c r="B874" t="str">
        <f>HYPERLINK("https://digitalcommons.unl.edu/cgi/viewcontent.cgi?article=2209&amp;context=tractormuseumlit","Click for test report")</f>
        <v>Click for test report</v>
      </c>
      <c r="C874">
        <v>1960</v>
      </c>
      <c r="D874" t="s">
        <v>5976</v>
      </c>
      <c r="F874" t="s">
        <v>3442</v>
      </c>
      <c r="G874" t="s">
        <v>3442</v>
      </c>
      <c r="H874" t="s">
        <v>5977</v>
      </c>
      <c r="I874" t="s">
        <v>50</v>
      </c>
      <c r="J874" t="s">
        <v>96</v>
      </c>
      <c r="K874" t="s">
        <v>21</v>
      </c>
      <c r="N874" t="s">
        <v>58</v>
      </c>
      <c r="O874" t="s">
        <v>2163</v>
      </c>
    </row>
    <row r="875" spans="1:15" x14ac:dyDescent="0.25">
      <c r="A875">
        <v>874</v>
      </c>
      <c r="B875" t="str">
        <f>HYPERLINK("https://digitalcommons.unl.edu/cgi/viewcontent.cgi?article=2210&amp;context=tractormuseumlit","Click for test report")</f>
        <v>Click for test report</v>
      </c>
      <c r="C875">
        <v>1960</v>
      </c>
      <c r="D875" t="s">
        <v>5973</v>
      </c>
      <c r="F875" t="s">
        <v>5974</v>
      </c>
      <c r="G875" t="s">
        <v>3472</v>
      </c>
      <c r="H875" t="s">
        <v>5975</v>
      </c>
      <c r="I875" t="s">
        <v>50</v>
      </c>
      <c r="J875" t="s">
        <v>348</v>
      </c>
      <c r="K875" t="s">
        <v>21</v>
      </c>
      <c r="L875" t="s">
        <v>1650</v>
      </c>
      <c r="N875" t="s">
        <v>1009</v>
      </c>
      <c r="O875" t="s">
        <v>24</v>
      </c>
    </row>
    <row r="876" spans="1:15" x14ac:dyDescent="0.25">
      <c r="A876">
        <v>875</v>
      </c>
      <c r="B876" t="str">
        <f>HYPERLINK("https://digitalcommons.unl.edu/cgi/viewcontent.cgi?article=2211&amp;context=tractormuseumlit","Click for test report")</f>
        <v>Click for test report</v>
      </c>
      <c r="C876">
        <v>1960</v>
      </c>
      <c r="D876" t="s">
        <v>5970</v>
      </c>
      <c r="F876" t="s">
        <v>5971</v>
      </c>
      <c r="G876" t="s">
        <v>5972</v>
      </c>
      <c r="H876" t="s">
        <v>5947</v>
      </c>
      <c r="I876" t="s">
        <v>50</v>
      </c>
      <c r="J876" t="s">
        <v>29</v>
      </c>
      <c r="K876" t="s">
        <v>4809</v>
      </c>
      <c r="L876" t="s">
        <v>4440</v>
      </c>
      <c r="N876" t="s">
        <v>4397</v>
      </c>
      <c r="O876" t="s">
        <v>24</v>
      </c>
    </row>
    <row r="877" spans="1:15" x14ac:dyDescent="0.25">
      <c r="A877">
        <v>876</v>
      </c>
      <c r="B877" t="str">
        <f>HYPERLINK("https://digitalcommons.unl.edu/cgi/viewcontent.cgi?article=2212&amp;context=tractormuseumlit","Click for test report")</f>
        <v>Click for test report</v>
      </c>
      <c r="C877">
        <v>1960</v>
      </c>
      <c r="D877" t="s">
        <v>4620</v>
      </c>
      <c r="F877" t="s">
        <v>4503</v>
      </c>
      <c r="G877" t="s">
        <v>4503</v>
      </c>
      <c r="H877" t="s">
        <v>5969</v>
      </c>
      <c r="I877" t="s">
        <v>50</v>
      </c>
      <c r="J877" t="s">
        <v>96</v>
      </c>
      <c r="K877" t="s">
        <v>21</v>
      </c>
      <c r="N877" t="s">
        <v>343</v>
      </c>
      <c r="O877" t="s">
        <v>2163</v>
      </c>
    </row>
    <row r="878" spans="1:15" x14ac:dyDescent="0.25">
      <c r="A878">
        <v>877</v>
      </c>
      <c r="B878" t="str">
        <f>HYPERLINK("https://digitalcommons.unl.edu/cgi/viewcontent.cgi?article=2213&amp;context=tractormuseumlit","Click for test report")</f>
        <v>Click for test report</v>
      </c>
      <c r="C878">
        <v>1960</v>
      </c>
      <c r="D878" t="s">
        <v>5967</v>
      </c>
      <c r="F878" t="s">
        <v>4503</v>
      </c>
      <c r="G878" t="s">
        <v>4503</v>
      </c>
      <c r="H878" t="s">
        <v>5968</v>
      </c>
      <c r="I878" t="s">
        <v>50</v>
      </c>
      <c r="J878" t="s">
        <v>96</v>
      </c>
      <c r="K878" t="s">
        <v>21</v>
      </c>
      <c r="L878" t="s">
        <v>2747</v>
      </c>
      <c r="N878" t="s">
        <v>2029</v>
      </c>
      <c r="O878" t="s">
        <v>24</v>
      </c>
    </row>
    <row r="879" spans="1:15" x14ac:dyDescent="0.25">
      <c r="A879">
        <v>878</v>
      </c>
      <c r="B879" t="str">
        <f>HYPERLINK("https://digitalcommons.unl.edu/cgi/viewcontent.cgi?article=2214&amp;context=tractormuseumlit","Click for test report")</f>
        <v>Click for test report</v>
      </c>
      <c r="C879">
        <v>1960</v>
      </c>
      <c r="D879" t="s">
        <v>5965</v>
      </c>
      <c r="F879" t="s">
        <v>4503</v>
      </c>
      <c r="G879" t="s">
        <v>4503</v>
      </c>
      <c r="H879" t="s">
        <v>5966</v>
      </c>
      <c r="I879" t="s">
        <v>50</v>
      </c>
      <c r="J879" t="s">
        <v>96</v>
      </c>
      <c r="K879" t="s">
        <v>21</v>
      </c>
      <c r="N879" t="s">
        <v>515</v>
      </c>
      <c r="O879" t="s">
        <v>2163</v>
      </c>
    </row>
    <row r="880" spans="1:15" x14ac:dyDescent="0.25">
      <c r="A880">
        <v>879</v>
      </c>
      <c r="B880" t="str">
        <f>HYPERLINK("https://digitalcommons.unl.edu/cgi/viewcontent.cgi?article=2215&amp;context=tractormuseumlit","Click for test report")</f>
        <v>Click for test report</v>
      </c>
      <c r="C880">
        <v>1960</v>
      </c>
      <c r="D880" t="s">
        <v>5963</v>
      </c>
      <c r="F880" t="s">
        <v>4503</v>
      </c>
      <c r="G880" t="s">
        <v>4503</v>
      </c>
      <c r="H880" t="s">
        <v>5964</v>
      </c>
      <c r="I880" t="s">
        <v>1961</v>
      </c>
      <c r="J880" t="s">
        <v>96</v>
      </c>
      <c r="K880" t="s">
        <v>4809</v>
      </c>
      <c r="L880" t="s">
        <v>3973</v>
      </c>
      <c r="N880" t="s">
        <v>4397</v>
      </c>
      <c r="O880" t="s">
        <v>24</v>
      </c>
    </row>
    <row r="881" spans="1:15" x14ac:dyDescent="0.25">
      <c r="A881">
        <v>880</v>
      </c>
      <c r="B881" t="str">
        <f>HYPERLINK("https://digitalcommons.unl.edu/cgi/viewcontent.cgi?article=2216&amp;context=tractormuseumlit","Click for test report")</f>
        <v>Click for test report</v>
      </c>
      <c r="C881">
        <v>1960</v>
      </c>
      <c r="D881" t="s">
        <v>5961</v>
      </c>
      <c r="F881" t="s">
        <v>4503</v>
      </c>
      <c r="G881" t="s">
        <v>4503</v>
      </c>
      <c r="H881" t="s">
        <v>5962</v>
      </c>
      <c r="I881" t="s">
        <v>1961</v>
      </c>
      <c r="J881" t="s">
        <v>96</v>
      </c>
      <c r="K881" t="s">
        <v>4809</v>
      </c>
      <c r="L881" t="s">
        <v>4012</v>
      </c>
      <c r="N881" t="s">
        <v>4352</v>
      </c>
      <c r="O881" t="s">
        <v>24</v>
      </c>
    </row>
    <row r="882" spans="1:15" x14ac:dyDescent="0.25">
      <c r="A882">
        <v>881</v>
      </c>
      <c r="B882" t="str">
        <f>HYPERLINK("https://digitalcommons.unl.edu/cgi/viewcontent.cgi?article=2217&amp;context=tractormuseumlit","Click for test report")</f>
        <v>Click for test report</v>
      </c>
      <c r="C882">
        <v>1960</v>
      </c>
      <c r="D882" t="s">
        <v>5959</v>
      </c>
      <c r="F882" t="s">
        <v>4503</v>
      </c>
      <c r="G882" t="s">
        <v>4503</v>
      </c>
      <c r="H882" t="s">
        <v>5960</v>
      </c>
      <c r="I882" t="s">
        <v>1961</v>
      </c>
      <c r="J882" t="s">
        <v>96</v>
      </c>
      <c r="K882" t="s">
        <v>21</v>
      </c>
      <c r="L882" t="s">
        <v>2825</v>
      </c>
      <c r="N882" t="s">
        <v>4440</v>
      </c>
      <c r="O882" t="s">
        <v>24</v>
      </c>
    </row>
    <row r="883" spans="1:15" x14ac:dyDescent="0.25">
      <c r="A883">
        <v>882</v>
      </c>
      <c r="B883" t="str">
        <f>HYPERLINK("https://digitalcommons.unl.edu/cgi/viewcontent.cgi?article=2218&amp;context=tractormuseumlit","Click for test report")</f>
        <v>Click for test report</v>
      </c>
      <c r="C883">
        <v>1960</v>
      </c>
      <c r="D883" t="s">
        <v>5667</v>
      </c>
      <c r="F883" t="s">
        <v>5347</v>
      </c>
      <c r="G883" t="s">
        <v>5347</v>
      </c>
      <c r="H883" t="s">
        <v>5958</v>
      </c>
      <c r="I883" t="s">
        <v>1961</v>
      </c>
      <c r="J883" t="s">
        <v>348</v>
      </c>
      <c r="K883" t="s">
        <v>4809</v>
      </c>
      <c r="L883" t="s">
        <v>725</v>
      </c>
      <c r="N883" t="s">
        <v>1994</v>
      </c>
      <c r="O883" t="s">
        <v>24</v>
      </c>
    </row>
    <row r="884" spans="1:15" x14ac:dyDescent="0.25">
      <c r="A884">
        <v>883</v>
      </c>
      <c r="B884" t="str">
        <f>HYPERLINK("https://digitalcommons.unl.edu/cgi/viewcontent.cgi?article=2219&amp;context=tractormuseumlit","Click for test report")</f>
        <v>Click for test report</v>
      </c>
      <c r="C884">
        <v>1960</v>
      </c>
      <c r="D884" t="s">
        <v>5830</v>
      </c>
      <c r="F884" t="s">
        <v>5347</v>
      </c>
      <c r="G884" t="s">
        <v>5347</v>
      </c>
      <c r="H884" t="s">
        <v>5958</v>
      </c>
      <c r="I884" t="s">
        <v>1961</v>
      </c>
      <c r="J884" t="s">
        <v>348</v>
      </c>
      <c r="K884" t="s">
        <v>5598</v>
      </c>
      <c r="L884" t="s">
        <v>725</v>
      </c>
      <c r="N884" t="s">
        <v>1994</v>
      </c>
      <c r="O884" t="s">
        <v>24</v>
      </c>
    </row>
    <row r="885" spans="1:15" x14ac:dyDescent="0.25">
      <c r="A885">
        <v>884</v>
      </c>
      <c r="B885" t="str">
        <f>HYPERLINK("https://digitalcommons.unl.edu/cgi/viewcontent.cgi?article=2220&amp;context=tractormuseumlit","Click for test report")</f>
        <v>Click for test report</v>
      </c>
      <c r="C885">
        <v>1960</v>
      </c>
      <c r="D885" t="s">
        <v>5827</v>
      </c>
      <c r="F885" t="s">
        <v>5347</v>
      </c>
      <c r="G885" t="s">
        <v>5347</v>
      </c>
      <c r="H885" t="s">
        <v>5958</v>
      </c>
      <c r="I885" t="s">
        <v>1961</v>
      </c>
      <c r="J885" t="s">
        <v>348</v>
      </c>
      <c r="K885" t="s">
        <v>21</v>
      </c>
      <c r="L885" t="s">
        <v>353</v>
      </c>
      <c r="N885" t="s">
        <v>750</v>
      </c>
      <c r="O885" t="s">
        <v>24</v>
      </c>
    </row>
    <row r="886" spans="1:15" x14ac:dyDescent="0.25">
      <c r="A886">
        <v>885</v>
      </c>
      <c r="B886" t="str">
        <f>HYPERLINK("https://digitalcommons.unl.edu/cgi/viewcontent.cgi?article=1386&amp;context=tractormuseumlit","Click for test report")</f>
        <v>Click for test report</v>
      </c>
      <c r="C886">
        <v>1960</v>
      </c>
      <c r="D886" t="s">
        <v>5957</v>
      </c>
      <c r="F886" t="s">
        <v>17</v>
      </c>
      <c r="G886" t="s">
        <v>17</v>
      </c>
      <c r="H886" t="s">
        <v>5955</v>
      </c>
      <c r="I886" t="s">
        <v>50</v>
      </c>
      <c r="J886" t="s">
        <v>348</v>
      </c>
      <c r="K886" t="s">
        <v>4809</v>
      </c>
      <c r="L886" t="s">
        <v>344</v>
      </c>
      <c r="N886" t="s">
        <v>722</v>
      </c>
      <c r="O886" t="s">
        <v>24</v>
      </c>
    </row>
    <row r="887" spans="1:15" x14ac:dyDescent="0.25">
      <c r="A887">
        <v>886</v>
      </c>
      <c r="B887" t="str">
        <f>HYPERLINK("https://digitalcommons.unl.edu/cgi/viewcontent.cgi?article=3301&amp;context=tractormuseumlit","Click for test report")</f>
        <v>Click for test report</v>
      </c>
      <c r="C887">
        <v>1960</v>
      </c>
      <c r="D887" t="s">
        <v>5956</v>
      </c>
      <c r="F887" t="s">
        <v>17</v>
      </c>
      <c r="G887" t="s">
        <v>17</v>
      </c>
      <c r="H887" t="s">
        <v>5955</v>
      </c>
      <c r="I887" t="s">
        <v>50</v>
      </c>
      <c r="J887" t="s">
        <v>348</v>
      </c>
      <c r="K887" t="s">
        <v>5598</v>
      </c>
      <c r="L887" t="s">
        <v>344</v>
      </c>
      <c r="N887" t="s">
        <v>722</v>
      </c>
      <c r="O887" t="s">
        <v>24</v>
      </c>
    </row>
    <row r="888" spans="1:15" x14ac:dyDescent="0.25">
      <c r="A888">
        <v>887</v>
      </c>
      <c r="B888" t="str">
        <f>HYPERLINK("https://digitalcommons.unl.edu/cgi/viewcontent.cgi?article=1387&amp;context=tractormuseumlit","Click for test report")</f>
        <v>Click for test report</v>
      </c>
      <c r="C888">
        <v>1960</v>
      </c>
      <c r="D888" t="s">
        <v>5954</v>
      </c>
      <c r="F888" t="s">
        <v>17</v>
      </c>
      <c r="G888" t="s">
        <v>17</v>
      </c>
      <c r="H888" t="s">
        <v>5955</v>
      </c>
      <c r="I888" t="s">
        <v>50</v>
      </c>
      <c r="J888" t="s">
        <v>348</v>
      </c>
      <c r="K888" t="s">
        <v>21</v>
      </c>
      <c r="L888" t="s">
        <v>343</v>
      </c>
      <c r="N888" t="s">
        <v>743</v>
      </c>
      <c r="O888" t="s">
        <v>24</v>
      </c>
    </row>
    <row r="889" spans="1:15" x14ac:dyDescent="0.25">
      <c r="A889">
        <v>888</v>
      </c>
      <c r="B889" t="str">
        <f>HYPERLINK("https://digitalcommons.unl.edu/cgi/viewcontent.cgi?article=1388&amp;context=tractormuseumlit","Click for test report")</f>
        <v>Click for test report</v>
      </c>
      <c r="C889">
        <v>1960</v>
      </c>
      <c r="D889" t="s">
        <v>5953</v>
      </c>
      <c r="F889" t="s">
        <v>17</v>
      </c>
      <c r="G889" t="s">
        <v>17</v>
      </c>
      <c r="H889" t="s">
        <v>5951</v>
      </c>
      <c r="I889" t="s">
        <v>50</v>
      </c>
      <c r="J889" t="s">
        <v>348</v>
      </c>
      <c r="K889" t="s">
        <v>21</v>
      </c>
      <c r="L889" t="s">
        <v>731</v>
      </c>
      <c r="N889" t="s">
        <v>1994</v>
      </c>
      <c r="O889" t="s">
        <v>24</v>
      </c>
    </row>
    <row r="890" spans="1:15" x14ac:dyDescent="0.25">
      <c r="A890">
        <v>889</v>
      </c>
      <c r="B890" t="str">
        <f>HYPERLINK("https://digitalcommons.unl.edu/cgi/viewcontent.cgi?article=1389&amp;context=tractormuseumlit","Click for test report")</f>
        <v>Click for test report</v>
      </c>
      <c r="C890">
        <v>1960</v>
      </c>
      <c r="D890" t="s">
        <v>5952</v>
      </c>
      <c r="F890" t="s">
        <v>17</v>
      </c>
      <c r="G890" t="s">
        <v>17</v>
      </c>
      <c r="H890" t="s">
        <v>5951</v>
      </c>
      <c r="I890" t="s">
        <v>50</v>
      </c>
      <c r="J890" t="s">
        <v>348</v>
      </c>
      <c r="K890" t="s">
        <v>4809</v>
      </c>
      <c r="L890" t="s">
        <v>1970</v>
      </c>
      <c r="N890" t="s">
        <v>3319</v>
      </c>
      <c r="O890" t="s">
        <v>24</v>
      </c>
    </row>
    <row r="891" spans="1:15" x14ac:dyDescent="0.25">
      <c r="A891">
        <v>890</v>
      </c>
      <c r="B891" t="str">
        <f>HYPERLINK("https://digitalcommons.unl.edu/cgi/viewcontent.cgi?article=1390&amp;context=tractormuseumlit","Click for test report")</f>
        <v>Click for test report</v>
      </c>
      <c r="C891">
        <v>1960</v>
      </c>
      <c r="D891" t="s">
        <v>5950</v>
      </c>
      <c r="F891" t="s">
        <v>17</v>
      </c>
      <c r="G891" t="s">
        <v>17</v>
      </c>
      <c r="H891" t="s">
        <v>5951</v>
      </c>
      <c r="I891" t="s">
        <v>50</v>
      </c>
      <c r="J891" t="s">
        <v>348</v>
      </c>
      <c r="K891" t="s">
        <v>5598</v>
      </c>
      <c r="L891" t="s">
        <v>1970</v>
      </c>
      <c r="N891" t="s">
        <v>735</v>
      </c>
      <c r="O891" t="s">
        <v>24</v>
      </c>
    </row>
    <row r="892" spans="1:15" x14ac:dyDescent="0.25">
      <c r="A892">
        <v>891</v>
      </c>
      <c r="B892" t="str">
        <f>HYPERLINK("https://digitalcommons.unl.edu/cgi/viewcontent.cgi?article=2221&amp;context=tractormuseumlit","Click for test report")</f>
        <v>Click for test report</v>
      </c>
      <c r="C892">
        <v>1960</v>
      </c>
      <c r="D892" t="s">
        <v>5946</v>
      </c>
      <c r="F892" t="s">
        <v>778</v>
      </c>
      <c r="G892" t="s">
        <v>778</v>
      </c>
      <c r="H892" t="s">
        <v>5948</v>
      </c>
      <c r="I892" t="s">
        <v>50</v>
      </c>
      <c r="J892" t="s">
        <v>348</v>
      </c>
      <c r="K892" t="s">
        <v>21</v>
      </c>
      <c r="L892" t="s">
        <v>728</v>
      </c>
      <c r="N892" t="s">
        <v>1970</v>
      </c>
      <c r="O892" t="s">
        <v>5949</v>
      </c>
    </row>
    <row r="893" spans="1:15" x14ac:dyDescent="0.25">
      <c r="A893">
        <v>892</v>
      </c>
      <c r="B893" t="str">
        <f>HYPERLINK("https://digitalcommons.unl.edu/cgi/viewcontent.cgi?article=2221&amp;context=tractormuseumlit","Click for test report")</f>
        <v>Click for test report</v>
      </c>
      <c r="C893">
        <v>1960</v>
      </c>
      <c r="D893" t="s">
        <v>5946</v>
      </c>
      <c r="F893" t="s">
        <v>778</v>
      </c>
      <c r="G893" t="s">
        <v>778</v>
      </c>
      <c r="H893" t="s">
        <v>5947</v>
      </c>
      <c r="I893" t="s">
        <v>50</v>
      </c>
      <c r="J893" t="s">
        <v>348</v>
      </c>
      <c r="K893" t="s">
        <v>21</v>
      </c>
      <c r="L893" t="s">
        <v>728</v>
      </c>
      <c r="N893" t="s">
        <v>1970</v>
      </c>
      <c r="O893" t="s">
        <v>24</v>
      </c>
    </row>
    <row r="894" spans="1:15" x14ac:dyDescent="0.25">
      <c r="A894">
        <v>893</v>
      </c>
      <c r="B894" t="str">
        <f>HYPERLINK("https://digitalcommons.unl.edu/cgi/viewcontent.cgi?article=1546&amp;context=tractormuseumlit","Click for test report")</f>
        <v>Click for test report</v>
      </c>
      <c r="C894">
        <v>1960</v>
      </c>
      <c r="D894" t="s">
        <v>5417</v>
      </c>
      <c r="F894" t="s">
        <v>5345</v>
      </c>
      <c r="G894" t="s">
        <v>5345</v>
      </c>
      <c r="H894" t="s">
        <v>3047</v>
      </c>
      <c r="I894" t="s">
        <v>50</v>
      </c>
      <c r="J894" t="s">
        <v>348</v>
      </c>
      <c r="K894" t="s">
        <v>4809</v>
      </c>
      <c r="L894" t="s">
        <v>743</v>
      </c>
      <c r="N894" t="s">
        <v>728</v>
      </c>
      <c r="O894" t="s">
        <v>24</v>
      </c>
    </row>
    <row r="895" spans="1:15" x14ac:dyDescent="0.25">
      <c r="A895">
        <v>894</v>
      </c>
      <c r="B895" t="str">
        <f>HYPERLINK("https://digitalcommons.unl.edu/cgi/viewcontent.cgi?article=1547&amp;context=tractormuseumlit","Click for test report")</f>
        <v>Click for test report</v>
      </c>
      <c r="C895">
        <v>1960</v>
      </c>
      <c r="D895" t="s">
        <v>5945</v>
      </c>
      <c r="F895" t="s">
        <v>5345</v>
      </c>
      <c r="G895" t="s">
        <v>5345</v>
      </c>
      <c r="H895" t="s">
        <v>3047</v>
      </c>
      <c r="I895" t="s">
        <v>50</v>
      </c>
      <c r="J895" t="s">
        <v>348</v>
      </c>
      <c r="K895" t="s">
        <v>21</v>
      </c>
      <c r="L895" t="s">
        <v>1347</v>
      </c>
      <c r="N895" t="s">
        <v>1864</v>
      </c>
      <c r="O895" t="s">
        <v>24</v>
      </c>
    </row>
    <row r="896" spans="1:15" x14ac:dyDescent="0.25">
      <c r="A896">
        <v>895</v>
      </c>
      <c r="B896" t="str">
        <f>HYPERLINK("https://digitalcommons.unl.edu/cgi/viewcontent.cgi?article=1548&amp;context=tractormuseumlit","Click for test report")</f>
        <v>Click for test report</v>
      </c>
      <c r="C896">
        <v>1960</v>
      </c>
      <c r="D896" t="s">
        <v>5944</v>
      </c>
      <c r="F896" t="s">
        <v>5345</v>
      </c>
      <c r="G896" t="s">
        <v>5345</v>
      </c>
      <c r="H896" t="s">
        <v>2397</v>
      </c>
      <c r="I896" t="s">
        <v>50</v>
      </c>
      <c r="J896" t="s">
        <v>348</v>
      </c>
      <c r="K896" t="s">
        <v>21</v>
      </c>
      <c r="L896" t="s">
        <v>713</v>
      </c>
      <c r="N896" t="s">
        <v>565</v>
      </c>
      <c r="O896" t="s">
        <v>24</v>
      </c>
    </row>
    <row r="897" spans="1:15" x14ac:dyDescent="0.25">
      <c r="A897">
        <v>896</v>
      </c>
      <c r="B897" t="str">
        <f>HYPERLINK("https://digitalcommons.unl.edu/cgi/viewcontent.cgi?article=2222&amp;context=tractormuseumlit","Click for test report")</f>
        <v>Click for test report</v>
      </c>
      <c r="C897">
        <v>1960</v>
      </c>
      <c r="D897" t="s">
        <v>5941</v>
      </c>
      <c r="F897" t="s">
        <v>3800</v>
      </c>
      <c r="G897" t="s">
        <v>4473</v>
      </c>
      <c r="H897" t="s">
        <v>5943</v>
      </c>
      <c r="I897" t="s">
        <v>5776</v>
      </c>
      <c r="J897" t="s">
        <v>348</v>
      </c>
      <c r="K897" t="s">
        <v>4809</v>
      </c>
      <c r="L897" t="s">
        <v>2627</v>
      </c>
      <c r="N897" t="s">
        <v>1893</v>
      </c>
      <c r="O897" t="s">
        <v>24</v>
      </c>
    </row>
    <row r="898" spans="1:15" x14ac:dyDescent="0.25">
      <c r="A898">
        <v>897</v>
      </c>
      <c r="B898" t="str">
        <f>HYPERLINK("https://digitalcommons.unl.edu/cgi/viewcontent.cgi?article=2222&amp;context=tractormuseumlit","Click for test report")</f>
        <v>Click for test report</v>
      </c>
      <c r="C898">
        <v>1960</v>
      </c>
      <c r="D898" t="s">
        <v>5941</v>
      </c>
      <c r="F898" t="s">
        <v>3800</v>
      </c>
      <c r="G898" t="s">
        <v>4473</v>
      </c>
      <c r="H898" t="s">
        <v>5942</v>
      </c>
      <c r="I898" t="s">
        <v>5776</v>
      </c>
      <c r="J898" t="s">
        <v>348</v>
      </c>
      <c r="K898" t="s">
        <v>4809</v>
      </c>
      <c r="L898" t="s">
        <v>2627</v>
      </c>
      <c r="N898" t="s">
        <v>4745</v>
      </c>
      <c r="O898" t="s">
        <v>24</v>
      </c>
    </row>
    <row r="899" spans="1:15" x14ac:dyDescent="0.25">
      <c r="A899">
        <v>898</v>
      </c>
      <c r="B899" t="str">
        <f>HYPERLINK("https://digitalcommons.unl.edu/cgi/viewcontent.cgi?article=2223&amp;context=tractormuseumlit","Click for test report")</f>
        <v>Click for test report</v>
      </c>
      <c r="C899">
        <v>1960</v>
      </c>
      <c r="D899" t="s">
        <v>5467</v>
      </c>
      <c r="F899" t="s">
        <v>3800</v>
      </c>
      <c r="G899" t="s">
        <v>4473</v>
      </c>
      <c r="H899" t="s">
        <v>5940</v>
      </c>
      <c r="I899" t="s">
        <v>5776</v>
      </c>
      <c r="J899" t="s">
        <v>348</v>
      </c>
      <c r="K899" t="s">
        <v>4809</v>
      </c>
      <c r="L899" t="s">
        <v>1650</v>
      </c>
      <c r="N899" t="s">
        <v>2090</v>
      </c>
      <c r="O899" t="s">
        <v>24</v>
      </c>
    </row>
    <row r="900" spans="1:15" x14ac:dyDescent="0.25">
      <c r="A900">
        <v>899</v>
      </c>
      <c r="B900" t="str">
        <f>HYPERLINK("https://digitalcommons.unl.edu/cgi/viewcontent.cgi?article=2223&amp;context=tractormuseumlit","Click for test report")</f>
        <v>Click for test report</v>
      </c>
      <c r="C900">
        <v>1960</v>
      </c>
      <c r="D900" t="s">
        <v>5467</v>
      </c>
      <c r="F900" t="s">
        <v>3800</v>
      </c>
      <c r="G900" t="s">
        <v>4473</v>
      </c>
      <c r="H900" t="s">
        <v>5939</v>
      </c>
      <c r="I900" t="s">
        <v>5776</v>
      </c>
      <c r="J900" t="s">
        <v>348</v>
      </c>
      <c r="K900" t="s">
        <v>4809</v>
      </c>
      <c r="L900" t="s">
        <v>1650</v>
      </c>
      <c r="N900" t="s">
        <v>2826</v>
      </c>
      <c r="O900" t="s">
        <v>24</v>
      </c>
    </row>
    <row r="901" spans="1:15" x14ac:dyDescent="0.25">
      <c r="A901">
        <v>900</v>
      </c>
      <c r="B901" t="str">
        <f>HYPERLINK("https://digitalcommons.unl.edu/cgi/viewcontent.cgi?article=2224&amp;context=tractormuseumlit","Click for test report")</f>
        <v>Click for test report</v>
      </c>
      <c r="C901">
        <v>1960</v>
      </c>
      <c r="D901" t="s">
        <v>5614</v>
      </c>
      <c r="F901" t="s">
        <v>3800</v>
      </c>
      <c r="G901" t="s">
        <v>4473</v>
      </c>
      <c r="H901" t="s">
        <v>5938</v>
      </c>
      <c r="I901" t="s">
        <v>50</v>
      </c>
      <c r="J901" t="s">
        <v>348</v>
      </c>
      <c r="K901" t="s">
        <v>4809</v>
      </c>
      <c r="L901" t="s">
        <v>2826</v>
      </c>
      <c r="N901" t="s">
        <v>4745</v>
      </c>
      <c r="O901" t="s">
        <v>24</v>
      </c>
    </row>
    <row r="902" spans="1:15" x14ac:dyDescent="0.25">
      <c r="A902">
        <v>901</v>
      </c>
      <c r="B902" t="str">
        <f>HYPERLINK("https://digitalcommons.unl.edu/cgi/viewcontent.cgi?article=2225&amp;context=tractormuseumlit","Click for test report")</f>
        <v>Click for test report</v>
      </c>
      <c r="C902">
        <v>1960</v>
      </c>
      <c r="D902" t="s">
        <v>5612</v>
      </c>
      <c r="F902" t="s">
        <v>3800</v>
      </c>
      <c r="G902" t="s">
        <v>4473</v>
      </c>
      <c r="H902" t="s">
        <v>5937</v>
      </c>
      <c r="I902" t="s">
        <v>50</v>
      </c>
      <c r="J902" t="s">
        <v>348</v>
      </c>
      <c r="K902" t="s">
        <v>21</v>
      </c>
      <c r="L902" t="s">
        <v>2627</v>
      </c>
      <c r="N902" t="s">
        <v>1893</v>
      </c>
      <c r="O902" t="s">
        <v>24</v>
      </c>
    </row>
    <row r="903" spans="1:15" x14ac:dyDescent="0.25">
      <c r="A903">
        <v>902</v>
      </c>
      <c r="B903" t="str">
        <f>HYPERLINK("https://digitalcommons.unl.edu/cgi/viewcontent.cgi?article=2226&amp;context=tractormuseumlit","Click for test report")</f>
        <v>Click for test report</v>
      </c>
      <c r="C903">
        <v>1960</v>
      </c>
      <c r="D903" t="s">
        <v>5935</v>
      </c>
      <c r="F903" t="s">
        <v>3800</v>
      </c>
      <c r="G903" t="s">
        <v>4473</v>
      </c>
      <c r="H903" t="s">
        <v>5936</v>
      </c>
      <c r="I903" t="s">
        <v>50</v>
      </c>
      <c r="J903" t="s">
        <v>348</v>
      </c>
      <c r="K903" t="s">
        <v>4809</v>
      </c>
      <c r="L903" t="s">
        <v>735</v>
      </c>
      <c r="N903" t="s">
        <v>3152</v>
      </c>
      <c r="O903" t="s">
        <v>24</v>
      </c>
    </row>
    <row r="904" spans="1:15" x14ac:dyDescent="0.25">
      <c r="A904">
        <v>903</v>
      </c>
      <c r="B904" t="str">
        <f>HYPERLINK("https://digitalcommons.unl.edu/cgi/viewcontent.cgi?article=2227&amp;context=tractormuseumlit","Click for test report")</f>
        <v>Click for test report</v>
      </c>
      <c r="C904">
        <v>1960</v>
      </c>
      <c r="D904" t="s">
        <v>5610</v>
      </c>
      <c r="F904" t="s">
        <v>3800</v>
      </c>
      <c r="G904" t="s">
        <v>4473</v>
      </c>
      <c r="H904" t="s">
        <v>5934</v>
      </c>
      <c r="I904" t="s">
        <v>50</v>
      </c>
      <c r="J904" t="s">
        <v>348</v>
      </c>
      <c r="K904" t="s">
        <v>4809</v>
      </c>
      <c r="L904" t="s">
        <v>4745</v>
      </c>
      <c r="N904" t="s">
        <v>4397</v>
      </c>
      <c r="O904" t="s">
        <v>24</v>
      </c>
    </row>
    <row r="905" spans="1:15" x14ac:dyDescent="0.25">
      <c r="A905">
        <v>904</v>
      </c>
      <c r="B905" t="str">
        <f>HYPERLINK("https://digitalcommons.unl.edu/cgi/viewcontent.cgi?article=2228&amp;context=tractormuseumlit","Click for test report")</f>
        <v>Click for test report</v>
      </c>
      <c r="C905">
        <v>1960</v>
      </c>
      <c r="D905" t="s">
        <v>5932</v>
      </c>
      <c r="F905" t="s">
        <v>4503</v>
      </c>
      <c r="G905" t="s">
        <v>4504</v>
      </c>
      <c r="H905" t="s">
        <v>5933</v>
      </c>
      <c r="I905" t="s">
        <v>1961</v>
      </c>
      <c r="J905" t="s">
        <v>348</v>
      </c>
      <c r="K905" t="s">
        <v>21</v>
      </c>
      <c r="L905" t="s">
        <v>1802</v>
      </c>
      <c r="N905" t="s">
        <v>3973</v>
      </c>
      <c r="O905" t="s">
        <v>24</v>
      </c>
    </row>
    <row r="906" spans="1:15" x14ac:dyDescent="0.25">
      <c r="A906">
        <v>905</v>
      </c>
      <c r="B906" t="str">
        <f>HYPERLINK("https://digitalcommons.unl.edu/cgi/viewcontent.cgi?article=2229&amp;context=tractormuseumlit","Click for test report")</f>
        <v>Click for test report</v>
      </c>
      <c r="C906">
        <v>1960</v>
      </c>
      <c r="D906" t="s">
        <v>5930</v>
      </c>
      <c r="F906" t="s">
        <v>4503</v>
      </c>
      <c r="G906" t="s">
        <v>4503</v>
      </c>
      <c r="H906" t="s">
        <v>5931</v>
      </c>
      <c r="I906" t="s">
        <v>50</v>
      </c>
      <c r="J906" t="s">
        <v>96</v>
      </c>
      <c r="K906" t="s">
        <v>21</v>
      </c>
      <c r="L906" t="s">
        <v>2826</v>
      </c>
      <c r="N906" t="s">
        <v>4012</v>
      </c>
      <c r="O906" t="s">
        <v>24</v>
      </c>
    </row>
    <row r="907" spans="1:15" x14ac:dyDescent="0.25">
      <c r="A907">
        <v>906</v>
      </c>
      <c r="B907" t="str">
        <f>HYPERLINK("https://digitalcommons.unl.edu/cgi/viewcontent.cgi?article=2230&amp;context=tractormuseumlit","Click for test report")</f>
        <v>Click for test report</v>
      </c>
      <c r="C907">
        <v>1960</v>
      </c>
      <c r="D907" t="s">
        <v>5929</v>
      </c>
      <c r="F907" t="s">
        <v>3800</v>
      </c>
      <c r="G907" t="s">
        <v>4473</v>
      </c>
      <c r="H907" t="s">
        <v>5926</v>
      </c>
      <c r="I907" t="s">
        <v>5776</v>
      </c>
      <c r="J907" t="s">
        <v>348</v>
      </c>
      <c r="K907" t="s">
        <v>4809</v>
      </c>
      <c r="L907" t="s">
        <v>1350</v>
      </c>
      <c r="N907" t="s">
        <v>731</v>
      </c>
      <c r="O907" t="s">
        <v>24</v>
      </c>
    </row>
    <row r="908" spans="1:15" x14ac:dyDescent="0.25">
      <c r="A908">
        <v>907</v>
      </c>
      <c r="B908" t="str">
        <f>HYPERLINK("https://digitalcommons.unl.edu/cgi/viewcontent.cgi?article=2230&amp;context=tractormuseumlit","Click for test report")</f>
        <v>Click for test report</v>
      </c>
      <c r="C908">
        <v>1960</v>
      </c>
      <c r="D908" t="s">
        <v>5929</v>
      </c>
      <c r="F908" t="s">
        <v>3800</v>
      </c>
      <c r="G908" t="s">
        <v>4473</v>
      </c>
      <c r="H908" t="s">
        <v>5925</v>
      </c>
      <c r="I908" t="s">
        <v>5776</v>
      </c>
      <c r="J908" t="s">
        <v>348</v>
      </c>
      <c r="K908" t="s">
        <v>4809</v>
      </c>
      <c r="L908" t="s">
        <v>1350</v>
      </c>
      <c r="N908" t="s">
        <v>1994</v>
      </c>
      <c r="O908" t="s">
        <v>24</v>
      </c>
    </row>
    <row r="909" spans="1:15" x14ac:dyDescent="0.25">
      <c r="A909">
        <v>908</v>
      </c>
      <c r="B909" t="str">
        <f>HYPERLINK("https://digitalcommons.unl.edu/cgi/viewcontent.cgi?article=2231&amp;context=tractormuseumlit","Click for test report")</f>
        <v>Click for test report</v>
      </c>
      <c r="C909">
        <v>1960</v>
      </c>
      <c r="D909" t="s">
        <v>5928</v>
      </c>
      <c r="F909" t="s">
        <v>3800</v>
      </c>
      <c r="G909" t="s">
        <v>4473</v>
      </c>
      <c r="H909" t="s">
        <v>5924</v>
      </c>
      <c r="I909" t="s">
        <v>5776</v>
      </c>
      <c r="J909" t="s">
        <v>348</v>
      </c>
      <c r="K909" t="s">
        <v>4809</v>
      </c>
      <c r="L909" t="s">
        <v>2029</v>
      </c>
      <c r="N909" t="s">
        <v>735</v>
      </c>
      <c r="O909" t="s">
        <v>24</v>
      </c>
    </row>
    <row r="910" spans="1:15" x14ac:dyDescent="0.25">
      <c r="A910">
        <v>909</v>
      </c>
      <c r="B910" t="str">
        <f>HYPERLINK("https://digitalcommons.unl.edu/cgi/viewcontent.cgi?article=2231&amp;context=tractormuseumlit","Click for test report")</f>
        <v>Click for test report</v>
      </c>
      <c r="C910">
        <v>1960</v>
      </c>
      <c r="D910" t="s">
        <v>5928</v>
      </c>
      <c r="F910" t="s">
        <v>3800</v>
      </c>
      <c r="G910" t="s">
        <v>4473</v>
      </c>
      <c r="H910" t="s">
        <v>5923</v>
      </c>
      <c r="I910" t="s">
        <v>5776</v>
      </c>
      <c r="J910" t="s">
        <v>348</v>
      </c>
      <c r="K910" t="s">
        <v>4809</v>
      </c>
      <c r="L910" t="s">
        <v>2029</v>
      </c>
      <c r="N910" t="s">
        <v>2511</v>
      </c>
      <c r="O910" t="s">
        <v>24</v>
      </c>
    </row>
    <row r="911" spans="1:15" x14ac:dyDescent="0.25">
      <c r="A911">
        <v>910</v>
      </c>
      <c r="B911" t="str">
        <f>HYPERLINK("https://digitalcommons.unl.edu/cgi/viewcontent.cgi?article=2232&amp;context=tractormuseumlit","Click for test report")</f>
        <v>Click for test report</v>
      </c>
      <c r="C911">
        <v>1960</v>
      </c>
      <c r="D911" t="s">
        <v>5927</v>
      </c>
      <c r="F911" t="s">
        <v>3800</v>
      </c>
      <c r="G911" t="s">
        <v>4473</v>
      </c>
      <c r="H911" t="s">
        <v>5921</v>
      </c>
      <c r="I911" t="s">
        <v>50</v>
      </c>
      <c r="J911" t="s">
        <v>348</v>
      </c>
      <c r="K911" t="s">
        <v>4809</v>
      </c>
      <c r="L911" t="s">
        <v>2029</v>
      </c>
      <c r="N911" t="s">
        <v>750</v>
      </c>
      <c r="O911" t="s">
        <v>24</v>
      </c>
    </row>
    <row r="912" spans="1:15" x14ac:dyDescent="0.25">
      <c r="A912">
        <v>911</v>
      </c>
      <c r="B912" t="str">
        <f>HYPERLINK("https://digitalcommons.unl.edu/cgi/viewcontent.cgi?article=2233&amp;context=tractormuseumlit","Click for test report")</f>
        <v>Click for test report</v>
      </c>
      <c r="C912">
        <v>1960</v>
      </c>
      <c r="D912" t="s">
        <v>4898</v>
      </c>
      <c r="F912" t="s">
        <v>3800</v>
      </c>
      <c r="G912" t="s">
        <v>4473</v>
      </c>
      <c r="H912" t="s">
        <v>5926</v>
      </c>
      <c r="I912" t="s">
        <v>5776</v>
      </c>
      <c r="J912" t="s">
        <v>348</v>
      </c>
      <c r="K912" t="s">
        <v>5598</v>
      </c>
      <c r="L912" t="s">
        <v>1350</v>
      </c>
      <c r="N912" t="s">
        <v>2029</v>
      </c>
      <c r="O912" t="s">
        <v>24</v>
      </c>
    </row>
    <row r="913" spans="1:15" x14ac:dyDescent="0.25">
      <c r="A913">
        <v>912</v>
      </c>
      <c r="B913" t="str">
        <f>HYPERLINK("https://digitalcommons.unl.edu/cgi/viewcontent.cgi?article=2233&amp;context=tractormuseumlit","Click for test report")</f>
        <v>Click for test report</v>
      </c>
      <c r="C913">
        <v>1960</v>
      </c>
      <c r="D913" t="s">
        <v>4898</v>
      </c>
      <c r="F913" t="s">
        <v>3800</v>
      </c>
      <c r="G913" t="s">
        <v>4473</v>
      </c>
      <c r="H913" t="s">
        <v>5925</v>
      </c>
      <c r="I913" t="s">
        <v>5776</v>
      </c>
      <c r="J913" t="s">
        <v>348</v>
      </c>
      <c r="K913" t="s">
        <v>5598</v>
      </c>
      <c r="L913" t="s">
        <v>1350</v>
      </c>
      <c r="N913" t="s">
        <v>3123</v>
      </c>
      <c r="O913" t="s">
        <v>24</v>
      </c>
    </row>
    <row r="914" spans="1:15" x14ac:dyDescent="0.25">
      <c r="A914">
        <v>913</v>
      </c>
      <c r="B914" t="str">
        <f>HYPERLINK("https://digitalcommons.unl.edu/cgi/viewcontent.cgi?article=2234&amp;context=tractormuseumlit","Click for test report")</f>
        <v>Click for test report</v>
      </c>
      <c r="C914">
        <v>1960</v>
      </c>
      <c r="D914" t="s">
        <v>5922</v>
      </c>
      <c r="F914" t="s">
        <v>3800</v>
      </c>
      <c r="G914" t="s">
        <v>4473</v>
      </c>
      <c r="H914" t="s">
        <v>5924</v>
      </c>
      <c r="I914" t="s">
        <v>5776</v>
      </c>
      <c r="J914" t="s">
        <v>348</v>
      </c>
      <c r="K914" t="s">
        <v>5598</v>
      </c>
      <c r="L914" t="s">
        <v>2029</v>
      </c>
      <c r="N914" t="s">
        <v>3319</v>
      </c>
      <c r="O914" t="s">
        <v>24</v>
      </c>
    </row>
    <row r="915" spans="1:15" x14ac:dyDescent="0.25">
      <c r="A915">
        <v>914</v>
      </c>
      <c r="B915" t="str">
        <f>HYPERLINK("https://digitalcommons.unl.edu/cgi/viewcontent.cgi?article=2234&amp;context=tractormuseumlit","Click for test report")</f>
        <v>Click for test report</v>
      </c>
      <c r="C915">
        <v>1960</v>
      </c>
      <c r="D915" t="s">
        <v>5922</v>
      </c>
      <c r="F915" t="s">
        <v>3800</v>
      </c>
      <c r="G915" t="s">
        <v>4473</v>
      </c>
      <c r="H915" t="s">
        <v>5923</v>
      </c>
      <c r="I915" t="s">
        <v>5776</v>
      </c>
      <c r="J915" t="s">
        <v>348</v>
      </c>
      <c r="K915" t="s">
        <v>5598</v>
      </c>
      <c r="L915" t="s">
        <v>2029</v>
      </c>
      <c r="N915" t="s">
        <v>410</v>
      </c>
      <c r="O915" t="s">
        <v>24</v>
      </c>
    </row>
    <row r="916" spans="1:15" x14ac:dyDescent="0.25">
      <c r="A916">
        <v>915</v>
      </c>
      <c r="B916" t="str">
        <f>HYPERLINK("https://digitalcommons.unl.edu/cgi/viewcontent.cgi?article=2235&amp;context=tractormuseumlit","Click for test report")</f>
        <v>Click for test report</v>
      </c>
      <c r="C916">
        <v>1960</v>
      </c>
      <c r="D916" t="s">
        <v>5920</v>
      </c>
      <c r="F916" t="s">
        <v>3800</v>
      </c>
      <c r="G916" t="s">
        <v>4473</v>
      </c>
      <c r="H916" t="s">
        <v>5921</v>
      </c>
      <c r="I916" t="s">
        <v>50</v>
      </c>
      <c r="J916" t="s">
        <v>348</v>
      </c>
      <c r="K916" t="s">
        <v>5598</v>
      </c>
      <c r="L916" t="s">
        <v>2029</v>
      </c>
      <c r="N916" t="s">
        <v>3319</v>
      </c>
      <c r="O916" t="s">
        <v>24</v>
      </c>
    </row>
    <row r="917" spans="1:15" x14ac:dyDescent="0.25">
      <c r="A917">
        <v>916</v>
      </c>
      <c r="B917" t="str">
        <f>HYPERLINK("https://digitalcommons.unl.edu/cgi/viewcontent.cgi?article=2188&amp;context=tractormuseumlit","Click for test report")</f>
        <v>Click for test report</v>
      </c>
      <c r="C917">
        <v>1961</v>
      </c>
      <c r="D917" t="s">
        <v>5919</v>
      </c>
      <c r="F917" t="s">
        <v>778</v>
      </c>
      <c r="G917" t="s">
        <v>778</v>
      </c>
      <c r="H917" t="s">
        <v>5917</v>
      </c>
      <c r="I917" t="s">
        <v>50</v>
      </c>
      <c r="J917" t="s">
        <v>348</v>
      </c>
      <c r="K917" t="s">
        <v>4809</v>
      </c>
      <c r="L917" t="s">
        <v>725</v>
      </c>
      <c r="N917" t="s">
        <v>3319</v>
      </c>
      <c r="O917" t="s">
        <v>5918</v>
      </c>
    </row>
    <row r="918" spans="1:15" x14ac:dyDescent="0.25">
      <c r="A918">
        <v>917</v>
      </c>
      <c r="B918" t="str">
        <f>HYPERLINK("https://digitalcommons.unl.edu/cgi/viewcontent.cgi?article=2189&amp;context=tractormuseumlit","Click for test report")</f>
        <v>Click for test report</v>
      </c>
      <c r="C918">
        <v>1961</v>
      </c>
      <c r="D918" t="s">
        <v>5916</v>
      </c>
      <c r="F918" t="s">
        <v>778</v>
      </c>
      <c r="G918" t="s">
        <v>778</v>
      </c>
      <c r="H918" t="s">
        <v>5917</v>
      </c>
      <c r="I918" t="s">
        <v>50</v>
      </c>
      <c r="J918" t="s">
        <v>348</v>
      </c>
      <c r="K918" t="s">
        <v>5598</v>
      </c>
      <c r="L918" t="s">
        <v>1864</v>
      </c>
      <c r="N918" t="s">
        <v>404</v>
      </c>
      <c r="O918" t="s">
        <v>5918</v>
      </c>
    </row>
    <row r="919" spans="1:15" x14ac:dyDescent="0.25">
      <c r="A919">
        <v>918</v>
      </c>
      <c r="B919" t="str">
        <f>HYPERLINK("https://digitalcommons.unl.edu/cgi/viewcontent.cgi?article=2236&amp;context=tractormuseumlit","Click for test report")</f>
        <v>Click for test report</v>
      </c>
      <c r="C919">
        <v>1961</v>
      </c>
      <c r="D919" t="s">
        <v>5915</v>
      </c>
      <c r="F919" t="s">
        <v>4395</v>
      </c>
      <c r="G919" t="s">
        <v>3708</v>
      </c>
      <c r="H919" t="s">
        <v>5763</v>
      </c>
      <c r="I919" t="s">
        <v>28</v>
      </c>
      <c r="J919" t="s">
        <v>348</v>
      </c>
      <c r="K919" t="s">
        <v>21</v>
      </c>
      <c r="L919" t="s">
        <v>747</v>
      </c>
      <c r="N919" t="s">
        <v>725</v>
      </c>
      <c r="O919" t="s">
        <v>24</v>
      </c>
    </row>
    <row r="920" spans="1:15" x14ac:dyDescent="0.25">
      <c r="A920">
        <v>919</v>
      </c>
      <c r="B920" t="str">
        <f>HYPERLINK("https://digitalcommons.unl.edu/cgi/viewcontent.cgi?article=2237&amp;context=tractormuseumlit","Click for test report")</f>
        <v>Click for test report</v>
      </c>
      <c r="C920">
        <v>1961</v>
      </c>
      <c r="D920" t="s">
        <v>5048</v>
      </c>
      <c r="F920" t="s">
        <v>4395</v>
      </c>
      <c r="G920" t="s">
        <v>3708</v>
      </c>
      <c r="H920" t="s">
        <v>5763</v>
      </c>
      <c r="I920" t="s">
        <v>28</v>
      </c>
      <c r="J920" t="s">
        <v>348</v>
      </c>
      <c r="K920" t="s">
        <v>4809</v>
      </c>
      <c r="L920" t="s">
        <v>747</v>
      </c>
      <c r="N920" t="s">
        <v>725</v>
      </c>
      <c r="O920" t="s">
        <v>24</v>
      </c>
    </row>
    <row r="921" spans="1:15" x14ac:dyDescent="0.25">
      <c r="A921">
        <v>920</v>
      </c>
      <c r="B921" t="str">
        <f>HYPERLINK("https://digitalcommons.unl.edu/cgi/viewcontent.cgi?article=2238&amp;context=tractormuseumlit","Click for test report")</f>
        <v>Click for test report</v>
      </c>
      <c r="C921">
        <v>1961</v>
      </c>
      <c r="D921" t="s">
        <v>5608</v>
      </c>
      <c r="F921" t="s">
        <v>3800</v>
      </c>
      <c r="G921" t="s">
        <v>4473</v>
      </c>
      <c r="H921" t="s">
        <v>5914</v>
      </c>
      <c r="I921" t="s">
        <v>50</v>
      </c>
      <c r="J921" t="s">
        <v>348</v>
      </c>
      <c r="K921" t="s">
        <v>21</v>
      </c>
      <c r="L921" t="s">
        <v>3388</v>
      </c>
      <c r="N921" t="s">
        <v>4008</v>
      </c>
      <c r="O921" t="s">
        <v>24</v>
      </c>
    </row>
    <row r="922" spans="1:15" x14ac:dyDescent="0.25">
      <c r="A922">
        <v>921</v>
      </c>
      <c r="B922" t="str">
        <f>HYPERLINK("https://digitalcommons.unl.edu/cgi/viewcontent.cgi?article=2239&amp;context=tractormuseumlit","Click for test report")</f>
        <v>Click for test report</v>
      </c>
      <c r="C922">
        <v>1961</v>
      </c>
      <c r="D922" t="s">
        <v>4882</v>
      </c>
      <c r="F922" t="s">
        <v>3800</v>
      </c>
      <c r="G922" t="s">
        <v>4473</v>
      </c>
      <c r="H922" t="s">
        <v>5913</v>
      </c>
      <c r="I922" t="s">
        <v>5776</v>
      </c>
      <c r="J922" t="s">
        <v>348</v>
      </c>
      <c r="K922" t="s">
        <v>21</v>
      </c>
      <c r="L922" t="s">
        <v>2699</v>
      </c>
      <c r="N922" t="s">
        <v>3973</v>
      </c>
      <c r="O922" t="s">
        <v>24</v>
      </c>
    </row>
    <row r="923" spans="1:15" x14ac:dyDescent="0.25">
      <c r="A923">
        <v>922</v>
      </c>
      <c r="B923" t="str">
        <f>HYPERLINK("https://digitalcommons.unl.edu/cgi/viewcontent.cgi?article=2239&amp;context=tractormuseumlit","Click for test report")</f>
        <v>Click for test report</v>
      </c>
      <c r="C923">
        <v>1961</v>
      </c>
      <c r="D923" t="s">
        <v>4882</v>
      </c>
      <c r="F923" t="s">
        <v>3800</v>
      </c>
      <c r="G923" t="s">
        <v>4473</v>
      </c>
      <c r="H923" t="s">
        <v>5912</v>
      </c>
      <c r="I923" t="s">
        <v>5776</v>
      </c>
      <c r="J923" t="s">
        <v>348</v>
      </c>
      <c r="K923" t="s">
        <v>21</v>
      </c>
      <c r="L923" t="s">
        <v>2699</v>
      </c>
      <c r="N923" t="s">
        <v>4012</v>
      </c>
      <c r="O923" t="s">
        <v>24</v>
      </c>
    </row>
    <row r="924" spans="1:15" x14ac:dyDescent="0.25">
      <c r="A924">
        <v>923</v>
      </c>
      <c r="B924" t="str">
        <f>HYPERLINK("https://digitalcommons.unl.edu/cgi/viewcontent.cgi?article=2240&amp;context=tractormuseumlit","Click for test report")</f>
        <v>Click for test report</v>
      </c>
      <c r="C924">
        <v>1961</v>
      </c>
      <c r="D924" t="s">
        <v>5909</v>
      </c>
      <c r="F924" t="s">
        <v>3800</v>
      </c>
      <c r="G924" t="s">
        <v>4473</v>
      </c>
      <c r="H924" t="s">
        <v>5911</v>
      </c>
      <c r="I924" t="s">
        <v>5776</v>
      </c>
      <c r="J924" t="s">
        <v>348</v>
      </c>
      <c r="K924" t="s">
        <v>21</v>
      </c>
      <c r="L924" t="s">
        <v>2188</v>
      </c>
      <c r="N924" t="s">
        <v>2511</v>
      </c>
      <c r="O924" t="s">
        <v>24</v>
      </c>
    </row>
    <row r="925" spans="1:15" x14ac:dyDescent="0.25">
      <c r="A925">
        <v>924</v>
      </c>
      <c r="B925" t="str">
        <f>HYPERLINK("https://digitalcommons.unl.edu/cgi/viewcontent.cgi?article=2240&amp;context=tractormuseumlit","Click for test report")</f>
        <v>Click for test report</v>
      </c>
      <c r="C925">
        <v>1961</v>
      </c>
      <c r="D925" t="s">
        <v>5909</v>
      </c>
      <c r="F925" t="s">
        <v>3800</v>
      </c>
      <c r="G925" t="s">
        <v>4473</v>
      </c>
      <c r="H925" t="s">
        <v>5910</v>
      </c>
      <c r="I925" t="s">
        <v>5776</v>
      </c>
      <c r="J925" t="s">
        <v>348</v>
      </c>
      <c r="K925" t="s">
        <v>21</v>
      </c>
      <c r="L925" t="s">
        <v>2188</v>
      </c>
      <c r="N925" t="s">
        <v>2699</v>
      </c>
      <c r="O925" t="s">
        <v>24</v>
      </c>
    </row>
    <row r="926" spans="1:15" x14ac:dyDescent="0.25">
      <c r="A926">
        <v>925</v>
      </c>
      <c r="B926" t="str">
        <f>HYPERLINK("https://digitalcommons.unl.edu/cgi/viewcontent.cgi?article=2241&amp;context=tractormuseumlit","Click for test report")</f>
        <v>Click for test report</v>
      </c>
      <c r="C926">
        <v>1961</v>
      </c>
      <c r="D926" t="s">
        <v>5907</v>
      </c>
      <c r="F926" t="s">
        <v>3800</v>
      </c>
      <c r="G926" t="s">
        <v>4473</v>
      </c>
      <c r="H926" t="s">
        <v>5908</v>
      </c>
      <c r="I926" t="s">
        <v>50</v>
      </c>
      <c r="J926" t="s">
        <v>348</v>
      </c>
      <c r="K926" t="s">
        <v>21</v>
      </c>
      <c r="L926" t="s">
        <v>2188</v>
      </c>
      <c r="N926" t="s">
        <v>2699</v>
      </c>
      <c r="O926" t="s">
        <v>24</v>
      </c>
    </row>
    <row r="927" spans="1:15" x14ac:dyDescent="0.25">
      <c r="A927">
        <v>926</v>
      </c>
      <c r="B927" t="str">
        <f>HYPERLINK("https://digitalcommons.unl.edu/cgi/viewcontent.cgi?article=2242&amp;context=tractormuseumlit","Click for test report")</f>
        <v>Click for test report</v>
      </c>
      <c r="C927">
        <v>1961</v>
      </c>
      <c r="D927" t="s">
        <v>5703</v>
      </c>
      <c r="F927" t="s">
        <v>5700</v>
      </c>
      <c r="G927" t="s">
        <v>5347</v>
      </c>
      <c r="H927" t="s">
        <v>5906</v>
      </c>
      <c r="I927" t="s">
        <v>1961</v>
      </c>
      <c r="J927" t="s">
        <v>348</v>
      </c>
      <c r="K927" t="s">
        <v>4809</v>
      </c>
      <c r="L927" t="s">
        <v>1009</v>
      </c>
      <c r="N927" t="s">
        <v>2826</v>
      </c>
      <c r="O927" t="s">
        <v>24</v>
      </c>
    </row>
    <row r="928" spans="1:15" x14ac:dyDescent="0.25">
      <c r="A928">
        <v>927</v>
      </c>
      <c r="B928" t="str">
        <f>HYPERLINK("https://digitalcommons.unl.edu/cgi/viewcontent.cgi?article=2243&amp;context=tractormuseumlit","Click for test report")</f>
        <v>Click for test report</v>
      </c>
      <c r="C928">
        <v>1961</v>
      </c>
      <c r="D928" t="s">
        <v>5699</v>
      </c>
      <c r="F928" t="s">
        <v>5700</v>
      </c>
      <c r="G928" t="s">
        <v>5347</v>
      </c>
      <c r="H928" t="s">
        <v>5906</v>
      </c>
      <c r="I928" t="s">
        <v>1961</v>
      </c>
      <c r="J928" t="s">
        <v>348</v>
      </c>
      <c r="K928" t="s">
        <v>5598</v>
      </c>
      <c r="L928" t="s">
        <v>2511</v>
      </c>
      <c r="N928" t="s">
        <v>2627</v>
      </c>
      <c r="O928" t="s">
        <v>24</v>
      </c>
    </row>
    <row r="929" spans="1:15" x14ac:dyDescent="0.25">
      <c r="A929">
        <v>928</v>
      </c>
      <c r="B929" t="str">
        <f>HYPERLINK("https://digitalcommons.unl.edu/cgi/viewcontent.cgi?article=2244&amp;context=tractormuseumlit","Click for test report")</f>
        <v>Click for test report</v>
      </c>
      <c r="C929">
        <v>1961</v>
      </c>
      <c r="D929" t="s">
        <v>5905</v>
      </c>
      <c r="F929" t="s">
        <v>5700</v>
      </c>
      <c r="G929" t="s">
        <v>778</v>
      </c>
      <c r="H929" t="s">
        <v>5903</v>
      </c>
      <c r="I929" t="s">
        <v>50</v>
      </c>
      <c r="J929" t="s">
        <v>348</v>
      </c>
      <c r="K929" t="s">
        <v>5598</v>
      </c>
      <c r="L929" t="s">
        <v>1371</v>
      </c>
      <c r="N929" t="s">
        <v>764</v>
      </c>
      <c r="O929" t="s">
        <v>5904</v>
      </c>
    </row>
    <row r="930" spans="1:15" x14ac:dyDescent="0.25">
      <c r="A930">
        <v>929</v>
      </c>
      <c r="B930" t="str">
        <f>HYPERLINK("https://digitalcommons.unl.edu/cgi/viewcontent.cgi?article=2244&amp;context=tractormuseumlit","Click for test report")</f>
        <v>Click for test report</v>
      </c>
      <c r="C930">
        <v>1961</v>
      </c>
      <c r="D930" t="s">
        <v>5905</v>
      </c>
      <c r="F930" t="s">
        <v>5700</v>
      </c>
      <c r="G930" t="s">
        <v>5347</v>
      </c>
      <c r="H930" t="s">
        <v>5902</v>
      </c>
      <c r="I930" t="s">
        <v>50</v>
      </c>
      <c r="J930" t="s">
        <v>348</v>
      </c>
      <c r="K930" t="s">
        <v>5598</v>
      </c>
      <c r="L930" t="s">
        <v>1371</v>
      </c>
      <c r="N930" t="s">
        <v>764</v>
      </c>
      <c r="O930" t="s">
        <v>24</v>
      </c>
    </row>
    <row r="931" spans="1:15" x14ac:dyDescent="0.25">
      <c r="A931">
        <v>930</v>
      </c>
      <c r="B931" t="str">
        <f>HYPERLINK("https://digitalcommons.unl.edu/cgi/viewcontent.cgi?article=2245&amp;context=tractormuseumlit","Click for test report")</f>
        <v>Click for test report</v>
      </c>
      <c r="C931">
        <v>1961</v>
      </c>
      <c r="D931" t="s">
        <v>5901</v>
      </c>
      <c r="F931" t="s">
        <v>5700</v>
      </c>
      <c r="G931" t="s">
        <v>778</v>
      </c>
      <c r="H931" t="s">
        <v>5903</v>
      </c>
      <c r="I931" t="s">
        <v>50</v>
      </c>
      <c r="J931" t="s">
        <v>348</v>
      </c>
      <c r="K931" t="s">
        <v>21</v>
      </c>
      <c r="L931" t="s">
        <v>1371</v>
      </c>
      <c r="N931" t="s">
        <v>2030</v>
      </c>
      <c r="O931" t="s">
        <v>5904</v>
      </c>
    </row>
    <row r="932" spans="1:15" x14ac:dyDescent="0.25">
      <c r="A932">
        <v>931</v>
      </c>
      <c r="B932" t="str">
        <f>HYPERLINK("https://digitalcommons.unl.edu/cgi/viewcontent.cgi?article=2245&amp;context=tractormuseumlit","Click for test report")</f>
        <v>Click for test report</v>
      </c>
      <c r="C932">
        <v>1961</v>
      </c>
      <c r="D932" t="s">
        <v>5901</v>
      </c>
      <c r="F932" t="s">
        <v>5700</v>
      </c>
      <c r="G932" t="s">
        <v>5347</v>
      </c>
      <c r="H932" t="s">
        <v>5902</v>
      </c>
      <c r="I932" t="s">
        <v>50</v>
      </c>
      <c r="J932" t="s">
        <v>348</v>
      </c>
      <c r="K932" t="s">
        <v>21</v>
      </c>
      <c r="L932" t="s">
        <v>1371</v>
      </c>
      <c r="N932" t="s">
        <v>2030</v>
      </c>
      <c r="O932" t="s">
        <v>24</v>
      </c>
    </row>
    <row r="933" spans="1:15" x14ac:dyDescent="0.25">
      <c r="A933">
        <v>932</v>
      </c>
      <c r="B933" t="str">
        <f>HYPERLINK("https://digitalcommons.unl.edu/cgi/viewcontent.cgi?article=2246&amp;context=tractormuseumlit","Click for test report")</f>
        <v>Click for test report</v>
      </c>
      <c r="C933">
        <v>1961</v>
      </c>
      <c r="D933" t="s">
        <v>5899</v>
      </c>
      <c r="F933" t="s">
        <v>4325</v>
      </c>
      <c r="G933" t="s">
        <v>4325</v>
      </c>
      <c r="H933" t="s">
        <v>5900</v>
      </c>
      <c r="I933" t="s">
        <v>1961</v>
      </c>
      <c r="J933" t="s">
        <v>96</v>
      </c>
      <c r="K933" t="s">
        <v>4809</v>
      </c>
      <c r="L933" t="s">
        <v>4012</v>
      </c>
      <c r="N933" t="s">
        <v>4352</v>
      </c>
      <c r="O933" t="s">
        <v>24</v>
      </c>
    </row>
    <row r="934" spans="1:15" x14ac:dyDescent="0.25">
      <c r="A934">
        <v>933</v>
      </c>
      <c r="B934" t="str">
        <f>HYPERLINK("https://digitalcommons.unl.edu/cgi/viewcontent.cgi?article=2247&amp;context=tractormuseumlit","Click for test report")</f>
        <v>Click for test report</v>
      </c>
      <c r="C934">
        <v>1961</v>
      </c>
      <c r="D934" t="s">
        <v>5897</v>
      </c>
      <c r="F934" t="s">
        <v>4325</v>
      </c>
      <c r="G934" t="s">
        <v>4325</v>
      </c>
      <c r="H934" t="s">
        <v>5898</v>
      </c>
      <c r="I934" t="s">
        <v>1961</v>
      </c>
      <c r="J934" t="s">
        <v>96</v>
      </c>
      <c r="K934" t="s">
        <v>21</v>
      </c>
      <c r="L934" t="s">
        <v>4012</v>
      </c>
      <c r="N934" t="s">
        <v>4352</v>
      </c>
      <c r="O934" t="s">
        <v>24</v>
      </c>
    </row>
    <row r="935" spans="1:15" x14ac:dyDescent="0.25">
      <c r="A935">
        <v>934</v>
      </c>
      <c r="B935" t="str">
        <f>HYPERLINK("https://digitalcommons.unl.edu/cgi/viewcontent.cgi?article=2248&amp;context=tractormuseumlit","Click for test report")</f>
        <v>Click for test report</v>
      </c>
      <c r="C935">
        <v>1961</v>
      </c>
      <c r="D935" t="s">
        <v>5896</v>
      </c>
      <c r="F935" t="s">
        <v>4325</v>
      </c>
      <c r="G935" t="s">
        <v>4325</v>
      </c>
      <c r="H935" t="s">
        <v>5894</v>
      </c>
      <c r="I935" t="s">
        <v>1961</v>
      </c>
      <c r="J935" t="s">
        <v>348</v>
      </c>
      <c r="K935" t="s">
        <v>4809</v>
      </c>
      <c r="L935" t="s">
        <v>2699</v>
      </c>
      <c r="N935" t="s">
        <v>2825</v>
      </c>
      <c r="O935" t="s">
        <v>24</v>
      </c>
    </row>
    <row r="936" spans="1:15" x14ac:dyDescent="0.25">
      <c r="A936">
        <v>935</v>
      </c>
      <c r="B936" t="str">
        <f>HYPERLINK("https://digitalcommons.unl.edu/cgi/viewcontent.cgi?article=2249&amp;context=tractormuseumlit","Click for test report")</f>
        <v>Click for test report</v>
      </c>
      <c r="C936">
        <v>1961</v>
      </c>
      <c r="D936" t="s">
        <v>5895</v>
      </c>
      <c r="F936" t="s">
        <v>4325</v>
      </c>
      <c r="G936" t="s">
        <v>4325</v>
      </c>
      <c r="H936" t="s">
        <v>5894</v>
      </c>
      <c r="I936" t="s">
        <v>1961</v>
      </c>
      <c r="J936" t="s">
        <v>348</v>
      </c>
      <c r="K936" t="s">
        <v>21</v>
      </c>
      <c r="L936" t="s">
        <v>3973</v>
      </c>
      <c r="N936" t="s">
        <v>4745</v>
      </c>
      <c r="O936" t="s">
        <v>5872</v>
      </c>
    </row>
    <row r="937" spans="1:15" x14ac:dyDescent="0.25">
      <c r="A937">
        <v>936</v>
      </c>
      <c r="B937" t="str">
        <f>HYPERLINK("https://digitalcommons.unl.edu/cgi/viewcontent.cgi?article=2250&amp;context=tractormuseumlit","Click for test report")</f>
        <v>Click for test report</v>
      </c>
      <c r="C937">
        <v>1961</v>
      </c>
      <c r="D937" t="s">
        <v>5893</v>
      </c>
      <c r="F937" t="s">
        <v>4325</v>
      </c>
      <c r="G937" t="s">
        <v>4325</v>
      </c>
      <c r="H937" t="s">
        <v>5894</v>
      </c>
      <c r="I937" t="s">
        <v>1961</v>
      </c>
      <c r="J937" t="s">
        <v>348</v>
      </c>
      <c r="K937" t="s">
        <v>5598</v>
      </c>
      <c r="L937" t="s">
        <v>1893</v>
      </c>
      <c r="N937" t="s">
        <v>3388</v>
      </c>
      <c r="O937" t="s">
        <v>24</v>
      </c>
    </row>
    <row r="938" spans="1:15" x14ac:dyDescent="0.25">
      <c r="A938">
        <v>937</v>
      </c>
      <c r="B938" t="str">
        <f>HYPERLINK("https://digitalcommons.unl.edu/cgi/viewcontent.cgi?article=1391&amp;context=tractormuseumlit","Click for test report")</f>
        <v>Click for test report</v>
      </c>
      <c r="C938">
        <v>1961</v>
      </c>
      <c r="D938" t="s">
        <v>5892</v>
      </c>
      <c r="F938" t="s">
        <v>17</v>
      </c>
      <c r="G938" t="s">
        <v>17</v>
      </c>
      <c r="H938" t="s">
        <v>5889</v>
      </c>
      <c r="I938" t="s">
        <v>50</v>
      </c>
      <c r="J938" t="s">
        <v>96</v>
      </c>
      <c r="K938" t="s">
        <v>21</v>
      </c>
      <c r="L938" t="s">
        <v>3973</v>
      </c>
      <c r="N938" t="s">
        <v>4397</v>
      </c>
      <c r="O938" t="s">
        <v>24</v>
      </c>
    </row>
    <row r="939" spans="1:15" x14ac:dyDescent="0.25">
      <c r="A939">
        <v>938</v>
      </c>
      <c r="B939" t="str">
        <f>HYPERLINK("https://digitalcommons.unl.edu/cgi/viewcontent.cgi?article=1392&amp;context=tractormuseumlit","Click for test report")</f>
        <v>Click for test report</v>
      </c>
      <c r="C939">
        <v>1961</v>
      </c>
      <c r="D939" t="s">
        <v>5891</v>
      </c>
      <c r="F939" t="s">
        <v>17</v>
      </c>
      <c r="G939" t="s">
        <v>17</v>
      </c>
      <c r="H939" t="s">
        <v>5890</v>
      </c>
      <c r="I939" t="s">
        <v>50</v>
      </c>
      <c r="J939" t="s">
        <v>348</v>
      </c>
      <c r="K939" t="s">
        <v>21</v>
      </c>
      <c r="L939" t="s">
        <v>410</v>
      </c>
      <c r="N939" t="s">
        <v>2627</v>
      </c>
      <c r="O939" t="s">
        <v>24</v>
      </c>
    </row>
    <row r="940" spans="1:15" x14ac:dyDescent="0.25">
      <c r="A940">
        <v>939</v>
      </c>
      <c r="B940" t="str">
        <f>HYPERLINK("https://digitalcommons.unl.edu/cgi/viewcontent.cgi?article=1393&amp;context=tractormuseumlit","Click for test report")</f>
        <v>Click for test report</v>
      </c>
      <c r="C940">
        <v>1961</v>
      </c>
      <c r="D940" t="s">
        <v>4105</v>
      </c>
      <c r="F940" t="s">
        <v>17</v>
      </c>
      <c r="G940" t="s">
        <v>17</v>
      </c>
      <c r="H940" t="s">
        <v>5890</v>
      </c>
      <c r="I940" t="s">
        <v>50</v>
      </c>
      <c r="J940" t="s">
        <v>348</v>
      </c>
      <c r="K940" t="s">
        <v>4809</v>
      </c>
      <c r="L940" t="s">
        <v>410</v>
      </c>
      <c r="N940" t="s">
        <v>2699</v>
      </c>
      <c r="O940" t="s">
        <v>24</v>
      </c>
    </row>
    <row r="941" spans="1:15" x14ac:dyDescent="0.25">
      <c r="A941">
        <v>940</v>
      </c>
      <c r="B941" t="str">
        <f>HYPERLINK("https://digitalcommons.unl.edu/cgi/viewcontent.cgi?article=1394&amp;context=tractormuseumlit","Click for test report")</f>
        <v>Click for test report</v>
      </c>
      <c r="C941">
        <v>1961</v>
      </c>
      <c r="D941" t="s">
        <v>5888</v>
      </c>
      <c r="F941" t="s">
        <v>17</v>
      </c>
      <c r="G941" t="s">
        <v>17</v>
      </c>
      <c r="H941" t="s">
        <v>5889</v>
      </c>
      <c r="I941" t="s">
        <v>50</v>
      </c>
      <c r="J941" t="s">
        <v>96</v>
      </c>
      <c r="K941" t="s">
        <v>4809</v>
      </c>
      <c r="L941" t="s">
        <v>2825</v>
      </c>
      <c r="N941" t="s">
        <v>4589</v>
      </c>
      <c r="O941" t="s">
        <v>24</v>
      </c>
    </row>
    <row r="942" spans="1:15" x14ac:dyDescent="0.25">
      <c r="A942">
        <v>941</v>
      </c>
      <c r="B942" t="str">
        <f>HYPERLINK("https://digitalcommons.unl.edu/cgi/viewcontent.cgi?article=1395&amp;context=tractormuseumlit","Click for test report")</f>
        <v>Click for test report</v>
      </c>
      <c r="C942">
        <v>1961</v>
      </c>
      <c r="D942" t="s">
        <v>4104</v>
      </c>
      <c r="F942" t="s">
        <v>17</v>
      </c>
      <c r="G942" t="s">
        <v>17</v>
      </c>
      <c r="H942" t="s">
        <v>5887</v>
      </c>
      <c r="I942" t="s">
        <v>50</v>
      </c>
      <c r="J942" t="s">
        <v>348</v>
      </c>
      <c r="K942" t="s">
        <v>4809</v>
      </c>
      <c r="L942" t="s">
        <v>3973</v>
      </c>
      <c r="N942" t="s">
        <v>4440</v>
      </c>
      <c r="O942" t="s">
        <v>24</v>
      </c>
    </row>
    <row r="943" spans="1:15" x14ac:dyDescent="0.25">
      <c r="A943">
        <v>942</v>
      </c>
      <c r="B943" t="str">
        <f>HYPERLINK("https://digitalcommons.unl.edu/cgi/viewcontent.cgi?article=1396&amp;context=tractormuseumlit","Click for test report")</f>
        <v>Click for test report</v>
      </c>
      <c r="C943">
        <v>1961</v>
      </c>
      <c r="D943" t="s">
        <v>5886</v>
      </c>
      <c r="F943" t="s">
        <v>17</v>
      </c>
      <c r="G943" t="s">
        <v>17</v>
      </c>
      <c r="H943" t="s">
        <v>5887</v>
      </c>
      <c r="I943" t="s">
        <v>50</v>
      </c>
      <c r="J943" t="s">
        <v>348</v>
      </c>
      <c r="K943" t="s">
        <v>21</v>
      </c>
      <c r="L943" t="s">
        <v>2825</v>
      </c>
      <c r="N943" t="s">
        <v>4440</v>
      </c>
      <c r="O943" t="s">
        <v>24</v>
      </c>
    </row>
    <row r="944" spans="1:15" x14ac:dyDescent="0.25">
      <c r="A944">
        <v>943</v>
      </c>
      <c r="B944" t="str">
        <f>HYPERLINK("https://digitalcommons.unl.edu/cgi/viewcontent.cgi?article=2251&amp;context=tractormuseumlit","Click for test report")</f>
        <v>Click for test report</v>
      </c>
      <c r="C944">
        <v>1961</v>
      </c>
      <c r="D944" t="s">
        <v>5884</v>
      </c>
      <c r="F944" t="s">
        <v>5633</v>
      </c>
      <c r="G944" t="s">
        <v>5634</v>
      </c>
      <c r="H944" t="s">
        <v>5885</v>
      </c>
      <c r="I944" t="s">
        <v>50</v>
      </c>
      <c r="J944" t="s">
        <v>348</v>
      </c>
      <c r="K944" t="s">
        <v>21</v>
      </c>
      <c r="L944" t="s">
        <v>4355</v>
      </c>
      <c r="N944" t="s">
        <v>4444</v>
      </c>
      <c r="O944" t="s">
        <v>24</v>
      </c>
    </row>
    <row r="945" spans="1:15" x14ac:dyDescent="0.25">
      <c r="A945">
        <v>944</v>
      </c>
      <c r="B945" t="str">
        <f>HYPERLINK("https://digitalcommons.unl.edu/cgi/viewcontent.cgi?article=2252&amp;context=tractormuseumlit","Click for test report")</f>
        <v>Click for test report</v>
      </c>
      <c r="C945">
        <v>1961</v>
      </c>
      <c r="D945" t="s">
        <v>5882</v>
      </c>
      <c r="F945" t="s">
        <v>3800</v>
      </c>
      <c r="G945" t="s">
        <v>4473</v>
      </c>
      <c r="H945" t="s">
        <v>5883</v>
      </c>
      <c r="I945" t="s">
        <v>50</v>
      </c>
      <c r="J945" t="s">
        <v>96</v>
      </c>
      <c r="K945" t="s">
        <v>21</v>
      </c>
      <c r="L945" t="s">
        <v>3973</v>
      </c>
      <c r="N945" t="s">
        <v>4008</v>
      </c>
      <c r="O945" t="s">
        <v>24</v>
      </c>
    </row>
    <row r="946" spans="1:15" x14ac:dyDescent="0.25">
      <c r="A946">
        <v>945</v>
      </c>
      <c r="B946" t="str">
        <f>HYPERLINK("https://digitalcommons.unl.edu/cgi/viewcontent.cgi?article=2253&amp;context=tractormuseumlit","Click for test report")</f>
        <v>Click for test report</v>
      </c>
      <c r="C946">
        <v>1961</v>
      </c>
      <c r="D946" t="s">
        <v>5785</v>
      </c>
      <c r="F946" t="s">
        <v>4503</v>
      </c>
      <c r="G946" t="s">
        <v>4503</v>
      </c>
      <c r="H946" t="s">
        <v>5881</v>
      </c>
      <c r="I946" t="s">
        <v>50</v>
      </c>
      <c r="J946" t="s">
        <v>96</v>
      </c>
      <c r="K946" t="s">
        <v>21</v>
      </c>
      <c r="N946" t="s">
        <v>336</v>
      </c>
      <c r="O946" t="s">
        <v>2163</v>
      </c>
    </row>
    <row r="947" spans="1:15" x14ac:dyDescent="0.25">
      <c r="A947">
        <v>946</v>
      </c>
      <c r="B947" t="str">
        <f>HYPERLINK("https://digitalcommons.unl.edu/cgi/viewcontent.cgi?article=2254&amp;context=tractormuseumlit","Click for test report")</f>
        <v>Click for test report</v>
      </c>
      <c r="C947">
        <v>1961</v>
      </c>
      <c r="D947" t="s">
        <v>5879</v>
      </c>
      <c r="F947" t="s">
        <v>778</v>
      </c>
      <c r="G947" t="s">
        <v>778</v>
      </c>
      <c r="H947" t="s">
        <v>5880</v>
      </c>
      <c r="I947" t="s">
        <v>50</v>
      </c>
      <c r="J947" t="s">
        <v>348</v>
      </c>
      <c r="K947" t="s">
        <v>21</v>
      </c>
      <c r="L947" t="s">
        <v>1802</v>
      </c>
      <c r="N947" t="s">
        <v>3388</v>
      </c>
      <c r="O947" t="s">
        <v>24</v>
      </c>
    </row>
    <row r="948" spans="1:15" x14ac:dyDescent="0.25">
      <c r="A948">
        <v>947</v>
      </c>
      <c r="B948" t="str">
        <f>HYPERLINK("https://digitalcommons.unl.edu/cgi/viewcontent.cgi?article=2255&amp;context=tractormuseumlit","Click for test report")</f>
        <v>Click for test report</v>
      </c>
      <c r="C948">
        <v>1961</v>
      </c>
      <c r="D948" t="s">
        <v>5877</v>
      </c>
      <c r="F948" t="s">
        <v>778</v>
      </c>
      <c r="G948" t="s">
        <v>778</v>
      </c>
      <c r="H948" t="s">
        <v>5878</v>
      </c>
      <c r="I948" t="s">
        <v>1961</v>
      </c>
      <c r="J948" t="s">
        <v>348</v>
      </c>
      <c r="K948" t="s">
        <v>21</v>
      </c>
      <c r="L948" t="s">
        <v>735</v>
      </c>
      <c r="N948" t="s">
        <v>2511</v>
      </c>
      <c r="O948" t="s">
        <v>24</v>
      </c>
    </row>
    <row r="949" spans="1:15" x14ac:dyDescent="0.25">
      <c r="A949">
        <v>948</v>
      </c>
      <c r="B949" t="str">
        <f>HYPERLINK("https://digitalcommons.unl.edu/cgi/viewcontent.cgi?article=2256&amp;context=tractormuseumlit","Click for test report")</f>
        <v>Click for test report</v>
      </c>
      <c r="C949">
        <v>1962</v>
      </c>
      <c r="D949" t="s">
        <v>5875</v>
      </c>
      <c r="F949" t="s">
        <v>5876</v>
      </c>
      <c r="G949" t="s">
        <v>5734</v>
      </c>
      <c r="H949" t="s">
        <v>5151</v>
      </c>
      <c r="I949" t="s">
        <v>50</v>
      </c>
      <c r="J949" t="s">
        <v>348</v>
      </c>
      <c r="K949" t="s">
        <v>21</v>
      </c>
      <c r="L949" t="s">
        <v>1994</v>
      </c>
      <c r="N949" t="s">
        <v>735</v>
      </c>
      <c r="O949" t="s">
        <v>24</v>
      </c>
    </row>
    <row r="950" spans="1:15" x14ac:dyDescent="0.25">
      <c r="A950">
        <v>949</v>
      </c>
      <c r="B950" t="str">
        <f>HYPERLINK("https://digitalcommons.unl.edu/cgi/viewcontent.cgi?article=2257&amp;context=tractormuseumlit","Click for test report")</f>
        <v>Click for test report</v>
      </c>
      <c r="C950">
        <v>1962</v>
      </c>
      <c r="D950" t="s">
        <v>5874</v>
      </c>
      <c r="F950" t="s">
        <v>4325</v>
      </c>
      <c r="G950" t="s">
        <v>4325</v>
      </c>
      <c r="H950" t="s">
        <v>5865</v>
      </c>
      <c r="I950" t="s">
        <v>1961</v>
      </c>
      <c r="J950" t="s">
        <v>348</v>
      </c>
      <c r="K950" t="s">
        <v>4809</v>
      </c>
      <c r="L950" t="s">
        <v>764</v>
      </c>
      <c r="N950" t="s">
        <v>728</v>
      </c>
      <c r="O950" t="s">
        <v>24</v>
      </c>
    </row>
    <row r="951" spans="1:15" x14ac:dyDescent="0.25">
      <c r="A951">
        <v>950</v>
      </c>
      <c r="B951" t="str">
        <f>HYPERLINK("https://digitalcommons.unl.edu/cgi/viewcontent.cgi?article=2258&amp;context=tractormuseumlit","Click for test report")</f>
        <v>Click for test report</v>
      </c>
      <c r="C951">
        <v>1962</v>
      </c>
      <c r="D951" t="s">
        <v>5873</v>
      </c>
      <c r="F951" t="s">
        <v>4325</v>
      </c>
      <c r="G951" t="s">
        <v>4325</v>
      </c>
      <c r="H951" t="s">
        <v>5865</v>
      </c>
      <c r="I951" t="s">
        <v>1961</v>
      </c>
      <c r="J951" t="s">
        <v>348</v>
      </c>
      <c r="K951" t="s">
        <v>21</v>
      </c>
      <c r="L951" t="s">
        <v>747</v>
      </c>
      <c r="N951" t="s">
        <v>1864</v>
      </c>
      <c r="O951" t="s">
        <v>24</v>
      </c>
    </row>
    <row r="952" spans="1:15" x14ac:dyDescent="0.25">
      <c r="A952">
        <v>951</v>
      </c>
      <c r="B952" t="str">
        <f>HYPERLINK("https://digitalcommons.unl.edu/cgi/viewcontent.cgi?article=2259&amp;context=tractormuseumlit","Click for test report")</f>
        <v>Click for test report</v>
      </c>
      <c r="C952">
        <v>1962</v>
      </c>
      <c r="D952" t="s">
        <v>5868</v>
      </c>
      <c r="F952" t="s">
        <v>4325</v>
      </c>
      <c r="G952" t="s">
        <v>4325</v>
      </c>
      <c r="H952" t="s">
        <v>5871</v>
      </c>
      <c r="I952" t="s">
        <v>50</v>
      </c>
      <c r="J952" t="s">
        <v>348</v>
      </c>
      <c r="K952" t="s">
        <v>4809</v>
      </c>
      <c r="L952" t="s">
        <v>4745</v>
      </c>
      <c r="N952" t="s">
        <v>4397</v>
      </c>
      <c r="O952" t="s">
        <v>5872</v>
      </c>
    </row>
    <row r="953" spans="1:15" x14ac:dyDescent="0.25">
      <c r="A953">
        <v>952</v>
      </c>
      <c r="B953" t="str">
        <f>HYPERLINK("https://digitalcommons.unl.edu/cgi/viewcontent.cgi?article=2259&amp;context=tractormuseumlit","Click for test report")</f>
        <v>Click for test report</v>
      </c>
      <c r="C953">
        <v>1962</v>
      </c>
      <c r="D953" t="s">
        <v>5868</v>
      </c>
      <c r="F953" t="s">
        <v>4325</v>
      </c>
      <c r="G953" t="s">
        <v>4325</v>
      </c>
      <c r="H953" t="s">
        <v>5869</v>
      </c>
      <c r="I953" t="s">
        <v>50</v>
      </c>
      <c r="J953" t="s">
        <v>348</v>
      </c>
      <c r="K953" t="s">
        <v>4809</v>
      </c>
      <c r="L953" t="s">
        <v>4745</v>
      </c>
      <c r="N953" t="s">
        <v>4397</v>
      </c>
      <c r="O953" t="s">
        <v>5870</v>
      </c>
    </row>
    <row r="954" spans="1:15" x14ac:dyDescent="0.25">
      <c r="A954">
        <v>953</v>
      </c>
      <c r="B954" t="str">
        <f>HYPERLINK("https://digitalcommons.unl.edu/cgi/viewcontent.cgi?article=2260&amp;context=tractormuseumlit","Click for test report")</f>
        <v>Click for test report</v>
      </c>
      <c r="C954">
        <v>1962</v>
      </c>
      <c r="D954" t="s">
        <v>5866</v>
      </c>
      <c r="F954" t="s">
        <v>4325</v>
      </c>
      <c r="G954" t="s">
        <v>4325</v>
      </c>
      <c r="H954" t="s">
        <v>5867</v>
      </c>
      <c r="I954" t="s">
        <v>50</v>
      </c>
      <c r="J954" t="s">
        <v>348</v>
      </c>
      <c r="K954" t="s">
        <v>4809</v>
      </c>
      <c r="L954" t="s">
        <v>4745</v>
      </c>
      <c r="N954" t="s">
        <v>4397</v>
      </c>
      <c r="O954" t="s">
        <v>5654</v>
      </c>
    </row>
    <row r="955" spans="1:15" x14ac:dyDescent="0.25">
      <c r="A955">
        <v>954</v>
      </c>
      <c r="B955" t="str">
        <f>HYPERLINK("https://digitalcommons.unl.edu/cgi/viewcontent.cgi?article=2261&amp;context=tractormuseumlit","Click for test report")</f>
        <v>Click for test report</v>
      </c>
      <c r="C955">
        <v>1962</v>
      </c>
      <c r="D955" t="s">
        <v>5864</v>
      </c>
      <c r="F955" t="s">
        <v>4325</v>
      </c>
      <c r="G955" t="s">
        <v>4325</v>
      </c>
      <c r="H955" t="s">
        <v>5865</v>
      </c>
      <c r="I955" t="s">
        <v>1961</v>
      </c>
      <c r="J955" t="s">
        <v>348</v>
      </c>
      <c r="K955" t="s">
        <v>5598</v>
      </c>
      <c r="L955" t="s">
        <v>747</v>
      </c>
      <c r="N955" t="s">
        <v>731</v>
      </c>
      <c r="O955" t="s">
        <v>24</v>
      </c>
    </row>
    <row r="956" spans="1:15" x14ac:dyDescent="0.25">
      <c r="A956">
        <v>955</v>
      </c>
      <c r="B956" t="str">
        <f>HYPERLINK("https://digitalcommons.unl.edu/cgi/viewcontent.cgi?article=2262&amp;context=tractormuseumlit","Click for test report")</f>
        <v>Click for test report</v>
      </c>
      <c r="C956">
        <v>1962</v>
      </c>
      <c r="D956" t="s">
        <v>5861</v>
      </c>
      <c r="F956" t="s">
        <v>5862</v>
      </c>
      <c r="G956" t="s">
        <v>4504</v>
      </c>
      <c r="H956" t="s">
        <v>5863</v>
      </c>
      <c r="I956" t="s">
        <v>50</v>
      </c>
      <c r="J956" t="s">
        <v>29</v>
      </c>
      <c r="K956" t="s">
        <v>21</v>
      </c>
      <c r="N956" t="s">
        <v>160</v>
      </c>
      <c r="O956" t="s">
        <v>2163</v>
      </c>
    </row>
    <row r="957" spans="1:15" x14ac:dyDescent="0.25">
      <c r="A957">
        <v>956</v>
      </c>
      <c r="B957" t="str">
        <f>HYPERLINK("https://digitalcommons.unl.edu/cgi/viewcontent.cgi?article=2263&amp;context=tractormuseumlit","Click for test report")</f>
        <v>Click for test report</v>
      </c>
      <c r="C957">
        <v>1962</v>
      </c>
      <c r="D957" t="s">
        <v>5860</v>
      </c>
      <c r="F957" t="s">
        <v>4503</v>
      </c>
      <c r="G957" t="s">
        <v>4504</v>
      </c>
      <c r="H957" t="s">
        <v>5855</v>
      </c>
      <c r="I957" t="s">
        <v>1961</v>
      </c>
      <c r="J957" t="s">
        <v>348</v>
      </c>
      <c r="K957" t="s">
        <v>21</v>
      </c>
      <c r="L957" t="s">
        <v>2511</v>
      </c>
      <c r="N957" t="s">
        <v>2699</v>
      </c>
      <c r="O957" t="s">
        <v>5550</v>
      </c>
    </row>
    <row r="958" spans="1:15" x14ac:dyDescent="0.25">
      <c r="A958">
        <v>957</v>
      </c>
      <c r="B958" t="str">
        <f>HYPERLINK("https://digitalcommons.unl.edu/cgi/viewcontent.cgi?article=2264&amp;context=tractormuseumlit","Click for test report")</f>
        <v>Click for test report</v>
      </c>
      <c r="C958">
        <v>1962</v>
      </c>
      <c r="D958" t="s">
        <v>5859</v>
      </c>
      <c r="F958" t="s">
        <v>4503</v>
      </c>
      <c r="G958" t="s">
        <v>4504</v>
      </c>
      <c r="H958" t="s">
        <v>5840</v>
      </c>
      <c r="I958" t="s">
        <v>50</v>
      </c>
      <c r="J958" t="s">
        <v>348</v>
      </c>
      <c r="K958" t="s">
        <v>4809</v>
      </c>
      <c r="L958" t="s">
        <v>3973</v>
      </c>
      <c r="N958" t="s">
        <v>4008</v>
      </c>
      <c r="O958" t="s">
        <v>24</v>
      </c>
    </row>
    <row r="959" spans="1:15" x14ac:dyDescent="0.25">
      <c r="A959">
        <v>958</v>
      </c>
      <c r="B959" t="str">
        <f>HYPERLINK("https://digitalcommons.unl.edu/cgi/viewcontent.cgi?article=2265&amp;context=tractormuseumlit","Click for test report")</f>
        <v>Click for test report</v>
      </c>
      <c r="C959">
        <v>1962</v>
      </c>
      <c r="D959" t="s">
        <v>5857</v>
      </c>
      <c r="F959" t="s">
        <v>4503</v>
      </c>
      <c r="G959" t="s">
        <v>4504</v>
      </c>
      <c r="H959" t="s">
        <v>5858</v>
      </c>
      <c r="I959" t="s">
        <v>50</v>
      </c>
      <c r="J959" t="s">
        <v>348</v>
      </c>
      <c r="K959" t="s">
        <v>4809</v>
      </c>
      <c r="L959" t="s">
        <v>3973</v>
      </c>
      <c r="N959" t="s">
        <v>4745</v>
      </c>
      <c r="O959" t="s">
        <v>5550</v>
      </c>
    </row>
    <row r="960" spans="1:15" x14ac:dyDescent="0.25">
      <c r="A960">
        <v>959</v>
      </c>
      <c r="B960" t="str">
        <f>HYPERLINK("https://digitalcommons.unl.edu/cgi/viewcontent.cgi?article=2266&amp;context=tractormuseumlit","Click for test report")</f>
        <v>Click for test report</v>
      </c>
      <c r="C960">
        <v>1962</v>
      </c>
      <c r="D960" t="s">
        <v>5856</v>
      </c>
      <c r="F960" t="s">
        <v>4503</v>
      </c>
      <c r="G960" t="s">
        <v>4504</v>
      </c>
      <c r="H960" t="s">
        <v>5855</v>
      </c>
      <c r="I960" t="s">
        <v>1961</v>
      </c>
      <c r="J960" t="s">
        <v>348</v>
      </c>
      <c r="K960" t="s">
        <v>4809</v>
      </c>
      <c r="L960" t="s">
        <v>410</v>
      </c>
      <c r="N960" t="s">
        <v>2627</v>
      </c>
      <c r="O960" t="s">
        <v>5550</v>
      </c>
    </row>
    <row r="961" spans="1:15" x14ac:dyDescent="0.25">
      <c r="A961">
        <v>960</v>
      </c>
      <c r="B961" t="str">
        <f>HYPERLINK("https://digitalcommons.unl.edu/cgi/viewcontent.cgi?article=2267&amp;context=tractormuseumlit","Click for test report")</f>
        <v>Click for test report</v>
      </c>
      <c r="C961">
        <v>1962</v>
      </c>
      <c r="D961" t="s">
        <v>4103</v>
      </c>
      <c r="F961" t="s">
        <v>4503</v>
      </c>
      <c r="G961" t="s">
        <v>4504</v>
      </c>
      <c r="H961" t="s">
        <v>5855</v>
      </c>
      <c r="I961" t="s">
        <v>1961</v>
      </c>
      <c r="J961" t="s">
        <v>348</v>
      </c>
      <c r="K961" t="s">
        <v>5598</v>
      </c>
      <c r="L961" t="s">
        <v>1009</v>
      </c>
      <c r="N961" t="s">
        <v>2627</v>
      </c>
      <c r="O961" t="s">
        <v>5550</v>
      </c>
    </row>
    <row r="962" spans="1:15" x14ac:dyDescent="0.25">
      <c r="A962">
        <v>961</v>
      </c>
      <c r="B962" t="str">
        <f>HYPERLINK("https://digitalcommons.unl.edu/cgi/viewcontent.cgi?article=2268&amp;context=tractormuseumlit","Click for test report")</f>
        <v>Click for test report</v>
      </c>
      <c r="C962">
        <v>1962</v>
      </c>
      <c r="D962" t="s">
        <v>5851</v>
      </c>
      <c r="F962" t="s">
        <v>5852</v>
      </c>
      <c r="G962" t="s">
        <v>5853</v>
      </c>
      <c r="H962" t="s">
        <v>5854</v>
      </c>
      <c r="I962" t="s">
        <v>50</v>
      </c>
      <c r="J962" t="s">
        <v>348</v>
      </c>
      <c r="K962" t="s">
        <v>21</v>
      </c>
      <c r="L962" t="s">
        <v>4012</v>
      </c>
      <c r="N962" t="s">
        <v>4589</v>
      </c>
      <c r="O962" t="s">
        <v>24</v>
      </c>
    </row>
    <row r="963" spans="1:15" x14ac:dyDescent="0.25">
      <c r="A963">
        <v>962</v>
      </c>
      <c r="B963" t="str">
        <f>HYPERLINK("https://digitalcommons.unl.edu/cgi/viewcontent.cgi?article=2269&amp;context=tractormuseumlit","Click for test report")</f>
        <v>Click for test report</v>
      </c>
      <c r="C963">
        <v>1962</v>
      </c>
      <c r="D963" t="s">
        <v>4100</v>
      </c>
      <c r="F963" t="s">
        <v>778</v>
      </c>
      <c r="G963" t="s">
        <v>778</v>
      </c>
      <c r="H963" t="s">
        <v>5850</v>
      </c>
      <c r="I963" t="s">
        <v>50</v>
      </c>
      <c r="J963" t="s">
        <v>348</v>
      </c>
      <c r="K963" t="s">
        <v>21</v>
      </c>
      <c r="L963" t="s">
        <v>2030</v>
      </c>
      <c r="N963" t="s">
        <v>725</v>
      </c>
      <c r="O963" t="s">
        <v>24</v>
      </c>
    </row>
    <row r="964" spans="1:15" x14ac:dyDescent="0.25">
      <c r="A964">
        <v>963</v>
      </c>
      <c r="B964" t="str">
        <f>HYPERLINK("https://digitalcommons.unl.edu/cgi/viewcontent.cgi?article=2270&amp;context=tractormuseumlit","Click for test report")</f>
        <v>Click for test report</v>
      </c>
      <c r="C964">
        <v>1962</v>
      </c>
      <c r="D964" t="s">
        <v>5848</v>
      </c>
      <c r="F964" t="s">
        <v>5661</v>
      </c>
      <c r="G964" t="s">
        <v>3472</v>
      </c>
      <c r="H964" t="s">
        <v>5849</v>
      </c>
      <c r="I964" t="s">
        <v>50</v>
      </c>
      <c r="J964" t="s">
        <v>348</v>
      </c>
      <c r="K964" t="s">
        <v>21</v>
      </c>
      <c r="L964" t="s">
        <v>4745</v>
      </c>
      <c r="N964" t="s">
        <v>4352</v>
      </c>
      <c r="O964" t="s">
        <v>24</v>
      </c>
    </row>
    <row r="965" spans="1:15" x14ac:dyDescent="0.25">
      <c r="A965">
        <v>964</v>
      </c>
      <c r="B965" t="str">
        <f>HYPERLINK("https://digitalcommons.unl.edu/cgi/viewcontent.cgi?article=1549&amp;context=tractormuseumlit","Click for test report")</f>
        <v>Click for test report</v>
      </c>
      <c r="C965">
        <v>1962</v>
      </c>
      <c r="D965" t="s">
        <v>5845</v>
      </c>
      <c r="F965" t="s">
        <v>5345</v>
      </c>
      <c r="G965" t="s">
        <v>5831</v>
      </c>
      <c r="H965" t="s">
        <v>5846</v>
      </c>
      <c r="I965" t="s">
        <v>1961</v>
      </c>
      <c r="J965" t="s">
        <v>348</v>
      </c>
      <c r="K965" t="s">
        <v>21</v>
      </c>
      <c r="L965" t="s">
        <v>123</v>
      </c>
      <c r="N965" t="s">
        <v>55</v>
      </c>
      <c r="O965" t="s">
        <v>5847</v>
      </c>
    </row>
    <row r="966" spans="1:15" x14ac:dyDescent="0.25">
      <c r="A966">
        <v>965</v>
      </c>
      <c r="B966" t="str">
        <f>HYPERLINK("https://digitalcommons.unl.edu/cgi/viewcontent.cgi?article=1549&amp;context=tractormuseumlit","Click for test report")</f>
        <v>Click for test report</v>
      </c>
      <c r="C966">
        <v>1962</v>
      </c>
      <c r="D966" t="s">
        <v>5845</v>
      </c>
      <c r="F966" t="s">
        <v>5345</v>
      </c>
      <c r="G966" t="s">
        <v>5345</v>
      </c>
      <c r="H966" t="s">
        <v>5846</v>
      </c>
      <c r="I966" t="s">
        <v>1961</v>
      </c>
      <c r="J966" t="s">
        <v>348</v>
      </c>
      <c r="K966" t="s">
        <v>21</v>
      </c>
      <c r="L966" t="s">
        <v>123</v>
      </c>
      <c r="N966" t="s">
        <v>55</v>
      </c>
      <c r="O966" t="s">
        <v>5807</v>
      </c>
    </row>
    <row r="967" spans="1:15" x14ac:dyDescent="0.25">
      <c r="A967">
        <v>966</v>
      </c>
      <c r="B967" t="str">
        <f>HYPERLINK("https://digitalcommons.unl.edu/cgi/viewcontent.cgi?article=2271&amp;context=tractormuseumlit","Click for test report")</f>
        <v>Click for test report</v>
      </c>
      <c r="C967">
        <v>1962</v>
      </c>
      <c r="D967" t="s">
        <v>5844</v>
      </c>
      <c r="F967" t="s">
        <v>4503</v>
      </c>
      <c r="G967" t="s">
        <v>4504</v>
      </c>
      <c r="H967" t="s">
        <v>5843</v>
      </c>
      <c r="I967" t="s">
        <v>1961</v>
      </c>
      <c r="J967" t="s">
        <v>348</v>
      </c>
      <c r="K967" t="s">
        <v>4809</v>
      </c>
      <c r="L967" t="s">
        <v>3123</v>
      </c>
      <c r="N967" t="s">
        <v>410</v>
      </c>
      <c r="O967" t="s">
        <v>24</v>
      </c>
    </row>
    <row r="968" spans="1:15" x14ac:dyDescent="0.25">
      <c r="A968">
        <v>967</v>
      </c>
      <c r="B968" t="str">
        <f>HYPERLINK("https://digitalcommons.unl.edu/cgi/viewcontent.cgi?article=2271&amp;context=tractormuseumlit","Click for test report")</f>
        <v>Click for test report</v>
      </c>
      <c r="C968">
        <v>1962</v>
      </c>
      <c r="D968" t="s">
        <v>5844</v>
      </c>
      <c r="F968" t="s">
        <v>4503</v>
      </c>
      <c r="G968" t="s">
        <v>4504</v>
      </c>
      <c r="H968" t="s">
        <v>5841</v>
      </c>
      <c r="I968" t="s">
        <v>1961</v>
      </c>
      <c r="J968" t="s">
        <v>348</v>
      </c>
      <c r="K968" t="s">
        <v>4809</v>
      </c>
      <c r="L968" t="s">
        <v>3123</v>
      </c>
      <c r="N968" t="s">
        <v>410</v>
      </c>
      <c r="O968" t="s">
        <v>5842</v>
      </c>
    </row>
    <row r="969" spans="1:15" x14ac:dyDescent="0.25">
      <c r="A969">
        <v>968</v>
      </c>
      <c r="B969" t="str">
        <f>HYPERLINK("https://digitalcommons.unl.edu/cgi/viewcontent.cgi?article=2272&amp;context=tractormuseumlit","Click for test report")</f>
        <v>Click for test report</v>
      </c>
      <c r="C969">
        <v>1962</v>
      </c>
      <c r="D969" t="s">
        <v>5527</v>
      </c>
      <c r="F969" t="s">
        <v>4503</v>
      </c>
      <c r="G969" t="s">
        <v>4504</v>
      </c>
      <c r="H969" t="s">
        <v>5843</v>
      </c>
      <c r="I969" t="s">
        <v>1961</v>
      </c>
      <c r="J969" t="s">
        <v>348</v>
      </c>
      <c r="K969" t="s">
        <v>21</v>
      </c>
      <c r="L969" t="s">
        <v>1994</v>
      </c>
      <c r="N969" t="s">
        <v>2188</v>
      </c>
      <c r="O969" t="s">
        <v>24</v>
      </c>
    </row>
    <row r="970" spans="1:15" x14ac:dyDescent="0.25">
      <c r="A970">
        <v>969</v>
      </c>
      <c r="B970" t="str">
        <f>HYPERLINK("https://digitalcommons.unl.edu/cgi/viewcontent.cgi?article=2272&amp;context=tractormuseumlit","Click for test report")</f>
        <v>Click for test report</v>
      </c>
      <c r="C970">
        <v>1962</v>
      </c>
      <c r="D970" t="s">
        <v>5527</v>
      </c>
      <c r="F970" t="s">
        <v>4503</v>
      </c>
      <c r="G970" t="s">
        <v>4504</v>
      </c>
      <c r="H970" t="s">
        <v>5841</v>
      </c>
      <c r="I970" t="s">
        <v>1961</v>
      </c>
      <c r="J970" t="s">
        <v>348</v>
      </c>
      <c r="K970" t="s">
        <v>21</v>
      </c>
      <c r="L970" t="s">
        <v>1994</v>
      </c>
      <c r="N970" t="s">
        <v>2188</v>
      </c>
      <c r="O970" t="s">
        <v>5842</v>
      </c>
    </row>
    <row r="971" spans="1:15" x14ac:dyDescent="0.25">
      <c r="A971">
        <v>970</v>
      </c>
      <c r="B971" t="str">
        <f>HYPERLINK("https://digitalcommons.unl.edu/cgi/viewcontent.cgi?article=2273&amp;context=tractormuseumlit","Click for test report")</f>
        <v>Click for test report</v>
      </c>
      <c r="C971">
        <v>1962</v>
      </c>
      <c r="D971" t="s">
        <v>5839</v>
      </c>
      <c r="F971" t="s">
        <v>4503</v>
      </c>
      <c r="G971" t="s">
        <v>4504</v>
      </c>
      <c r="H971" t="s">
        <v>5840</v>
      </c>
      <c r="I971" t="s">
        <v>50</v>
      </c>
      <c r="J971" t="s">
        <v>348</v>
      </c>
      <c r="K971" t="s">
        <v>21</v>
      </c>
      <c r="L971" t="s">
        <v>2825</v>
      </c>
      <c r="N971" t="s">
        <v>4012</v>
      </c>
      <c r="O971" t="s">
        <v>24</v>
      </c>
    </row>
    <row r="972" spans="1:15" x14ac:dyDescent="0.25">
      <c r="A972">
        <v>971</v>
      </c>
      <c r="B972" t="str">
        <f>HYPERLINK("https://digitalcommons.unl.edu/cgi/viewcontent.cgi?article=1397&amp;context=tractormuseumlit","Click for test report")</f>
        <v>Click for test report</v>
      </c>
      <c r="C972">
        <v>1962</v>
      </c>
      <c r="D972" t="s">
        <v>5837</v>
      </c>
      <c r="F972" t="s">
        <v>17</v>
      </c>
      <c r="G972" t="s">
        <v>17</v>
      </c>
      <c r="H972" t="s">
        <v>5838</v>
      </c>
      <c r="I972" t="s">
        <v>50</v>
      </c>
      <c r="J972" t="s">
        <v>348</v>
      </c>
      <c r="K972" t="s">
        <v>21</v>
      </c>
      <c r="L972" t="s">
        <v>794</v>
      </c>
      <c r="N972" t="s">
        <v>364</v>
      </c>
      <c r="O972" t="s">
        <v>24</v>
      </c>
    </row>
    <row r="973" spans="1:15" x14ac:dyDescent="0.25">
      <c r="A973">
        <v>972</v>
      </c>
      <c r="B973" t="str">
        <f>HYPERLINK("https://digitalcommons.unl.edu/cgi/viewcontent.cgi?article=1398&amp;context=tractormuseumlit","Click for test report")</f>
        <v>Click for test report</v>
      </c>
      <c r="C973">
        <v>1962</v>
      </c>
      <c r="D973" t="s">
        <v>5836</v>
      </c>
      <c r="F973" t="s">
        <v>17</v>
      </c>
      <c r="G973" t="s">
        <v>17</v>
      </c>
      <c r="H973" t="s">
        <v>5835</v>
      </c>
      <c r="I973" t="s">
        <v>50</v>
      </c>
      <c r="J973" t="s">
        <v>96</v>
      </c>
      <c r="K973" t="s">
        <v>4809</v>
      </c>
      <c r="L973" t="s">
        <v>407</v>
      </c>
      <c r="N973" t="s">
        <v>2826</v>
      </c>
      <c r="O973" t="s">
        <v>24</v>
      </c>
    </row>
    <row r="974" spans="1:15" x14ac:dyDescent="0.25">
      <c r="A974">
        <v>973</v>
      </c>
      <c r="B974" t="str">
        <f>HYPERLINK("https://digitalcommons.unl.edu/cgi/viewcontent.cgi?article=1399&amp;context=tractormuseumlit","Click for test report")</f>
        <v>Click for test report</v>
      </c>
      <c r="C974">
        <v>1962</v>
      </c>
      <c r="D974" t="s">
        <v>5373</v>
      </c>
      <c r="F974" t="s">
        <v>17</v>
      </c>
      <c r="G974" t="s">
        <v>17</v>
      </c>
      <c r="H974" t="s">
        <v>5835</v>
      </c>
      <c r="I974" t="s">
        <v>50</v>
      </c>
      <c r="J974" t="s">
        <v>96</v>
      </c>
      <c r="K974" t="s">
        <v>21</v>
      </c>
      <c r="L974" t="s">
        <v>407</v>
      </c>
      <c r="N974" t="s">
        <v>2826</v>
      </c>
      <c r="O974" t="s">
        <v>24</v>
      </c>
    </row>
    <row r="975" spans="1:15" x14ac:dyDescent="0.25">
      <c r="A975">
        <v>974</v>
      </c>
      <c r="B975" t="str">
        <f>HYPERLINK("https://digitalcommons.unl.edu/cgi/viewcontent.cgi?article=1550&amp;context=tractormuseumlit","Click for test report")</f>
        <v>Click for test report</v>
      </c>
      <c r="C975">
        <v>1962</v>
      </c>
      <c r="D975" t="s">
        <v>5834</v>
      </c>
      <c r="F975" t="s">
        <v>5345</v>
      </c>
      <c r="G975" t="s">
        <v>5831</v>
      </c>
      <c r="H975" t="s">
        <v>3047</v>
      </c>
      <c r="I975" t="s">
        <v>1961</v>
      </c>
      <c r="J975" t="s">
        <v>348</v>
      </c>
      <c r="K975" t="s">
        <v>21</v>
      </c>
      <c r="L975" t="s">
        <v>378</v>
      </c>
      <c r="N975" t="s">
        <v>1257</v>
      </c>
      <c r="O975" t="s">
        <v>5832</v>
      </c>
    </row>
    <row r="976" spans="1:15" x14ac:dyDescent="0.25">
      <c r="A976">
        <v>975</v>
      </c>
      <c r="B976" t="str">
        <f>HYPERLINK("https://digitalcommons.unl.edu/cgi/viewcontent.cgi?article=1550&amp;context=tractormuseumlit","Click for test report")</f>
        <v>Click for test report</v>
      </c>
      <c r="C976">
        <v>1962</v>
      </c>
      <c r="D976" t="s">
        <v>5834</v>
      </c>
      <c r="F976" t="s">
        <v>5345</v>
      </c>
      <c r="G976" t="s">
        <v>5345</v>
      </c>
      <c r="H976" t="s">
        <v>3047</v>
      </c>
      <c r="I976" t="s">
        <v>1961</v>
      </c>
      <c r="J976" t="s">
        <v>348</v>
      </c>
      <c r="K976" t="s">
        <v>21</v>
      </c>
      <c r="L976" t="s">
        <v>378</v>
      </c>
      <c r="N976" t="s">
        <v>1257</v>
      </c>
      <c r="O976" t="s">
        <v>5807</v>
      </c>
    </row>
    <row r="977" spans="1:15" x14ac:dyDescent="0.25">
      <c r="A977">
        <v>976</v>
      </c>
      <c r="B977" t="str">
        <f>HYPERLINK("https://digitalcommons.unl.edu/cgi/viewcontent.cgi?article=1551&amp;context=tractormuseumlit","Click for test report")</f>
        <v>Click for test report</v>
      </c>
      <c r="C977">
        <v>1962</v>
      </c>
      <c r="D977" t="s">
        <v>5833</v>
      </c>
      <c r="F977" t="s">
        <v>5345</v>
      </c>
      <c r="G977" t="s">
        <v>5345</v>
      </c>
      <c r="H977" t="s">
        <v>3047</v>
      </c>
      <c r="I977" t="s">
        <v>1961</v>
      </c>
      <c r="J977" t="s">
        <v>348</v>
      </c>
      <c r="K977" t="s">
        <v>21</v>
      </c>
      <c r="L977" t="s">
        <v>740</v>
      </c>
      <c r="N977" t="s">
        <v>1864</v>
      </c>
      <c r="O977" t="s">
        <v>5807</v>
      </c>
    </row>
    <row r="978" spans="1:15" x14ac:dyDescent="0.25">
      <c r="A978">
        <v>977</v>
      </c>
      <c r="B978" t="str">
        <f>HYPERLINK("https://digitalcommons.unl.edu/cgi/viewcontent.cgi?article=1551&amp;context=tractormuseumlit","Click for test report")</f>
        <v>Click for test report</v>
      </c>
      <c r="C978">
        <v>1962</v>
      </c>
      <c r="D978" t="s">
        <v>5833</v>
      </c>
      <c r="F978" t="s">
        <v>5345</v>
      </c>
      <c r="G978" t="s">
        <v>5345</v>
      </c>
      <c r="H978" t="s">
        <v>3047</v>
      </c>
      <c r="I978" t="s">
        <v>1961</v>
      </c>
      <c r="J978" t="s">
        <v>20</v>
      </c>
      <c r="K978" t="s">
        <v>21</v>
      </c>
      <c r="L978" t="s">
        <v>740</v>
      </c>
      <c r="N978" t="s">
        <v>349</v>
      </c>
      <c r="O978" t="s">
        <v>5807</v>
      </c>
    </row>
    <row r="979" spans="1:15" x14ac:dyDescent="0.25">
      <c r="A979">
        <v>978</v>
      </c>
      <c r="B979" t="str">
        <f>HYPERLINK("https://digitalcommons.unl.edu/cgi/viewcontent.cgi?article=1140&amp;context=tractormuseumlit","Click for test report")</f>
        <v>Click for test report</v>
      </c>
      <c r="C979">
        <v>1962</v>
      </c>
      <c r="D979" t="s">
        <v>5816</v>
      </c>
      <c r="F979" t="s">
        <v>5345</v>
      </c>
      <c r="G979" t="s">
        <v>5831</v>
      </c>
      <c r="H979" t="s">
        <v>3047</v>
      </c>
      <c r="I979" t="s">
        <v>1961</v>
      </c>
      <c r="J979" t="s">
        <v>348</v>
      </c>
      <c r="K979" t="s">
        <v>4809</v>
      </c>
      <c r="L979" t="s">
        <v>344</v>
      </c>
      <c r="N979" t="s">
        <v>1347</v>
      </c>
      <c r="O979" t="s">
        <v>5832</v>
      </c>
    </row>
    <row r="980" spans="1:15" x14ac:dyDescent="0.25">
      <c r="A980">
        <v>979</v>
      </c>
      <c r="B980" t="str">
        <f>HYPERLINK("https://digitalcommons.unl.edu/cgi/viewcontent.cgi?article=2218&amp;context=tractormuseumlit","Click for test report")</f>
        <v>Click for test report</v>
      </c>
      <c r="C980">
        <v>1963</v>
      </c>
      <c r="D980" t="s">
        <v>5667</v>
      </c>
      <c r="F980" t="s">
        <v>5347</v>
      </c>
      <c r="G980" t="s">
        <v>5347</v>
      </c>
      <c r="H980" t="s">
        <v>5828</v>
      </c>
      <c r="I980" t="s">
        <v>1961</v>
      </c>
      <c r="J980" t="s">
        <v>348</v>
      </c>
      <c r="K980" t="s">
        <v>4809</v>
      </c>
      <c r="L980" t="s">
        <v>725</v>
      </c>
      <c r="N980" t="s">
        <v>1994</v>
      </c>
      <c r="O980" t="s">
        <v>5829</v>
      </c>
    </row>
    <row r="981" spans="1:15" x14ac:dyDescent="0.25">
      <c r="A981">
        <v>980</v>
      </c>
      <c r="B981" t="str">
        <f>HYPERLINK("https://digitalcommons.unl.edu/cgi/viewcontent.cgi?article=2219&amp;context=tractormuseumlit","Click for test report")</f>
        <v>Click for test report</v>
      </c>
      <c r="C981">
        <v>1963</v>
      </c>
      <c r="D981" t="s">
        <v>5830</v>
      </c>
      <c r="F981" t="s">
        <v>5347</v>
      </c>
      <c r="G981" t="s">
        <v>5347</v>
      </c>
      <c r="H981" t="s">
        <v>5828</v>
      </c>
      <c r="I981" t="s">
        <v>1961</v>
      </c>
      <c r="J981" t="s">
        <v>348</v>
      </c>
      <c r="K981" t="s">
        <v>5598</v>
      </c>
      <c r="L981" t="s">
        <v>725</v>
      </c>
      <c r="N981" t="s">
        <v>1994</v>
      </c>
      <c r="O981" t="s">
        <v>5829</v>
      </c>
    </row>
    <row r="982" spans="1:15" x14ac:dyDescent="0.25">
      <c r="A982">
        <v>981</v>
      </c>
      <c r="B982" t="str">
        <f>HYPERLINK("https://digitalcommons.unl.edu/cgi/viewcontent.cgi?article=2220&amp;context=tractormuseumlit","Click for test report")</f>
        <v>Click for test report</v>
      </c>
      <c r="C982">
        <v>1963</v>
      </c>
      <c r="D982" t="s">
        <v>5827</v>
      </c>
      <c r="F982" t="s">
        <v>5347</v>
      </c>
      <c r="G982" t="s">
        <v>5347</v>
      </c>
      <c r="H982" t="s">
        <v>5828</v>
      </c>
      <c r="I982" t="s">
        <v>1961</v>
      </c>
      <c r="J982" t="s">
        <v>348</v>
      </c>
      <c r="K982" t="s">
        <v>21</v>
      </c>
      <c r="L982" t="s">
        <v>353</v>
      </c>
      <c r="N982" t="s">
        <v>750</v>
      </c>
      <c r="O982" t="s">
        <v>5829</v>
      </c>
    </row>
    <row r="983" spans="1:15" x14ac:dyDescent="0.25">
      <c r="A983">
        <v>982</v>
      </c>
      <c r="B983" t="str">
        <f>HYPERLINK("https://digitalcommons.unl.edu/cgi/viewcontent.cgi?article=2274&amp;context=tractormuseumlit","Click for test report")</f>
        <v>Click for test report</v>
      </c>
      <c r="C983">
        <v>1963</v>
      </c>
      <c r="D983" t="s">
        <v>5826</v>
      </c>
      <c r="F983" t="s">
        <v>5347</v>
      </c>
      <c r="G983" t="s">
        <v>778</v>
      </c>
      <c r="H983" t="s">
        <v>5821</v>
      </c>
      <c r="I983" t="s">
        <v>50</v>
      </c>
      <c r="J983" t="s">
        <v>20</v>
      </c>
      <c r="K983" t="s">
        <v>21</v>
      </c>
      <c r="L983" t="s">
        <v>51</v>
      </c>
      <c r="N983" t="s">
        <v>713</v>
      </c>
      <c r="O983" t="s">
        <v>5825</v>
      </c>
    </row>
    <row r="984" spans="1:15" x14ac:dyDescent="0.25">
      <c r="A984">
        <v>983</v>
      </c>
      <c r="B984" t="str">
        <f>HYPERLINK("https://digitalcommons.unl.edu/cgi/viewcontent.cgi?article=2274&amp;context=tractormuseumlit","Click for test report")</f>
        <v>Click for test report</v>
      </c>
      <c r="C984">
        <v>1963</v>
      </c>
      <c r="D984" t="s">
        <v>5826</v>
      </c>
      <c r="F984" t="s">
        <v>5347</v>
      </c>
      <c r="G984" t="s">
        <v>5347</v>
      </c>
      <c r="H984" t="s">
        <v>5824</v>
      </c>
      <c r="I984" t="s">
        <v>50</v>
      </c>
      <c r="J984" t="s">
        <v>20</v>
      </c>
      <c r="K984" t="s">
        <v>21</v>
      </c>
      <c r="L984" t="s">
        <v>51</v>
      </c>
      <c r="N984" t="s">
        <v>713</v>
      </c>
      <c r="O984" t="s">
        <v>24</v>
      </c>
    </row>
    <row r="985" spans="1:15" x14ac:dyDescent="0.25">
      <c r="A985">
        <v>984</v>
      </c>
      <c r="B985" t="str">
        <f>HYPERLINK("https://digitalcommons.unl.edu/cgi/viewcontent.cgi?article=2275&amp;context=tractormuseumlit","Click for test report")</f>
        <v>Click for test report</v>
      </c>
      <c r="C985">
        <v>1963</v>
      </c>
      <c r="D985" t="s">
        <v>5823</v>
      </c>
      <c r="F985" t="s">
        <v>5347</v>
      </c>
      <c r="G985" t="s">
        <v>778</v>
      </c>
      <c r="H985" t="s">
        <v>5821</v>
      </c>
      <c r="I985" t="s">
        <v>50</v>
      </c>
      <c r="J985" t="s">
        <v>20</v>
      </c>
      <c r="K985" t="s">
        <v>5598</v>
      </c>
      <c r="L985" t="s">
        <v>51</v>
      </c>
      <c r="N985" t="s">
        <v>562</v>
      </c>
      <c r="O985" t="s">
        <v>5825</v>
      </c>
    </row>
    <row r="986" spans="1:15" x14ac:dyDescent="0.25">
      <c r="A986">
        <v>985</v>
      </c>
      <c r="B986" t="str">
        <f>HYPERLINK("https://digitalcommons.unl.edu/cgi/viewcontent.cgi?article=2275&amp;context=tractormuseumlit","Click for test report")</f>
        <v>Click for test report</v>
      </c>
      <c r="C986">
        <v>1963</v>
      </c>
      <c r="D986" t="s">
        <v>5823</v>
      </c>
      <c r="F986" t="s">
        <v>5347</v>
      </c>
      <c r="G986" t="s">
        <v>5347</v>
      </c>
      <c r="H986" t="s">
        <v>5824</v>
      </c>
      <c r="I986" t="s">
        <v>50</v>
      </c>
      <c r="J986" t="s">
        <v>20</v>
      </c>
      <c r="K986" t="s">
        <v>5598</v>
      </c>
      <c r="L986" t="s">
        <v>51</v>
      </c>
      <c r="N986" t="s">
        <v>562</v>
      </c>
      <c r="O986" t="s">
        <v>24</v>
      </c>
    </row>
    <row r="987" spans="1:15" x14ac:dyDescent="0.25">
      <c r="A987">
        <v>986</v>
      </c>
      <c r="B987" t="str">
        <f>HYPERLINK("https://digitalcommons.unl.edu/cgi/viewcontent.cgi?article=2276&amp;context=tractormuseumlit","Click for test report")</f>
        <v>Click for test report</v>
      </c>
      <c r="C987">
        <v>1963</v>
      </c>
      <c r="D987" t="s">
        <v>4949</v>
      </c>
      <c r="F987" t="s">
        <v>5347</v>
      </c>
      <c r="G987" t="s">
        <v>778</v>
      </c>
      <c r="H987" t="s">
        <v>5821</v>
      </c>
      <c r="I987" t="s">
        <v>50</v>
      </c>
      <c r="J987" t="s">
        <v>348</v>
      </c>
      <c r="K987" t="s">
        <v>21</v>
      </c>
      <c r="L987" t="s">
        <v>51</v>
      </c>
      <c r="N987" t="s">
        <v>131</v>
      </c>
      <c r="O987" t="s">
        <v>5822</v>
      </c>
    </row>
    <row r="988" spans="1:15" x14ac:dyDescent="0.25">
      <c r="A988">
        <v>987</v>
      </c>
      <c r="B988" t="str">
        <f>HYPERLINK("https://digitalcommons.unl.edu/cgi/viewcontent.cgi?article=2276&amp;context=tractormuseumlit","Click for test report")</f>
        <v>Click for test report</v>
      </c>
      <c r="C988">
        <v>1963</v>
      </c>
      <c r="D988" t="s">
        <v>4949</v>
      </c>
      <c r="F988" t="s">
        <v>5347</v>
      </c>
      <c r="G988" t="s">
        <v>5347</v>
      </c>
      <c r="H988" t="s">
        <v>5820</v>
      </c>
      <c r="I988" t="s">
        <v>50</v>
      </c>
      <c r="J988" t="s">
        <v>348</v>
      </c>
      <c r="K988" t="s">
        <v>21</v>
      </c>
      <c r="L988" t="s">
        <v>51</v>
      </c>
      <c r="N988" t="s">
        <v>131</v>
      </c>
      <c r="O988" t="s">
        <v>24</v>
      </c>
    </row>
    <row r="989" spans="1:15" x14ac:dyDescent="0.25">
      <c r="A989">
        <v>988</v>
      </c>
      <c r="B989" t="str">
        <f>HYPERLINK("https://digitalcommons.unl.edu/cgi/viewcontent.cgi?article=2278&amp;context=tractormuseumlit","Click for test report")</f>
        <v>Click for test report</v>
      </c>
      <c r="C989">
        <v>1963</v>
      </c>
      <c r="D989" t="s">
        <v>4412</v>
      </c>
      <c r="F989" t="s">
        <v>5347</v>
      </c>
      <c r="G989" t="s">
        <v>778</v>
      </c>
      <c r="H989" t="s">
        <v>5821</v>
      </c>
      <c r="I989" t="s">
        <v>50</v>
      </c>
      <c r="J989" t="s">
        <v>348</v>
      </c>
      <c r="K989" t="s">
        <v>5598</v>
      </c>
      <c r="L989" t="s">
        <v>51</v>
      </c>
      <c r="N989" t="s">
        <v>454</v>
      </c>
      <c r="O989" t="s">
        <v>5822</v>
      </c>
    </row>
    <row r="990" spans="1:15" x14ac:dyDescent="0.25">
      <c r="A990">
        <v>989</v>
      </c>
      <c r="B990" t="str">
        <f>HYPERLINK("https://digitalcommons.unl.edu/cgi/viewcontent.cgi?article=2278&amp;context=tractormuseumlit","Click for test report")</f>
        <v>Click for test report</v>
      </c>
      <c r="C990">
        <v>1963</v>
      </c>
      <c r="D990" t="s">
        <v>4412</v>
      </c>
      <c r="F990" t="s">
        <v>5347</v>
      </c>
      <c r="G990" t="s">
        <v>5347</v>
      </c>
      <c r="H990" t="s">
        <v>5820</v>
      </c>
      <c r="I990" t="s">
        <v>50</v>
      </c>
      <c r="J990" t="s">
        <v>348</v>
      </c>
      <c r="K990" t="s">
        <v>5598</v>
      </c>
      <c r="L990" t="s">
        <v>51</v>
      </c>
      <c r="N990" t="s">
        <v>454</v>
      </c>
      <c r="O990" t="s">
        <v>24</v>
      </c>
    </row>
    <row r="991" spans="1:15" x14ac:dyDescent="0.25">
      <c r="A991">
        <v>990</v>
      </c>
      <c r="B991" t="str">
        <f>HYPERLINK("https://digitalcommons.unl.edu/cgi/viewcontent.cgi?article=2279&amp;context=tractormuseumlit","Click for test report")</f>
        <v>Click for test report</v>
      </c>
      <c r="C991">
        <v>1963</v>
      </c>
      <c r="D991" t="s">
        <v>5819</v>
      </c>
      <c r="F991" t="s">
        <v>4325</v>
      </c>
      <c r="G991" t="s">
        <v>4325</v>
      </c>
      <c r="H991" t="s">
        <v>5818</v>
      </c>
      <c r="I991" t="s">
        <v>1961</v>
      </c>
      <c r="J991" t="s">
        <v>348</v>
      </c>
      <c r="K991" t="s">
        <v>4809</v>
      </c>
      <c r="L991" t="s">
        <v>410</v>
      </c>
      <c r="N991" t="s">
        <v>2826</v>
      </c>
      <c r="O991" t="s">
        <v>24</v>
      </c>
    </row>
    <row r="992" spans="1:15" x14ac:dyDescent="0.25">
      <c r="A992">
        <v>991</v>
      </c>
      <c r="B992" t="str">
        <f>HYPERLINK("https://digitalcommons.unl.edu/cgi/viewcontent.cgi?article=2280&amp;context=tractormuseumlit","Click for test report")</f>
        <v>Click for test report</v>
      </c>
      <c r="C992">
        <v>1963</v>
      </c>
      <c r="D992" t="s">
        <v>5817</v>
      </c>
      <c r="F992" t="s">
        <v>4325</v>
      </c>
      <c r="G992" t="s">
        <v>4325</v>
      </c>
      <c r="H992" t="s">
        <v>5818</v>
      </c>
      <c r="I992" t="s">
        <v>1961</v>
      </c>
      <c r="J992" t="s">
        <v>348</v>
      </c>
      <c r="K992" t="s">
        <v>5598</v>
      </c>
      <c r="L992" t="s">
        <v>2090</v>
      </c>
      <c r="N992" t="s">
        <v>1893</v>
      </c>
      <c r="O992" t="s">
        <v>24</v>
      </c>
    </row>
    <row r="993" spans="1:15" x14ac:dyDescent="0.25">
      <c r="A993">
        <v>992</v>
      </c>
      <c r="B993" t="str">
        <f>HYPERLINK("https://digitalcommons.unl.edu/cgi/viewcontent.cgi?article=1140&amp;context=tractormuseumlit","Click for test report")</f>
        <v>Click for test report</v>
      </c>
      <c r="C993">
        <v>1963</v>
      </c>
      <c r="D993" t="s">
        <v>5816</v>
      </c>
      <c r="F993" t="s">
        <v>5345</v>
      </c>
      <c r="G993" t="s">
        <v>5345</v>
      </c>
      <c r="H993" t="s">
        <v>3047</v>
      </c>
      <c r="I993" t="s">
        <v>1961</v>
      </c>
      <c r="J993" t="s">
        <v>348</v>
      </c>
      <c r="K993" t="s">
        <v>4809</v>
      </c>
      <c r="L993" t="s">
        <v>344</v>
      </c>
      <c r="N993" t="s">
        <v>1347</v>
      </c>
      <c r="O993" t="s">
        <v>5807</v>
      </c>
    </row>
    <row r="994" spans="1:15" x14ac:dyDescent="0.25">
      <c r="A994">
        <v>993</v>
      </c>
      <c r="B994" t="str">
        <f>HYPERLINK("https://digitalcommons.unl.edu/cgi/viewcontent.cgi?article=1553&amp;context=tractormuseumlit","Click for test report")</f>
        <v>Click for test report</v>
      </c>
      <c r="C994">
        <v>1963</v>
      </c>
      <c r="D994" t="s">
        <v>5815</v>
      </c>
      <c r="F994" t="s">
        <v>5345</v>
      </c>
      <c r="G994" t="s">
        <v>5345</v>
      </c>
      <c r="H994" t="s">
        <v>4298</v>
      </c>
      <c r="I994" t="s">
        <v>1961</v>
      </c>
      <c r="J994" t="s">
        <v>348</v>
      </c>
      <c r="K994" t="s">
        <v>21</v>
      </c>
      <c r="L994" t="s">
        <v>2029</v>
      </c>
      <c r="N994" t="s">
        <v>2188</v>
      </c>
      <c r="O994" t="s">
        <v>24</v>
      </c>
    </row>
    <row r="995" spans="1:15" x14ac:dyDescent="0.25">
      <c r="A995">
        <v>994</v>
      </c>
      <c r="B995" t="str">
        <f>HYPERLINK("https://digitalcommons.unl.edu/cgi/viewcontent.cgi?article=2281&amp;context=tractormuseumlit","Click for test report")</f>
        <v>Click for test report</v>
      </c>
      <c r="C995">
        <v>1963</v>
      </c>
      <c r="D995" t="s">
        <v>5814</v>
      </c>
      <c r="F995" t="s">
        <v>5345</v>
      </c>
      <c r="G995" t="s">
        <v>5345</v>
      </c>
      <c r="H995" t="s">
        <v>4298</v>
      </c>
      <c r="I995" t="s">
        <v>1961</v>
      </c>
      <c r="J995" t="s">
        <v>348</v>
      </c>
      <c r="K995" t="s">
        <v>4809</v>
      </c>
      <c r="L995" t="s">
        <v>404</v>
      </c>
      <c r="N995" t="s">
        <v>2188</v>
      </c>
      <c r="O995" t="s">
        <v>24</v>
      </c>
    </row>
    <row r="996" spans="1:15" x14ac:dyDescent="0.25">
      <c r="A996">
        <v>995</v>
      </c>
      <c r="B996" t="str">
        <f>HYPERLINK("https://digitalcommons.unl.edu/cgi/viewcontent.cgi?article=2282&amp;context=tractormuseumlit","Click for test report")</f>
        <v>Click for test report</v>
      </c>
      <c r="C996">
        <v>1963</v>
      </c>
      <c r="D996" t="s">
        <v>5813</v>
      </c>
      <c r="F996" t="s">
        <v>4395</v>
      </c>
      <c r="G996" t="s">
        <v>3708</v>
      </c>
      <c r="H996" t="s">
        <v>5763</v>
      </c>
      <c r="I996" t="s">
        <v>28</v>
      </c>
      <c r="J996" t="s">
        <v>348</v>
      </c>
      <c r="K996" t="s">
        <v>4809</v>
      </c>
      <c r="L996" t="s">
        <v>1864</v>
      </c>
      <c r="N996" t="s">
        <v>3123</v>
      </c>
      <c r="O996" t="s">
        <v>24</v>
      </c>
    </row>
    <row r="997" spans="1:15" x14ac:dyDescent="0.25">
      <c r="A997">
        <v>996</v>
      </c>
      <c r="B997" t="str">
        <f>HYPERLINK("https://digitalcommons.unl.edu/cgi/viewcontent.cgi?article=2283&amp;context=tractormuseumlit","Click for test report")</f>
        <v>Click for test report</v>
      </c>
      <c r="C997">
        <v>1963</v>
      </c>
      <c r="D997" t="s">
        <v>5812</v>
      </c>
      <c r="F997" t="s">
        <v>4395</v>
      </c>
      <c r="G997" t="s">
        <v>3708</v>
      </c>
      <c r="H997" t="s">
        <v>5763</v>
      </c>
      <c r="I997" t="s">
        <v>28</v>
      </c>
      <c r="J997" t="s">
        <v>348</v>
      </c>
      <c r="K997" t="s">
        <v>21</v>
      </c>
      <c r="L997" t="s">
        <v>1864</v>
      </c>
      <c r="N997" t="s">
        <v>1994</v>
      </c>
      <c r="O997" t="s">
        <v>24</v>
      </c>
    </row>
    <row r="998" spans="1:15" x14ac:dyDescent="0.25">
      <c r="A998">
        <v>997</v>
      </c>
      <c r="B998" t="str">
        <f>HYPERLINK("https://digitalcommons.unl.edu/cgi/viewcontent.cgi?article=2284&amp;context=tractormuseumlit","Click for test report")</f>
        <v>Click for test report</v>
      </c>
      <c r="C998">
        <v>1963</v>
      </c>
      <c r="D998" t="s">
        <v>5809</v>
      </c>
      <c r="F998" t="s">
        <v>4395</v>
      </c>
      <c r="G998" t="s">
        <v>3708</v>
      </c>
      <c r="H998" t="s">
        <v>5810</v>
      </c>
      <c r="I998" t="s">
        <v>50</v>
      </c>
      <c r="J998" t="s">
        <v>348</v>
      </c>
      <c r="K998" t="s">
        <v>21</v>
      </c>
      <c r="L998" t="s">
        <v>1802</v>
      </c>
      <c r="N998" t="s">
        <v>4745</v>
      </c>
      <c r="O998" t="s">
        <v>5811</v>
      </c>
    </row>
    <row r="999" spans="1:15" x14ac:dyDescent="0.25">
      <c r="A999">
        <v>998</v>
      </c>
      <c r="B999" t="str">
        <f>HYPERLINK("https://digitalcommons.unl.edu/cgi/viewcontent.cgi?article=2285&amp;context=tractormuseumlit","Click for test report")</f>
        <v>Click for test report</v>
      </c>
      <c r="C999">
        <v>1963</v>
      </c>
      <c r="D999" t="s">
        <v>5808</v>
      </c>
      <c r="F999" t="s">
        <v>4395</v>
      </c>
      <c r="G999" t="s">
        <v>3708</v>
      </c>
      <c r="H999" t="s">
        <v>5616</v>
      </c>
      <c r="I999" t="s">
        <v>50</v>
      </c>
      <c r="J999" t="s">
        <v>348</v>
      </c>
      <c r="K999" t="s">
        <v>21</v>
      </c>
      <c r="L999" t="s">
        <v>407</v>
      </c>
      <c r="N999" t="s">
        <v>2627</v>
      </c>
      <c r="O999" t="s">
        <v>24</v>
      </c>
    </row>
    <row r="1000" spans="1:15" x14ac:dyDescent="0.25">
      <c r="A1000">
        <v>999</v>
      </c>
      <c r="B1000" t="str">
        <f>HYPERLINK("https://digitalcommons.unl.edu/cgi/viewcontent.cgi?article=1555&amp;context=tractormuseumlit","Click for test report")</f>
        <v>Click for test report</v>
      </c>
      <c r="C1000">
        <v>1963</v>
      </c>
      <c r="D1000" t="s">
        <v>4133</v>
      </c>
      <c r="F1000" t="s">
        <v>5345</v>
      </c>
      <c r="G1000" t="s">
        <v>5345</v>
      </c>
      <c r="H1000" t="s">
        <v>3047</v>
      </c>
      <c r="I1000" t="s">
        <v>1961</v>
      </c>
      <c r="J1000" t="s">
        <v>20</v>
      </c>
      <c r="K1000" t="s">
        <v>4809</v>
      </c>
      <c r="L1000" t="s">
        <v>344</v>
      </c>
      <c r="N1000" t="s">
        <v>2747</v>
      </c>
      <c r="O1000" t="s">
        <v>5807</v>
      </c>
    </row>
    <row r="1001" spans="1:15" x14ac:dyDescent="0.25">
      <c r="A1001">
        <v>1000</v>
      </c>
      <c r="B1001" t="str">
        <f>HYPERLINK("https://digitalcommons.unl.edu/cgi/viewcontent.cgi?article=1556&amp;context=tractormuseumlit","Click for test report")</f>
        <v>Click for test report</v>
      </c>
      <c r="C1001">
        <v>1963</v>
      </c>
      <c r="D1001" t="s">
        <v>5806</v>
      </c>
      <c r="F1001" t="s">
        <v>5345</v>
      </c>
      <c r="G1001" t="s">
        <v>5345</v>
      </c>
      <c r="H1001" t="s">
        <v>2397</v>
      </c>
      <c r="I1001" t="s">
        <v>1961</v>
      </c>
      <c r="J1001" t="s">
        <v>20</v>
      </c>
      <c r="K1001" t="s">
        <v>21</v>
      </c>
      <c r="L1001" t="s">
        <v>46</v>
      </c>
      <c r="N1001" t="s">
        <v>562</v>
      </c>
      <c r="O1001" t="s">
        <v>5807</v>
      </c>
    </row>
    <row r="1002" spans="1:15" x14ac:dyDescent="0.25">
      <c r="A1002">
        <v>1001</v>
      </c>
      <c r="B1002" t="str">
        <f>HYPERLINK("https://digitalcommons.unl.edu/cgi/viewcontent.cgi?article=1400&amp;context=tractormuseumlit","Click for test report")</f>
        <v>Click for test report</v>
      </c>
      <c r="C1002">
        <v>1963</v>
      </c>
      <c r="D1002" t="s">
        <v>5805</v>
      </c>
      <c r="F1002" t="s">
        <v>17</v>
      </c>
      <c r="G1002" t="s">
        <v>17</v>
      </c>
      <c r="H1002" t="s">
        <v>1198</v>
      </c>
      <c r="I1002" t="s">
        <v>28</v>
      </c>
      <c r="J1002" t="s">
        <v>348</v>
      </c>
      <c r="K1002" t="s">
        <v>21</v>
      </c>
      <c r="L1002" t="s">
        <v>1350</v>
      </c>
      <c r="N1002" t="s">
        <v>2029</v>
      </c>
      <c r="O1002" t="s">
        <v>5801</v>
      </c>
    </row>
    <row r="1003" spans="1:15" x14ac:dyDescent="0.25">
      <c r="A1003">
        <v>1002</v>
      </c>
      <c r="B1003" t="str">
        <f>HYPERLINK("https://digitalcommons.unl.edu/cgi/viewcontent.cgi?article=1400&amp;context=tractormuseumlit","Click for test report")</f>
        <v>Click for test report</v>
      </c>
      <c r="C1003">
        <v>1963</v>
      </c>
      <c r="D1003" t="s">
        <v>5805</v>
      </c>
      <c r="F1003" t="s">
        <v>17</v>
      </c>
      <c r="G1003" t="s">
        <v>17</v>
      </c>
      <c r="H1003" t="s">
        <v>5576</v>
      </c>
      <c r="I1003" t="s">
        <v>28</v>
      </c>
      <c r="J1003" t="s">
        <v>348</v>
      </c>
      <c r="K1003" t="s">
        <v>21</v>
      </c>
      <c r="L1003" t="s">
        <v>1350</v>
      </c>
      <c r="N1003" t="s">
        <v>2029</v>
      </c>
      <c r="O1003" t="s">
        <v>24</v>
      </c>
    </row>
    <row r="1004" spans="1:15" x14ac:dyDescent="0.25">
      <c r="A1004">
        <v>1003</v>
      </c>
      <c r="B1004" t="str">
        <f>HYPERLINK("https://digitalcommons.unl.edu/cgi/viewcontent.cgi?article=1401&amp;context=tractormuseumlit","Click for test report")</f>
        <v>Click for test report</v>
      </c>
      <c r="C1004">
        <v>1963</v>
      </c>
      <c r="D1004" t="s">
        <v>5804</v>
      </c>
      <c r="F1004" t="s">
        <v>17</v>
      </c>
      <c r="G1004" t="s">
        <v>17</v>
      </c>
      <c r="H1004" t="s">
        <v>5802</v>
      </c>
      <c r="I1004" t="s">
        <v>28</v>
      </c>
      <c r="J1004" t="s">
        <v>348</v>
      </c>
      <c r="K1004" t="s">
        <v>21</v>
      </c>
      <c r="L1004" t="s">
        <v>457</v>
      </c>
      <c r="N1004" t="s">
        <v>1371</v>
      </c>
      <c r="O1004" t="s">
        <v>5803</v>
      </c>
    </row>
    <row r="1005" spans="1:15" x14ac:dyDescent="0.25">
      <c r="A1005">
        <v>1004</v>
      </c>
      <c r="B1005" t="str">
        <f>HYPERLINK("https://digitalcommons.unl.edu/cgi/viewcontent.cgi?article=1401&amp;context=tractormuseumlit","Click for test report")</f>
        <v>Click for test report</v>
      </c>
      <c r="C1005">
        <v>1963</v>
      </c>
      <c r="D1005" t="s">
        <v>5804</v>
      </c>
      <c r="F1005" t="s">
        <v>17</v>
      </c>
      <c r="G1005" t="s">
        <v>17</v>
      </c>
      <c r="H1005" t="s">
        <v>5557</v>
      </c>
      <c r="I1005" t="s">
        <v>28</v>
      </c>
      <c r="J1005" t="s">
        <v>348</v>
      </c>
      <c r="K1005" t="s">
        <v>21</v>
      </c>
      <c r="L1005" t="s">
        <v>457</v>
      </c>
      <c r="N1005" t="s">
        <v>1371</v>
      </c>
      <c r="O1005" t="s">
        <v>24</v>
      </c>
    </row>
    <row r="1006" spans="1:15" x14ac:dyDescent="0.25">
      <c r="A1006">
        <v>1005</v>
      </c>
      <c r="B1006" t="str">
        <f>HYPERLINK("https://digitalcommons.unl.edu/cgi/viewcontent.cgi?article=1402&amp;context=tractormuseumlit","Click for test report")</f>
        <v>Click for test report</v>
      </c>
      <c r="C1006">
        <v>1963</v>
      </c>
      <c r="D1006" t="s">
        <v>5115</v>
      </c>
      <c r="F1006" t="s">
        <v>17</v>
      </c>
      <c r="G1006" t="s">
        <v>17</v>
      </c>
      <c r="H1006" t="s">
        <v>5802</v>
      </c>
      <c r="I1006" t="s">
        <v>28</v>
      </c>
      <c r="J1006" t="s">
        <v>348</v>
      </c>
      <c r="K1006" t="s">
        <v>4809</v>
      </c>
      <c r="L1006" t="s">
        <v>461</v>
      </c>
      <c r="N1006" t="s">
        <v>58</v>
      </c>
      <c r="O1006" t="s">
        <v>5803</v>
      </c>
    </row>
    <row r="1007" spans="1:15" x14ac:dyDescent="0.25">
      <c r="A1007">
        <v>1006</v>
      </c>
      <c r="B1007" t="str">
        <f>HYPERLINK("https://digitalcommons.unl.edu/cgi/viewcontent.cgi?article=1402&amp;context=tractormuseumlit","Click for test report")</f>
        <v>Click for test report</v>
      </c>
      <c r="C1007">
        <v>1963</v>
      </c>
      <c r="D1007" t="s">
        <v>5115</v>
      </c>
      <c r="F1007" t="s">
        <v>17</v>
      </c>
      <c r="G1007" t="s">
        <v>17</v>
      </c>
      <c r="H1007" t="s">
        <v>5557</v>
      </c>
      <c r="I1007" t="s">
        <v>28</v>
      </c>
      <c r="J1007" t="s">
        <v>348</v>
      </c>
      <c r="K1007" t="s">
        <v>4809</v>
      </c>
      <c r="L1007" t="s">
        <v>461</v>
      </c>
      <c r="N1007" t="s">
        <v>58</v>
      </c>
      <c r="O1007" t="s">
        <v>24</v>
      </c>
    </row>
    <row r="1008" spans="1:15" x14ac:dyDescent="0.25">
      <c r="A1008">
        <v>1007</v>
      </c>
      <c r="B1008" t="str">
        <f>HYPERLINK("https://digitalcommons.unl.edu/cgi/viewcontent.cgi?article=1403&amp;context=tractormuseumlit","Click for test report")</f>
        <v>Click for test report</v>
      </c>
      <c r="C1008">
        <v>1963</v>
      </c>
      <c r="D1008" t="s">
        <v>5800</v>
      </c>
      <c r="F1008" t="s">
        <v>17</v>
      </c>
      <c r="G1008" t="s">
        <v>17</v>
      </c>
      <c r="H1008" t="s">
        <v>1198</v>
      </c>
      <c r="I1008" t="s">
        <v>28</v>
      </c>
      <c r="J1008" t="s">
        <v>348</v>
      </c>
      <c r="K1008" t="s">
        <v>4809</v>
      </c>
      <c r="L1008" t="s">
        <v>349</v>
      </c>
      <c r="N1008" t="s">
        <v>1970</v>
      </c>
      <c r="O1008" t="s">
        <v>5801</v>
      </c>
    </row>
    <row r="1009" spans="1:15" x14ac:dyDescent="0.25">
      <c r="A1009">
        <v>1008</v>
      </c>
      <c r="B1009" t="str">
        <f>HYPERLINK("https://digitalcommons.unl.edu/cgi/viewcontent.cgi?article=1403&amp;context=tractormuseumlit","Click for test report")</f>
        <v>Click for test report</v>
      </c>
      <c r="C1009">
        <v>1963</v>
      </c>
      <c r="D1009" t="s">
        <v>5800</v>
      </c>
      <c r="F1009" t="s">
        <v>17</v>
      </c>
      <c r="G1009" t="s">
        <v>17</v>
      </c>
      <c r="H1009" t="s">
        <v>5576</v>
      </c>
      <c r="I1009" t="s">
        <v>28</v>
      </c>
      <c r="J1009" t="s">
        <v>348</v>
      </c>
      <c r="K1009" t="s">
        <v>4809</v>
      </c>
      <c r="L1009" t="s">
        <v>349</v>
      </c>
      <c r="N1009" t="s">
        <v>1970</v>
      </c>
      <c r="O1009" t="s">
        <v>24</v>
      </c>
    </row>
    <row r="1010" spans="1:15" x14ac:dyDescent="0.25">
      <c r="A1010">
        <v>1009</v>
      </c>
      <c r="B1010" t="str">
        <f>HYPERLINK("https://digitalcommons.unl.edu/cgi/viewcontent.cgi?article=1404&amp;context=tractormuseumlit","Click for test report")</f>
        <v>Click for test report</v>
      </c>
      <c r="C1010">
        <v>1963</v>
      </c>
      <c r="D1010" t="s">
        <v>5799</v>
      </c>
      <c r="F1010" t="s">
        <v>17</v>
      </c>
      <c r="G1010" t="s">
        <v>17</v>
      </c>
      <c r="H1010" t="s">
        <v>5576</v>
      </c>
      <c r="I1010" t="s">
        <v>28</v>
      </c>
      <c r="J1010" t="s">
        <v>348</v>
      </c>
      <c r="K1010" t="s">
        <v>5598</v>
      </c>
      <c r="L1010" t="s">
        <v>349</v>
      </c>
      <c r="N1010" t="s">
        <v>404</v>
      </c>
      <c r="O1010" t="s">
        <v>24</v>
      </c>
    </row>
    <row r="1011" spans="1:15" x14ac:dyDescent="0.25">
      <c r="A1011">
        <v>1010</v>
      </c>
      <c r="B1011" t="str">
        <f>HYPERLINK("https://digitalcommons.unl.edu/cgi/viewcontent.cgi?article=1405&amp;context=tractormuseumlit","Click for test report")</f>
        <v>Click for test report</v>
      </c>
      <c r="C1011">
        <v>1963</v>
      </c>
      <c r="D1011" t="s">
        <v>5798</v>
      </c>
      <c r="F1011" t="s">
        <v>17</v>
      </c>
      <c r="G1011" t="s">
        <v>17</v>
      </c>
      <c r="H1011" t="s">
        <v>5557</v>
      </c>
      <c r="I1011" t="s">
        <v>28</v>
      </c>
      <c r="J1011" t="s">
        <v>348</v>
      </c>
      <c r="K1011" t="s">
        <v>5598</v>
      </c>
      <c r="L1011" t="s">
        <v>562</v>
      </c>
      <c r="N1011" t="s">
        <v>746</v>
      </c>
      <c r="O1011" t="s">
        <v>24</v>
      </c>
    </row>
    <row r="1012" spans="1:15" x14ac:dyDescent="0.25">
      <c r="A1012">
        <v>1011</v>
      </c>
      <c r="B1012" t="str">
        <f>HYPERLINK("https://digitalcommons.unl.edu/cgi/viewcontent.cgi?article=2286&amp;context=tractormuseumlit","Click for test report")</f>
        <v>Click for test report</v>
      </c>
      <c r="C1012">
        <v>1963</v>
      </c>
      <c r="D1012" t="s">
        <v>5796</v>
      </c>
      <c r="F1012" t="s">
        <v>778</v>
      </c>
      <c r="G1012" t="s">
        <v>778</v>
      </c>
      <c r="H1012" t="s">
        <v>5797</v>
      </c>
      <c r="I1012" t="s">
        <v>50</v>
      </c>
      <c r="J1012" t="s">
        <v>348</v>
      </c>
      <c r="K1012" t="s">
        <v>21</v>
      </c>
      <c r="L1012" t="s">
        <v>4355</v>
      </c>
      <c r="N1012" t="s">
        <v>4359</v>
      </c>
      <c r="O1012" t="s">
        <v>24</v>
      </c>
    </row>
    <row r="1013" spans="1:15" x14ac:dyDescent="0.25">
      <c r="A1013">
        <v>1012</v>
      </c>
      <c r="B1013" t="str">
        <f>HYPERLINK("https://digitalcommons.unl.edu/cgi/viewcontent.cgi?article=2287&amp;context=tractormuseumlit","Click for test report")</f>
        <v>Click for test report</v>
      </c>
      <c r="C1013">
        <v>1963</v>
      </c>
      <c r="D1013" t="s">
        <v>5794</v>
      </c>
      <c r="F1013" t="s">
        <v>4325</v>
      </c>
      <c r="G1013" t="s">
        <v>4325</v>
      </c>
      <c r="H1013" t="s">
        <v>5795</v>
      </c>
      <c r="I1013" t="s">
        <v>50</v>
      </c>
      <c r="J1013" t="s">
        <v>348</v>
      </c>
      <c r="K1013" t="s">
        <v>21</v>
      </c>
      <c r="L1013" t="s">
        <v>571</v>
      </c>
      <c r="N1013" t="s">
        <v>339</v>
      </c>
      <c r="O1013" t="s">
        <v>24</v>
      </c>
    </row>
    <row r="1014" spans="1:15" x14ac:dyDescent="0.25">
      <c r="A1014">
        <v>1013</v>
      </c>
      <c r="B1014" t="str">
        <f>HYPERLINK("https://digitalcommons.unl.edu/cgi/viewcontent.cgi?article=2288&amp;context=tractormuseumlit","Click for test report")</f>
        <v>Click for test report</v>
      </c>
      <c r="C1014">
        <v>1963</v>
      </c>
      <c r="D1014" t="s">
        <v>4410</v>
      </c>
      <c r="F1014" t="s">
        <v>4503</v>
      </c>
      <c r="G1014" t="s">
        <v>4504</v>
      </c>
      <c r="H1014" t="s">
        <v>5673</v>
      </c>
      <c r="I1014" t="s">
        <v>1961</v>
      </c>
      <c r="J1014" t="s">
        <v>348</v>
      </c>
      <c r="K1014" t="s">
        <v>21</v>
      </c>
      <c r="L1014" t="s">
        <v>722</v>
      </c>
      <c r="N1014" t="s">
        <v>1257</v>
      </c>
      <c r="O1014" t="s">
        <v>24</v>
      </c>
    </row>
    <row r="1015" spans="1:15" x14ac:dyDescent="0.25">
      <c r="A1015">
        <v>1014</v>
      </c>
      <c r="B1015" t="str">
        <f>HYPERLINK("https://digitalcommons.unl.edu/cgi/viewcontent.cgi?article=2288&amp;context=tractormuseumlit","Click for test report")</f>
        <v>Click for test report</v>
      </c>
      <c r="C1015">
        <v>1963</v>
      </c>
      <c r="D1015" t="s">
        <v>4410</v>
      </c>
      <c r="F1015" t="s">
        <v>4503</v>
      </c>
      <c r="G1015" t="s">
        <v>4503</v>
      </c>
      <c r="H1015" t="s">
        <v>5789</v>
      </c>
      <c r="I1015" t="s">
        <v>1961</v>
      </c>
      <c r="J1015" t="s">
        <v>348</v>
      </c>
      <c r="K1015" t="s">
        <v>21</v>
      </c>
      <c r="L1015" t="s">
        <v>722</v>
      </c>
      <c r="N1015" t="s">
        <v>1257</v>
      </c>
      <c r="O1015" t="s">
        <v>24</v>
      </c>
    </row>
    <row r="1016" spans="1:15" x14ac:dyDescent="0.25">
      <c r="A1016">
        <v>1015</v>
      </c>
      <c r="B1016" t="str">
        <f>HYPERLINK("https://digitalcommons.unl.edu/cgi/viewcontent.cgi?article=2289&amp;context=tractormuseumlit","Click for test report")</f>
        <v>Click for test report</v>
      </c>
      <c r="C1016">
        <v>1963</v>
      </c>
      <c r="D1016" t="s">
        <v>5793</v>
      </c>
      <c r="F1016" t="s">
        <v>4503</v>
      </c>
      <c r="G1016" t="s">
        <v>4504</v>
      </c>
      <c r="H1016" t="s">
        <v>5786</v>
      </c>
      <c r="I1016" t="s">
        <v>1961</v>
      </c>
      <c r="J1016" t="s">
        <v>348</v>
      </c>
      <c r="K1016" t="s">
        <v>21</v>
      </c>
      <c r="L1016" t="s">
        <v>247</v>
      </c>
      <c r="N1016" t="s">
        <v>55</v>
      </c>
      <c r="O1016" t="s">
        <v>24</v>
      </c>
    </row>
    <row r="1017" spans="1:15" x14ac:dyDescent="0.25">
      <c r="A1017">
        <v>1016</v>
      </c>
      <c r="B1017" t="str">
        <f>HYPERLINK("https://digitalcommons.unl.edu/cgi/viewcontent.cgi?article=2289&amp;context=tractormuseumlit","Click for test report")</f>
        <v>Click for test report</v>
      </c>
      <c r="C1017">
        <v>1963</v>
      </c>
      <c r="D1017" t="s">
        <v>5793</v>
      </c>
      <c r="F1017" t="s">
        <v>4503</v>
      </c>
      <c r="G1017" t="s">
        <v>4503</v>
      </c>
      <c r="H1017" t="s">
        <v>5785</v>
      </c>
      <c r="I1017" t="s">
        <v>1961</v>
      </c>
      <c r="J1017" t="s">
        <v>348</v>
      </c>
      <c r="K1017" t="s">
        <v>21</v>
      </c>
      <c r="L1017" t="s">
        <v>247</v>
      </c>
      <c r="N1017" t="s">
        <v>55</v>
      </c>
      <c r="O1017" t="s">
        <v>24</v>
      </c>
    </row>
    <row r="1018" spans="1:15" x14ac:dyDescent="0.25">
      <c r="A1018">
        <v>1017</v>
      </c>
      <c r="B1018" t="str">
        <f>HYPERLINK("https://digitalcommons.unl.edu/cgi/viewcontent.cgi?article=2290&amp;context=tractormuseumlit","Click for test report")</f>
        <v>Click for test report</v>
      </c>
      <c r="C1018">
        <v>1963</v>
      </c>
      <c r="D1018" t="s">
        <v>5792</v>
      </c>
      <c r="F1018" t="s">
        <v>4503</v>
      </c>
      <c r="G1018" t="s">
        <v>4504</v>
      </c>
      <c r="H1018" t="s">
        <v>5673</v>
      </c>
      <c r="I1018" t="s">
        <v>1961</v>
      </c>
      <c r="J1018" t="s">
        <v>348</v>
      </c>
      <c r="K1018" t="s">
        <v>4809</v>
      </c>
      <c r="L1018" t="s">
        <v>743</v>
      </c>
      <c r="N1018" t="s">
        <v>747</v>
      </c>
      <c r="O1018" t="s">
        <v>24</v>
      </c>
    </row>
    <row r="1019" spans="1:15" x14ac:dyDescent="0.25">
      <c r="A1019">
        <v>1018</v>
      </c>
      <c r="B1019" t="str">
        <f>HYPERLINK("https://digitalcommons.unl.edu/cgi/viewcontent.cgi?article=2290&amp;context=tractormuseumlit","Click for test report")</f>
        <v>Click for test report</v>
      </c>
      <c r="C1019">
        <v>1963</v>
      </c>
      <c r="D1019" t="s">
        <v>5792</v>
      </c>
      <c r="F1019" t="s">
        <v>4503</v>
      </c>
      <c r="G1019" t="s">
        <v>4503</v>
      </c>
      <c r="H1019" t="s">
        <v>5789</v>
      </c>
      <c r="I1019" t="s">
        <v>1961</v>
      </c>
      <c r="J1019" t="s">
        <v>348</v>
      </c>
      <c r="K1019" t="s">
        <v>4809</v>
      </c>
      <c r="L1019" t="s">
        <v>743</v>
      </c>
      <c r="N1019" t="s">
        <v>747</v>
      </c>
      <c r="O1019" t="s">
        <v>24</v>
      </c>
    </row>
    <row r="1020" spans="1:15" x14ac:dyDescent="0.25">
      <c r="A1020">
        <v>1019</v>
      </c>
      <c r="B1020" t="str">
        <f>HYPERLINK("https://digitalcommons.unl.edu/cgi/viewcontent.cgi?article=2292&amp;context=tractormuseumlit","Click for test report")</f>
        <v>Click for test report</v>
      </c>
      <c r="C1020">
        <v>1963</v>
      </c>
      <c r="D1020" t="s">
        <v>5790</v>
      </c>
      <c r="F1020" t="s">
        <v>4503</v>
      </c>
      <c r="G1020" t="s">
        <v>4504</v>
      </c>
      <c r="H1020" t="s">
        <v>4410</v>
      </c>
      <c r="I1020" t="s">
        <v>1961</v>
      </c>
      <c r="J1020" t="s">
        <v>348</v>
      </c>
      <c r="K1020" t="s">
        <v>4809</v>
      </c>
      <c r="L1020" t="s">
        <v>131</v>
      </c>
      <c r="N1020" t="s">
        <v>574</v>
      </c>
      <c r="O1020" t="s">
        <v>5791</v>
      </c>
    </row>
    <row r="1021" spans="1:15" x14ac:dyDescent="0.25">
      <c r="A1021">
        <v>1020</v>
      </c>
      <c r="B1021" t="str">
        <f>HYPERLINK("https://digitalcommons.unl.edu/cgi/viewcontent.cgi?article=2292&amp;context=tractormuseumlit","Click for test report")</f>
        <v>Click for test report</v>
      </c>
      <c r="C1021">
        <v>1963</v>
      </c>
      <c r="D1021" t="s">
        <v>5790</v>
      </c>
      <c r="F1021" t="s">
        <v>4503</v>
      </c>
      <c r="G1021" t="s">
        <v>4504</v>
      </c>
      <c r="H1021" t="s">
        <v>5786</v>
      </c>
      <c r="I1021" t="s">
        <v>1961</v>
      </c>
      <c r="J1021" t="s">
        <v>348</v>
      </c>
      <c r="K1021" t="s">
        <v>4809</v>
      </c>
      <c r="L1021" t="s">
        <v>131</v>
      </c>
      <c r="N1021" t="s">
        <v>574</v>
      </c>
      <c r="O1021" t="s">
        <v>24</v>
      </c>
    </row>
    <row r="1022" spans="1:15" x14ac:dyDescent="0.25">
      <c r="A1022">
        <v>1021</v>
      </c>
      <c r="B1022" t="str">
        <f>HYPERLINK("https://digitalcommons.unl.edu/cgi/viewcontent.cgi?article=2292&amp;context=tractormuseumlit","Click for test report")</f>
        <v>Click for test report</v>
      </c>
      <c r="C1022">
        <v>1963</v>
      </c>
      <c r="D1022" t="s">
        <v>5790</v>
      </c>
      <c r="F1022" t="s">
        <v>4503</v>
      </c>
      <c r="G1022" t="s">
        <v>4503</v>
      </c>
      <c r="H1022" t="s">
        <v>5785</v>
      </c>
      <c r="I1022" t="s">
        <v>1961</v>
      </c>
      <c r="J1022" t="s">
        <v>348</v>
      </c>
      <c r="K1022" t="s">
        <v>4809</v>
      </c>
      <c r="L1022" t="s">
        <v>131</v>
      </c>
      <c r="N1022" t="s">
        <v>574</v>
      </c>
      <c r="O1022" t="s">
        <v>24</v>
      </c>
    </row>
    <row r="1023" spans="1:15" x14ac:dyDescent="0.25">
      <c r="A1023">
        <v>1022</v>
      </c>
      <c r="B1023" t="str">
        <f>HYPERLINK("https://digitalcommons.unl.edu/cgi/viewcontent.cgi?article=2293&amp;context=tractormuseumlit","Click for test report")</f>
        <v>Click for test report</v>
      </c>
      <c r="C1023">
        <v>1963</v>
      </c>
      <c r="D1023" t="s">
        <v>5788</v>
      </c>
      <c r="F1023" t="s">
        <v>4503</v>
      </c>
      <c r="G1023" t="s">
        <v>4504</v>
      </c>
      <c r="H1023" t="s">
        <v>5673</v>
      </c>
      <c r="I1023" t="s">
        <v>1961</v>
      </c>
      <c r="J1023" t="s">
        <v>348</v>
      </c>
      <c r="K1023" t="s">
        <v>5598</v>
      </c>
      <c r="L1023" t="s">
        <v>743</v>
      </c>
      <c r="N1023" t="s">
        <v>1257</v>
      </c>
      <c r="O1023" t="s">
        <v>24</v>
      </c>
    </row>
    <row r="1024" spans="1:15" x14ac:dyDescent="0.25">
      <c r="A1024">
        <v>1023</v>
      </c>
      <c r="B1024" t="str">
        <f>HYPERLINK("https://digitalcommons.unl.edu/cgi/viewcontent.cgi?article=2293&amp;context=tractormuseumlit","Click for test report")</f>
        <v>Click for test report</v>
      </c>
      <c r="C1024">
        <v>1963</v>
      </c>
      <c r="D1024" t="s">
        <v>5788</v>
      </c>
      <c r="F1024" t="s">
        <v>4503</v>
      </c>
      <c r="G1024" t="s">
        <v>4503</v>
      </c>
      <c r="H1024" t="s">
        <v>5789</v>
      </c>
      <c r="I1024" t="s">
        <v>1961</v>
      </c>
      <c r="J1024" t="s">
        <v>348</v>
      </c>
      <c r="K1024" t="s">
        <v>5598</v>
      </c>
      <c r="L1024" t="s">
        <v>743</v>
      </c>
      <c r="N1024" t="s">
        <v>1257</v>
      </c>
      <c r="O1024" t="s">
        <v>24</v>
      </c>
    </row>
    <row r="1025" spans="1:15" x14ac:dyDescent="0.25">
      <c r="A1025">
        <v>1024</v>
      </c>
      <c r="B1025" t="str">
        <f>HYPERLINK("https://digitalcommons.unl.edu/cgi/viewcontent.cgi?article=2294&amp;context=tractormuseumlit","Click for test report")</f>
        <v>Click for test report</v>
      </c>
      <c r="C1025">
        <v>1963</v>
      </c>
      <c r="D1025" t="s">
        <v>5784</v>
      </c>
      <c r="F1025" t="s">
        <v>4503</v>
      </c>
      <c r="G1025" t="s">
        <v>4504</v>
      </c>
      <c r="H1025" t="s">
        <v>4410</v>
      </c>
      <c r="I1025" t="s">
        <v>1961</v>
      </c>
      <c r="J1025" t="s">
        <v>348</v>
      </c>
      <c r="K1025" t="s">
        <v>5598</v>
      </c>
      <c r="L1025" t="s">
        <v>131</v>
      </c>
      <c r="N1025" t="s">
        <v>343</v>
      </c>
      <c r="O1025" t="s">
        <v>5787</v>
      </c>
    </row>
    <row r="1026" spans="1:15" x14ac:dyDescent="0.25">
      <c r="A1026">
        <v>1025</v>
      </c>
      <c r="B1026" t="str">
        <f>HYPERLINK("https://digitalcommons.unl.edu/cgi/viewcontent.cgi?article=2294&amp;context=tractormuseumlit","Click for test report")</f>
        <v>Click for test report</v>
      </c>
      <c r="C1026">
        <v>1963</v>
      </c>
      <c r="D1026" t="s">
        <v>5784</v>
      </c>
      <c r="F1026" t="s">
        <v>4503</v>
      </c>
      <c r="G1026" t="s">
        <v>4504</v>
      </c>
      <c r="H1026" t="s">
        <v>5786</v>
      </c>
      <c r="I1026" t="s">
        <v>1961</v>
      </c>
      <c r="J1026" t="s">
        <v>348</v>
      </c>
      <c r="K1026" t="s">
        <v>5598</v>
      </c>
      <c r="L1026" t="s">
        <v>131</v>
      </c>
      <c r="N1026" t="s">
        <v>343</v>
      </c>
      <c r="O1026" t="s">
        <v>24</v>
      </c>
    </row>
    <row r="1027" spans="1:15" x14ac:dyDescent="0.25">
      <c r="A1027">
        <v>1026</v>
      </c>
      <c r="B1027" t="str">
        <f>HYPERLINK("https://digitalcommons.unl.edu/cgi/viewcontent.cgi?article=2294&amp;context=tractormuseumlit","Click for test report")</f>
        <v>Click for test report</v>
      </c>
      <c r="C1027">
        <v>1963</v>
      </c>
      <c r="D1027" t="s">
        <v>5784</v>
      </c>
      <c r="F1027" t="s">
        <v>4503</v>
      </c>
      <c r="G1027" t="s">
        <v>4503</v>
      </c>
      <c r="H1027" t="s">
        <v>5785</v>
      </c>
      <c r="I1027" t="s">
        <v>1961</v>
      </c>
      <c r="J1027" t="s">
        <v>348</v>
      </c>
      <c r="K1027" t="s">
        <v>5598</v>
      </c>
      <c r="L1027" t="s">
        <v>131</v>
      </c>
      <c r="N1027" t="s">
        <v>343</v>
      </c>
      <c r="O1027" t="s">
        <v>24</v>
      </c>
    </row>
    <row r="1028" spans="1:15" x14ac:dyDescent="0.25">
      <c r="A1028">
        <v>1027</v>
      </c>
      <c r="B1028" t="str">
        <f>HYPERLINK("https://digitalcommons.unl.edu/cgi/viewcontent.cgi?article=2295&amp;context=tractormuseumlit","Click for test report")</f>
        <v>Click for test report</v>
      </c>
      <c r="C1028">
        <v>1964</v>
      </c>
      <c r="D1028" t="s">
        <v>5783</v>
      </c>
      <c r="F1028" t="s">
        <v>5347</v>
      </c>
      <c r="G1028" t="s">
        <v>5347</v>
      </c>
      <c r="H1028" t="s">
        <v>5782</v>
      </c>
      <c r="I1028" t="s">
        <v>1961</v>
      </c>
      <c r="J1028" t="s">
        <v>348</v>
      </c>
      <c r="K1028" t="s">
        <v>4809</v>
      </c>
      <c r="L1028" t="s">
        <v>1970</v>
      </c>
      <c r="N1028" t="s">
        <v>1650</v>
      </c>
      <c r="O1028" t="s">
        <v>24</v>
      </c>
    </row>
    <row r="1029" spans="1:15" x14ac:dyDescent="0.25">
      <c r="A1029">
        <v>1028</v>
      </c>
      <c r="B1029" t="str">
        <f>HYPERLINK("https://digitalcommons.unl.edu/cgi/viewcontent.cgi?article=2296&amp;context=tractormuseumlit","Click for test report")</f>
        <v>Click for test report</v>
      </c>
      <c r="C1029">
        <v>1964</v>
      </c>
      <c r="D1029" t="s">
        <v>5781</v>
      </c>
      <c r="F1029" t="s">
        <v>5347</v>
      </c>
      <c r="G1029" t="s">
        <v>5347</v>
      </c>
      <c r="H1029" t="s">
        <v>5782</v>
      </c>
      <c r="I1029" t="s">
        <v>1961</v>
      </c>
      <c r="J1029" t="s">
        <v>348</v>
      </c>
      <c r="K1029" t="s">
        <v>5598</v>
      </c>
      <c r="L1029" t="s">
        <v>1970</v>
      </c>
      <c r="N1029" t="s">
        <v>1650</v>
      </c>
      <c r="O1029" t="s">
        <v>24</v>
      </c>
    </row>
    <row r="1030" spans="1:15" x14ac:dyDescent="0.25">
      <c r="A1030">
        <v>1029</v>
      </c>
      <c r="B1030" t="str">
        <f>HYPERLINK("https://digitalcommons.unl.edu/cgi/viewcontent.cgi?article=2297&amp;context=tractormuseumlit","Click for test report")</f>
        <v>Click for test report</v>
      </c>
      <c r="C1030">
        <v>1964</v>
      </c>
      <c r="D1030" t="s">
        <v>5777</v>
      </c>
      <c r="F1030" t="s">
        <v>5778</v>
      </c>
      <c r="G1030" t="s">
        <v>5779</v>
      </c>
      <c r="H1030" t="s">
        <v>5780</v>
      </c>
      <c r="I1030" t="s">
        <v>50</v>
      </c>
      <c r="J1030" t="s">
        <v>29</v>
      </c>
      <c r="K1030" t="s">
        <v>21</v>
      </c>
      <c r="N1030" t="s">
        <v>375</v>
      </c>
      <c r="O1030" t="s">
        <v>2163</v>
      </c>
    </row>
    <row r="1031" spans="1:15" x14ac:dyDescent="0.25">
      <c r="A1031">
        <v>1030</v>
      </c>
      <c r="B1031" t="str">
        <f>HYPERLINK("https://digitalcommons.unl.edu/cgi/viewcontent.cgi?article=2298&amp;context=tractormuseumlit","Click for test report")</f>
        <v>Click for test report</v>
      </c>
      <c r="C1031">
        <v>1964</v>
      </c>
      <c r="D1031" t="s">
        <v>5775</v>
      </c>
      <c r="F1031" t="s">
        <v>3800</v>
      </c>
      <c r="G1031" t="s">
        <v>4473</v>
      </c>
      <c r="H1031" t="s">
        <v>4620</v>
      </c>
      <c r="I1031" t="s">
        <v>5776</v>
      </c>
      <c r="J1031" t="s">
        <v>96</v>
      </c>
      <c r="K1031" t="s">
        <v>21</v>
      </c>
      <c r="N1031" t="s">
        <v>1802</v>
      </c>
      <c r="O1031" t="s">
        <v>2163</v>
      </c>
    </row>
    <row r="1032" spans="1:15" x14ac:dyDescent="0.25">
      <c r="A1032">
        <v>1031</v>
      </c>
      <c r="B1032" t="str">
        <f>HYPERLINK("https://digitalcommons.unl.edu/cgi/viewcontent.cgi?article=2299&amp;context=tractormuseumlit","Click for test report")</f>
        <v>Click for test report</v>
      </c>
      <c r="C1032">
        <v>1964</v>
      </c>
      <c r="D1032" t="s">
        <v>5774</v>
      </c>
      <c r="F1032" t="s">
        <v>5661</v>
      </c>
      <c r="G1032" t="s">
        <v>3472</v>
      </c>
      <c r="H1032" t="s">
        <v>1716</v>
      </c>
      <c r="I1032" t="s">
        <v>50</v>
      </c>
      <c r="J1032" t="s">
        <v>348</v>
      </c>
      <c r="K1032" t="s">
        <v>21</v>
      </c>
      <c r="L1032" t="s">
        <v>4362</v>
      </c>
      <c r="N1032" t="s">
        <v>4627</v>
      </c>
      <c r="O1032" t="s">
        <v>24</v>
      </c>
    </row>
    <row r="1033" spans="1:15" x14ac:dyDescent="0.25">
      <c r="A1033">
        <v>1032</v>
      </c>
      <c r="B1033" t="str">
        <f>HYPERLINK("https://digitalcommons.unl.edu/cgi/viewcontent.cgi?article=2300&amp;context=tractormuseumlit","Click for test report")</f>
        <v>Click for test report</v>
      </c>
      <c r="C1033">
        <v>1964</v>
      </c>
      <c r="D1033" t="s">
        <v>5772</v>
      </c>
      <c r="F1033" t="s">
        <v>5661</v>
      </c>
      <c r="G1033" t="s">
        <v>3472</v>
      </c>
      <c r="H1033" t="s">
        <v>5773</v>
      </c>
      <c r="I1033" t="s">
        <v>50</v>
      </c>
      <c r="J1033" t="s">
        <v>348</v>
      </c>
      <c r="K1033" t="s">
        <v>21</v>
      </c>
      <c r="L1033" t="s">
        <v>2188</v>
      </c>
      <c r="N1033" t="s">
        <v>2627</v>
      </c>
      <c r="O1033" t="s">
        <v>24</v>
      </c>
    </row>
    <row r="1034" spans="1:15" x14ac:dyDescent="0.25">
      <c r="A1034">
        <v>1033</v>
      </c>
      <c r="B1034" t="str">
        <f>HYPERLINK("https://digitalcommons.unl.edu/cgi/viewcontent.cgi?article=2301&amp;context=tractormuseumlit","Click for test report")</f>
        <v>Click for test report</v>
      </c>
      <c r="C1034">
        <v>1964</v>
      </c>
      <c r="D1034" t="s">
        <v>5771</v>
      </c>
      <c r="F1034" t="s">
        <v>3800</v>
      </c>
      <c r="G1034" t="s">
        <v>4473</v>
      </c>
      <c r="H1034" t="s">
        <v>5285</v>
      </c>
      <c r="I1034" t="s">
        <v>50</v>
      </c>
      <c r="J1034" t="s">
        <v>29</v>
      </c>
      <c r="K1034" t="s">
        <v>21</v>
      </c>
      <c r="L1034" t="s">
        <v>567</v>
      </c>
      <c r="N1034" t="s">
        <v>677</v>
      </c>
      <c r="O1034" t="s">
        <v>24</v>
      </c>
    </row>
    <row r="1035" spans="1:15" x14ac:dyDescent="0.25">
      <c r="A1035">
        <v>1034</v>
      </c>
      <c r="B1035" t="str">
        <f>HYPERLINK("https://digitalcommons.unl.edu/cgi/viewcontent.cgi?article=1557&amp;context=tractormuseumlit","Click for test report")</f>
        <v>Click for test report</v>
      </c>
      <c r="C1035">
        <v>1964</v>
      </c>
      <c r="D1035" t="s">
        <v>5770</v>
      </c>
      <c r="F1035" t="s">
        <v>5345</v>
      </c>
      <c r="G1035" t="s">
        <v>5345</v>
      </c>
      <c r="H1035" t="s">
        <v>2630</v>
      </c>
      <c r="I1035" t="s">
        <v>1961</v>
      </c>
      <c r="J1035" t="s">
        <v>20</v>
      </c>
      <c r="K1035" t="s">
        <v>21</v>
      </c>
      <c r="L1035" t="s">
        <v>454</v>
      </c>
      <c r="N1035" t="s">
        <v>343</v>
      </c>
      <c r="O1035" t="s">
        <v>24</v>
      </c>
    </row>
    <row r="1036" spans="1:15" x14ac:dyDescent="0.25">
      <c r="A1036">
        <v>1035</v>
      </c>
      <c r="B1036" t="str">
        <f>HYPERLINK("https://digitalcommons.unl.edu/cgi/viewcontent.cgi?article=1558&amp;context=tractormuseumlit","Click for test report")</f>
        <v>Click for test report</v>
      </c>
      <c r="C1036">
        <v>1964</v>
      </c>
      <c r="D1036" t="s">
        <v>5367</v>
      </c>
      <c r="F1036" t="s">
        <v>5345</v>
      </c>
      <c r="G1036" t="s">
        <v>5345</v>
      </c>
      <c r="H1036" t="s">
        <v>2630</v>
      </c>
      <c r="I1036" t="s">
        <v>1961</v>
      </c>
      <c r="J1036" t="s">
        <v>348</v>
      </c>
      <c r="K1036" t="s">
        <v>21</v>
      </c>
      <c r="L1036" t="s">
        <v>454</v>
      </c>
      <c r="N1036" t="s">
        <v>574</v>
      </c>
      <c r="O1036" t="s">
        <v>24</v>
      </c>
    </row>
    <row r="1037" spans="1:15" x14ac:dyDescent="0.25">
      <c r="A1037">
        <v>1036</v>
      </c>
      <c r="B1037" t="str">
        <f>HYPERLINK("https://digitalcommons.unl.edu/cgi/viewcontent.cgi?article=1559&amp;context=tractormuseumlit","Click for test report")</f>
        <v>Click for test report</v>
      </c>
      <c r="C1037">
        <v>1964</v>
      </c>
      <c r="D1037" t="s">
        <v>5769</v>
      </c>
      <c r="F1037" t="s">
        <v>5345</v>
      </c>
      <c r="G1037" t="s">
        <v>5345</v>
      </c>
      <c r="H1037" t="s">
        <v>1983</v>
      </c>
      <c r="I1037" t="s">
        <v>1961</v>
      </c>
      <c r="J1037" t="s">
        <v>348</v>
      </c>
      <c r="K1037" t="s">
        <v>21</v>
      </c>
      <c r="L1037" t="s">
        <v>130</v>
      </c>
      <c r="N1037" t="s">
        <v>561</v>
      </c>
      <c r="O1037" t="s">
        <v>24</v>
      </c>
    </row>
    <row r="1038" spans="1:15" x14ac:dyDescent="0.25">
      <c r="A1038">
        <v>1037</v>
      </c>
      <c r="B1038" t="str">
        <f>HYPERLINK("https://digitalcommons.unl.edu/cgi/viewcontent.cgi?article=1560&amp;context=tractormuseumlit","Click for test report")</f>
        <v>Click for test report</v>
      </c>
      <c r="C1038">
        <v>1964</v>
      </c>
      <c r="D1038" t="s">
        <v>5768</v>
      </c>
      <c r="F1038" t="s">
        <v>5345</v>
      </c>
      <c r="G1038" t="s">
        <v>5345</v>
      </c>
      <c r="H1038" t="s">
        <v>1983</v>
      </c>
      <c r="I1038" t="s">
        <v>1961</v>
      </c>
      <c r="J1038" t="s">
        <v>20</v>
      </c>
      <c r="K1038" t="s">
        <v>21</v>
      </c>
      <c r="L1038" t="s">
        <v>130</v>
      </c>
      <c r="N1038" t="s">
        <v>375</v>
      </c>
      <c r="O1038" t="s">
        <v>24</v>
      </c>
    </row>
    <row r="1039" spans="1:15" x14ac:dyDescent="0.25">
      <c r="A1039">
        <v>1038</v>
      </c>
      <c r="B1039" t="str">
        <f>HYPERLINK("https://digitalcommons.unl.edu/cgi/viewcontent.cgi?article=1561&amp;context=tractormuseumlit","Click for test report")</f>
        <v>Click for test report</v>
      </c>
      <c r="C1039">
        <v>1964</v>
      </c>
      <c r="D1039" t="s">
        <v>5767</v>
      </c>
      <c r="F1039" t="s">
        <v>5345</v>
      </c>
      <c r="G1039" t="s">
        <v>5345</v>
      </c>
      <c r="H1039" t="s">
        <v>3988</v>
      </c>
      <c r="I1039" t="s">
        <v>1961</v>
      </c>
      <c r="J1039" t="s">
        <v>348</v>
      </c>
      <c r="K1039" t="s">
        <v>21</v>
      </c>
      <c r="L1039" t="s">
        <v>747</v>
      </c>
      <c r="N1039" t="s">
        <v>2029</v>
      </c>
      <c r="O1039" t="s">
        <v>24</v>
      </c>
    </row>
    <row r="1040" spans="1:15" x14ac:dyDescent="0.25">
      <c r="A1040">
        <v>1039</v>
      </c>
      <c r="B1040" t="str">
        <f>HYPERLINK("https://digitalcommons.unl.edu/cgi/viewcontent.cgi?article=1562&amp;context=tractormuseumlit","Click for test report")</f>
        <v>Click for test report</v>
      </c>
      <c r="C1040">
        <v>1964</v>
      </c>
      <c r="D1040" t="s">
        <v>5766</v>
      </c>
      <c r="F1040" t="s">
        <v>5345</v>
      </c>
      <c r="G1040" t="s">
        <v>5345</v>
      </c>
      <c r="H1040" t="s">
        <v>3988</v>
      </c>
      <c r="I1040" t="s">
        <v>1961</v>
      </c>
      <c r="J1040" t="s">
        <v>348</v>
      </c>
      <c r="K1040" t="s">
        <v>4809</v>
      </c>
      <c r="L1040" t="s">
        <v>747</v>
      </c>
      <c r="N1040" t="s">
        <v>731</v>
      </c>
      <c r="O1040" t="s">
        <v>24</v>
      </c>
    </row>
    <row r="1041" spans="1:15" x14ac:dyDescent="0.25">
      <c r="A1041">
        <v>1040</v>
      </c>
      <c r="B1041" t="str">
        <f>HYPERLINK("https://digitalcommons.unl.edu/cgi/viewcontent.cgi?article=1563&amp;context=tractormuseumlit","Click for test report")</f>
        <v>Click for test report</v>
      </c>
      <c r="C1041">
        <v>1964</v>
      </c>
      <c r="D1041" t="s">
        <v>5020</v>
      </c>
      <c r="F1041" t="s">
        <v>5345</v>
      </c>
      <c r="G1041" t="s">
        <v>5345</v>
      </c>
      <c r="H1041" t="s">
        <v>2630</v>
      </c>
      <c r="I1041" t="s">
        <v>1961</v>
      </c>
      <c r="J1041" t="s">
        <v>348</v>
      </c>
      <c r="K1041" t="s">
        <v>4809</v>
      </c>
      <c r="L1041" t="s">
        <v>454</v>
      </c>
      <c r="N1041" t="s">
        <v>378</v>
      </c>
      <c r="O1041" t="s">
        <v>24</v>
      </c>
    </row>
    <row r="1042" spans="1:15" x14ac:dyDescent="0.25">
      <c r="A1042">
        <v>1041</v>
      </c>
      <c r="B1042" t="str">
        <f>HYPERLINK("https://digitalcommons.unl.edu/cgi/viewcontent.cgi?article=1563&amp;context=tractormuseumlit","Click for test report")</f>
        <v>Click for test report</v>
      </c>
      <c r="C1042">
        <v>1964</v>
      </c>
      <c r="D1042" t="s">
        <v>5020</v>
      </c>
      <c r="F1042" t="s">
        <v>5345</v>
      </c>
      <c r="G1042" t="s">
        <v>5345</v>
      </c>
      <c r="H1042" t="s">
        <v>2623</v>
      </c>
      <c r="I1042" t="s">
        <v>1961</v>
      </c>
      <c r="J1042" t="s">
        <v>348</v>
      </c>
      <c r="K1042" t="s">
        <v>4809</v>
      </c>
      <c r="L1042" t="s">
        <v>454</v>
      </c>
      <c r="N1042" t="s">
        <v>378</v>
      </c>
      <c r="O1042" t="s">
        <v>24</v>
      </c>
    </row>
    <row r="1043" spans="1:15" x14ac:dyDescent="0.25">
      <c r="A1043">
        <v>1042</v>
      </c>
      <c r="B1043" t="str">
        <f>HYPERLINK("https://digitalcommons.unl.edu/cgi/viewcontent.cgi?article=1564&amp;context=tractormuseumlit","Click for test report")</f>
        <v>Click for test report</v>
      </c>
      <c r="C1043">
        <v>1964</v>
      </c>
      <c r="D1043" t="s">
        <v>4408</v>
      </c>
      <c r="F1043" t="s">
        <v>5345</v>
      </c>
      <c r="G1043" t="s">
        <v>5345</v>
      </c>
      <c r="H1043" t="s">
        <v>2630</v>
      </c>
      <c r="I1043" t="s">
        <v>1961</v>
      </c>
      <c r="J1043" t="s">
        <v>20</v>
      </c>
      <c r="K1043" t="s">
        <v>4809</v>
      </c>
      <c r="L1043" t="s">
        <v>454</v>
      </c>
      <c r="N1043" t="s">
        <v>55</v>
      </c>
      <c r="O1043" t="s">
        <v>24</v>
      </c>
    </row>
    <row r="1044" spans="1:15" x14ac:dyDescent="0.25">
      <c r="A1044">
        <v>1043</v>
      </c>
      <c r="B1044" t="str">
        <f>HYPERLINK("https://digitalcommons.unl.edu/cgi/viewcontent.cgi?article=2302&amp;context=tractormuseumlit","Click for test report")</f>
        <v>Click for test report</v>
      </c>
      <c r="C1044">
        <v>1965</v>
      </c>
      <c r="D1044" t="s">
        <v>5765</v>
      </c>
      <c r="F1044" t="s">
        <v>4395</v>
      </c>
      <c r="G1044" t="s">
        <v>3708</v>
      </c>
      <c r="H1044" t="s">
        <v>5763</v>
      </c>
      <c r="I1044" t="s">
        <v>28</v>
      </c>
      <c r="J1044" t="s">
        <v>348</v>
      </c>
      <c r="K1044" t="s">
        <v>4809</v>
      </c>
      <c r="L1044" t="s">
        <v>747</v>
      </c>
      <c r="N1044" t="s">
        <v>353</v>
      </c>
      <c r="O1044" t="s">
        <v>5764</v>
      </c>
    </row>
    <row r="1045" spans="1:15" x14ac:dyDescent="0.25">
      <c r="A1045">
        <v>1044</v>
      </c>
      <c r="B1045" t="str">
        <f>HYPERLINK("https://digitalcommons.unl.edu/cgi/viewcontent.cgi?article=2303&amp;context=tractormuseumlit","Click for test report")</f>
        <v>Click for test report</v>
      </c>
      <c r="C1045">
        <v>1965</v>
      </c>
      <c r="D1045" t="s">
        <v>5762</v>
      </c>
      <c r="F1045" t="s">
        <v>4395</v>
      </c>
      <c r="G1045" t="s">
        <v>3708</v>
      </c>
      <c r="H1045" t="s">
        <v>5763</v>
      </c>
      <c r="I1045" t="s">
        <v>28</v>
      </c>
      <c r="J1045" t="s">
        <v>348</v>
      </c>
      <c r="K1045" t="s">
        <v>21</v>
      </c>
      <c r="L1045" t="s">
        <v>747</v>
      </c>
      <c r="N1045" t="s">
        <v>728</v>
      </c>
      <c r="O1045" t="s">
        <v>5764</v>
      </c>
    </row>
    <row r="1046" spans="1:15" x14ac:dyDescent="0.25">
      <c r="A1046">
        <v>1045</v>
      </c>
      <c r="B1046" t="str">
        <f>HYPERLINK("https://digitalcommons.unl.edu/cgi/viewcontent.cgi?article=2304&amp;context=tractormuseumlit","Click for test report")</f>
        <v>Click for test report</v>
      </c>
      <c r="C1046">
        <v>1965</v>
      </c>
      <c r="D1046" t="s">
        <v>5761</v>
      </c>
      <c r="F1046" t="s">
        <v>4395</v>
      </c>
      <c r="G1046" t="s">
        <v>3708</v>
      </c>
      <c r="H1046" t="s">
        <v>5616</v>
      </c>
      <c r="I1046" t="s">
        <v>50</v>
      </c>
      <c r="J1046" t="s">
        <v>348</v>
      </c>
      <c r="K1046" t="s">
        <v>21</v>
      </c>
      <c r="L1046" t="s">
        <v>1970</v>
      </c>
      <c r="N1046" t="s">
        <v>1650</v>
      </c>
      <c r="O1046" t="s">
        <v>3468</v>
      </c>
    </row>
    <row r="1047" spans="1:15" x14ac:dyDescent="0.25">
      <c r="A1047">
        <v>1046</v>
      </c>
      <c r="B1047" t="str">
        <f>HYPERLINK("https://digitalcommons.unl.edu/cgi/viewcontent.cgi?article=2305&amp;context=tractormuseumlit","Click for test report")</f>
        <v>Click for test report</v>
      </c>
      <c r="C1047">
        <v>1965</v>
      </c>
      <c r="D1047" t="s">
        <v>5683</v>
      </c>
      <c r="F1047" t="s">
        <v>4395</v>
      </c>
      <c r="G1047" t="s">
        <v>3708</v>
      </c>
      <c r="H1047" t="s">
        <v>5616</v>
      </c>
      <c r="I1047" t="s">
        <v>28</v>
      </c>
      <c r="J1047" t="s">
        <v>348</v>
      </c>
      <c r="K1047" t="s">
        <v>21</v>
      </c>
      <c r="L1047" t="s">
        <v>1994</v>
      </c>
      <c r="N1047" t="s">
        <v>2511</v>
      </c>
      <c r="O1047" t="s">
        <v>5617</v>
      </c>
    </row>
    <row r="1048" spans="1:15" x14ac:dyDescent="0.25">
      <c r="A1048">
        <v>1047</v>
      </c>
      <c r="B1048" t="str">
        <f>HYPERLINK("https://digitalcommons.unl.edu/cgi/viewcontent.cgi?article=2306&amp;context=tractormuseumlit","Click for test report")</f>
        <v>Click for test report</v>
      </c>
      <c r="C1048">
        <v>1965</v>
      </c>
      <c r="D1048" t="s">
        <v>5760</v>
      </c>
      <c r="F1048" t="s">
        <v>4395</v>
      </c>
      <c r="G1048" t="s">
        <v>3708</v>
      </c>
      <c r="H1048" t="s">
        <v>5521</v>
      </c>
      <c r="I1048" t="s">
        <v>50</v>
      </c>
      <c r="J1048" t="s">
        <v>348</v>
      </c>
      <c r="K1048" t="s">
        <v>21</v>
      </c>
      <c r="L1048" t="s">
        <v>2826</v>
      </c>
      <c r="N1048" t="s">
        <v>3973</v>
      </c>
      <c r="O1048" t="s">
        <v>3468</v>
      </c>
    </row>
    <row r="1049" spans="1:15" x14ac:dyDescent="0.25">
      <c r="A1049">
        <v>1048</v>
      </c>
      <c r="B1049" t="str">
        <f>HYPERLINK("https://digitalcommons.unl.edu/cgi/viewcontent.cgi?article=2307&amp;context=tractormuseumlit","Click for test report")</f>
        <v>Click for test report</v>
      </c>
      <c r="C1049">
        <v>1965</v>
      </c>
      <c r="D1049" t="s">
        <v>5759</v>
      </c>
      <c r="F1049" t="s">
        <v>4395</v>
      </c>
      <c r="G1049" t="s">
        <v>3708</v>
      </c>
      <c r="H1049" t="s">
        <v>5521</v>
      </c>
      <c r="I1049" t="s">
        <v>28</v>
      </c>
      <c r="J1049" t="s">
        <v>348</v>
      </c>
      <c r="K1049" t="s">
        <v>21</v>
      </c>
      <c r="L1049" t="s">
        <v>1802</v>
      </c>
      <c r="N1049" t="s">
        <v>4745</v>
      </c>
      <c r="O1049" t="s">
        <v>5617</v>
      </c>
    </row>
    <row r="1050" spans="1:15" x14ac:dyDescent="0.25">
      <c r="A1050">
        <v>1049</v>
      </c>
      <c r="B1050" t="str">
        <f>HYPERLINK("https://digitalcommons.unl.edu/cgi/viewcontent.cgi?article=2308&amp;context=tractormuseumlit","Click for test report")</f>
        <v>Click for test report</v>
      </c>
      <c r="C1050">
        <v>1965</v>
      </c>
      <c r="D1050" t="s">
        <v>5758</v>
      </c>
      <c r="F1050" t="s">
        <v>4395</v>
      </c>
      <c r="G1050" t="s">
        <v>3708</v>
      </c>
      <c r="H1050" t="s">
        <v>5521</v>
      </c>
      <c r="I1050" t="s">
        <v>50</v>
      </c>
      <c r="J1050" t="s">
        <v>348</v>
      </c>
      <c r="K1050" t="s">
        <v>21</v>
      </c>
      <c r="L1050" t="s">
        <v>2826</v>
      </c>
      <c r="N1050" t="s">
        <v>3973</v>
      </c>
      <c r="O1050" t="s">
        <v>5665</v>
      </c>
    </row>
    <row r="1051" spans="1:15" x14ac:dyDescent="0.25">
      <c r="A1051">
        <v>1050</v>
      </c>
      <c r="B1051" t="str">
        <f>HYPERLINK("https://digitalcommons.unl.edu/cgi/viewcontent.cgi?article=3323&amp;context=tractormuseumlit","Click for test report")</f>
        <v>Click for test report</v>
      </c>
      <c r="C1051">
        <v>1965</v>
      </c>
      <c r="D1051" t="s">
        <v>4905</v>
      </c>
      <c r="F1051" t="s">
        <v>4395</v>
      </c>
      <c r="G1051" t="s">
        <v>3708</v>
      </c>
      <c r="H1051" t="s">
        <v>1748</v>
      </c>
      <c r="I1051" t="s">
        <v>50</v>
      </c>
      <c r="J1051" t="s">
        <v>348</v>
      </c>
      <c r="K1051" t="s">
        <v>4809</v>
      </c>
      <c r="L1051" t="s">
        <v>4440</v>
      </c>
      <c r="N1051" t="s">
        <v>4352</v>
      </c>
      <c r="O1051" t="s">
        <v>5665</v>
      </c>
    </row>
    <row r="1052" spans="1:15" x14ac:dyDescent="0.25">
      <c r="A1052">
        <v>1051</v>
      </c>
      <c r="B1052" t="str">
        <f>HYPERLINK("https://digitalcommons.unl.edu/cgi/viewcontent.cgi?article=2310&amp;context=tractormuseumlit","Click for test report")</f>
        <v>Click for test report</v>
      </c>
      <c r="C1052">
        <v>1965</v>
      </c>
      <c r="D1052" t="s">
        <v>4338</v>
      </c>
      <c r="F1052" t="s">
        <v>4395</v>
      </c>
      <c r="G1052" t="s">
        <v>3708</v>
      </c>
      <c r="H1052" t="s">
        <v>5521</v>
      </c>
      <c r="I1052" t="s">
        <v>28</v>
      </c>
      <c r="J1052" t="s">
        <v>348</v>
      </c>
      <c r="K1052" t="s">
        <v>4809</v>
      </c>
      <c r="L1052" t="s">
        <v>3973</v>
      </c>
      <c r="N1052" t="s">
        <v>4440</v>
      </c>
      <c r="O1052" t="s">
        <v>5617</v>
      </c>
    </row>
    <row r="1053" spans="1:15" x14ac:dyDescent="0.25">
      <c r="A1053">
        <v>1052</v>
      </c>
      <c r="B1053" t="str">
        <f>HYPERLINK("https://digitalcommons.unl.edu/cgi/viewcontent.cgi?article=2311&amp;context=tractormuseumlit","Click for test report")</f>
        <v>Click for test report</v>
      </c>
      <c r="C1053">
        <v>1965</v>
      </c>
      <c r="D1053" t="s">
        <v>4996</v>
      </c>
      <c r="F1053" t="s">
        <v>4325</v>
      </c>
      <c r="G1053" t="s">
        <v>4325</v>
      </c>
      <c r="H1053" t="s">
        <v>5709</v>
      </c>
      <c r="I1053" t="s">
        <v>1961</v>
      </c>
      <c r="J1053" t="s">
        <v>348</v>
      </c>
      <c r="K1053" t="s">
        <v>21</v>
      </c>
      <c r="L1053" t="s">
        <v>378</v>
      </c>
      <c r="N1053" t="s">
        <v>1257</v>
      </c>
      <c r="O1053" t="s">
        <v>24</v>
      </c>
    </row>
    <row r="1054" spans="1:15" x14ac:dyDescent="0.25">
      <c r="A1054">
        <v>1053</v>
      </c>
      <c r="B1054" t="str">
        <f>HYPERLINK("https://digitalcommons.unl.edu/cgi/viewcontent.cgi?article=2312&amp;context=tractormuseumlit","Click for test report")</f>
        <v>Click for test report</v>
      </c>
      <c r="C1054">
        <v>1965</v>
      </c>
      <c r="D1054" t="s">
        <v>5461</v>
      </c>
      <c r="F1054" t="s">
        <v>4325</v>
      </c>
      <c r="G1054" t="s">
        <v>4325</v>
      </c>
      <c r="H1054" t="s">
        <v>5707</v>
      </c>
      <c r="I1054" t="s">
        <v>1961</v>
      </c>
      <c r="J1054" t="s">
        <v>348</v>
      </c>
      <c r="K1054" t="s">
        <v>21</v>
      </c>
      <c r="L1054" t="s">
        <v>131</v>
      </c>
      <c r="N1054" t="s">
        <v>343</v>
      </c>
      <c r="O1054" t="s">
        <v>24</v>
      </c>
    </row>
    <row r="1055" spans="1:15" x14ac:dyDescent="0.25">
      <c r="A1055">
        <v>1054</v>
      </c>
      <c r="B1055" t="str">
        <f>HYPERLINK("https://digitalcommons.unl.edu/cgi/viewcontent.cgi?article=2313&amp;context=tractormuseumlit","Click for test report")</f>
        <v>Click for test report</v>
      </c>
      <c r="C1055">
        <v>1965</v>
      </c>
      <c r="D1055" t="s">
        <v>5757</v>
      </c>
      <c r="F1055" t="s">
        <v>4395</v>
      </c>
      <c r="G1055" t="s">
        <v>3708</v>
      </c>
      <c r="H1055" t="s">
        <v>5521</v>
      </c>
      <c r="I1055" t="s">
        <v>50</v>
      </c>
      <c r="J1055" t="s">
        <v>348</v>
      </c>
      <c r="K1055" t="s">
        <v>4809</v>
      </c>
      <c r="L1055" t="s">
        <v>1893</v>
      </c>
      <c r="N1055" t="s">
        <v>4745</v>
      </c>
      <c r="O1055" t="s">
        <v>3468</v>
      </c>
    </row>
    <row r="1056" spans="1:15" x14ac:dyDescent="0.25">
      <c r="A1056">
        <v>1055</v>
      </c>
      <c r="B1056" t="str">
        <f>HYPERLINK("https://digitalcommons.unl.edu/cgi/viewcontent.cgi?article=2314&amp;context=tractormuseumlit","Click for test report")</f>
        <v>Click for test report</v>
      </c>
      <c r="C1056">
        <v>1965</v>
      </c>
      <c r="D1056" t="s">
        <v>5756</v>
      </c>
      <c r="F1056" t="s">
        <v>4395</v>
      </c>
      <c r="G1056" t="s">
        <v>3708</v>
      </c>
      <c r="H1056" t="s">
        <v>5521</v>
      </c>
      <c r="I1056" t="s">
        <v>50</v>
      </c>
      <c r="J1056" t="s">
        <v>348</v>
      </c>
      <c r="K1056" t="s">
        <v>4809</v>
      </c>
      <c r="L1056" t="s">
        <v>2826</v>
      </c>
      <c r="N1056" t="s">
        <v>3388</v>
      </c>
      <c r="O1056" t="s">
        <v>5665</v>
      </c>
    </row>
    <row r="1057" spans="1:15" x14ac:dyDescent="0.25">
      <c r="A1057">
        <v>1056</v>
      </c>
      <c r="B1057" t="str">
        <f>HYPERLINK("https://digitalcommons.unl.edu/cgi/viewcontent.cgi?article=2315&amp;context=tractormuseumlit","Click for test report")</f>
        <v>Click for test report</v>
      </c>
      <c r="C1057">
        <v>1965</v>
      </c>
      <c r="D1057" t="s">
        <v>5755</v>
      </c>
      <c r="F1057" t="s">
        <v>4395</v>
      </c>
      <c r="G1057" t="s">
        <v>3708</v>
      </c>
      <c r="H1057" t="s">
        <v>5560</v>
      </c>
      <c r="I1057" t="s">
        <v>28</v>
      </c>
      <c r="J1057" t="s">
        <v>348</v>
      </c>
      <c r="K1057" t="s">
        <v>4809</v>
      </c>
      <c r="L1057" t="s">
        <v>2511</v>
      </c>
      <c r="N1057" t="s">
        <v>2826</v>
      </c>
      <c r="O1057" t="s">
        <v>5617</v>
      </c>
    </row>
    <row r="1058" spans="1:15" x14ac:dyDescent="0.25">
      <c r="A1058">
        <v>1057</v>
      </c>
      <c r="B1058" t="str">
        <f>HYPERLINK("https://digitalcommons.unl.edu/cgi/viewcontent.cgi?article=2316&amp;context=tractormuseumlit","Click for test report")</f>
        <v>Click for test report</v>
      </c>
      <c r="C1058">
        <v>1965</v>
      </c>
      <c r="D1058" t="s">
        <v>5754</v>
      </c>
      <c r="F1058" t="s">
        <v>4395</v>
      </c>
      <c r="G1058" t="s">
        <v>3708</v>
      </c>
      <c r="H1058" t="s">
        <v>5560</v>
      </c>
      <c r="I1058" t="s">
        <v>50</v>
      </c>
      <c r="J1058" t="s">
        <v>348</v>
      </c>
      <c r="K1058" t="s">
        <v>4809</v>
      </c>
      <c r="L1058" t="s">
        <v>410</v>
      </c>
      <c r="N1058" t="s">
        <v>2627</v>
      </c>
      <c r="O1058" t="s">
        <v>3468</v>
      </c>
    </row>
    <row r="1059" spans="1:15" x14ac:dyDescent="0.25">
      <c r="A1059">
        <v>1058</v>
      </c>
      <c r="B1059" t="str">
        <f>HYPERLINK("https://digitalcommons.unl.edu/cgi/viewcontent.cgi?article=2317&amp;context=tractormuseumlit","Click for test report")</f>
        <v>Click for test report</v>
      </c>
      <c r="C1059">
        <v>1965</v>
      </c>
      <c r="D1059" t="s">
        <v>5753</v>
      </c>
      <c r="F1059" t="s">
        <v>4395</v>
      </c>
      <c r="G1059" t="s">
        <v>3708</v>
      </c>
      <c r="H1059" t="s">
        <v>5560</v>
      </c>
      <c r="I1059" t="s">
        <v>28</v>
      </c>
      <c r="J1059" t="s">
        <v>348</v>
      </c>
      <c r="K1059" t="s">
        <v>21</v>
      </c>
      <c r="L1059" t="s">
        <v>2511</v>
      </c>
      <c r="N1059" t="s">
        <v>2826</v>
      </c>
      <c r="O1059" t="s">
        <v>5617</v>
      </c>
    </row>
    <row r="1060" spans="1:15" x14ac:dyDescent="0.25">
      <c r="A1060">
        <v>1059</v>
      </c>
      <c r="B1060" t="str">
        <f>HYPERLINK("https://digitalcommons.unl.edu/cgi/viewcontent.cgi?article=2318&amp;context=tractormuseumlit","Click for test report")</f>
        <v>Click for test report</v>
      </c>
      <c r="C1060">
        <v>1965</v>
      </c>
      <c r="D1060" t="s">
        <v>5752</v>
      </c>
      <c r="F1060" t="s">
        <v>4395</v>
      </c>
      <c r="G1060" t="s">
        <v>3708</v>
      </c>
      <c r="H1060" t="s">
        <v>5560</v>
      </c>
      <c r="I1060" t="s">
        <v>50</v>
      </c>
      <c r="J1060" t="s">
        <v>348</v>
      </c>
      <c r="K1060" t="s">
        <v>21</v>
      </c>
      <c r="L1060" t="s">
        <v>410</v>
      </c>
      <c r="N1060" t="s">
        <v>3152</v>
      </c>
      <c r="O1060" t="s">
        <v>3468</v>
      </c>
    </row>
    <row r="1061" spans="1:15" x14ac:dyDescent="0.25">
      <c r="A1061">
        <v>1060</v>
      </c>
      <c r="B1061" t="str">
        <f>HYPERLINK("https://digitalcommons.unl.edu/cgi/viewcontent.cgi?article=2319&amp;context=tractormuseumlit","Click for test report")</f>
        <v>Click for test report</v>
      </c>
      <c r="C1061">
        <v>1965</v>
      </c>
      <c r="D1061" t="s">
        <v>5751</v>
      </c>
      <c r="F1061" t="s">
        <v>4395</v>
      </c>
      <c r="G1061" t="s">
        <v>3708</v>
      </c>
      <c r="H1061" t="s">
        <v>1748</v>
      </c>
      <c r="I1061" t="s">
        <v>50</v>
      </c>
      <c r="J1061" t="s">
        <v>348</v>
      </c>
      <c r="K1061" t="s">
        <v>4809</v>
      </c>
      <c r="L1061" t="s">
        <v>4440</v>
      </c>
      <c r="N1061" t="s">
        <v>4352</v>
      </c>
      <c r="O1061" t="s">
        <v>3468</v>
      </c>
    </row>
    <row r="1062" spans="1:15" x14ac:dyDescent="0.25">
      <c r="A1062">
        <v>1061</v>
      </c>
      <c r="B1062" t="str">
        <f>HYPERLINK("https://digitalcommons.unl.edu/cgi/viewcontent.cgi?article=2320&amp;context=tractormuseumlit","Click for test report")</f>
        <v>Click for test report</v>
      </c>
      <c r="C1062">
        <v>1965</v>
      </c>
      <c r="D1062" t="s">
        <v>4093</v>
      </c>
      <c r="F1062" t="s">
        <v>778</v>
      </c>
      <c r="G1062" t="s">
        <v>778</v>
      </c>
      <c r="H1062" t="s">
        <v>5582</v>
      </c>
      <c r="I1062" t="s">
        <v>1961</v>
      </c>
      <c r="J1062" t="s">
        <v>348</v>
      </c>
      <c r="K1062" t="s">
        <v>21</v>
      </c>
      <c r="L1062" t="s">
        <v>1893</v>
      </c>
      <c r="N1062" t="s">
        <v>4745</v>
      </c>
      <c r="O1062" t="s">
        <v>24</v>
      </c>
    </row>
    <row r="1063" spans="1:15" x14ac:dyDescent="0.25">
      <c r="A1063">
        <v>1062</v>
      </c>
      <c r="B1063" t="str">
        <f>HYPERLINK("https://digitalcommons.unl.edu/cgi/viewcontent.cgi?article=2321&amp;context=tractormuseumlit","Click for test report")</f>
        <v>Click for test report</v>
      </c>
      <c r="C1063">
        <v>1965</v>
      </c>
      <c r="D1063" t="s">
        <v>5750</v>
      </c>
      <c r="F1063" t="s">
        <v>778</v>
      </c>
      <c r="G1063" t="s">
        <v>778</v>
      </c>
      <c r="H1063" t="s">
        <v>5586</v>
      </c>
      <c r="I1063" t="s">
        <v>1961</v>
      </c>
      <c r="J1063" t="s">
        <v>348</v>
      </c>
      <c r="K1063" t="s">
        <v>21</v>
      </c>
      <c r="L1063" t="s">
        <v>3319</v>
      </c>
      <c r="N1063" t="s">
        <v>410</v>
      </c>
      <c r="O1063" t="s">
        <v>24</v>
      </c>
    </row>
    <row r="1064" spans="1:15" x14ac:dyDescent="0.25">
      <c r="A1064">
        <v>1063</v>
      </c>
      <c r="B1064" t="str">
        <f>HYPERLINK("https://digitalcommons.unl.edu/cgi/viewcontent.cgi?article=2322&amp;context=tractormuseumlit","Click for test report")</f>
        <v>Click for test report</v>
      </c>
      <c r="C1064">
        <v>1965</v>
      </c>
      <c r="D1064" t="s">
        <v>5749</v>
      </c>
      <c r="F1064" t="s">
        <v>778</v>
      </c>
      <c r="G1064" t="s">
        <v>778</v>
      </c>
      <c r="H1064" t="s">
        <v>5357</v>
      </c>
      <c r="I1064" t="s">
        <v>1961</v>
      </c>
      <c r="J1064" t="s">
        <v>348</v>
      </c>
      <c r="K1064" t="s">
        <v>21</v>
      </c>
      <c r="L1064" t="s">
        <v>728</v>
      </c>
      <c r="N1064" t="s">
        <v>1970</v>
      </c>
      <c r="O1064" t="s">
        <v>24</v>
      </c>
    </row>
    <row r="1065" spans="1:15" x14ac:dyDescent="0.25">
      <c r="A1065">
        <v>1064</v>
      </c>
      <c r="B1065" t="str">
        <f>HYPERLINK("https://digitalcommons.unl.edu/cgi/viewcontent.cgi?article=2323&amp;context=tractormuseumlit","Click for test report")</f>
        <v>Click for test report</v>
      </c>
      <c r="C1065">
        <v>1965</v>
      </c>
      <c r="D1065" t="s">
        <v>5748</v>
      </c>
      <c r="F1065" t="s">
        <v>778</v>
      </c>
      <c r="G1065" t="s">
        <v>778</v>
      </c>
      <c r="H1065" t="s">
        <v>5586</v>
      </c>
      <c r="I1065" t="s">
        <v>1961</v>
      </c>
      <c r="J1065" t="s">
        <v>348</v>
      </c>
      <c r="K1065" t="s">
        <v>4809</v>
      </c>
      <c r="L1065" t="s">
        <v>410</v>
      </c>
      <c r="N1065" t="s">
        <v>2627</v>
      </c>
      <c r="O1065" t="s">
        <v>24</v>
      </c>
    </row>
    <row r="1066" spans="1:15" x14ac:dyDescent="0.25">
      <c r="A1066">
        <v>1065</v>
      </c>
      <c r="B1066" t="str">
        <f>HYPERLINK("https://digitalcommons.unl.edu/cgi/viewcontent.cgi?article=2324&amp;context=tractormuseumlit","Click for test report")</f>
        <v>Click for test report</v>
      </c>
      <c r="C1066">
        <v>1965</v>
      </c>
      <c r="D1066" t="s">
        <v>5747</v>
      </c>
      <c r="F1066" t="s">
        <v>778</v>
      </c>
      <c r="G1066" t="s">
        <v>778</v>
      </c>
      <c r="H1066" t="s">
        <v>5582</v>
      </c>
      <c r="I1066" t="s">
        <v>1961</v>
      </c>
      <c r="J1066" t="s">
        <v>348</v>
      </c>
      <c r="K1066" t="s">
        <v>4809</v>
      </c>
      <c r="L1066" t="s">
        <v>2825</v>
      </c>
      <c r="N1066" t="s">
        <v>4440</v>
      </c>
      <c r="O1066" t="s">
        <v>24</v>
      </c>
    </row>
    <row r="1067" spans="1:15" x14ac:dyDescent="0.25">
      <c r="A1067">
        <v>1066</v>
      </c>
      <c r="B1067" t="str">
        <f>HYPERLINK("https://digitalcommons.unl.edu/cgi/viewcontent.cgi?article=2325&amp;context=tractormuseumlit","Click for test report")</f>
        <v>Click for test report</v>
      </c>
      <c r="C1067">
        <v>1965</v>
      </c>
      <c r="D1067" t="s">
        <v>3645</v>
      </c>
      <c r="F1067" t="s">
        <v>778</v>
      </c>
      <c r="G1067" t="s">
        <v>778</v>
      </c>
      <c r="H1067" t="s">
        <v>5563</v>
      </c>
      <c r="I1067" t="s">
        <v>1961</v>
      </c>
      <c r="J1067" t="s">
        <v>348</v>
      </c>
      <c r="K1067" t="s">
        <v>21</v>
      </c>
      <c r="L1067" t="s">
        <v>728</v>
      </c>
      <c r="N1067" t="s">
        <v>1994</v>
      </c>
      <c r="O1067" t="s">
        <v>24</v>
      </c>
    </row>
    <row r="1068" spans="1:15" x14ac:dyDescent="0.25">
      <c r="A1068">
        <v>1067</v>
      </c>
      <c r="B1068" t="str">
        <f>HYPERLINK("https://digitalcommons.unl.edu/cgi/viewcontent.cgi?article=2326&amp;context=tractormuseumlit","Click for test report")</f>
        <v>Click for test report</v>
      </c>
      <c r="C1068">
        <v>1965</v>
      </c>
      <c r="D1068" t="s">
        <v>5746</v>
      </c>
      <c r="F1068" t="s">
        <v>778</v>
      </c>
      <c r="G1068" t="s">
        <v>778</v>
      </c>
      <c r="H1068" t="s">
        <v>5580</v>
      </c>
      <c r="I1068" t="s">
        <v>1961</v>
      </c>
      <c r="J1068" t="s">
        <v>348</v>
      </c>
      <c r="K1068" t="s">
        <v>21</v>
      </c>
      <c r="L1068" t="s">
        <v>1893</v>
      </c>
      <c r="N1068" t="s">
        <v>4745</v>
      </c>
      <c r="O1068" t="s">
        <v>24</v>
      </c>
    </row>
    <row r="1069" spans="1:15" x14ac:dyDescent="0.25">
      <c r="A1069">
        <v>1068</v>
      </c>
      <c r="B1069" t="str">
        <f>HYPERLINK("https://digitalcommons.unl.edu/cgi/viewcontent.cgi?article=2327&amp;context=tractormuseumlit","Click for test report")</f>
        <v>Click for test report</v>
      </c>
      <c r="C1069">
        <v>1965</v>
      </c>
      <c r="D1069" t="s">
        <v>5745</v>
      </c>
      <c r="F1069" t="s">
        <v>4472</v>
      </c>
      <c r="G1069" t="s">
        <v>4472</v>
      </c>
      <c r="H1069" t="s">
        <v>5683</v>
      </c>
      <c r="I1069" t="s">
        <v>50</v>
      </c>
      <c r="J1069" t="s">
        <v>348</v>
      </c>
      <c r="K1069" t="s">
        <v>21</v>
      </c>
      <c r="L1069" t="s">
        <v>2699</v>
      </c>
      <c r="N1069" t="s">
        <v>2825</v>
      </c>
      <c r="O1069" t="s">
        <v>24</v>
      </c>
    </row>
    <row r="1070" spans="1:15" x14ac:dyDescent="0.25">
      <c r="A1070">
        <v>1069</v>
      </c>
      <c r="B1070" t="str">
        <f>HYPERLINK("https://digitalcommons.unl.edu/cgi/viewcontent.cgi?article=2328&amp;context=tractormuseumlit","Click for test report")</f>
        <v>Click for test report</v>
      </c>
      <c r="C1070">
        <v>1965</v>
      </c>
      <c r="D1070" t="s">
        <v>5744</v>
      </c>
      <c r="F1070" t="s">
        <v>4472</v>
      </c>
      <c r="G1070" t="s">
        <v>4472</v>
      </c>
      <c r="H1070" t="s">
        <v>4477</v>
      </c>
      <c r="I1070" t="s">
        <v>50</v>
      </c>
      <c r="J1070" t="s">
        <v>348</v>
      </c>
      <c r="K1070" t="s">
        <v>21</v>
      </c>
      <c r="L1070" t="s">
        <v>750</v>
      </c>
      <c r="N1070" t="s">
        <v>2511</v>
      </c>
      <c r="O1070" t="s">
        <v>24</v>
      </c>
    </row>
    <row r="1071" spans="1:15" x14ac:dyDescent="0.25">
      <c r="A1071">
        <v>1070</v>
      </c>
      <c r="B1071" t="str">
        <f>HYPERLINK("https://digitalcommons.unl.edu/cgi/viewcontent.cgi?article=2329&amp;context=tractormuseumlit","Click for test report")</f>
        <v>Click for test report</v>
      </c>
      <c r="C1071">
        <v>1965</v>
      </c>
      <c r="D1071" t="s">
        <v>5742</v>
      </c>
      <c r="F1071" t="s">
        <v>4325</v>
      </c>
      <c r="G1071" t="s">
        <v>4325</v>
      </c>
      <c r="H1071" t="s">
        <v>5743</v>
      </c>
      <c r="I1071" t="s">
        <v>50</v>
      </c>
      <c r="J1071" t="s">
        <v>348</v>
      </c>
      <c r="K1071" t="s">
        <v>21</v>
      </c>
      <c r="L1071" t="s">
        <v>1386</v>
      </c>
      <c r="N1071" t="s">
        <v>569</v>
      </c>
      <c r="O1071" t="s">
        <v>24</v>
      </c>
    </row>
    <row r="1072" spans="1:15" x14ac:dyDescent="0.25">
      <c r="A1072">
        <v>1071</v>
      </c>
      <c r="B1072" t="str">
        <f>HYPERLINK("https://digitalcommons.unl.edu/cgi/viewcontent.cgi?article=2330&amp;context=tractormuseumlit","Click for test report")</f>
        <v>Click for test report</v>
      </c>
      <c r="C1072">
        <v>1965</v>
      </c>
      <c r="D1072" t="s">
        <v>3644</v>
      </c>
      <c r="F1072" t="s">
        <v>5733</v>
      </c>
      <c r="G1072" t="s">
        <v>5734</v>
      </c>
      <c r="H1072" t="s">
        <v>5741</v>
      </c>
      <c r="I1072" t="s">
        <v>50</v>
      </c>
      <c r="J1072" t="s">
        <v>348</v>
      </c>
      <c r="K1072" t="s">
        <v>21</v>
      </c>
      <c r="L1072" t="s">
        <v>2826</v>
      </c>
      <c r="N1072" t="s">
        <v>4745</v>
      </c>
      <c r="O1072" t="s">
        <v>24</v>
      </c>
    </row>
    <row r="1073" spans="1:15" x14ac:dyDescent="0.25">
      <c r="A1073">
        <v>1072</v>
      </c>
      <c r="B1073" t="str">
        <f>HYPERLINK("https://digitalcommons.unl.edu/cgi/viewcontent.cgi?article=2332&amp;context=tractormuseumlit","Click for test report")</f>
        <v>Click for test report</v>
      </c>
      <c r="C1073">
        <v>1965</v>
      </c>
      <c r="D1073" t="s">
        <v>5736</v>
      </c>
      <c r="F1073" t="s">
        <v>62</v>
      </c>
      <c r="G1073" t="s">
        <v>62</v>
      </c>
      <c r="H1073" t="s">
        <v>5737</v>
      </c>
      <c r="I1073" t="s">
        <v>5738</v>
      </c>
      <c r="J1073" t="s">
        <v>348</v>
      </c>
      <c r="K1073" t="s">
        <v>4809</v>
      </c>
      <c r="M1073" t="s">
        <v>5739</v>
      </c>
      <c r="N1073" t="s">
        <v>5740</v>
      </c>
      <c r="O1073" t="s">
        <v>24</v>
      </c>
    </row>
    <row r="1074" spans="1:15" x14ac:dyDescent="0.25">
      <c r="A1074">
        <v>1073</v>
      </c>
      <c r="B1074" t="str">
        <f>HYPERLINK("https://digitalcommons.unl.edu/cgi/viewcontent.cgi?article=2333&amp;context=tractormuseumlit","Click for test report")</f>
        <v>Click for test report</v>
      </c>
      <c r="C1074">
        <v>1965</v>
      </c>
      <c r="D1074" t="s">
        <v>5732</v>
      </c>
      <c r="F1074" t="s">
        <v>5733</v>
      </c>
      <c r="G1074" t="s">
        <v>5734</v>
      </c>
      <c r="H1074" t="s">
        <v>5735</v>
      </c>
      <c r="I1074" t="s">
        <v>50</v>
      </c>
      <c r="J1074" t="s">
        <v>348</v>
      </c>
      <c r="K1074" t="s">
        <v>21</v>
      </c>
      <c r="L1074" t="s">
        <v>1970</v>
      </c>
      <c r="N1074" t="s">
        <v>407</v>
      </c>
      <c r="O1074" t="s">
        <v>24</v>
      </c>
    </row>
    <row r="1075" spans="1:15" x14ac:dyDescent="0.25">
      <c r="A1075">
        <v>1074</v>
      </c>
      <c r="B1075" t="str">
        <f>HYPERLINK("https://digitalcommons.unl.edu/cgi/viewcontent.cgi?article=2334&amp;context=tractormuseumlit","Click for test report")</f>
        <v>Click for test report</v>
      </c>
      <c r="C1075">
        <v>1965</v>
      </c>
      <c r="D1075" t="s">
        <v>5731</v>
      </c>
      <c r="F1075" t="s">
        <v>4503</v>
      </c>
      <c r="G1075" t="s">
        <v>4504</v>
      </c>
      <c r="H1075" t="s">
        <v>5729</v>
      </c>
      <c r="I1075" t="s">
        <v>50</v>
      </c>
      <c r="J1075" t="s">
        <v>348</v>
      </c>
      <c r="K1075" t="s">
        <v>4809</v>
      </c>
      <c r="L1075" t="s">
        <v>3973</v>
      </c>
      <c r="N1075" t="s">
        <v>4012</v>
      </c>
      <c r="O1075" t="s">
        <v>24</v>
      </c>
    </row>
    <row r="1076" spans="1:15" x14ac:dyDescent="0.25">
      <c r="A1076">
        <v>1075</v>
      </c>
      <c r="B1076" t="str">
        <f>HYPERLINK("https://digitalcommons.unl.edu/cgi/viewcontent.cgi?article=2335&amp;context=tractormuseumlit","Click for test report")</f>
        <v>Click for test report</v>
      </c>
      <c r="C1076">
        <v>1965</v>
      </c>
      <c r="D1076" t="s">
        <v>5730</v>
      </c>
      <c r="F1076" t="s">
        <v>4503</v>
      </c>
      <c r="G1076" t="s">
        <v>4504</v>
      </c>
      <c r="H1076" t="s">
        <v>5728</v>
      </c>
      <c r="I1076" t="s">
        <v>1961</v>
      </c>
      <c r="J1076" t="s">
        <v>348</v>
      </c>
      <c r="K1076" t="s">
        <v>4809</v>
      </c>
      <c r="L1076" t="s">
        <v>728</v>
      </c>
      <c r="N1076" t="s">
        <v>1994</v>
      </c>
      <c r="O1076" t="s">
        <v>24</v>
      </c>
    </row>
    <row r="1077" spans="1:15" x14ac:dyDescent="0.25">
      <c r="A1077">
        <v>1076</v>
      </c>
      <c r="B1077" t="str">
        <f>HYPERLINK("https://digitalcommons.unl.edu/cgi/viewcontent.cgi?article=1489&amp;context=tractormuseumlit","Click for test report")</f>
        <v>Click for test report</v>
      </c>
      <c r="C1077">
        <v>1965</v>
      </c>
      <c r="D1077" t="s">
        <v>5144</v>
      </c>
      <c r="F1077" t="s">
        <v>4503</v>
      </c>
      <c r="G1077" t="s">
        <v>4504</v>
      </c>
      <c r="H1077" t="s">
        <v>5265</v>
      </c>
      <c r="I1077" t="s">
        <v>1961</v>
      </c>
      <c r="J1077" t="s">
        <v>348</v>
      </c>
      <c r="K1077" t="s">
        <v>21</v>
      </c>
      <c r="L1077" t="s">
        <v>22</v>
      </c>
      <c r="N1077" t="s">
        <v>561</v>
      </c>
      <c r="O1077" t="s">
        <v>24</v>
      </c>
    </row>
    <row r="1078" spans="1:15" x14ac:dyDescent="0.25">
      <c r="A1078">
        <v>1077</v>
      </c>
      <c r="B1078" t="str">
        <f>HYPERLINK("https://digitalcommons.unl.edu/cgi/viewcontent.cgi?article=2336&amp;context=tractormuseumlit","Click for test report")</f>
        <v>Click for test report</v>
      </c>
      <c r="C1078">
        <v>1965</v>
      </c>
      <c r="D1078" t="s">
        <v>5671</v>
      </c>
      <c r="F1078" t="s">
        <v>4503</v>
      </c>
      <c r="G1078" t="s">
        <v>4504</v>
      </c>
      <c r="H1078" t="s">
        <v>5729</v>
      </c>
      <c r="I1078" t="s">
        <v>50</v>
      </c>
      <c r="J1078" t="s">
        <v>348</v>
      </c>
      <c r="K1078" t="s">
        <v>21</v>
      </c>
      <c r="L1078" t="s">
        <v>3973</v>
      </c>
      <c r="N1078" t="s">
        <v>4012</v>
      </c>
      <c r="O1078" t="s">
        <v>24</v>
      </c>
    </row>
    <row r="1079" spans="1:15" x14ac:dyDescent="0.25">
      <c r="A1079">
        <v>1078</v>
      </c>
      <c r="B1079" t="str">
        <f>HYPERLINK("https://digitalcommons.unl.edu/cgi/viewcontent.cgi?article=2337&amp;context=tractormuseumlit","Click for test report")</f>
        <v>Click for test report</v>
      </c>
      <c r="C1079">
        <v>1965</v>
      </c>
      <c r="D1079" t="s">
        <v>5727</v>
      </c>
      <c r="F1079" t="s">
        <v>4503</v>
      </c>
      <c r="G1079" t="s">
        <v>4504</v>
      </c>
      <c r="H1079" t="s">
        <v>5728</v>
      </c>
      <c r="I1079" t="s">
        <v>1961</v>
      </c>
      <c r="J1079" t="s">
        <v>348</v>
      </c>
      <c r="K1079" t="s">
        <v>21</v>
      </c>
      <c r="L1079" t="s">
        <v>725</v>
      </c>
      <c r="N1079" t="s">
        <v>1994</v>
      </c>
      <c r="O1079" t="s">
        <v>24</v>
      </c>
    </row>
    <row r="1080" spans="1:15" x14ac:dyDescent="0.25">
      <c r="A1080">
        <v>1079</v>
      </c>
      <c r="B1080" t="str">
        <f>HYPERLINK("https://digitalcommons.unl.edu/cgi/viewcontent.cgi?article=1406&amp;context=tractormuseumlit","Click for test report")</f>
        <v>Click for test report</v>
      </c>
      <c r="C1080">
        <v>1965</v>
      </c>
      <c r="D1080" t="s">
        <v>5726</v>
      </c>
      <c r="F1080" t="s">
        <v>17</v>
      </c>
      <c r="G1080" t="s">
        <v>17</v>
      </c>
      <c r="H1080" t="s">
        <v>5723</v>
      </c>
      <c r="I1080" t="s">
        <v>28</v>
      </c>
      <c r="J1080" t="s">
        <v>348</v>
      </c>
      <c r="K1080" t="s">
        <v>4809</v>
      </c>
      <c r="L1080" t="s">
        <v>1650</v>
      </c>
      <c r="N1080" t="s">
        <v>3152</v>
      </c>
      <c r="O1080" t="s">
        <v>24</v>
      </c>
    </row>
    <row r="1081" spans="1:15" x14ac:dyDescent="0.25">
      <c r="A1081">
        <v>1080</v>
      </c>
      <c r="B1081" t="str">
        <f>HYPERLINK("https://digitalcommons.unl.edu/cgi/viewcontent.cgi?article=1407&amp;context=tractormuseumlit","Click for test report")</f>
        <v>Click for test report</v>
      </c>
      <c r="C1081">
        <v>1965</v>
      </c>
      <c r="D1081" t="s">
        <v>5725</v>
      </c>
      <c r="F1081" t="s">
        <v>17</v>
      </c>
      <c r="G1081" t="s">
        <v>17</v>
      </c>
      <c r="H1081" t="s">
        <v>5723</v>
      </c>
      <c r="I1081" t="s">
        <v>50</v>
      </c>
      <c r="J1081" t="s">
        <v>348</v>
      </c>
      <c r="K1081" t="s">
        <v>4809</v>
      </c>
      <c r="L1081" t="s">
        <v>3123</v>
      </c>
      <c r="N1081" t="s">
        <v>410</v>
      </c>
      <c r="O1081" t="s">
        <v>24</v>
      </c>
    </row>
    <row r="1082" spans="1:15" x14ac:dyDescent="0.25">
      <c r="A1082">
        <v>1081</v>
      </c>
      <c r="B1082" t="str">
        <f>HYPERLINK("https://digitalcommons.unl.edu/cgi/viewcontent.cgi?article=1408&amp;context=tractormuseumlit","Click for test report")</f>
        <v>Click for test report</v>
      </c>
      <c r="C1082">
        <v>1965</v>
      </c>
      <c r="D1082" t="s">
        <v>5724</v>
      </c>
      <c r="F1082" t="s">
        <v>17</v>
      </c>
      <c r="G1082" t="s">
        <v>17</v>
      </c>
      <c r="H1082" t="s">
        <v>5723</v>
      </c>
      <c r="I1082" t="s">
        <v>28</v>
      </c>
      <c r="J1082" t="s">
        <v>348</v>
      </c>
      <c r="K1082" t="s">
        <v>21</v>
      </c>
      <c r="L1082" t="s">
        <v>735</v>
      </c>
      <c r="N1082" t="s">
        <v>2511</v>
      </c>
      <c r="O1082" t="s">
        <v>24</v>
      </c>
    </row>
    <row r="1083" spans="1:15" x14ac:dyDescent="0.25">
      <c r="A1083">
        <v>1082</v>
      </c>
      <c r="B1083" t="str">
        <f>HYPERLINK("https://digitalcommons.unl.edu/cgi/viewcontent.cgi?article=1409&amp;context=tractormuseumlit","Click for test report")</f>
        <v>Click for test report</v>
      </c>
      <c r="C1083">
        <v>1965</v>
      </c>
      <c r="D1083" t="s">
        <v>5722</v>
      </c>
      <c r="F1083" t="s">
        <v>17</v>
      </c>
      <c r="G1083" t="s">
        <v>17</v>
      </c>
      <c r="H1083" t="s">
        <v>5723</v>
      </c>
      <c r="I1083" t="s">
        <v>50</v>
      </c>
      <c r="J1083" t="s">
        <v>348</v>
      </c>
      <c r="K1083" t="s">
        <v>21</v>
      </c>
      <c r="L1083" t="s">
        <v>1994</v>
      </c>
      <c r="N1083" t="s">
        <v>2188</v>
      </c>
      <c r="O1083" t="s">
        <v>24</v>
      </c>
    </row>
    <row r="1084" spans="1:15" x14ac:dyDescent="0.25">
      <c r="A1084">
        <v>1083</v>
      </c>
      <c r="B1084" t="str">
        <f>HYPERLINK("https://digitalcommons.unl.edu/cgi/viewcontent.cgi?article=2338&amp;context=tractormuseumlit","Click for test report")</f>
        <v>Click for test report</v>
      </c>
      <c r="C1084">
        <v>1965</v>
      </c>
      <c r="D1084" t="s">
        <v>5720</v>
      </c>
      <c r="F1084" t="s">
        <v>3800</v>
      </c>
      <c r="G1084" t="s">
        <v>4473</v>
      </c>
      <c r="H1084" t="s">
        <v>5721</v>
      </c>
      <c r="I1084" t="s">
        <v>50</v>
      </c>
      <c r="J1084" t="s">
        <v>348</v>
      </c>
      <c r="K1084" t="s">
        <v>21</v>
      </c>
      <c r="L1084" t="s">
        <v>349</v>
      </c>
      <c r="N1084" t="s">
        <v>353</v>
      </c>
      <c r="O1084" t="s">
        <v>24</v>
      </c>
    </row>
    <row r="1085" spans="1:15" x14ac:dyDescent="0.25">
      <c r="A1085">
        <v>1084</v>
      </c>
      <c r="B1085" t="str">
        <f>HYPERLINK("https://digitalcommons.unl.edu/cgi/viewcontent.cgi?article=2339&amp;context=tractormuseumlit","Click for test report")</f>
        <v>Click for test report</v>
      </c>
      <c r="C1085">
        <v>1965</v>
      </c>
      <c r="D1085" t="s">
        <v>5718</v>
      </c>
      <c r="F1085" t="s">
        <v>3800</v>
      </c>
      <c r="G1085" t="s">
        <v>4473</v>
      </c>
      <c r="H1085" t="s">
        <v>5719</v>
      </c>
      <c r="I1085" t="s">
        <v>50</v>
      </c>
      <c r="J1085" t="s">
        <v>348</v>
      </c>
      <c r="K1085" t="s">
        <v>21</v>
      </c>
      <c r="L1085" t="s">
        <v>1796</v>
      </c>
      <c r="N1085" t="s">
        <v>740</v>
      </c>
      <c r="O1085" t="s">
        <v>24</v>
      </c>
    </row>
    <row r="1086" spans="1:15" x14ac:dyDescent="0.25">
      <c r="A1086">
        <v>1085</v>
      </c>
      <c r="B1086" t="str">
        <f>HYPERLINK("https://digitalcommons.unl.edu/cgi/viewcontent.cgi?article=2341&amp;context=tractormuseumlit","Click for test report")</f>
        <v>Click for test report</v>
      </c>
      <c r="C1086">
        <v>1965</v>
      </c>
      <c r="D1086" t="s">
        <v>5717</v>
      </c>
      <c r="F1086" t="s">
        <v>3800</v>
      </c>
      <c r="G1086" t="s">
        <v>4473</v>
      </c>
      <c r="H1086" t="s">
        <v>5716</v>
      </c>
      <c r="I1086" t="s">
        <v>50</v>
      </c>
      <c r="J1086" t="s">
        <v>348</v>
      </c>
      <c r="K1086" t="s">
        <v>4809</v>
      </c>
      <c r="L1086" t="s">
        <v>1350</v>
      </c>
      <c r="N1086" t="s">
        <v>731</v>
      </c>
      <c r="O1086" t="s">
        <v>24</v>
      </c>
    </row>
    <row r="1087" spans="1:15" x14ac:dyDescent="0.25">
      <c r="A1087">
        <v>1086</v>
      </c>
      <c r="B1087" t="str">
        <f>HYPERLINK("https://digitalcommons.unl.edu/cgi/viewcontent.cgi?article=2342&amp;context=tractormuseumlit","Click for test report")</f>
        <v>Click for test report</v>
      </c>
      <c r="C1087">
        <v>1965</v>
      </c>
      <c r="D1087" t="s">
        <v>3642</v>
      </c>
      <c r="F1087" t="s">
        <v>3800</v>
      </c>
      <c r="G1087" t="s">
        <v>4473</v>
      </c>
      <c r="H1087" t="s">
        <v>5714</v>
      </c>
      <c r="I1087" t="s">
        <v>50</v>
      </c>
      <c r="J1087" t="s">
        <v>348</v>
      </c>
      <c r="K1087" t="s">
        <v>4809</v>
      </c>
      <c r="L1087" t="s">
        <v>55</v>
      </c>
      <c r="N1087" t="s">
        <v>722</v>
      </c>
      <c r="O1087" t="s">
        <v>24</v>
      </c>
    </row>
    <row r="1088" spans="1:15" x14ac:dyDescent="0.25">
      <c r="A1088">
        <v>1087</v>
      </c>
      <c r="B1088" t="str">
        <f>HYPERLINK("https://digitalcommons.unl.edu/cgi/viewcontent.cgi?article=2343&amp;context=tractormuseumlit","Click for test report")</f>
        <v>Click for test report</v>
      </c>
      <c r="C1088">
        <v>1965</v>
      </c>
      <c r="D1088" t="s">
        <v>5715</v>
      </c>
      <c r="F1088" t="s">
        <v>3800</v>
      </c>
      <c r="G1088" t="s">
        <v>4473</v>
      </c>
      <c r="H1088" t="s">
        <v>5716</v>
      </c>
      <c r="I1088" t="s">
        <v>50</v>
      </c>
      <c r="J1088" t="s">
        <v>348</v>
      </c>
      <c r="K1088" t="s">
        <v>5598</v>
      </c>
      <c r="L1088" t="s">
        <v>349</v>
      </c>
      <c r="N1088" t="s">
        <v>731</v>
      </c>
      <c r="O1088" t="s">
        <v>24</v>
      </c>
    </row>
    <row r="1089" spans="1:15" x14ac:dyDescent="0.25">
      <c r="A1089">
        <v>1088</v>
      </c>
      <c r="B1089" t="str">
        <f>HYPERLINK("https://digitalcommons.unl.edu/cgi/viewcontent.cgi?article=2344&amp;context=tractormuseumlit","Click for test report")</f>
        <v>Click for test report</v>
      </c>
      <c r="C1089">
        <v>1965</v>
      </c>
      <c r="D1089" t="s">
        <v>5713</v>
      </c>
      <c r="F1089" t="s">
        <v>3800</v>
      </c>
      <c r="G1089" t="s">
        <v>4473</v>
      </c>
      <c r="H1089" t="s">
        <v>5714</v>
      </c>
      <c r="I1089" t="s">
        <v>50</v>
      </c>
      <c r="J1089" t="s">
        <v>348</v>
      </c>
      <c r="K1089" t="s">
        <v>5598</v>
      </c>
      <c r="L1089" t="s">
        <v>1796</v>
      </c>
      <c r="N1089" t="s">
        <v>58</v>
      </c>
      <c r="O1089" t="s">
        <v>24</v>
      </c>
    </row>
    <row r="1090" spans="1:15" x14ac:dyDescent="0.25">
      <c r="A1090">
        <v>1089</v>
      </c>
      <c r="B1090" t="str">
        <f>HYPERLINK("https://digitalcommons.unl.edu/cgi/viewcontent.cgi?article=2345&amp;context=tractormuseumlit","Click for test report")</f>
        <v>Click for test report</v>
      </c>
      <c r="C1090">
        <v>1965</v>
      </c>
      <c r="D1090" t="s">
        <v>5712</v>
      </c>
      <c r="F1090" t="s">
        <v>778</v>
      </c>
      <c r="G1090" t="s">
        <v>778</v>
      </c>
      <c r="H1090" t="s">
        <v>5445</v>
      </c>
      <c r="I1090" t="s">
        <v>1961</v>
      </c>
      <c r="J1090" t="s">
        <v>348</v>
      </c>
      <c r="K1090" t="s">
        <v>21</v>
      </c>
      <c r="L1090" t="s">
        <v>131</v>
      </c>
      <c r="N1090" t="s">
        <v>1796</v>
      </c>
      <c r="O1090" t="s">
        <v>24</v>
      </c>
    </row>
    <row r="1091" spans="1:15" x14ac:dyDescent="0.25">
      <c r="A1091">
        <v>1090</v>
      </c>
      <c r="B1091" t="str">
        <f>HYPERLINK("https://digitalcommons.unl.edu/cgi/viewcontent.cgi?article=2346&amp;context=tractormuseumlit","Click for test report")</f>
        <v>Click for test report</v>
      </c>
      <c r="C1091">
        <v>1965</v>
      </c>
      <c r="D1091" t="s">
        <v>5698</v>
      </c>
      <c r="F1091" t="s">
        <v>5347</v>
      </c>
      <c r="G1091" t="s">
        <v>5347</v>
      </c>
      <c r="H1091" t="s">
        <v>5711</v>
      </c>
      <c r="I1091" t="s">
        <v>1961</v>
      </c>
      <c r="J1091" t="s">
        <v>348</v>
      </c>
      <c r="K1091" t="s">
        <v>5598</v>
      </c>
      <c r="L1091" t="s">
        <v>1867</v>
      </c>
      <c r="N1091" t="s">
        <v>349</v>
      </c>
      <c r="O1091" t="s">
        <v>24</v>
      </c>
    </row>
    <row r="1092" spans="1:15" x14ac:dyDescent="0.25">
      <c r="A1092">
        <v>1091</v>
      </c>
      <c r="B1092" t="str">
        <f>HYPERLINK("https://digitalcommons.unl.edu/cgi/viewcontent.cgi?article=2347&amp;context=tractormuseumlit","Click for test report")</f>
        <v>Click for test report</v>
      </c>
      <c r="C1092">
        <v>1965</v>
      </c>
      <c r="D1092" t="s">
        <v>3641</v>
      </c>
      <c r="F1092" t="s">
        <v>5347</v>
      </c>
      <c r="G1092" t="s">
        <v>5347</v>
      </c>
      <c r="H1092" t="s">
        <v>5711</v>
      </c>
      <c r="I1092" t="s">
        <v>1961</v>
      </c>
      <c r="J1092" t="s">
        <v>348</v>
      </c>
      <c r="K1092" t="s">
        <v>4809</v>
      </c>
      <c r="L1092" t="s">
        <v>743</v>
      </c>
      <c r="N1092" t="s">
        <v>349</v>
      </c>
      <c r="O1092" t="s">
        <v>24</v>
      </c>
    </row>
    <row r="1093" spans="1:15" x14ac:dyDescent="0.25">
      <c r="A1093">
        <v>1092</v>
      </c>
      <c r="B1093" t="str">
        <f>HYPERLINK("https://digitalcommons.unl.edu/cgi/viewcontent.cgi?article=2348&amp;context=tractormuseumlit","Click for test report")</f>
        <v>Click for test report</v>
      </c>
      <c r="C1093">
        <v>1965</v>
      </c>
      <c r="D1093" t="s">
        <v>5695</v>
      </c>
      <c r="F1093" t="s">
        <v>5347</v>
      </c>
      <c r="G1093" t="s">
        <v>5347</v>
      </c>
      <c r="H1093" t="s">
        <v>5711</v>
      </c>
      <c r="I1093" t="s">
        <v>1961</v>
      </c>
      <c r="J1093" t="s">
        <v>348</v>
      </c>
      <c r="K1093" t="s">
        <v>21</v>
      </c>
      <c r="L1093" t="s">
        <v>764</v>
      </c>
      <c r="N1093" t="s">
        <v>349</v>
      </c>
      <c r="O1093" t="s">
        <v>24</v>
      </c>
    </row>
    <row r="1094" spans="1:15" x14ac:dyDescent="0.25">
      <c r="A1094">
        <v>1093</v>
      </c>
      <c r="B1094" t="str">
        <f>HYPERLINK("https://digitalcommons.unl.edu/cgi/viewcontent.cgi?article=2349&amp;context=tractormuseumlit","Click for test report")</f>
        <v>Click for test report</v>
      </c>
      <c r="C1094">
        <v>1965</v>
      </c>
      <c r="D1094" t="s">
        <v>5710</v>
      </c>
      <c r="F1094" t="s">
        <v>4325</v>
      </c>
      <c r="G1094" t="s">
        <v>4325</v>
      </c>
      <c r="H1094" t="s">
        <v>5707</v>
      </c>
      <c r="I1094" t="s">
        <v>1961</v>
      </c>
      <c r="J1094" t="s">
        <v>348</v>
      </c>
      <c r="K1094" t="s">
        <v>5598</v>
      </c>
      <c r="L1094" t="s">
        <v>1796</v>
      </c>
      <c r="N1094" t="s">
        <v>378</v>
      </c>
      <c r="O1094" t="s">
        <v>24</v>
      </c>
    </row>
    <row r="1095" spans="1:15" x14ac:dyDescent="0.25">
      <c r="A1095">
        <v>1094</v>
      </c>
      <c r="B1095" t="str">
        <f>HYPERLINK("https://digitalcommons.unl.edu/cgi/viewcontent.cgi?article=2350&amp;context=tractormuseumlit","Click for test report")</f>
        <v>Click for test report</v>
      </c>
      <c r="C1095">
        <v>1965</v>
      </c>
      <c r="D1095" t="s">
        <v>5708</v>
      </c>
      <c r="F1095" t="s">
        <v>4325</v>
      </c>
      <c r="G1095" t="s">
        <v>4325</v>
      </c>
      <c r="H1095" t="s">
        <v>5709</v>
      </c>
      <c r="I1095" t="s">
        <v>1961</v>
      </c>
      <c r="J1095" t="s">
        <v>348</v>
      </c>
      <c r="K1095" t="s">
        <v>4809</v>
      </c>
      <c r="L1095" t="s">
        <v>58</v>
      </c>
      <c r="N1095" t="s">
        <v>1350</v>
      </c>
      <c r="O1095" t="s">
        <v>24</v>
      </c>
    </row>
    <row r="1096" spans="1:15" x14ac:dyDescent="0.25">
      <c r="A1096">
        <v>1095</v>
      </c>
      <c r="B1096" t="str">
        <f>HYPERLINK("https://digitalcommons.unl.edu/cgi/viewcontent.cgi?article=2351&amp;context=tractormuseumlit","Click for test report")</f>
        <v>Click for test report</v>
      </c>
      <c r="C1096">
        <v>1965</v>
      </c>
      <c r="D1096" t="s">
        <v>5706</v>
      </c>
      <c r="F1096" t="s">
        <v>4325</v>
      </c>
      <c r="G1096" t="s">
        <v>4325</v>
      </c>
      <c r="H1096" t="s">
        <v>5707</v>
      </c>
      <c r="I1096" t="s">
        <v>1961</v>
      </c>
      <c r="J1096" t="s">
        <v>348</v>
      </c>
      <c r="K1096" t="s">
        <v>4809</v>
      </c>
      <c r="L1096" t="s">
        <v>713</v>
      </c>
      <c r="N1096" t="s">
        <v>574</v>
      </c>
      <c r="O1096" t="s">
        <v>24</v>
      </c>
    </row>
    <row r="1097" spans="1:15" x14ac:dyDescent="0.25">
      <c r="A1097">
        <v>1096</v>
      </c>
      <c r="B1097" t="str">
        <f>HYPERLINK("https://digitalcommons.unl.edu/cgi/viewcontent.cgi?article=1410&amp;context=tractormuseumlit","Click for test report")</f>
        <v>Click for test report</v>
      </c>
      <c r="C1097">
        <v>1965</v>
      </c>
      <c r="D1097" t="s">
        <v>5705</v>
      </c>
      <c r="F1097" t="s">
        <v>17</v>
      </c>
      <c r="G1097" t="s">
        <v>17</v>
      </c>
      <c r="H1097" t="s">
        <v>5557</v>
      </c>
      <c r="I1097" t="s">
        <v>50</v>
      </c>
      <c r="J1097" t="s">
        <v>348</v>
      </c>
      <c r="K1097" t="s">
        <v>21</v>
      </c>
      <c r="L1097" t="s">
        <v>247</v>
      </c>
      <c r="N1097" t="s">
        <v>1796</v>
      </c>
      <c r="O1097" t="s">
        <v>24</v>
      </c>
    </row>
    <row r="1098" spans="1:15" x14ac:dyDescent="0.25">
      <c r="A1098">
        <v>1097</v>
      </c>
      <c r="B1098" t="str">
        <f>HYPERLINK("https://digitalcommons.unl.edu/cgi/viewcontent.cgi?article=2352&amp;context=tractormuseumlit","Click for test report")</f>
        <v>Click for test report</v>
      </c>
      <c r="C1098">
        <v>1965</v>
      </c>
      <c r="D1098" t="s">
        <v>5704</v>
      </c>
      <c r="F1098" t="s">
        <v>4503</v>
      </c>
      <c r="G1098" t="s">
        <v>4504</v>
      </c>
      <c r="H1098" t="s">
        <v>5270</v>
      </c>
      <c r="I1098" t="s">
        <v>50</v>
      </c>
      <c r="J1098" t="s">
        <v>29</v>
      </c>
      <c r="K1098" t="s">
        <v>21</v>
      </c>
      <c r="N1098" t="s">
        <v>122</v>
      </c>
      <c r="O1098" t="s">
        <v>2163</v>
      </c>
    </row>
    <row r="1099" spans="1:15" x14ac:dyDescent="0.25">
      <c r="A1099">
        <v>1098</v>
      </c>
      <c r="B1099" t="str">
        <f>HYPERLINK("https://digitalcommons.unl.edu/cgi/viewcontent.cgi?article=2242&amp;context=tractormuseumlit","Click for test report")</f>
        <v>Click for test report</v>
      </c>
      <c r="C1099">
        <v>1966</v>
      </c>
      <c r="D1099" t="s">
        <v>5703</v>
      </c>
      <c r="F1099" t="s">
        <v>5700</v>
      </c>
      <c r="G1099" t="s">
        <v>5347</v>
      </c>
      <c r="H1099" t="s">
        <v>5701</v>
      </c>
      <c r="I1099" t="s">
        <v>1961</v>
      </c>
      <c r="J1099" t="s">
        <v>348</v>
      </c>
      <c r="K1099" t="s">
        <v>4809</v>
      </c>
      <c r="L1099" t="s">
        <v>1009</v>
      </c>
      <c r="N1099" t="s">
        <v>2826</v>
      </c>
      <c r="O1099" t="s">
        <v>5702</v>
      </c>
    </row>
    <row r="1100" spans="1:15" x14ac:dyDescent="0.25">
      <c r="A1100">
        <v>1099</v>
      </c>
      <c r="B1100" t="str">
        <f>HYPERLINK("https://digitalcommons.unl.edu/cgi/viewcontent.cgi?article=2243&amp;context=tractormuseumlit","Click for test report")</f>
        <v>Click for test report</v>
      </c>
      <c r="C1100">
        <v>1966</v>
      </c>
      <c r="D1100" t="s">
        <v>5699</v>
      </c>
      <c r="F1100" t="s">
        <v>5700</v>
      </c>
      <c r="G1100" t="s">
        <v>5347</v>
      </c>
      <c r="H1100" t="s">
        <v>5701</v>
      </c>
      <c r="I1100" t="s">
        <v>1961</v>
      </c>
      <c r="J1100" t="s">
        <v>348</v>
      </c>
      <c r="K1100" t="s">
        <v>5598</v>
      </c>
      <c r="L1100" t="s">
        <v>2511</v>
      </c>
      <c r="N1100" t="s">
        <v>2627</v>
      </c>
      <c r="O1100" t="s">
        <v>5702</v>
      </c>
    </row>
    <row r="1101" spans="1:15" x14ac:dyDescent="0.25">
      <c r="A1101">
        <v>1100</v>
      </c>
      <c r="B1101" t="str">
        <f>HYPERLINK("https://digitalcommons.unl.edu/cgi/viewcontent.cgi?article=2346&amp;context=tractormuseumlit","Click for test report")</f>
        <v>Click for test report</v>
      </c>
      <c r="C1101">
        <v>1966</v>
      </c>
      <c r="D1101" t="s">
        <v>5698</v>
      </c>
      <c r="F1101" t="s">
        <v>5347</v>
      </c>
      <c r="G1101" t="s">
        <v>5347</v>
      </c>
      <c r="H1101" t="s">
        <v>5696</v>
      </c>
      <c r="I1101" t="s">
        <v>1961</v>
      </c>
      <c r="J1101" t="s">
        <v>348</v>
      </c>
      <c r="K1101" t="s">
        <v>5598</v>
      </c>
      <c r="L1101" t="s">
        <v>1867</v>
      </c>
      <c r="N1101" t="s">
        <v>349</v>
      </c>
      <c r="O1101" t="s">
        <v>5697</v>
      </c>
    </row>
    <row r="1102" spans="1:15" x14ac:dyDescent="0.25">
      <c r="A1102">
        <v>1101</v>
      </c>
      <c r="B1102" t="str">
        <f>HYPERLINK("https://digitalcommons.unl.edu/cgi/viewcontent.cgi?article=2347&amp;context=tractormuseumlit","Click for test report")</f>
        <v>Click for test report</v>
      </c>
      <c r="C1102">
        <v>1966</v>
      </c>
      <c r="D1102" t="s">
        <v>3641</v>
      </c>
      <c r="F1102" t="s">
        <v>5347</v>
      </c>
      <c r="G1102" t="s">
        <v>5347</v>
      </c>
      <c r="H1102" t="s">
        <v>5696</v>
      </c>
      <c r="I1102" t="s">
        <v>1961</v>
      </c>
      <c r="J1102" t="s">
        <v>348</v>
      </c>
      <c r="K1102" t="s">
        <v>4809</v>
      </c>
      <c r="L1102" t="s">
        <v>743</v>
      </c>
      <c r="N1102" t="s">
        <v>349</v>
      </c>
      <c r="O1102" t="s">
        <v>5697</v>
      </c>
    </row>
    <row r="1103" spans="1:15" x14ac:dyDescent="0.25">
      <c r="A1103">
        <v>1102</v>
      </c>
      <c r="B1103" t="str">
        <f>HYPERLINK("https://digitalcommons.unl.edu/cgi/viewcontent.cgi?article=2348&amp;context=tractormuseumlit","Click for test report")</f>
        <v>Click for test report</v>
      </c>
      <c r="C1103">
        <v>1966</v>
      </c>
      <c r="D1103" t="s">
        <v>5695</v>
      </c>
      <c r="F1103" t="s">
        <v>5347</v>
      </c>
      <c r="G1103" t="s">
        <v>5347</v>
      </c>
      <c r="H1103" t="s">
        <v>5696</v>
      </c>
      <c r="I1103" t="s">
        <v>1961</v>
      </c>
      <c r="J1103" t="s">
        <v>348</v>
      </c>
      <c r="K1103" t="s">
        <v>21</v>
      </c>
      <c r="L1103" t="s">
        <v>764</v>
      </c>
      <c r="N1103" t="s">
        <v>349</v>
      </c>
      <c r="O1103" t="s">
        <v>5697</v>
      </c>
    </row>
    <row r="1104" spans="1:15" x14ac:dyDescent="0.25">
      <c r="A1104">
        <v>1103</v>
      </c>
      <c r="B1104" t="str">
        <f>HYPERLINK("https://digitalcommons.unl.edu/cgi/viewcontent.cgi?article=2353&amp;context=tractormuseumlit","Click for test report")</f>
        <v>Click for test report</v>
      </c>
      <c r="C1104">
        <v>1966</v>
      </c>
      <c r="D1104" t="s">
        <v>5694</v>
      </c>
      <c r="F1104" t="s">
        <v>4395</v>
      </c>
      <c r="G1104" t="s">
        <v>3708</v>
      </c>
      <c r="H1104" t="s">
        <v>5616</v>
      </c>
      <c r="I1104" t="s">
        <v>50</v>
      </c>
      <c r="J1104" t="s">
        <v>348</v>
      </c>
      <c r="K1104" t="s">
        <v>4809</v>
      </c>
      <c r="L1104" t="s">
        <v>1051</v>
      </c>
      <c r="N1104" t="s">
        <v>3123</v>
      </c>
      <c r="O1104" t="s">
        <v>3468</v>
      </c>
    </row>
    <row r="1105" spans="1:15" x14ac:dyDescent="0.25">
      <c r="A1105">
        <v>1104</v>
      </c>
      <c r="B1105" t="str">
        <f>HYPERLINK("https://digitalcommons.unl.edu/cgi/viewcontent.cgi?article=2354&amp;context=tractormuseumlit","Click for test report")</f>
        <v>Click for test report</v>
      </c>
      <c r="C1105">
        <v>1966</v>
      </c>
      <c r="D1105" t="s">
        <v>5693</v>
      </c>
      <c r="F1105" t="s">
        <v>4395</v>
      </c>
      <c r="G1105" t="s">
        <v>3708</v>
      </c>
      <c r="H1105" t="s">
        <v>5616</v>
      </c>
      <c r="I1105" t="s">
        <v>28</v>
      </c>
      <c r="J1105" t="s">
        <v>348</v>
      </c>
      <c r="K1105" t="s">
        <v>4809</v>
      </c>
      <c r="L1105" t="s">
        <v>353</v>
      </c>
      <c r="N1105" t="s">
        <v>735</v>
      </c>
      <c r="O1105" t="s">
        <v>5617</v>
      </c>
    </row>
    <row r="1106" spans="1:15" x14ac:dyDescent="0.25">
      <c r="A1106">
        <v>1105</v>
      </c>
      <c r="B1106" t="str">
        <f>HYPERLINK("https://digitalcommons.unl.edu/cgi/viewcontent.cgi?article=1411&amp;context=tractormuseumlit","Click for test report")</f>
        <v>Click for test report</v>
      </c>
      <c r="C1106">
        <v>1966</v>
      </c>
      <c r="D1106" t="s">
        <v>5692</v>
      </c>
      <c r="F1106" t="s">
        <v>17</v>
      </c>
      <c r="G1106" t="s">
        <v>17</v>
      </c>
      <c r="H1106" t="s">
        <v>5557</v>
      </c>
      <c r="I1106" t="s">
        <v>50</v>
      </c>
      <c r="J1106" t="s">
        <v>348</v>
      </c>
      <c r="K1106" t="s">
        <v>5598</v>
      </c>
      <c r="L1106" t="s">
        <v>247</v>
      </c>
      <c r="N1106" t="s">
        <v>55</v>
      </c>
      <c r="O1106" t="s">
        <v>24</v>
      </c>
    </row>
    <row r="1107" spans="1:15" x14ac:dyDescent="0.25">
      <c r="A1107">
        <v>1106</v>
      </c>
      <c r="B1107" t="str">
        <f>HYPERLINK("https://digitalcommons.unl.edu/cgi/viewcontent.cgi?article=1412&amp;context=tractormuseumlit","Click for test report")</f>
        <v>Click for test report</v>
      </c>
      <c r="C1107">
        <v>1966</v>
      </c>
      <c r="D1107" t="s">
        <v>5691</v>
      </c>
      <c r="F1107" t="s">
        <v>17</v>
      </c>
      <c r="G1107" t="s">
        <v>17</v>
      </c>
      <c r="H1107" t="s">
        <v>4451</v>
      </c>
      <c r="I1107" t="s">
        <v>50</v>
      </c>
      <c r="J1107" t="s">
        <v>348</v>
      </c>
      <c r="K1107" t="s">
        <v>4809</v>
      </c>
      <c r="L1107" t="s">
        <v>1802</v>
      </c>
      <c r="N1107" t="s">
        <v>4012</v>
      </c>
      <c r="O1107" t="s">
        <v>24</v>
      </c>
    </row>
    <row r="1108" spans="1:15" x14ac:dyDescent="0.25">
      <c r="A1108">
        <v>1107</v>
      </c>
      <c r="B1108" t="str">
        <f>HYPERLINK("https://digitalcommons.unl.edu/cgi/viewcontent.cgi?article=1413&amp;context=tractormuseumlit","Click for test report")</f>
        <v>Click for test report</v>
      </c>
      <c r="C1108">
        <v>1966</v>
      </c>
      <c r="D1108" t="s">
        <v>4405</v>
      </c>
      <c r="F1108" t="s">
        <v>17</v>
      </c>
      <c r="G1108" t="s">
        <v>17</v>
      </c>
      <c r="H1108" t="s">
        <v>1550</v>
      </c>
      <c r="I1108" t="s">
        <v>50</v>
      </c>
      <c r="J1108" t="s">
        <v>348</v>
      </c>
      <c r="K1108" t="s">
        <v>4809</v>
      </c>
      <c r="L1108" t="s">
        <v>3123</v>
      </c>
      <c r="N1108" t="s">
        <v>1009</v>
      </c>
      <c r="O1108" t="s">
        <v>24</v>
      </c>
    </row>
    <row r="1109" spans="1:15" x14ac:dyDescent="0.25">
      <c r="A1109">
        <v>1108</v>
      </c>
      <c r="B1109" t="str">
        <f>HYPERLINK("https://digitalcommons.unl.edu/cgi/viewcontent.cgi?article=1414&amp;context=tractormuseumlit","Click for test report")</f>
        <v>Click for test report</v>
      </c>
      <c r="C1109">
        <v>1966</v>
      </c>
      <c r="D1109" t="s">
        <v>5690</v>
      </c>
      <c r="F1109" t="s">
        <v>17</v>
      </c>
      <c r="G1109" t="s">
        <v>17</v>
      </c>
      <c r="H1109" t="s">
        <v>4451</v>
      </c>
      <c r="I1109" t="s">
        <v>50</v>
      </c>
      <c r="J1109" t="s">
        <v>348</v>
      </c>
      <c r="K1109" t="s">
        <v>21</v>
      </c>
      <c r="L1109" t="s">
        <v>1802</v>
      </c>
      <c r="N1109" t="s">
        <v>4012</v>
      </c>
      <c r="O1109" t="s">
        <v>24</v>
      </c>
    </row>
    <row r="1110" spans="1:15" x14ac:dyDescent="0.25">
      <c r="A1110">
        <v>1109</v>
      </c>
      <c r="B1110" t="str">
        <f>HYPERLINK("https://digitalcommons.unl.edu/cgi/viewcontent.cgi?article=1415&amp;context=tractormuseumlit","Click for test report")</f>
        <v>Click for test report</v>
      </c>
      <c r="C1110">
        <v>1966</v>
      </c>
      <c r="D1110" t="s">
        <v>5689</v>
      </c>
      <c r="F1110" t="s">
        <v>17</v>
      </c>
      <c r="G1110" t="s">
        <v>17</v>
      </c>
      <c r="H1110" t="s">
        <v>1550</v>
      </c>
      <c r="I1110" t="s">
        <v>50</v>
      </c>
      <c r="J1110" t="s">
        <v>348</v>
      </c>
      <c r="K1110" t="s">
        <v>21</v>
      </c>
      <c r="L1110" t="s">
        <v>1994</v>
      </c>
      <c r="N1110" t="s">
        <v>407</v>
      </c>
      <c r="O1110" t="s">
        <v>24</v>
      </c>
    </row>
    <row r="1111" spans="1:15" x14ac:dyDescent="0.25">
      <c r="A1111">
        <v>1110</v>
      </c>
      <c r="B1111" t="str">
        <f>HYPERLINK("https://digitalcommons.unl.edu/cgi/viewcontent.cgi?article=1416&amp;context=tractormuseumlit","Click for test report")</f>
        <v>Click for test report</v>
      </c>
      <c r="C1111">
        <v>1966</v>
      </c>
      <c r="D1111" t="s">
        <v>5688</v>
      </c>
      <c r="F1111" t="s">
        <v>17</v>
      </c>
      <c r="G1111" t="s">
        <v>17</v>
      </c>
      <c r="H1111" t="s">
        <v>5557</v>
      </c>
      <c r="I1111" t="s">
        <v>50</v>
      </c>
      <c r="J1111" t="s">
        <v>348</v>
      </c>
      <c r="K1111" t="s">
        <v>4809</v>
      </c>
      <c r="L1111" t="s">
        <v>339</v>
      </c>
      <c r="N1111" t="s">
        <v>343</v>
      </c>
      <c r="O1111" t="s">
        <v>24</v>
      </c>
    </row>
    <row r="1112" spans="1:15" x14ac:dyDescent="0.25">
      <c r="A1112">
        <v>1111</v>
      </c>
      <c r="B1112" t="str">
        <f>HYPERLINK("https://digitalcommons.unl.edu/cgi/viewcontent.cgi?article=1417&amp;context=tractormuseumlit","Click for test report")</f>
        <v>Click for test report</v>
      </c>
      <c r="C1112">
        <v>1966</v>
      </c>
      <c r="D1112" t="s">
        <v>5687</v>
      </c>
      <c r="F1112" t="s">
        <v>17</v>
      </c>
      <c r="G1112" t="s">
        <v>17</v>
      </c>
      <c r="H1112" t="s">
        <v>5576</v>
      </c>
      <c r="I1112" t="s">
        <v>50</v>
      </c>
      <c r="J1112" t="s">
        <v>348</v>
      </c>
      <c r="K1112" t="s">
        <v>21</v>
      </c>
      <c r="L1112" t="s">
        <v>764</v>
      </c>
      <c r="N1112" t="s">
        <v>728</v>
      </c>
      <c r="O1112" t="s">
        <v>24</v>
      </c>
    </row>
    <row r="1113" spans="1:15" x14ac:dyDescent="0.25">
      <c r="A1113">
        <v>1112</v>
      </c>
      <c r="B1113" t="str">
        <f>HYPERLINK("https://digitalcommons.unl.edu/cgi/viewcontent.cgi?article=1418&amp;context=tractormuseumlit","Click for test report")</f>
        <v>Click for test report</v>
      </c>
      <c r="C1113">
        <v>1966</v>
      </c>
      <c r="D1113" t="s">
        <v>5686</v>
      </c>
      <c r="F1113" t="s">
        <v>17</v>
      </c>
      <c r="G1113" t="s">
        <v>17</v>
      </c>
      <c r="H1113" t="s">
        <v>5576</v>
      </c>
      <c r="I1113" t="s">
        <v>50</v>
      </c>
      <c r="J1113" t="s">
        <v>348</v>
      </c>
      <c r="K1113" t="s">
        <v>4809</v>
      </c>
      <c r="L1113" t="s">
        <v>1347</v>
      </c>
      <c r="N1113" t="s">
        <v>728</v>
      </c>
      <c r="O1113" t="s">
        <v>24</v>
      </c>
    </row>
    <row r="1114" spans="1:15" x14ac:dyDescent="0.25">
      <c r="A1114">
        <v>1113</v>
      </c>
      <c r="B1114" t="str">
        <f>HYPERLINK("https://digitalcommons.unl.edu/cgi/viewcontent.cgi?article=1419&amp;context=tractormuseumlit","Click for test report")</f>
        <v>Click for test report</v>
      </c>
      <c r="C1114">
        <v>1966</v>
      </c>
      <c r="D1114" t="s">
        <v>5685</v>
      </c>
      <c r="F1114" t="s">
        <v>17</v>
      </c>
      <c r="G1114" t="s">
        <v>17</v>
      </c>
      <c r="H1114" t="s">
        <v>5576</v>
      </c>
      <c r="I1114" t="s">
        <v>50</v>
      </c>
      <c r="J1114" t="s">
        <v>348</v>
      </c>
      <c r="K1114" t="s">
        <v>5598</v>
      </c>
      <c r="L1114" t="s">
        <v>1347</v>
      </c>
      <c r="N1114" t="s">
        <v>349</v>
      </c>
      <c r="O1114" t="s">
        <v>24</v>
      </c>
    </row>
    <row r="1115" spans="1:15" x14ac:dyDescent="0.25">
      <c r="A1115">
        <v>1114</v>
      </c>
      <c r="B1115" t="str">
        <f>HYPERLINK("https://digitalcommons.unl.edu/cgi/viewcontent.cgi?article=1139&amp;context=tractormuseumlit","Click for test report")</f>
        <v>Click for test report</v>
      </c>
      <c r="C1115">
        <v>1966</v>
      </c>
      <c r="D1115" t="s">
        <v>5607</v>
      </c>
      <c r="F1115" t="s">
        <v>5345</v>
      </c>
      <c r="G1115" t="s">
        <v>5345</v>
      </c>
      <c r="H1115" t="s">
        <v>4506</v>
      </c>
      <c r="I1115" t="s">
        <v>1961</v>
      </c>
      <c r="J1115" t="s">
        <v>348</v>
      </c>
      <c r="K1115" t="s">
        <v>21</v>
      </c>
      <c r="L1115" t="s">
        <v>3123</v>
      </c>
      <c r="N1115" t="s">
        <v>2511</v>
      </c>
      <c r="O1115" t="s">
        <v>24</v>
      </c>
    </row>
    <row r="1116" spans="1:15" x14ac:dyDescent="0.25">
      <c r="A1116">
        <v>1115</v>
      </c>
      <c r="B1116" t="str">
        <f>HYPERLINK("https://digitalcommons.unl.edu/cgi/viewcontent.cgi?article=1566&amp;context=tractormuseumlit","Click for test report")</f>
        <v>Click for test report</v>
      </c>
      <c r="C1116">
        <v>1966</v>
      </c>
      <c r="D1116" t="s">
        <v>5604</v>
      </c>
      <c r="F1116" t="s">
        <v>5345</v>
      </c>
      <c r="G1116" t="s">
        <v>5345</v>
      </c>
      <c r="H1116" t="s">
        <v>4506</v>
      </c>
      <c r="I1116" t="s">
        <v>1961</v>
      </c>
      <c r="J1116" t="s">
        <v>348</v>
      </c>
      <c r="K1116" t="s">
        <v>4809</v>
      </c>
      <c r="L1116" t="s">
        <v>3123</v>
      </c>
      <c r="N1116" t="s">
        <v>410</v>
      </c>
      <c r="O1116" t="s">
        <v>24</v>
      </c>
    </row>
    <row r="1117" spans="1:15" x14ac:dyDescent="0.25">
      <c r="A1117">
        <v>1116</v>
      </c>
      <c r="B1117" t="str">
        <f>HYPERLINK("https://digitalcommons.unl.edu/cgi/viewcontent.cgi?article=2355&amp;context=tractormuseumlit","Click for test report")</f>
        <v>Click for test report</v>
      </c>
      <c r="C1117">
        <v>1966</v>
      </c>
      <c r="D1117" t="s">
        <v>5684</v>
      </c>
      <c r="F1117" t="s">
        <v>4472</v>
      </c>
      <c r="G1117" t="s">
        <v>4472</v>
      </c>
      <c r="H1117" t="s">
        <v>5467</v>
      </c>
      <c r="I1117" t="s">
        <v>50</v>
      </c>
      <c r="J1117" t="s">
        <v>348</v>
      </c>
      <c r="K1117" t="s">
        <v>21</v>
      </c>
      <c r="L1117" t="s">
        <v>4012</v>
      </c>
      <c r="N1117" t="s">
        <v>4589</v>
      </c>
      <c r="O1117" t="s">
        <v>5640</v>
      </c>
    </row>
    <row r="1118" spans="1:15" x14ac:dyDescent="0.25">
      <c r="A1118">
        <v>1117</v>
      </c>
      <c r="B1118" t="str">
        <f>HYPERLINK("https://digitalcommons.unl.edu/cgi/viewcontent.cgi?article=2356&amp;context=tractormuseumlit","Click for test report")</f>
        <v>Click for test report</v>
      </c>
      <c r="C1118">
        <v>1966</v>
      </c>
      <c r="D1118" t="s">
        <v>4050</v>
      </c>
      <c r="F1118" t="s">
        <v>4472</v>
      </c>
      <c r="G1118" t="s">
        <v>4472</v>
      </c>
      <c r="H1118" t="s">
        <v>5683</v>
      </c>
      <c r="I1118" t="s">
        <v>50</v>
      </c>
      <c r="J1118" t="s">
        <v>348</v>
      </c>
      <c r="K1118" t="s">
        <v>21</v>
      </c>
      <c r="L1118" t="s">
        <v>3152</v>
      </c>
      <c r="N1118" t="s">
        <v>3973</v>
      </c>
      <c r="O1118" t="s">
        <v>5640</v>
      </c>
    </row>
    <row r="1119" spans="1:15" x14ac:dyDescent="0.25">
      <c r="A1119">
        <v>1118</v>
      </c>
      <c r="B1119" t="str">
        <f>HYPERLINK("https://digitalcommons.unl.edu/cgi/viewcontent.cgi?article=1420&amp;context=tractormuseumlit","Click for test report")</f>
        <v>Click for test report</v>
      </c>
      <c r="C1119">
        <v>1966</v>
      </c>
      <c r="D1119" t="s">
        <v>5682</v>
      </c>
      <c r="F1119" t="s">
        <v>17</v>
      </c>
      <c r="G1119" t="s">
        <v>17</v>
      </c>
      <c r="H1119" t="s">
        <v>5137</v>
      </c>
      <c r="I1119" t="s">
        <v>50</v>
      </c>
      <c r="J1119" t="s">
        <v>348</v>
      </c>
      <c r="K1119" t="s">
        <v>21</v>
      </c>
      <c r="L1119" t="s">
        <v>2676</v>
      </c>
      <c r="N1119" t="s">
        <v>122</v>
      </c>
      <c r="O1119" t="s">
        <v>24</v>
      </c>
    </row>
    <row r="1120" spans="1:15" x14ac:dyDescent="0.25">
      <c r="A1120">
        <v>1119</v>
      </c>
      <c r="B1120" t="str">
        <f>HYPERLINK("https://digitalcommons.unl.edu/cgi/viewcontent.cgi?article=2357&amp;context=tractormuseumlit","Click for test report")</f>
        <v>Click for test report</v>
      </c>
      <c r="C1120">
        <v>1966</v>
      </c>
      <c r="D1120" t="s">
        <v>5681</v>
      </c>
      <c r="F1120" t="s">
        <v>778</v>
      </c>
      <c r="G1120" t="s">
        <v>778</v>
      </c>
      <c r="H1120" t="s">
        <v>5391</v>
      </c>
      <c r="I1120" t="s">
        <v>1961</v>
      </c>
      <c r="J1120" t="s">
        <v>348</v>
      </c>
      <c r="K1120" t="s">
        <v>21</v>
      </c>
      <c r="L1120" t="s">
        <v>2652</v>
      </c>
      <c r="N1120" t="s">
        <v>45</v>
      </c>
      <c r="O1120" t="s">
        <v>24</v>
      </c>
    </row>
    <row r="1121" spans="1:15" x14ac:dyDescent="0.25">
      <c r="A1121">
        <v>1120</v>
      </c>
      <c r="B1121" t="str">
        <f>HYPERLINK("https://digitalcommons.unl.edu/cgi/viewcontent.cgi?article=2358&amp;context=tractormuseumlit","Click for test report")</f>
        <v>Click for test report</v>
      </c>
      <c r="C1121">
        <v>1966</v>
      </c>
      <c r="D1121" t="s">
        <v>5679</v>
      </c>
      <c r="F1121" t="s">
        <v>778</v>
      </c>
      <c r="G1121" t="s">
        <v>778</v>
      </c>
      <c r="H1121" t="s">
        <v>5680</v>
      </c>
      <c r="I1121" t="s">
        <v>50</v>
      </c>
      <c r="J1121" t="s">
        <v>348</v>
      </c>
      <c r="K1121" t="s">
        <v>21</v>
      </c>
      <c r="L1121" t="s">
        <v>4013</v>
      </c>
      <c r="N1121" t="s">
        <v>4358</v>
      </c>
      <c r="O1121" t="s">
        <v>24</v>
      </c>
    </row>
    <row r="1122" spans="1:15" x14ac:dyDescent="0.25">
      <c r="A1122">
        <v>1121</v>
      </c>
      <c r="B1122" t="str">
        <f>HYPERLINK("https://digitalcommons.unl.edu/cgi/viewcontent.cgi?article=2359&amp;context=tractormuseumlit","Click for test report")</f>
        <v>Click for test report</v>
      </c>
      <c r="C1122">
        <v>1966</v>
      </c>
      <c r="D1122" t="s">
        <v>5113</v>
      </c>
      <c r="F1122" t="s">
        <v>5678</v>
      </c>
      <c r="G1122" t="s">
        <v>4503</v>
      </c>
      <c r="H1122" t="s">
        <v>1198</v>
      </c>
      <c r="I1122" t="s">
        <v>1961</v>
      </c>
      <c r="J1122" t="s">
        <v>96</v>
      </c>
      <c r="K1122" t="s">
        <v>4809</v>
      </c>
      <c r="L1122" t="s">
        <v>1893</v>
      </c>
      <c r="N1122" t="s">
        <v>4008</v>
      </c>
      <c r="O1122" t="s">
        <v>24</v>
      </c>
    </row>
    <row r="1123" spans="1:15" x14ac:dyDescent="0.25">
      <c r="A1123">
        <v>1122</v>
      </c>
      <c r="B1123" t="str">
        <f>HYPERLINK("https://digitalcommons.unl.edu/cgi/viewcontent.cgi?article=2360&amp;context=tractormuseumlit","Click for test report")</f>
        <v>Click for test report</v>
      </c>
      <c r="C1123">
        <v>1966</v>
      </c>
      <c r="D1123" t="s">
        <v>5677</v>
      </c>
      <c r="F1123" t="s">
        <v>5678</v>
      </c>
      <c r="G1123" t="s">
        <v>4503</v>
      </c>
      <c r="H1123" t="s">
        <v>1198</v>
      </c>
      <c r="I1123" t="s">
        <v>1961</v>
      </c>
      <c r="J1123" t="s">
        <v>96</v>
      </c>
      <c r="K1123" t="s">
        <v>21</v>
      </c>
      <c r="L1123" t="s">
        <v>3973</v>
      </c>
      <c r="N1123" t="s">
        <v>4008</v>
      </c>
      <c r="O1123" t="s">
        <v>24</v>
      </c>
    </row>
    <row r="1124" spans="1:15" x14ac:dyDescent="0.25">
      <c r="A1124">
        <v>1123</v>
      </c>
      <c r="B1124" t="str">
        <f>HYPERLINK("https://digitalcommons.unl.edu/cgi/viewcontent.cgi?article=2361&amp;context=tractormuseumlit","Click for test report")</f>
        <v>Click for test report</v>
      </c>
      <c r="C1124">
        <v>1966</v>
      </c>
      <c r="D1124" t="s">
        <v>5676</v>
      </c>
      <c r="F1124" t="s">
        <v>3800</v>
      </c>
      <c r="G1124" t="s">
        <v>4473</v>
      </c>
      <c r="H1124" t="s">
        <v>4448</v>
      </c>
      <c r="I1124" t="s">
        <v>50</v>
      </c>
      <c r="J1124" t="s">
        <v>348</v>
      </c>
      <c r="K1124" t="s">
        <v>21</v>
      </c>
      <c r="L1124" t="s">
        <v>51</v>
      </c>
      <c r="N1124" t="s">
        <v>454</v>
      </c>
      <c r="O1124" t="s">
        <v>24</v>
      </c>
    </row>
    <row r="1125" spans="1:15" x14ac:dyDescent="0.25">
      <c r="A1125">
        <v>1124</v>
      </c>
      <c r="B1125" t="str">
        <f>HYPERLINK("https://digitalcommons.unl.edu/cgi/viewcontent.cgi?article=2362&amp;context=tractormuseumlit","Click for test report")</f>
        <v>Click for test report</v>
      </c>
      <c r="C1125">
        <v>1966</v>
      </c>
      <c r="D1125" t="s">
        <v>5603</v>
      </c>
      <c r="F1125" t="s">
        <v>5347</v>
      </c>
      <c r="G1125" t="s">
        <v>5347</v>
      </c>
      <c r="H1125" t="s">
        <v>5675</v>
      </c>
      <c r="I1125" t="s">
        <v>1961</v>
      </c>
      <c r="J1125" t="s">
        <v>348</v>
      </c>
      <c r="K1125" t="s">
        <v>21</v>
      </c>
      <c r="L1125" t="s">
        <v>23</v>
      </c>
      <c r="N1125" t="s">
        <v>127</v>
      </c>
      <c r="O1125" t="s">
        <v>24</v>
      </c>
    </row>
    <row r="1126" spans="1:15" x14ac:dyDescent="0.25">
      <c r="A1126">
        <v>1125</v>
      </c>
      <c r="B1126" t="str">
        <f>HYPERLINK("https://digitalcommons.unl.edu/cgi/viewcontent.cgi?article=2363&amp;context=tractormuseumlit","Click for test report")</f>
        <v>Click for test report</v>
      </c>
      <c r="C1126">
        <v>1966</v>
      </c>
      <c r="D1126" t="s">
        <v>5600</v>
      </c>
      <c r="F1126" t="s">
        <v>5347</v>
      </c>
      <c r="G1126" t="s">
        <v>5347</v>
      </c>
      <c r="H1126" t="s">
        <v>5675</v>
      </c>
      <c r="I1126" t="s">
        <v>1961</v>
      </c>
      <c r="J1126" t="s">
        <v>348</v>
      </c>
      <c r="K1126" t="s">
        <v>5598</v>
      </c>
      <c r="L1126" t="s">
        <v>23</v>
      </c>
      <c r="N1126" t="s">
        <v>561</v>
      </c>
      <c r="O1126" t="s">
        <v>24</v>
      </c>
    </row>
    <row r="1127" spans="1:15" x14ac:dyDescent="0.25">
      <c r="A1127">
        <v>1126</v>
      </c>
      <c r="B1127" t="str">
        <f>HYPERLINK("https://digitalcommons.unl.edu/cgi/viewcontent.cgi?article=2364&amp;context=tractormuseumlit","Click for test report")</f>
        <v>Click for test report</v>
      </c>
      <c r="C1127">
        <v>1966</v>
      </c>
      <c r="D1127" t="s">
        <v>5670</v>
      </c>
      <c r="F1127" t="s">
        <v>4503</v>
      </c>
      <c r="G1127" t="s">
        <v>4504</v>
      </c>
      <c r="H1127" t="s">
        <v>5673</v>
      </c>
      <c r="I1127" t="s">
        <v>1961</v>
      </c>
      <c r="J1127" t="s">
        <v>348</v>
      </c>
      <c r="K1127" t="s">
        <v>21</v>
      </c>
      <c r="L1127" t="s">
        <v>740</v>
      </c>
      <c r="N1127" t="s">
        <v>2747</v>
      </c>
      <c r="O1127" t="s">
        <v>5002</v>
      </c>
    </row>
    <row r="1128" spans="1:15" x14ac:dyDescent="0.25">
      <c r="A1128">
        <v>1127</v>
      </c>
      <c r="B1128" t="str">
        <f>HYPERLINK("https://digitalcommons.unl.edu/cgi/viewcontent.cgi?article=2365&amp;context=tractormuseumlit","Click for test report")</f>
        <v>Click for test report</v>
      </c>
      <c r="C1128">
        <v>1966</v>
      </c>
      <c r="D1128" t="s">
        <v>5669</v>
      </c>
      <c r="F1128" t="s">
        <v>4503</v>
      </c>
      <c r="G1128" t="s">
        <v>4504</v>
      </c>
      <c r="H1128" t="s">
        <v>5673</v>
      </c>
      <c r="I1128" t="s">
        <v>1961</v>
      </c>
      <c r="J1128" t="s">
        <v>348</v>
      </c>
      <c r="K1128" t="s">
        <v>5598</v>
      </c>
      <c r="L1128" t="s">
        <v>740</v>
      </c>
      <c r="N1128" t="s">
        <v>2030</v>
      </c>
      <c r="O1128" t="s">
        <v>5674</v>
      </c>
    </row>
    <row r="1129" spans="1:15" x14ac:dyDescent="0.25">
      <c r="A1129">
        <v>1128</v>
      </c>
      <c r="B1129" t="str">
        <f>HYPERLINK("https://digitalcommons.unl.edu/cgi/viewcontent.cgi?article=2366&amp;context=tractormuseumlit","Click for test report")</f>
        <v>Click for test report</v>
      </c>
      <c r="C1129">
        <v>1966</v>
      </c>
      <c r="D1129" t="s">
        <v>5666</v>
      </c>
      <c r="F1129" t="s">
        <v>4503</v>
      </c>
      <c r="G1129" t="s">
        <v>4504</v>
      </c>
      <c r="H1129" t="s">
        <v>5673</v>
      </c>
      <c r="I1129" t="s">
        <v>1961</v>
      </c>
      <c r="J1129" t="s">
        <v>348</v>
      </c>
      <c r="K1129" t="s">
        <v>4809</v>
      </c>
      <c r="L1129" t="s">
        <v>740</v>
      </c>
      <c r="N1129" t="s">
        <v>2030</v>
      </c>
      <c r="O1129" t="s">
        <v>5674</v>
      </c>
    </row>
    <row r="1130" spans="1:15" x14ac:dyDescent="0.25">
      <c r="A1130">
        <v>1129</v>
      </c>
      <c r="B1130" t="str">
        <f>HYPERLINK("https://digitalcommons.unl.edu/cgi/viewcontent.cgi?article=2336&amp;context=tractormuseumlit","Click for test report")</f>
        <v>Click for test report</v>
      </c>
      <c r="C1130">
        <v>1967</v>
      </c>
      <c r="D1130" t="s">
        <v>5671</v>
      </c>
      <c r="F1130" t="s">
        <v>4503</v>
      </c>
      <c r="G1130" t="s">
        <v>4504</v>
      </c>
      <c r="H1130" t="s">
        <v>5629</v>
      </c>
      <c r="I1130" t="s">
        <v>50</v>
      </c>
      <c r="J1130" t="s">
        <v>348</v>
      </c>
      <c r="K1130" t="s">
        <v>21</v>
      </c>
      <c r="L1130" t="s">
        <v>3973</v>
      </c>
      <c r="N1130" t="s">
        <v>4012</v>
      </c>
      <c r="O1130" t="s">
        <v>5672</v>
      </c>
    </row>
    <row r="1131" spans="1:15" x14ac:dyDescent="0.25">
      <c r="A1131">
        <v>1130</v>
      </c>
      <c r="B1131" t="str">
        <f>HYPERLINK("https://digitalcommons.unl.edu/cgi/viewcontent.cgi?article=2364&amp;context=tractormuseumlit","Click for test report")</f>
        <v>Click for test report</v>
      </c>
      <c r="C1131">
        <v>1967</v>
      </c>
      <c r="D1131" t="s">
        <v>5670</v>
      </c>
      <c r="F1131" t="s">
        <v>4503</v>
      </c>
      <c r="G1131" t="s">
        <v>4504</v>
      </c>
      <c r="H1131" t="s">
        <v>5667</v>
      </c>
      <c r="I1131" t="s">
        <v>1961</v>
      </c>
      <c r="J1131" t="s">
        <v>348</v>
      </c>
      <c r="K1131" t="s">
        <v>21</v>
      </c>
      <c r="L1131" t="s">
        <v>740</v>
      </c>
      <c r="N1131" t="s">
        <v>2747</v>
      </c>
      <c r="O1131" t="s">
        <v>5668</v>
      </c>
    </row>
    <row r="1132" spans="1:15" x14ac:dyDescent="0.25">
      <c r="A1132">
        <v>1131</v>
      </c>
      <c r="B1132" t="str">
        <f>HYPERLINK("https://digitalcommons.unl.edu/cgi/viewcontent.cgi?article=2365&amp;context=tractormuseumlit","Click for test report")</f>
        <v>Click for test report</v>
      </c>
      <c r="C1132">
        <v>1967</v>
      </c>
      <c r="D1132" t="s">
        <v>5669</v>
      </c>
      <c r="F1132" t="s">
        <v>4503</v>
      </c>
      <c r="G1132" t="s">
        <v>4504</v>
      </c>
      <c r="H1132" t="s">
        <v>5667</v>
      </c>
      <c r="I1132" t="s">
        <v>1961</v>
      </c>
      <c r="J1132" t="s">
        <v>348</v>
      </c>
      <c r="K1132" t="s">
        <v>5598</v>
      </c>
      <c r="L1132" t="s">
        <v>740</v>
      </c>
      <c r="N1132" t="s">
        <v>2030</v>
      </c>
      <c r="O1132" t="s">
        <v>5668</v>
      </c>
    </row>
    <row r="1133" spans="1:15" x14ac:dyDescent="0.25">
      <c r="A1133">
        <v>1132</v>
      </c>
      <c r="B1133" t="str">
        <f>HYPERLINK("https://digitalcommons.unl.edu/cgi/viewcontent.cgi?article=2366&amp;context=tractormuseumlit","Click for test report")</f>
        <v>Click for test report</v>
      </c>
      <c r="C1133">
        <v>1967</v>
      </c>
      <c r="D1133" t="s">
        <v>5666</v>
      </c>
      <c r="F1133" t="s">
        <v>4503</v>
      </c>
      <c r="G1133" t="s">
        <v>4504</v>
      </c>
      <c r="H1133" t="s">
        <v>5667</v>
      </c>
      <c r="I1133" t="s">
        <v>1961</v>
      </c>
      <c r="J1133" t="s">
        <v>348</v>
      </c>
      <c r="K1133" t="s">
        <v>4809</v>
      </c>
      <c r="L1133" t="s">
        <v>740</v>
      </c>
      <c r="N1133" t="s">
        <v>2030</v>
      </c>
      <c r="O1133" t="s">
        <v>5668</v>
      </c>
    </row>
    <row r="1134" spans="1:15" x14ac:dyDescent="0.25">
      <c r="A1134">
        <v>1133</v>
      </c>
      <c r="B1134" t="str">
        <f>HYPERLINK("https://digitalcommons.unl.edu/cgi/viewcontent.cgi?article=2367&amp;context=tractormuseumlit","Click for test report")</f>
        <v>Click for test report</v>
      </c>
      <c r="C1134">
        <v>1967</v>
      </c>
      <c r="D1134" t="s">
        <v>5664</v>
      </c>
      <c r="F1134" t="s">
        <v>4395</v>
      </c>
      <c r="G1134" t="s">
        <v>3708</v>
      </c>
      <c r="H1134" t="s">
        <v>1748</v>
      </c>
      <c r="I1134" t="s">
        <v>50</v>
      </c>
      <c r="J1134" t="s">
        <v>348</v>
      </c>
      <c r="K1134" t="s">
        <v>21</v>
      </c>
      <c r="L1134" t="s">
        <v>4012</v>
      </c>
      <c r="N1134" t="s">
        <v>4589</v>
      </c>
      <c r="O1134" t="s">
        <v>5665</v>
      </c>
    </row>
    <row r="1135" spans="1:15" x14ac:dyDescent="0.25">
      <c r="A1135">
        <v>1134</v>
      </c>
      <c r="B1135" t="str">
        <f>HYPERLINK("https://digitalcommons.unl.edu/cgi/viewcontent.cgi?article=2368&amp;context=tractormuseumlit","Click for test report")</f>
        <v>Click for test report</v>
      </c>
      <c r="C1135">
        <v>1967</v>
      </c>
      <c r="D1135" t="s">
        <v>5663</v>
      </c>
      <c r="F1135" t="s">
        <v>4395</v>
      </c>
      <c r="G1135" t="s">
        <v>3708</v>
      </c>
      <c r="H1135" t="s">
        <v>1748</v>
      </c>
      <c r="I1135" t="s">
        <v>50</v>
      </c>
      <c r="J1135" t="s">
        <v>348</v>
      </c>
      <c r="K1135" t="s">
        <v>21</v>
      </c>
      <c r="L1135" t="s">
        <v>4008</v>
      </c>
      <c r="N1135" t="s">
        <v>4589</v>
      </c>
      <c r="O1135" t="s">
        <v>3468</v>
      </c>
    </row>
    <row r="1136" spans="1:15" x14ac:dyDescent="0.25">
      <c r="A1136">
        <v>1135</v>
      </c>
      <c r="B1136" t="str">
        <f>HYPERLINK("https://digitalcommons.unl.edu/cgi/viewcontent.cgi?article=2369&amp;context=tractormuseumlit","Click for test report")</f>
        <v>Click for test report</v>
      </c>
      <c r="C1136">
        <v>1967</v>
      </c>
      <c r="D1136" t="s">
        <v>5660</v>
      </c>
      <c r="F1136" t="s">
        <v>5661</v>
      </c>
      <c r="G1136" t="s">
        <v>3472</v>
      </c>
      <c r="H1136" t="s">
        <v>5662</v>
      </c>
      <c r="I1136" t="s">
        <v>50</v>
      </c>
      <c r="J1136" t="s">
        <v>348</v>
      </c>
      <c r="K1136" t="s">
        <v>21</v>
      </c>
      <c r="L1136" t="s">
        <v>735</v>
      </c>
      <c r="N1136" t="s">
        <v>2511</v>
      </c>
      <c r="O1136" t="s">
        <v>24</v>
      </c>
    </row>
    <row r="1137" spans="1:15" x14ac:dyDescent="0.25">
      <c r="A1137">
        <v>1136</v>
      </c>
      <c r="B1137" t="str">
        <f>HYPERLINK("https://digitalcommons.unl.edu/cgi/viewcontent.cgi?article=1567&amp;context=tractormuseumlit","Click for test report")</f>
        <v>Click for test report</v>
      </c>
      <c r="C1137">
        <v>1967</v>
      </c>
      <c r="D1137" t="s">
        <v>5659</v>
      </c>
      <c r="F1137" t="s">
        <v>5345</v>
      </c>
      <c r="G1137" t="s">
        <v>5345</v>
      </c>
      <c r="H1137" t="s">
        <v>3445</v>
      </c>
      <c r="I1137" t="s">
        <v>1961</v>
      </c>
      <c r="J1137" t="s">
        <v>348</v>
      </c>
      <c r="K1137" t="s">
        <v>4809</v>
      </c>
      <c r="L1137" t="s">
        <v>344</v>
      </c>
      <c r="N1137" t="s">
        <v>2030</v>
      </c>
      <c r="O1137" t="s">
        <v>24</v>
      </c>
    </row>
    <row r="1138" spans="1:15" x14ac:dyDescent="0.25">
      <c r="A1138">
        <v>1137</v>
      </c>
      <c r="B1138" t="str">
        <f>HYPERLINK("https://digitalcommons.unl.edu/cgi/viewcontent.cgi?article=1568&amp;context=tractormuseumlit","Click for test report")</f>
        <v>Click for test report</v>
      </c>
      <c r="C1138">
        <v>1967</v>
      </c>
      <c r="D1138" t="s">
        <v>5658</v>
      </c>
      <c r="F1138" t="s">
        <v>5345</v>
      </c>
      <c r="G1138" t="s">
        <v>5345</v>
      </c>
      <c r="H1138" t="s">
        <v>3445</v>
      </c>
      <c r="I1138" t="s">
        <v>1961</v>
      </c>
      <c r="J1138" t="s">
        <v>348</v>
      </c>
      <c r="K1138" t="s">
        <v>21</v>
      </c>
      <c r="L1138" t="s">
        <v>344</v>
      </c>
      <c r="N1138" t="s">
        <v>2030</v>
      </c>
      <c r="O1138" t="s">
        <v>24</v>
      </c>
    </row>
    <row r="1139" spans="1:15" x14ac:dyDescent="0.25">
      <c r="A1139">
        <v>1138</v>
      </c>
      <c r="B1139" t="str">
        <f>HYPERLINK("https://digitalcommons.unl.edu/cgi/viewcontent.cgi?article=2370&amp;context=tractormuseumlit","Click for test report")</f>
        <v>Click for test report</v>
      </c>
      <c r="C1139">
        <v>1967</v>
      </c>
      <c r="D1139" t="s">
        <v>5657</v>
      </c>
      <c r="F1139" t="s">
        <v>778</v>
      </c>
      <c r="G1139" t="s">
        <v>778</v>
      </c>
      <c r="H1139" t="s">
        <v>5445</v>
      </c>
      <c r="I1139" t="s">
        <v>1961</v>
      </c>
      <c r="J1139" t="s">
        <v>348</v>
      </c>
      <c r="K1139" t="s">
        <v>4809</v>
      </c>
      <c r="L1139" t="s">
        <v>562</v>
      </c>
      <c r="N1139" t="s">
        <v>740</v>
      </c>
      <c r="O1139" t="s">
        <v>24</v>
      </c>
    </row>
    <row r="1140" spans="1:15" x14ac:dyDescent="0.25">
      <c r="A1140">
        <v>1139</v>
      </c>
      <c r="B1140" t="str">
        <f>HYPERLINK("https://digitalcommons.unl.edu/cgi/viewcontent.cgi?article=2371&amp;context=tractormuseumlit","Click for test report")</f>
        <v>Click for test report</v>
      </c>
      <c r="C1140">
        <v>1967</v>
      </c>
      <c r="D1140" t="s">
        <v>5656</v>
      </c>
      <c r="F1140" t="s">
        <v>4325</v>
      </c>
      <c r="G1140" t="s">
        <v>4325</v>
      </c>
      <c r="H1140" t="s">
        <v>5563</v>
      </c>
      <c r="I1140" t="s">
        <v>1961</v>
      </c>
      <c r="J1140" t="s">
        <v>348</v>
      </c>
      <c r="K1140" t="s">
        <v>21</v>
      </c>
      <c r="L1140" t="s">
        <v>349</v>
      </c>
      <c r="N1140" t="s">
        <v>404</v>
      </c>
      <c r="O1140" t="s">
        <v>24</v>
      </c>
    </row>
    <row r="1141" spans="1:15" x14ac:dyDescent="0.25">
      <c r="A1141">
        <v>1140</v>
      </c>
      <c r="B1141" t="str">
        <f>HYPERLINK("https://digitalcommons.unl.edu/cgi/viewcontent.cgi?article=2372&amp;context=tractormuseumlit","Click for test report")</f>
        <v>Click for test report</v>
      </c>
      <c r="C1141">
        <v>1967</v>
      </c>
      <c r="D1141" t="s">
        <v>5655</v>
      </c>
      <c r="F1141" t="s">
        <v>4325</v>
      </c>
      <c r="G1141" t="s">
        <v>4325</v>
      </c>
      <c r="H1141" t="s">
        <v>4035</v>
      </c>
      <c r="I1141" t="s">
        <v>1961</v>
      </c>
      <c r="J1141" t="s">
        <v>348</v>
      </c>
      <c r="K1141" t="s">
        <v>21</v>
      </c>
      <c r="L1141" t="s">
        <v>1994</v>
      </c>
      <c r="N1141" t="s">
        <v>2188</v>
      </c>
      <c r="O1141" t="s">
        <v>5654</v>
      </c>
    </row>
    <row r="1142" spans="1:15" x14ac:dyDescent="0.25">
      <c r="A1142">
        <v>1141</v>
      </c>
      <c r="B1142" t="str">
        <f>HYPERLINK("https://digitalcommons.unl.edu/cgi/viewcontent.cgi?article=2373&amp;context=tractormuseumlit","Click for test report")</f>
        <v>Click for test report</v>
      </c>
      <c r="C1142">
        <v>1967</v>
      </c>
      <c r="D1142" t="s">
        <v>5404</v>
      </c>
      <c r="F1142" t="s">
        <v>4325</v>
      </c>
      <c r="G1142" t="s">
        <v>4325</v>
      </c>
      <c r="H1142" t="s">
        <v>4035</v>
      </c>
      <c r="I1142" t="s">
        <v>1961</v>
      </c>
      <c r="J1142" t="s">
        <v>348</v>
      </c>
      <c r="K1142" t="s">
        <v>4809</v>
      </c>
      <c r="L1142" t="s">
        <v>1994</v>
      </c>
      <c r="N1142" t="s">
        <v>2188</v>
      </c>
      <c r="O1142" t="s">
        <v>5654</v>
      </c>
    </row>
    <row r="1143" spans="1:15" x14ac:dyDescent="0.25">
      <c r="A1143">
        <v>1142</v>
      </c>
      <c r="B1143" t="str">
        <f>HYPERLINK("https://digitalcommons.unl.edu/cgi/viewcontent.cgi?article=2374&amp;context=tractormuseumlit","Click for test report")</f>
        <v>Click for test report</v>
      </c>
      <c r="C1143">
        <v>1967</v>
      </c>
      <c r="D1143" t="s">
        <v>5653</v>
      </c>
      <c r="F1143" t="s">
        <v>4503</v>
      </c>
      <c r="G1143" t="s">
        <v>4504</v>
      </c>
      <c r="H1143" t="s">
        <v>5652</v>
      </c>
      <c r="I1143" t="s">
        <v>2964</v>
      </c>
      <c r="J1143" t="s">
        <v>348</v>
      </c>
      <c r="K1143" t="s">
        <v>21</v>
      </c>
      <c r="L1143" t="s">
        <v>747</v>
      </c>
      <c r="N1143" t="s">
        <v>3319</v>
      </c>
      <c r="O1143" t="s">
        <v>24</v>
      </c>
    </row>
    <row r="1144" spans="1:15" x14ac:dyDescent="0.25">
      <c r="A1144">
        <v>1143</v>
      </c>
      <c r="B1144" t="str">
        <f>HYPERLINK("https://digitalcommons.unl.edu/cgi/viewcontent.cgi?article=2375&amp;context=tractormuseumlit","Click for test report")</f>
        <v>Click for test report</v>
      </c>
      <c r="C1144">
        <v>1967</v>
      </c>
      <c r="D1144" t="s">
        <v>5651</v>
      </c>
      <c r="F1144" t="s">
        <v>4503</v>
      </c>
      <c r="G1144" t="s">
        <v>4504</v>
      </c>
      <c r="H1144" t="s">
        <v>5652</v>
      </c>
      <c r="I1144" t="s">
        <v>2964</v>
      </c>
      <c r="J1144" t="s">
        <v>348</v>
      </c>
      <c r="K1144" t="s">
        <v>4809</v>
      </c>
      <c r="L1144" t="s">
        <v>1350</v>
      </c>
      <c r="N1144" t="s">
        <v>750</v>
      </c>
      <c r="O1144" t="s">
        <v>24</v>
      </c>
    </row>
    <row r="1145" spans="1:15" x14ac:dyDescent="0.25">
      <c r="A1145">
        <v>1144</v>
      </c>
      <c r="B1145" t="str">
        <f>HYPERLINK("https://digitalcommons.unl.edu/cgi/viewcontent.cgi?article=1569&amp;context=tractormuseumlit","Click for test report")</f>
        <v>Click for test report</v>
      </c>
      <c r="C1145">
        <v>1967</v>
      </c>
      <c r="D1145" t="s">
        <v>5650</v>
      </c>
      <c r="F1145" t="s">
        <v>5345</v>
      </c>
      <c r="G1145" t="s">
        <v>5345</v>
      </c>
      <c r="H1145" t="s">
        <v>5647</v>
      </c>
      <c r="I1145" t="s">
        <v>3474</v>
      </c>
      <c r="J1145" t="s">
        <v>348</v>
      </c>
      <c r="K1145" t="s">
        <v>21</v>
      </c>
      <c r="L1145" t="s">
        <v>130</v>
      </c>
      <c r="N1145" t="s">
        <v>131</v>
      </c>
      <c r="O1145" t="s">
        <v>5449</v>
      </c>
    </row>
    <row r="1146" spans="1:15" x14ac:dyDescent="0.25">
      <c r="A1146">
        <v>1145</v>
      </c>
      <c r="B1146" t="str">
        <f>HYPERLINK("https://digitalcommons.unl.edu/cgi/viewcontent.cgi?article=2376&amp;context=tractormuseumlit","Click for test report")</f>
        <v>Click for test report</v>
      </c>
      <c r="C1146">
        <v>1968</v>
      </c>
      <c r="D1146" t="s">
        <v>5479</v>
      </c>
      <c r="F1146" t="s">
        <v>4503</v>
      </c>
      <c r="G1146" t="s">
        <v>4504</v>
      </c>
      <c r="H1146" t="s">
        <v>4410</v>
      </c>
      <c r="I1146" t="s">
        <v>1961</v>
      </c>
      <c r="J1146" t="s">
        <v>348</v>
      </c>
      <c r="K1146" t="s">
        <v>21</v>
      </c>
      <c r="L1146" t="s">
        <v>46</v>
      </c>
      <c r="N1146" t="s">
        <v>562</v>
      </c>
      <c r="O1146" t="s">
        <v>24</v>
      </c>
    </row>
    <row r="1147" spans="1:15" x14ac:dyDescent="0.25">
      <c r="A1147">
        <v>1146</v>
      </c>
      <c r="B1147" t="str">
        <f>HYPERLINK("https://digitalcommons.unl.edu/cgi/viewcontent.cgi?article=2377&amp;context=tractormuseumlit","Click for test report")</f>
        <v>Click for test report</v>
      </c>
      <c r="C1147">
        <v>1968</v>
      </c>
      <c r="D1147" t="s">
        <v>5648</v>
      </c>
      <c r="F1147" t="s">
        <v>4503</v>
      </c>
      <c r="G1147" t="s">
        <v>4504</v>
      </c>
      <c r="H1147" t="s">
        <v>5649</v>
      </c>
      <c r="I1147" t="s">
        <v>1961</v>
      </c>
      <c r="J1147" t="s">
        <v>348</v>
      </c>
      <c r="K1147" t="s">
        <v>21</v>
      </c>
      <c r="L1147" t="s">
        <v>122</v>
      </c>
      <c r="N1147" t="s">
        <v>130</v>
      </c>
      <c r="O1147" t="s">
        <v>24</v>
      </c>
    </row>
    <row r="1148" spans="1:15" x14ac:dyDescent="0.25">
      <c r="A1148">
        <v>1147</v>
      </c>
      <c r="B1148" t="str">
        <f>HYPERLINK("https://digitalcommons.unl.edu/cgi/viewcontent.cgi?article=1570&amp;context=tractormuseumlit","Click for test report")</f>
        <v>Click for test report</v>
      </c>
      <c r="C1148">
        <v>1968</v>
      </c>
      <c r="D1148" t="s">
        <v>5646</v>
      </c>
      <c r="F1148" t="s">
        <v>5345</v>
      </c>
      <c r="G1148" t="s">
        <v>5345</v>
      </c>
      <c r="H1148" t="s">
        <v>5647</v>
      </c>
      <c r="I1148" t="s">
        <v>3474</v>
      </c>
      <c r="J1148" t="s">
        <v>20</v>
      </c>
      <c r="K1148" t="s">
        <v>21</v>
      </c>
      <c r="L1148" t="s">
        <v>130</v>
      </c>
      <c r="N1148" t="s">
        <v>457</v>
      </c>
      <c r="O1148" t="s">
        <v>24</v>
      </c>
    </row>
    <row r="1149" spans="1:15" x14ac:dyDescent="0.25">
      <c r="A1149">
        <v>1148</v>
      </c>
      <c r="B1149" t="str">
        <f>HYPERLINK("https://digitalcommons.unl.edu/cgi/viewcontent.cgi?article=2378&amp;context=tractormuseumlit","Click for test report")</f>
        <v>Click for test report</v>
      </c>
      <c r="C1149">
        <v>1968</v>
      </c>
      <c r="D1149" t="s">
        <v>5645</v>
      </c>
      <c r="F1149" t="s">
        <v>4395</v>
      </c>
      <c r="G1149" t="s">
        <v>3708</v>
      </c>
      <c r="H1149" t="s">
        <v>5553</v>
      </c>
      <c r="I1149" t="s">
        <v>50</v>
      </c>
      <c r="J1149" t="s">
        <v>348</v>
      </c>
      <c r="K1149" t="s">
        <v>21</v>
      </c>
      <c r="L1149" t="s">
        <v>130</v>
      </c>
      <c r="N1149" t="s">
        <v>457</v>
      </c>
      <c r="O1149" t="s">
        <v>24</v>
      </c>
    </row>
    <row r="1150" spans="1:15" x14ac:dyDescent="0.25">
      <c r="A1150">
        <v>1149</v>
      </c>
      <c r="B1150" t="str">
        <f>HYPERLINK("https://digitalcommons.unl.edu/cgi/viewcontent.cgi?article=2379&amp;context=tractormuseumlit","Click for test report")</f>
        <v>Click for test report</v>
      </c>
      <c r="C1150">
        <v>1968</v>
      </c>
      <c r="D1150" t="s">
        <v>5644</v>
      </c>
      <c r="F1150" t="s">
        <v>5347</v>
      </c>
      <c r="G1150" t="s">
        <v>5347</v>
      </c>
      <c r="H1150" t="s">
        <v>5643</v>
      </c>
      <c r="I1150" t="s">
        <v>1961</v>
      </c>
      <c r="J1150" t="s">
        <v>348</v>
      </c>
      <c r="K1150" t="s">
        <v>21</v>
      </c>
      <c r="L1150" t="s">
        <v>558</v>
      </c>
      <c r="N1150" t="s">
        <v>46</v>
      </c>
      <c r="O1150" t="s">
        <v>24</v>
      </c>
    </row>
    <row r="1151" spans="1:15" x14ac:dyDescent="0.25">
      <c r="A1151">
        <v>1150</v>
      </c>
      <c r="B1151" t="str">
        <f>HYPERLINK("https://digitalcommons.unl.edu/cgi/viewcontent.cgi?article=2380&amp;context=tractormuseumlit","Click for test report")</f>
        <v>Click for test report</v>
      </c>
      <c r="C1151">
        <v>1968</v>
      </c>
      <c r="D1151" t="s">
        <v>5642</v>
      </c>
      <c r="F1151" t="s">
        <v>5347</v>
      </c>
      <c r="G1151" t="s">
        <v>5347</v>
      </c>
      <c r="H1151" t="s">
        <v>5643</v>
      </c>
      <c r="I1151" t="s">
        <v>1961</v>
      </c>
      <c r="J1151" t="s">
        <v>348</v>
      </c>
      <c r="K1151" t="s">
        <v>5598</v>
      </c>
      <c r="L1151" t="s">
        <v>23</v>
      </c>
      <c r="N1151" t="s">
        <v>561</v>
      </c>
    </row>
    <row r="1152" spans="1:15" x14ac:dyDescent="0.25">
      <c r="A1152">
        <v>1151</v>
      </c>
      <c r="B1152" t="str">
        <f>HYPERLINK("https://digitalcommons.unl.edu/cgi/viewcontent.cgi?article=2381&amp;context=tractormuseumlit","Click for test report")</f>
        <v>Click for test report</v>
      </c>
      <c r="C1152">
        <v>1968</v>
      </c>
      <c r="D1152" t="s">
        <v>5641</v>
      </c>
      <c r="F1152" t="s">
        <v>4472</v>
      </c>
      <c r="G1152" t="s">
        <v>4472</v>
      </c>
      <c r="H1152" t="s">
        <v>5285</v>
      </c>
      <c r="I1152" t="s">
        <v>50</v>
      </c>
      <c r="J1152" t="s">
        <v>348</v>
      </c>
      <c r="K1152" t="s">
        <v>21</v>
      </c>
      <c r="L1152" t="s">
        <v>1350</v>
      </c>
      <c r="N1152" t="s">
        <v>404</v>
      </c>
      <c r="O1152" t="s">
        <v>5640</v>
      </c>
    </row>
    <row r="1153" spans="1:15" x14ac:dyDescent="0.25">
      <c r="A1153">
        <v>1152</v>
      </c>
      <c r="B1153" t="str">
        <f>HYPERLINK("https://digitalcommons.unl.edu/cgi/viewcontent.cgi?article=2382&amp;context=tractormuseumlit","Click for test report")</f>
        <v>Click for test report</v>
      </c>
      <c r="C1153">
        <v>1968</v>
      </c>
      <c r="D1153" t="s">
        <v>5639</v>
      </c>
      <c r="F1153" t="s">
        <v>4472</v>
      </c>
      <c r="G1153" t="s">
        <v>4472</v>
      </c>
      <c r="H1153" t="s">
        <v>4477</v>
      </c>
      <c r="I1153" t="s">
        <v>50</v>
      </c>
      <c r="J1153" t="s">
        <v>348</v>
      </c>
      <c r="K1153" t="s">
        <v>21</v>
      </c>
      <c r="L1153" t="s">
        <v>3319</v>
      </c>
      <c r="N1153" t="s">
        <v>1009</v>
      </c>
      <c r="O1153" t="s">
        <v>5640</v>
      </c>
    </row>
    <row r="1154" spans="1:15" x14ac:dyDescent="0.25">
      <c r="A1154">
        <v>1153</v>
      </c>
      <c r="B1154" t="str">
        <f>HYPERLINK("https://digitalcommons.unl.edu/cgi/viewcontent.cgi?article=2383&amp;context=tractormuseumlit","Click for test report")</f>
        <v>Click for test report</v>
      </c>
      <c r="C1154">
        <v>1968</v>
      </c>
      <c r="D1154" t="s">
        <v>5599</v>
      </c>
      <c r="F1154" t="s">
        <v>5347</v>
      </c>
      <c r="G1154" t="s">
        <v>5347</v>
      </c>
      <c r="H1154" t="s">
        <v>5638</v>
      </c>
      <c r="I1154" t="s">
        <v>1961</v>
      </c>
      <c r="J1154" t="s">
        <v>348</v>
      </c>
      <c r="K1154" t="s">
        <v>21</v>
      </c>
      <c r="L1154" t="s">
        <v>375</v>
      </c>
      <c r="N1154" t="s">
        <v>461</v>
      </c>
      <c r="O1154" t="s">
        <v>24</v>
      </c>
    </row>
    <row r="1155" spans="1:15" x14ac:dyDescent="0.25">
      <c r="A1155">
        <v>1154</v>
      </c>
      <c r="B1155" t="str">
        <f>HYPERLINK("https://digitalcommons.unl.edu/cgi/viewcontent.cgi?article=2384&amp;context=tractormuseumlit","Click for test report")</f>
        <v>Click for test report</v>
      </c>
      <c r="C1155">
        <v>1968</v>
      </c>
      <c r="D1155" t="s">
        <v>5597</v>
      </c>
      <c r="F1155" t="s">
        <v>5347</v>
      </c>
      <c r="G1155" t="s">
        <v>5347</v>
      </c>
      <c r="H1155" t="s">
        <v>5638</v>
      </c>
      <c r="I1155" t="s">
        <v>1961</v>
      </c>
      <c r="J1155" t="s">
        <v>348</v>
      </c>
      <c r="K1155" t="s">
        <v>5598</v>
      </c>
      <c r="L1155" t="s">
        <v>375</v>
      </c>
      <c r="N1155" t="s">
        <v>55</v>
      </c>
      <c r="O1155" t="s">
        <v>24</v>
      </c>
    </row>
    <row r="1156" spans="1:15" x14ac:dyDescent="0.25">
      <c r="A1156">
        <v>1155</v>
      </c>
      <c r="B1156" t="str">
        <f>HYPERLINK("https://digitalcommons.unl.edu/cgi/viewcontent.cgi?article=2385&amp;context=tractormuseumlit","Click for test report")</f>
        <v>Click for test report</v>
      </c>
      <c r="C1156">
        <v>1968</v>
      </c>
      <c r="D1156" t="s">
        <v>5594</v>
      </c>
      <c r="F1156" t="s">
        <v>5347</v>
      </c>
      <c r="G1156" t="s">
        <v>5347</v>
      </c>
      <c r="H1156" t="s">
        <v>5638</v>
      </c>
      <c r="I1156" t="s">
        <v>1961</v>
      </c>
      <c r="J1156" t="s">
        <v>348</v>
      </c>
      <c r="K1156" t="s">
        <v>4809</v>
      </c>
      <c r="L1156" t="s">
        <v>375</v>
      </c>
      <c r="N1156" t="s">
        <v>713</v>
      </c>
      <c r="O1156" t="s">
        <v>24</v>
      </c>
    </row>
    <row r="1157" spans="1:15" x14ac:dyDescent="0.25">
      <c r="A1157">
        <v>1156</v>
      </c>
      <c r="B1157" t="str">
        <f>HYPERLINK("https://digitalcommons.unl.edu/cgi/viewcontent.cgi?article=2386&amp;context=tractormuseumlit","Click for test report")</f>
        <v>Click for test report</v>
      </c>
      <c r="C1157">
        <v>1968</v>
      </c>
      <c r="D1157" t="s">
        <v>5636</v>
      </c>
      <c r="F1157" t="s">
        <v>5633</v>
      </c>
      <c r="G1157" t="s">
        <v>5634</v>
      </c>
      <c r="H1157" t="s">
        <v>5637</v>
      </c>
      <c r="I1157" t="s">
        <v>50</v>
      </c>
      <c r="J1157" t="s">
        <v>348</v>
      </c>
      <c r="K1157" t="s">
        <v>21</v>
      </c>
      <c r="L1157" t="s">
        <v>4397</v>
      </c>
      <c r="N1157" t="s">
        <v>4013</v>
      </c>
      <c r="O1157" t="s">
        <v>24</v>
      </c>
    </row>
    <row r="1158" spans="1:15" x14ac:dyDescent="0.25">
      <c r="A1158">
        <v>1157</v>
      </c>
      <c r="B1158" t="str">
        <f>HYPERLINK("https://digitalcommons.unl.edu/cgi/viewcontent.cgi?article=2387&amp;context=tractormuseumlit","Click for test report")</f>
        <v>Click for test report</v>
      </c>
      <c r="C1158">
        <v>1968</v>
      </c>
      <c r="D1158" t="s">
        <v>5632</v>
      </c>
      <c r="F1158" t="s">
        <v>5633</v>
      </c>
      <c r="G1158" t="s">
        <v>5634</v>
      </c>
      <c r="H1158" t="s">
        <v>5635</v>
      </c>
      <c r="I1158" t="s">
        <v>50</v>
      </c>
      <c r="J1158" t="s">
        <v>348</v>
      </c>
      <c r="K1158" t="s">
        <v>21</v>
      </c>
      <c r="L1158" t="s">
        <v>2090</v>
      </c>
      <c r="N1158" t="s">
        <v>1893</v>
      </c>
      <c r="O1158" t="s">
        <v>24</v>
      </c>
    </row>
    <row r="1159" spans="1:15" x14ac:dyDescent="0.25">
      <c r="A1159">
        <v>1158</v>
      </c>
      <c r="B1159" t="str">
        <f>HYPERLINK("https://digitalcommons.unl.edu/cgi/viewcontent.cgi?article=2388&amp;context=tractormuseumlit","Click for test report")</f>
        <v>Click for test report</v>
      </c>
      <c r="C1159">
        <v>1968</v>
      </c>
      <c r="D1159" t="s">
        <v>5631</v>
      </c>
      <c r="F1159" t="s">
        <v>4503</v>
      </c>
      <c r="G1159" t="s">
        <v>4504</v>
      </c>
      <c r="H1159" t="s">
        <v>5549</v>
      </c>
      <c r="I1159" t="s">
        <v>1961</v>
      </c>
      <c r="J1159" t="s">
        <v>348</v>
      </c>
      <c r="K1159" t="s">
        <v>21</v>
      </c>
      <c r="L1159" t="s">
        <v>3319</v>
      </c>
      <c r="N1159" t="s">
        <v>2511</v>
      </c>
      <c r="O1159" t="s">
        <v>5550</v>
      </c>
    </row>
    <row r="1160" spans="1:15" x14ac:dyDescent="0.25">
      <c r="A1160">
        <v>1159</v>
      </c>
      <c r="B1160" t="str">
        <f>HYPERLINK("https://digitalcommons.unl.edu/cgi/viewcontent.cgi?article=2389&amp;context=tractormuseumlit","Click for test report")</f>
        <v>Click for test report</v>
      </c>
      <c r="C1160">
        <v>1968</v>
      </c>
      <c r="D1160" t="s">
        <v>5630</v>
      </c>
      <c r="F1160" t="s">
        <v>4503</v>
      </c>
      <c r="G1160" t="s">
        <v>4504</v>
      </c>
      <c r="H1160" t="s">
        <v>5549</v>
      </c>
      <c r="I1160" t="s">
        <v>1961</v>
      </c>
      <c r="J1160" t="s">
        <v>348</v>
      </c>
      <c r="K1160" t="s">
        <v>4809</v>
      </c>
      <c r="L1160" t="s">
        <v>3319</v>
      </c>
      <c r="N1160" t="s">
        <v>2511</v>
      </c>
      <c r="O1160" t="s">
        <v>5550</v>
      </c>
    </row>
    <row r="1161" spans="1:15" x14ac:dyDescent="0.25">
      <c r="A1161">
        <v>1160</v>
      </c>
      <c r="B1161" t="str">
        <f>HYPERLINK("https://digitalcommons.unl.edu/cgi/viewcontent.cgi?article=2390&amp;context=tractormuseumlit","Click for test report")</f>
        <v>Click for test report</v>
      </c>
      <c r="C1161">
        <v>1968</v>
      </c>
      <c r="D1161" t="s">
        <v>5628</v>
      </c>
      <c r="F1161" t="s">
        <v>4503</v>
      </c>
      <c r="G1161" t="s">
        <v>4504</v>
      </c>
      <c r="H1161" t="s">
        <v>5629</v>
      </c>
      <c r="I1161" t="s">
        <v>50</v>
      </c>
      <c r="J1161" t="s">
        <v>348</v>
      </c>
      <c r="K1161" t="s">
        <v>4809</v>
      </c>
      <c r="L1161" t="s">
        <v>1802</v>
      </c>
      <c r="N1161" t="s">
        <v>4745</v>
      </c>
      <c r="O1161" t="s">
        <v>5550</v>
      </c>
    </row>
    <row r="1162" spans="1:15" x14ac:dyDescent="0.25">
      <c r="A1162">
        <v>1161</v>
      </c>
      <c r="B1162" t="str">
        <f>HYPERLINK("https://digitalcommons.unl.edu/cgi/viewcontent.cgi?article=1571&amp;context=tractormuseumlit","Click for test report")</f>
        <v>Click for test report</v>
      </c>
      <c r="C1162">
        <v>1968</v>
      </c>
      <c r="D1162" t="s">
        <v>5169</v>
      </c>
      <c r="F1162" t="s">
        <v>5345</v>
      </c>
      <c r="G1162" t="s">
        <v>5345</v>
      </c>
      <c r="H1162" t="s">
        <v>690</v>
      </c>
      <c r="I1162" t="s">
        <v>1961</v>
      </c>
      <c r="J1162" t="s">
        <v>348</v>
      </c>
      <c r="K1162" t="s">
        <v>21</v>
      </c>
      <c r="L1162" t="s">
        <v>119</v>
      </c>
      <c r="N1162" t="s">
        <v>446</v>
      </c>
      <c r="O1162" t="s">
        <v>5449</v>
      </c>
    </row>
    <row r="1163" spans="1:15" x14ac:dyDescent="0.25">
      <c r="A1163">
        <v>1162</v>
      </c>
      <c r="B1163" t="str">
        <f>HYPERLINK("https://digitalcommons.unl.edu/cgi/viewcontent.cgi?article=1572&amp;context=tractormuseumlit","Click for test report")</f>
        <v>Click for test report</v>
      </c>
      <c r="C1163">
        <v>1968</v>
      </c>
      <c r="D1163" t="s">
        <v>5627</v>
      </c>
      <c r="F1163" t="s">
        <v>5345</v>
      </c>
      <c r="G1163" t="s">
        <v>5345</v>
      </c>
      <c r="H1163" t="s">
        <v>1458</v>
      </c>
      <c r="I1163" t="s">
        <v>1961</v>
      </c>
      <c r="J1163" t="s">
        <v>348</v>
      </c>
      <c r="K1163" t="s">
        <v>21</v>
      </c>
      <c r="L1163" t="s">
        <v>333</v>
      </c>
      <c r="N1163" t="s">
        <v>368</v>
      </c>
      <c r="O1163" t="s">
        <v>5449</v>
      </c>
    </row>
    <row r="1164" spans="1:15" x14ac:dyDescent="0.25">
      <c r="A1164">
        <v>1163</v>
      </c>
      <c r="B1164" t="str">
        <f>HYPERLINK("https://digitalcommons.unl.edu/cgi/viewcontent.cgi?article=3688&amp;context=tractormuseumlit","Click for test report")</f>
        <v>Click for test report</v>
      </c>
      <c r="C1164">
        <v>1968</v>
      </c>
      <c r="D1164" t="s">
        <v>5626</v>
      </c>
      <c r="G1164" t="s">
        <v>322</v>
      </c>
      <c r="O1164" t="s">
        <v>24</v>
      </c>
    </row>
    <row r="1165" spans="1:15" x14ac:dyDescent="0.25">
      <c r="A1165">
        <v>1164</v>
      </c>
      <c r="B1165" t="str">
        <f>HYPERLINK("https://digitalcommons.unl.edu/cgi/viewcontent.cgi?article=3688&amp;context=tractormuseumlit","Click for test report")</f>
        <v>Click for test report</v>
      </c>
      <c r="C1165">
        <v>1968</v>
      </c>
      <c r="D1165" t="s">
        <v>5625</v>
      </c>
      <c r="G1165" t="s">
        <v>322</v>
      </c>
      <c r="O1165" t="s">
        <v>24</v>
      </c>
    </row>
    <row r="1166" spans="1:15" x14ac:dyDescent="0.25">
      <c r="A1166">
        <v>1165</v>
      </c>
      <c r="B1166" t="str">
        <f>HYPERLINK("https://digitalcommons.unl.edu/cgi/viewcontent.cgi?article=3688&amp;context=tractormuseumlit","Click for test report")</f>
        <v>Click for test report</v>
      </c>
      <c r="C1166">
        <v>1968</v>
      </c>
      <c r="D1166" t="s">
        <v>4477</v>
      </c>
      <c r="G1166" t="s">
        <v>322</v>
      </c>
      <c r="O1166" t="s">
        <v>24</v>
      </c>
    </row>
    <row r="1167" spans="1:15" x14ac:dyDescent="0.25">
      <c r="A1167">
        <v>1166</v>
      </c>
      <c r="B1167" t="str">
        <f>HYPERLINK("https://digitalcommons.unl.edu/cgi/viewcontent.cgi?article=1421&amp;context=tractormuseumlit","Click for test report")</f>
        <v>Click for test report</v>
      </c>
      <c r="C1167">
        <v>1968</v>
      </c>
      <c r="D1167" t="s">
        <v>5624</v>
      </c>
      <c r="F1167" t="s">
        <v>17</v>
      </c>
      <c r="G1167" t="s">
        <v>17</v>
      </c>
      <c r="H1167" t="s">
        <v>4560</v>
      </c>
      <c r="I1167" t="s">
        <v>1961</v>
      </c>
      <c r="J1167" t="s">
        <v>348</v>
      </c>
      <c r="K1167" t="s">
        <v>21</v>
      </c>
      <c r="L1167" t="s">
        <v>410</v>
      </c>
      <c r="N1167" t="s">
        <v>1802</v>
      </c>
      <c r="O1167" t="s">
        <v>24</v>
      </c>
    </row>
    <row r="1168" spans="1:15" x14ac:dyDescent="0.25">
      <c r="A1168">
        <v>1167</v>
      </c>
      <c r="B1168" t="str">
        <f>HYPERLINK("https://digitalcommons.unl.edu/cgi/viewcontent.cgi?article=1422&amp;context=tractormuseumlit","Click for test report")</f>
        <v>Click for test report</v>
      </c>
      <c r="C1168">
        <v>1968</v>
      </c>
      <c r="D1168" t="s">
        <v>5623</v>
      </c>
      <c r="F1168" t="s">
        <v>17</v>
      </c>
      <c r="G1168" t="s">
        <v>17</v>
      </c>
      <c r="H1168" t="s">
        <v>5592</v>
      </c>
      <c r="I1168" t="s">
        <v>50</v>
      </c>
      <c r="J1168" t="s">
        <v>348</v>
      </c>
      <c r="K1168" t="s">
        <v>21</v>
      </c>
      <c r="L1168" t="s">
        <v>725</v>
      </c>
      <c r="N1168" t="s">
        <v>1994</v>
      </c>
      <c r="O1168" t="s">
        <v>24</v>
      </c>
    </row>
    <row r="1169" spans="1:15" x14ac:dyDescent="0.25">
      <c r="A1169">
        <v>1168</v>
      </c>
      <c r="B1169" t="str">
        <f>HYPERLINK("https://digitalcommons.unl.edu/cgi/viewcontent.cgi?article=1423&amp;context=tractormuseumlit","Click for test report")</f>
        <v>Click for test report</v>
      </c>
      <c r="C1169">
        <v>1968</v>
      </c>
      <c r="D1169" t="s">
        <v>5622</v>
      </c>
      <c r="F1169" t="s">
        <v>17</v>
      </c>
      <c r="G1169" t="s">
        <v>17</v>
      </c>
      <c r="H1169" t="s">
        <v>5592</v>
      </c>
      <c r="I1169" t="s">
        <v>28</v>
      </c>
      <c r="J1169" t="s">
        <v>348</v>
      </c>
      <c r="K1169" t="s">
        <v>21</v>
      </c>
      <c r="L1169" t="s">
        <v>404</v>
      </c>
      <c r="N1169" t="s">
        <v>407</v>
      </c>
      <c r="O1169" t="s">
        <v>24</v>
      </c>
    </row>
    <row r="1170" spans="1:15" x14ac:dyDescent="0.25">
      <c r="A1170">
        <v>1169</v>
      </c>
      <c r="B1170" t="str">
        <f>HYPERLINK("https://digitalcommons.unl.edu/cgi/viewcontent.cgi?article=2391&amp;context=tractormuseumlit","Click for test report")</f>
        <v>Click for test report</v>
      </c>
      <c r="C1170">
        <v>1968</v>
      </c>
      <c r="D1170" t="s">
        <v>5621</v>
      </c>
      <c r="F1170" t="s">
        <v>4395</v>
      </c>
      <c r="G1170" t="s">
        <v>3708</v>
      </c>
      <c r="H1170" t="s">
        <v>5560</v>
      </c>
      <c r="I1170" t="s">
        <v>50</v>
      </c>
      <c r="J1170" t="s">
        <v>348</v>
      </c>
      <c r="K1170" t="s">
        <v>21</v>
      </c>
      <c r="L1170" t="s">
        <v>3319</v>
      </c>
      <c r="N1170" t="s">
        <v>407</v>
      </c>
      <c r="O1170" t="s">
        <v>3468</v>
      </c>
    </row>
    <row r="1171" spans="1:15" x14ac:dyDescent="0.25">
      <c r="A1171">
        <v>1170</v>
      </c>
      <c r="B1171" t="str">
        <f>HYPERLINK("https://digitalcommons.unl.edu/cgi/viewcontent.cgi?article=2392&amp;context=tractormuseumlit","Click for test report")</f>
        <v>Click for test report</v>
      </c>
      <c r="C1171">
        <v>1968</v>
      </c>
      <c r="D1171" t="s">
        <v>4487</v>
      </c>
      <c r="F1171" t="s">
        <v>4395</v>
      </c>
      <c r="G1171" t="s">
        <v>3708</v>
      </c>
      <c r="H1171" t="s">
        <v>5560</v>
      </c>
      <c r="I1171" t="s">
        <v>28</v>
      </c>
      <c r="J1171" t="s">
        <v>348</v>
      </c>
      <c r="K1171" t="s">
        <v>21</v>
      </c>
      <c r="L1171" t="s">
        <v>750</v>
      </c>
      <c r="N1171" t="s">
        <v>410</v>
      </c>
      <c r="O1171" t="s">
        <v>5617</v>
      </c>
    </row>
    <row r="1172" spans="1:15" x14ac:dyDescent="0.25">
      <c r="A1172">
        <v>1171</v>
      </c>
      <c r="B1172" t="str">
        <f>HYPERLINK("https://digitalcommons.unl.edu/cgi/viewcontent.cgi?article=2393&amp;context=tractormuseumlit","Click for test report")</f>
        <v>Click for test report</v>
      </c>
      <c r="C1172">
        <v>1968</v>
      </c>
      <c r="D1172" t="s">
        <v>5620</v>
      </c>
      <c r="F1172" t="s">
        <v>4395</v>
      </c>
      <c r="G1172" t="s">
        <v>3708</v>
      </c>
      <c r="H1172" t="s">
        <v>5616</v>
      </c>
      <c r="I1172" t="s">
        <v>50</v>
      </c>
      <c r="J1172" t="s">
        <v>348</v>
      </c>
      <c r="K1172" t="s">
        <v>21</v>
      </c>
      <c r="L1172" t="s">
        <v>1257</v>
      </c>
      <c r="N1172" t="s">
        <v>1051</v>
      </c>
      <c r="O1172" t="s">
        <v>3468</v>
      </c>
    </row>
    <row r="1173" spans="1:15" x14ac:dyDescent="0.25">
      <c r="A1173">
        <v>1172</v>
      </c>
      <c r="B1173" t="str">
        <f>HYPERLINK("https://digitalcommons.unl.edu/cgi/viewcontent.cgi?article=2394&amp;context=tractormuseumlit","Click for test report")</f>
        <v>Click for test report</v>
      </c>
      <c r="C1173">
        <v>1968</v>
      </c>
      <c r="D1173" t="s">
        <v>5619</v>
      </c>
      <c r="F1173" t="s">
        <v>4395</v>
      </c>
      <c r="G1173" t="s">
        <v>3708</v>
      </c>
      <c r="H1173" t="s">
        <v>5616</v>
      </c>
      <c r="I1173" t="s">
        <v>28</v>
      </c>
      <c r="J1173" t="s">
        <v>348</v>
      </c>
      <c r="K1173" t="s">
        <v>4809</v>
      </c>
      <c r="L1173" t="s">
        <v>1350</v>
      </c>
      <c r="N1173" t="s">
        <v>1994</v>
      </c>
      <c r="O1173" t="s">
        <v>5617</v>
      </c>
    </row>
    <row r="1174" spans="1:15" x14ac:dyDescent="0.25">
      <c r="A1174">
        <v>1173</v>
      </c>
      <c r="B1174" t="str">
        <f>HYPERLINK("https://digitalcommons.unl.edu/cgi/viewcontent.cgi?article=2395&amp;context=tractormuseumlit","Click for test report")</f>
        <v>Click for test report</v>
      </c>
      <c r="C1174">
        <v>1968</v>
      </c>
      <c r="D1174" t="s">
        <v>5330</v>
      </c>
      <c r="F1174" t="s">
        <v>4395</v>
      </c>
      <c r="G1174" t="s">
        <v>3708</v>
      </c>
      <c r="H1174" t="s">
        <v>5616</v>
      </c>
      <c r="I1174" t="s">
        <v>50</v>
      </c>
      <c r="J1174" t="s">
        <v>348</v>
      </c>
      <c r="K1174" t="s">
        <v>4809</v>
      </c>
      <c r="L1174" t="s">
        <v>1257</v>
      </c>
      <c r="N1174" t="s">
        <v>2029</v>
      </c>
      <c r="O1174" t="s">
        <v>3468</v>
      </c>
    </row>
    <row r="1175" spans="1:15" x14ac:dyDescent="0.25">
      <c r="A1175">
        <v>1174</v>
      </c>
      <c r="B1175" t="str">
        <f>HYPERLINK("https://digitalcommons.unl.edu/cgi/viewcontent.cgi?article=2396&amp;context=tractormuseumlit","Click for test report")</f>
        <v>Click for test report</v>
      </c>
      <c r="C1175">
        <v>1968</v>
      </c>
      <c r="D1175" t="s">
        <v>5618</v>
      </c>
      <c r="F1175" t="s">
        <v>4395</v>
      </c>
      <c r="G1175" t="s">
        <v>3708</v>
      </c>
      <c r="H1175" t="s">
        <v>5560</v>
      </c>
      <c r="I1175" t="s">
        <v>28</v>
      </c>
      <c r="J1175" t="s">
        <v>348</v>
      </c>
      <c r="K1175" t="s">
        <v>4809</v>
      </c>
      <c r="L1175" t="s">
        <v>735</v>
      </c>
      <c r="N1175" t="s">
        <v>3152</v>
      </c>
      <c r="O1175" t="s">
        <v>5617</v>
      </c>
    </row>
    <row r="1176" spans="1:15" x14ac:dyDescent="0.25">
      <c r="A1176">
        <v>1175</v>
      </c>
      <c r="B1176" t="str">
        <f>HYPERLINK("https://digitalcommons.unl.edu/cgi/viewcontent.cgi?article=2397&amp;context=tractormuseumlit","Click for test report")</f>
        <v>Click for test report</v>
      </c>
      <c r="C1176">
        <v>1968</v>
      </c>
      <c r="D1176" t="s">
        <v>5232</v>
      </c>
      <c r="F1176" t="s">
        <v>4395</v>
      </c>
      <c r="G1176" t="s">
        <v>3708</v>
      </c>
      <c r="H1176" t="s">
        <v>5616</v>
      </c>
      <c r="I1176" t="s">
        <v>28</v>
      </c>
      <c r="J1176" t="s">
        <v>348</v>
      </c>
      <c r="K1176" t="s">
        <v>21</v>
      </c>
      <c r="L1176" t="s">
        <v>747</v>
      </c>
      <c r="N1176" t="s">
        <v>353</v>
      </c>
      <c r="O1176" t="s">
        <v>5617</v>
      </c>
    </row>
    <row r="1177" spans="1:15" x14ac:dyDescent="0.25">
      <c r="A1177">
        <v>1176</v>
      </c>
      <c r="B1177" t="str">
        <f>HYPERLINK("https://digitalcommons.unl.edu/cgi/viewcontent.cgi?article=2398&amp;context=tractormuseumlit","Click for test report")</f>
        <v>Click for test report</v>
      </c>
      <c r="C1177">
        <v>1968</v>
      </c>
      <c r="D1177" t="s">
        <v>4816</v>
      </c>
      <c r="F1177" t="s">
        <v>4395</v>
      </c>
      <c r="G1177" t="s">
        <v>3708</v>
      </c>
      <c r="H1177" t="s">
        <v>5560</v>
      </c>
      <c r="I1177" t="s">
        <v>50</v>
      </c>
      <c r="J1177" t="s">
        <v>348</v>
      </c>
      <c r="K1177" t="s">
        <v>4809</v>
      </c>
      <c r="L1177" t="s">
        <v>3319</v>
      </c>
      <c r="N1177" t="s">
        <v>1009</v>
      </c>
      <c r="O1177" t="s">
        <v>24</v>
      </c>
    </row>
    <row r="1178" spans="1:15" x14ac:dyDescent="0.25">
      <c r="A1178">
        <v>1177</v>
      </c>
      <c r="B1178" t="str">
        <f>HYPERLINK("https://digitalcommons.unl.edu/cgi/viewcontent.cgi?article=2224&amp;context=tractormuseumlit","Click for test report")</f>
        <v>Click for test report</v>
      </c>
      <c r="C1178">
        <v>1969</v>
      </c>
      <c r="D1178" t="s">
        <v>5614</v>
      </c>
      <c r="F1178" t="s">
        <v>3800</v>
      </c>
      <c r="G1178" t="s">
        <v>4473</v>
      </c>
      <c r="H1178" t="s">
        <v>3976</v>
      </c>
      <c r="I1178" t="s">
        <v>50</v>
      </c>
      <c r="J1178" t="s">
        <v>348</v>
      </c>
      <c r="K1178" t="s">
        <v>4809</v>
      </c>
      <c r="L1178" t="s">
        <v>2826</v>
      </c>
      <c r="N1178" t="s">
        <v>4745</v>
      </c>
      <c r="O1178" t="s">
        <v>5615</v>
      </c>
    </row>
    <row r="1179" spans="1:15" x14ac:dyDescent="0.25">
      <c r="A1179">
        <v>1178</v>
      </c>
      <c r="B1179" t="str">
        <f>HYPERLINK("https://digitalcommons.unl.edu/cgi/viewcontent.cgi?article=2225&amp;context=tractormuseumlit","Click for test report")</f>
        <v>Click for test report</v>
      </c>
      <c r="C1179">
        <v>1969</v>
      </c>
      <c r="D1179" t="s">
        <v>5612</v>
      </c>
      <c r="F1179" t="s">
        <v>3800</v>
      </c>
      <c r="G1179" t="s">
        <v>4473</v>
      </c>
      <c r="H1179" t="s">
        <v>3976</v>
      </c>
      <c r="I1179" t="s">
        <v>50</v>
      </c>
      <c r="J1179" t="s">
        <v>348</v>
      </c>
      <c r="K1179" t="s">
        <v>21</v>
      </c>
      <c r="L1179" t="s">
        <v>2627</v>
      </c>
      <c r="N1179" t="s">
        <v>1893</v>
      </c>
      <c r="O1179" t="s">
        <v>5613</v>
      </c>
    </row>
    <row r="1180" spans="1:15" x14ac:dyDescent="0.25">
      <c r="A1180">
        <v>1179</v>
      </c>
      <c r="B1180" t="str">
        <f>HYPERLINK("https://digitalcommons.unl.edu/cgi/viewcontent.cgi?article=2227&amp;context=tractormuseumlit","Click for test report")</f>
        <v>Click for test report</v>
      </c>
      <c r="C1180">
        <v>1969</v>
      </c>
      <c r="D1180" t="s">
        <v>5610</v>
      </c>
      <c r="F1180" t="s">
        <v>3800</v>
      </c>
      <c r="G1180" t="s">
        <v>4473</v>
      </c>
      <c r="H1180" t="s">
        <v>1203</v>
      </c>
      <c r="I1180" t="s">
        <v>50</v>
      </c>
      <c r="J1180" t="s">
        <v>348</v>
      </c>
      <c r="K1180" t="s">
        <v>4809</v>
      </c>
      <c r="L1180" t="s">
        <v>4745</v>
      </c>
      <c r="N1180" t="s">
        <v>4397</v>
      </c>
      <c r="O1180" t="s">
        <v>5611</v>
      </c>
    </row>
    <row r="1181" spans="1:15" x14ac:dyDescent="0.25">
      <c r="A1181">
        <v>1180</v>
      </c>
      <c r="B1181" t="str">
        <f>HYPERLINK("https://digitalcommons.unl.edu/cgi/viewcontent.cgi?article=2238&amp;context=tractormuseumlit","Click for test report")</f>
        <v>Click for test report</v>
      </c>
      <c r="C1181">
        <v>1969</v>
      </c>
      <c r="D1181" t="s">
        <v>5608</v>
      </c>
      <c r="F1181" t="s">
        <v>3800</v>
      </c>
      <c r="G1181" t="s">
        <v>4473</v>
      </c>
      <c r="H1181" t="s">
        <v>1203</v>
      </c>
      <c r="I1181" t="s">
        <v>50</v>
      </c>
      <c r="J1181" t="s">
        <v>348</v>
      </c>
      <c r="K1181" t="s">
        <v>21</v>
      </c>
      <c r="L1181" t="s">
        <v>3388</v>
      </c>
      <c r="N1181" t="s">
        <v>4008</v>
      </c>
      <c r="O1181" t="s">
        <v>5609</v>
      </c>
    </row>
    <row r="1182" spans="1:15" x14ac:dyDescent="0.25">
      <c r="A1182">
        <v>1181</v>
      </c>
      <c r="B1182" t="str">
        <f>HYPERLINK("https://digitalcommons.unl.edu/cgi/viewcontent.cgi?article=1139&amp;context=tractormuseumlit","Click for test report")</f>
        <v>Click for test report</v>
      </c>
      <c r="C1182">
        <v>1969</v>
      </c>
      <c r="D1182" t="s">
        <v>5607</v>
      </c>
      <c r="F1182" t="s">
        <v>5345</v>
      </c>
      <c r="G1182" t="s">
        <v>5347</v>
      </c>
      <c r="H1182" t="s">
        <v>5606</v>
      </c>
      <c r="I1182" t="s">
        <v>1961</v>
      </c>
      <c r="J1182" t="s">
        <v>348</v>
      </c>
      <c r="K1182" t="s">
        <v>21</v>
      </c>
      <c r="L1182" t="s">
        <v>3123</v>
      </c>
      <c r="N1182" t="s">
        <v>2511</v>
      </c>
      <c r="O1182" t="s">
        <v>5605</v>
      </c>
    </row>
    <row r="1183" spans="1:15" x14ac:dyDescent="0.25">
      <c r="A1183">
        <v>1182</v>
      </c>
      <c r="B1183" t="str">
        <f>HYPERLINK("https://digitalcommons.unl.edu/cgi/viewcontent.cgi?article=1139&amp;context=tractormuseumlit","Click for test report")</f>
        <v>Click for test report</v>
      </c>
      <c r="C1183">
        <v>1969</v>
      </c>
      <c r="D1183" t="s">
        <v>5607</v>
      </c>
      <c r="F1183" t="s">
        <v>5345</v>
      </c>
      <c r="G1183" t="s">
        <v>5345</v>
      </c>
      <c r="H1183" t="s">
        <v>4438</v>
      </c>
      <c r="I1183" t="s">
        <v>1961</v>
      </c>
      <c r="J1183" t="s">
        <v>348</v>
      </c>
      <c r="K1183" t="s">
        <v>21</v>
      </c>
      <c r="L1183" t="s">
        <v>3123</v>
      </c>
      <c r="N1183" t="s">
        <v>2511</v>
      </c>
      <c r="O1183" t="s">
        <v>5605</v>
      </c>
    </row>
    <row r="1184" spans="1:15" x14ac:dyDescent="0.25">
      <c r="A1184">
        <v>1183</v>
      </c>
      <c r="B1184" t="str">
        <f>HYPERLINK("https://digitalcommons.unl.edu/cgi/viewcontent.cgi?article=1566&amp;context=tractormuseumlit","Click for test report")</f>
        <v>Click for test report</v>
      </c>
      <c r="C1184">
        <v>1969</v>
      </c>
      <c r="D1184" t="s">
        <v>5604</v>
      </c>
      <c r="F1184" t="s">
        <v>5345</v>
      </c>
      <c r="G1184" t="s">
        <v>5347</v>
      </c>
      <c r="H1184" t="s">
        <v>5606</v>
      </c>
      <c r="I1184" t="s">
        <v>1961</v>
      </c>
      <c r="J1184" t="s">
        <v>348</v>
      </c>
      <c r="K1184" t="s">
        <v>4809</v>
      </c>
      <c r="L1184" t="s">
        <v>3123</v>
      </c>
      <c r="N1184" t="s">
        <v>410</v>
      </c>
      <c r="O1184" t="s">
        <v>5605</v>
      </c>
    </row>
    <row r="1185" spans="1:15" x14ac:dyDescent="0.25">
      <c r="A1185">
        <v>1184</v>
      </c>
      <c r="B1185" t="str">
        <f>HYPERLINK("https://digitalcommons.unl.edu/cgi/viewcontent.cgi?article=1566&amp;context=tractormuseumlit","Click for test report")</f>
        <v>Click for test report</v>
      </c>
      <c r="C1185">
        <v>1969</v>
      </c>
      <c r="D1185" t="s">
        <v>5604</v>
      </c>
      <c r="F1185" t="s">
        <v>5345</v>
      </c>
      <c r="G1185" t="s">
        <v>5345</v>
      </c>
      <c r="H1185" t="s">
        <v>4438</v>
      </c>
      <c r="I1185" t="s">
        <v>1961</v>
      </c>
      <c r="J1185" t="s">
        <v>348</v>
      </c>
      <c r="K1185" t="s">
        <v>4809</v>
      </c>
      <c r="L1185" t="s">
        <v>3123</v>
      </c>
      <c r="N1185" t="s">
        <v>410</v>
      </c>
      <c r="O1185" t="s">
        <v>5605</v>
      </c>
    </row>
    <row r="1186" spans="1:15" x14ac:dyDescent="0.25">
      <c r="A1186">
        <v>1185</v>
      </c>
      <c r="B1186" t="str">
        <f>HYPERLINK("https://digitalcommons.unl.edu/cgi/viewcontent.cgi?article=2362&amp;context=tractormuseumlit","Click for test report")</f>
        <v>Click for test report</v>
      </c>
      <c r="C1186">
        <v>1969</v>
      </c>
      <c r="D1186" t="s">
        <v>5603</v>
      </c>
      <c r="F1186" t="s">
        <v>5347</v>
      </c>
      <c r="G1186" t="s">
        <v>5347</v>
      </c>
      <c r="H1186" t="s">
        <v>5602</v>
      </c>
      <c r="I1186" t="s">
        <v>1961</v>
      </c>
      <c r="J1186" t="s">
        <v>348</v>
      </c>
      <c r="K1186" t="s">
        <v>21</v>
      </c>
      <c r="L1186" t="s">
        <v>23</v>
      </c>
      <c r="N1186" t="s">
        <v>127</v>
      </c>
      <c r="O1186" t="s">
        <v>5601</v>
      </c>
    </row>
    <row r="1187" spans="1:15" x14ac:dyDescent="0.25">
      <c r="A1187">
        <v>1186</v>
      </c>
      <c r="B1187" t="str">
        <f>HYPERLINK("https://digitalcommons.unl.edu/cgi/viewcontent.cgi?article=2362&amp;context=tractormuseumlit","Click for test report")</f>
        <v>Click for test report</v>
      </c>
      <c r="C1187">
        <v>1969</v>
      </c>
      <c r="D1187" t="s">
        <v>5603</v>
      </c>
      <c r="F1187" t="s">
        <v>5347</v>
      </c>
      <c r="G1187" t="s">
        <v>5345</v>
      </c>
      <c r="H1187" t="s">
        <v>1338</v>
      </c>
      <c r="I1187" t="s">
        <v>1961</v>
      </c>
      <c r="J1187" t="s">
        <v>348</v>
      </c>
      <c r="K1187" t="s">
        <v>21</v>
      </c>
      <c r="L1187" t="s">
        <v>23</v>
      </c>
      <c r="N1187" t="s">
        <v>127</v>
      </c>
      <c r="O1187" t="s">
        <v>5601</v>
      </c>
    </row>
    <row r="1188" spans="1:15" x14ac:dyDescent="0.25">
      <c r="A1188">
        <v>1187</v>
      </c>
      <c r="B1188" t="str">
        <f>HYPERLINK("https://digitalcommons.unl.edu/cgi/viewcontent.cgi?article=2363&amp;context=tractormuseumlit","Click for test report")</f>
        <v>Click for test report</v>
      </c>
      <c r="C1188">
        <v>1969</v>
      </c>
      <c r="D1188" t="s">
        <v>5600</v>
      </c>
      <c r="F1188" t="s">
        <v>5347</v>
      </c>
      <c r="G1188" t="s">
        <v>5347</v>
      </c>
      <c r="H1188" t="s">
        <v>5602</v>
      </c>
      <c r="I1188" t="s">
        <v>1961</v>
      </c>
      <c r="J1188" t="s">
        <v>348</v>
      </c>
      <c r="K1188" t="s">
        <v>5598</v>
      </c>
      <c r="L1188" t="s">
        <v>23</v>
      </c>
      <c r="N1188" t="s">
        <v>561</v>
      </c>
      <c r="O1188" t="s">
        <v>5601</v>
      </c>
    </row>
    <row r="1189" spans="1:15" x14ac:dyDescent="0.25">
      <c r="A1189">
        <v>1188</v>
      </c>
      <c r="B1189" t="str">
        <f>HYPERLINK("https://digitalcommons.unl.edu/cgi/viewcontent.cgi?article=2363&amp;context=tractormuseumlit","Click for test report")</f>
        <v>Click for test report</v>
      </c>
      <c r="C1189">
        <v>1969</v>
      </c>
      <c r="D1189" t="s">
        <v>5600</v>
      </c>
      <c r="F1189" t="s">
        <v>5347</v>
      </c>
      <c r="G1189" t="s">
        <v>5345</v>
      </c>
      <c r="H1189" t="s">
        <v>1338</v>
      </c>
      <c r="I1189" t="s">
        <v>1961</v>
      </c>
      <c r="J1189" t="s">
        <v>348</v>
      </c>
      <c r="K1189" t="s">
        <v>5598</v>
      </c>
      <c r="L1189" t="s">
        <v>23</v>
      </c>
      <c r="N1189" t="s">
        <v>561</v>
      </c>
      <c r="O1189" t="s">
        <v>5601</v>
      </c>
    </row>
    <row r="1190" spans="1:15" x14ac:dyDescent="0.25">
      <c r="A1190">
        <v>1189</v>
      </c>
      <c r="B1190" t="str">
        <f>HYPERLINK("https://digitalcommons.unl.edu/cgi/viewcontent.cgi?article=2383&amp;context=tractormuseumlit","Click for test report")</f>
        <v>Click for test report</v>
      </c>
      <c r="C1190">
        <v>1969</v>
      </c>
      <c r="D1190" t="s">
        <v>5599</v>
      </c>
      <c r="F1190" t="s">
        <v>5347</v>
      </c>
      <c r="G1190" t="s">
        <v>5347</v>
      </c>
      <c r="H1190" t="s">
        <v>5595</v>
      </c>
      <c r="I1190" t="s">
        <v>1961</v>
      </c>
      <c r="J1190" t="s">
        <v>348</v>
      </c>
      <c r="K1190" t="s">
        <v>21</v>
      </c>
      <c r="L1190" t="s">
        <v>375</v>
      </c>
      <c r="N1190" t="s">
        <v>461</v>
      </c>
      <c r="O1190" t="s">
        <v>5596</v>
      </c>
    </row>
    <row r="1191" spans="1:15" x14ac:dyDescent="0.25">
      <c r="A1191">
        <v>1190</v>
      </c>
      <c r="B1191" t="str">
        <f>HYPERLINK("https://digitalcommons.unl.edu/cgi/viewcontent.cgi?article=2383&amp;context=tractormuseumlit","Click for test report")</f>
        <v>Click for test report</v>
      </c>
      <c r="C1191">
        <v>1969</v>
      </c>
      <c r="D1191" t="s">
        <v>5599</v>
      </c>
      <c r="F1191" t="s">
        <v>5347</v>
      </c>
      <c r="G1191" t="s">
        <v>5345</v>
      </c>
      <c r="H1191" t="s">
        <v>2573</v>
      </c>
      <c r="I1191" t="s">
        <v>1961</v>
      </c>
      <c r="J1191" t="s">
        <v>348</v>
      </c>
      <c r="K1191" t="s">
        <v>21</v>
      </c>
      <c r="L1191" t="s">
        <v>375</v>
      </c>
      <c r="N1191" t="s">
        <v>461</v>
      </c>
      <c r="O1191" t="s">
        <v>5596</v>
      </c>
    </row>
    <row r="1192" spans="1:15" x14ac:dyDescent="0.25">
      <c r="A1192">
        <v>1191</v>
      </c>
      <c r="B1192" t="str">
        <f>HYPERLINK("https://digitalcommons.unl.edu/cgi/viewcontent.cgi?article=2384&amp;context=tractormuseumlit","Click for test report")</f>
        <v>Click for test report</v>
      </c>
      <c r="C1192">
        <v>1969</v>
      </c>
      <c r="D1192" t="s">
        <v>5597</v>
      </c>
      <c r="F1192" t="s">
        <v>5347</v>
      </c>
      <c r="G1192" t="s">
        <v>5347</v>
      </c>
      <c r="H1192" t="s">
        <v>5595</v>
      </c>
      <c r="I1192" t="s">
        <v>1961</v>
      </c>
      <c r="J1192" t="s">
        <v>348</v>
      </c>
      <c r="K1192" t="s">
        <v>5598</v>
      </c>
      <c r="L1192" t="s">
        <v>375</v>
      </c>
      <c r="N1192" t="s">
        <v>55</v>
      </c>
      <c r="O1192" t="s">
        <v>5596</v>
      </c>
    </row>
    <row r="1193" spans="1:15" x14ac:dyDescent="0.25">
      <c r="A1193">
        <v>1192</v>
      </c>
      <c r="B1193" t="str">
        <f>HYPERLINK("https://digitalcommons.unl.edu/cgi/viewcontent.cgi?article=2384&amp;context=tractormuseumlit","Click for test report")</f>
        <v>Click for test report</v>
      </c>
      <c r="C1193">
        <v>1969</v>
      </c>
      <c r="D1193" t="s">
        <v>5597</v>
      </c>
      <c r="F1193" t="s">
        <v>5347</v>
      </c>
      <c r="G1193" t="s">
        <v>5345</v>
      </c>
      <c r="H1193" t="s">
        <v>2573</v>
      </c>
      <c r="I1193" t="s">
        <v>1961</v>
      </c>
      <c r="J1193" t="s">
        <v>348</v>
      </c>
      <c r="K1193" t="s">
        <v>5598</v>
      </c>
      <c r="L1193" t="s">
        <v>375</v>
      </c>
      <c r="N1193" t="s">
        <v>55</v>
      </c>
      <c r="O1193" t="s">
        <v>5596</v>
      </c>
    </row>
    <row r="1194" spans="1:15" x14ac:dyDescent="0.25">
      <c r="A1194">
        <v>1193</v>
      </c>
      <c r="B1194" t="str">
        <f>HYPERLINK("https://digitalcommons.unl.edu/cgi/viewcontent.cgi?article=2385&amp;context=tractormuseumlit","Click for test report")</f>
        <v>Click for test report</v>
      </c>
      <c r="C1194">
        <v>1969</v>
      </c>
      <c r="D1194" t="s">
        <v>5594</v>
      </c>
      <c r="F1194" t="s">
        <v>5347</v>
      </c>
      <c r="G1194" t="s">
        <v>5347</v>
      </c>
      <c r="H1194" t="s">
        <v>5595</v>
      </c>
      <c r="I1194" t="s">
        <v>1961</v>
      </c>
      <c r="J1194" t="s">
        <v>348</v>
      </c>
      <c r="K1194" t="s">
        <v>4809</v>
      </c>
      <c r="L1194" t="s">
        <v>375</v>
      </c>
      <c r="N1194" t="s">
        <v>713</v>
      </c>
      <c r="O1194" t="s">
        <v>5596</v>
      </c>
    </row>
    <row r="1195" spans="1:15" x14ac:dyDescent="0.25">
      <c r="A1195">
        <v>1194</v>
      </c>
      <c r="B1195" t="str">
        <f>HYPERLINK("https://digitalcommons.unl.edu/cgi/viewcontent.cgi?article=1424&amp;context=tractormuseumlit","Click for test report")</f>
        <v>Click for test report</v>
      </c>
      <c r="C1195">
        <v>1969</v>
      </c>
      <c r="D1195" t="s">
        <v>5593</v>
      </c>
      <c r="F1195" t="s">
        <v>17</v>
      </c>
      <c r="G1195" t="s">
        <v>17</v>
      </c>
      <c r="H1195" t="s">
        <v>5592</v>
      </c>
      <c r="I1195" t="s">
        <v>28</v>
      </c>
      <c r="J1195" t="s">
        <v>348</v>
      </c>
      <c r="K1195" t="s">
        <v>4809</v>
      </c>
      <c r="L1195" t="s">
        <v>404</v>
      </c>
      <c r="N1195" t="s">
        <v>2188</v>
      </c>
      <c r="O1195" t="s">
        <v>3468</v>
      </c>
    </row>
    <row r="1196" spans="1:15" x14ac:dyDescent="0.25">
      <c r="A1196">
        <v>1195</v>
      </c>
      <c r="B1196" t="str">
        <f>HYPERLINK("https://digitalcommons.unl.edu/cgi/viewcontent.cgi?article=1425&amp;context=tractormuseumlit","Click for test report")</f>
        <v>Click for test report</v>
      </c>
      <c r="C1196">
        <v>1969</v>
      </c>
      <c r="D1196" t="s">
        <v>5591</v>
      </c>
      <c r="F1196" t="s">
        <v>17</v>
      </c>
      <c r="G1196" t="s">
        <v>17</v>
      </c>
      <c r="H1196" t="s">
        <v>5592</v>
      </c>
      <c r="I1196" t="s">
        <v>50</v>
      </c>
      <c r="J1196" t="s">
        <v>348</v>
      </c>
      <c r="K1196" t="s">
        <v>4809</v>
      </c>
      <c r="L1196" t="s">
        <v>1051</v>
      </c>
      <c r="N1196" t="s">
        <v>1970</v>
      </c>
      <c r="O1196" t="s">
        <v>24</v>
      </c>
    </row>
    <row r="1197" spans="1:15" x14ac:dyDescent="0.25">
      <c r="A1197">
        <v>1196</v>
      </c>
      <c r="B1197" t="str">
        <f>HYPERLINK("https://digitalcommons.unl.edu/cgi/viewcontent.cgi?article=1426&amp;context=tractormuseumlit","Click for test report")</f>
        <v>Click for test report</v>
      </c>
      <c r="C1197">
        <v>1969</v>
      </c>
      <c r="D1197" t="s">
        <v>5590</v>
      </c>
      <c r="F1197" t="s">
        <v>17</v>
      </c>
      <c r="G1197" t="s">
        <v>17</v>
      </c>
      <c r="H1197" t="s">
        <v>4560</v>
      </c>
      <c r="I1197" t="s">
        <v>1961</v>
      </c>
      <c r="J1197" t="s">
        <v>348</v>
      </c>
      <c r="K1197" t="s">
        <v>4809</v>
      </c>
      <c r="L1197" t="s">
        <v>407</v>
      </c>
      <c r="N1197" t="s">
        <v>1802</v>
      </c>
      <c r="O1197" t="s">
        <v>24</v>
      </c>
    </row>
    <row r="1198" spans="1:15" x14ac:dyDescent="0.25">
      <c r="A1198">
        <v>1197</v>
      </c>
      <c r="B1198" t="str">
        <f>HYPERLINK("https://digitalcommons.unl.edu/cgi/viewcontent.cgi?article=2399&amp;context=tractormuseumlit","Click for test report")</f>
        <v>Click for test report</v>
      </c>
      <c r="C1198">
        <v>1969</v>
      </c>
      <c r="D1198" t="s">
        <v>5589</v>
      </c>
      <c r="F1198" t="s">
        <v>4325</v>
      </c>
      <c r="G1198" t="s">
        <v>4325</v>
      </c>
      <c r="H1198" t="s">
        <v>5563</v>
      </c>
      <c r="I1198" t="s">
        <v>1961</v>
      </c>
      <c r="J1198" t="s">
        <v>348</v>
      </c>
      <c r="K1198" t="s">
        <v>4809</v>
      </c>
      <c r="L1198" t="s">
        <v>1350</v>
      </c>
      <c r="N1198" t="s">
        <v>2029</v>
      </c>
      <c r="O1198" t="s">
        <v>24</v>
      </c>
    </row>
    <row r="1199" spans="1:15" x14ac:dyDescent="0.25">
      <c r="A1199">
        <v>1198</v>
      </c>
      <c r="B1199" t="str">
        <f>HYPERLINK("https://digitalcommons.unl.edu/cgi/viewcontent.cgi?article=2400&amp;context=tractormuseumlit","Click for test report")</f>
        <v>Click for test report</v>
      </c>
      <c r="C1199">
        <v>1969</v>
      </c>
      <c r="D1199" t="s">
        <v>5588</v>
      </c>
      <c r="F1199" t="s">
        <v>3800</v>
      </c>
      <c r="G1199" t="s">
        <v>4473</v>
      </c>
      <c r="H1199" t="s">
        <v>4689</v>
      </c>
      <c r="I1199" t="s">
        <v>50</v>
      </c>
      <c r="J1199" t="s">
        <v>29</v>
      </c>
      <c r="K1199" t="s">
        <v>21</v>
      </c>
      <c r="L1199" t="s">
        <v>1262</v>
      </c>
      <c r="N1199" t="s">
        <v>774</v>
      </c>
      <c r="O1199" t="s">
        <v>24</v>
      </c>
    </row>
    <row r="1200" spans="1:15" x14ac:dyDescent="0.25">
      <c r="A1200">
        <v>1199</v>
      </c>
      <c r="B1200" t="str">
        <f>HYPERLINK("https://digitalcommons.unl.edu/cgi/viewcontent.cgi?article=2401&amp;context=tractormuseumlit","Click for test report")</f>
        <v>Click for test report</v>
      </c>
      <c r="C1200">
        <v>1969</v>
      </c>
      <c r="D1200" t="s">
        <v>5587</v>
      </c>
      <c r="F1200" t="s">
        <v>4503</v>
      </c>
      <c r="G1200" t="s">
        <v>4504</v>
      </c>
      <c r="H1200" t="s">
        <v>5549</v>
      </c>
      <c r="I1200" t="s">
        <v>2964</v>
      </c>
      <c r="J1200" t="s">
        <v>348</v>
      </c>
      <c r="K1200" t="s">
        <v>4809</v>
      </c>
      <c r="L1200" t="s">
        <v>3123</v>
      </c>
      <c r="N1200" t="s">
        <v>3152</v>
      </c>
      <c r="O1200" t="s">
        <v>5550</v>
      </c>
    </row>
    <row r="1201" spans="1:15" x14ac:dyDescent="0.25">
      <c r="A1201">
        <v>1200</v>
      </c>
      <c r="B1201" t="str">
        <f>HYPERLINK("https://digitalcommons.unl.edu/cgi/viewcontent.cgi?article=2401&amp;context=tractormuseumlit","Click for test report")</f>
        <v>Click for test report</v>
      </c>
      <c r="C1201">
        <v>1969</v>
      </c>
      <c r="D1201" t="s">
        <v>5587</v>
      </c>
      <c r="F1201" t="s">
        <v>4503</v>
      </c>
      <c r="G1201" t="s">
        <v>4504</v>
      </c>
      <c r="H1201" t="s">
        <v>5547</v>
      </c>
      <c r="I1201" t="s">
        <v>2964</v>
      </c>
      <c r="J1201" t="s">
        <v>348</v>
      </c>
      <c r="K1201" t="s">
        <v>4809</v>
      </c>
      <c r="L1201" t="s">
        <v>3123</v>
      </c>
      <c r="N1201" t="s">
        <v>3152</v>
      </c>
      <c r="O1201" t="s">
        <v>5548</v>
      </c>
    </row>
    <row r="1202" spans="1:15" x14ac:dyDescent="0.25">
      <c r="A1202">
        <v>1201</v>
      </c>
      <c r="B1202" t="str">
        <f>HYPERLINK("https://digitalcommons.unl.edu/cgi/viewcontent.cgi?article=2402&amp;context=tractormuseumlit","Click for test report")</f>
        <v>Click for test report</v>
      </c>
      <c r="C1202">
        <v>1969</v>
      </c>
      <c r="D1202" t="s">
        <v>5583</v>
      </c>
      <c r="F1202" t="s">
        <v>778</v>
      </c>
      <c r="G1202" t="s">
        <v>778</v>
      </c>
      <c r="H1202" t="s">
        <v>5586</v>
      </c>
      <c r="I1202" t="s">
        <v>1961</v>
      </c>
      <c r="J1202" t="s">
        <v>348</v>
      </c>
      <c r="K1202" t="s">
        <v>4809</v>
      </c>
      <c r="L1202" t="s">
        <v>750</v>
      </c>
      <c r="N1202" t="s">
        <v>2511</v>
      </c>
      <c r="O1202" t="s">
        <v>24</v>
      </c>
    </row>
    <row r="1203" spans="1:15" x14ac:dyDescent="0.25">
      <c r="A1203">
        <v>1202</v>
      </c>
      <c r="B1203" t="str">
        <f>HYPERLINK("https://digitalcommons.unl.edu/cgi/viewcontent.cgi?article=2402&amp;context=tractormuseumlit","Click for test report")</f>
        <v>Click for test report</v>
      </c>
      <c r="C1203">
        <v>1969</v>
      </c>
      <c r="D1203" t="s">
        <v>5583</v>
      </c>
      <c r="F1203" t="s">
        <v>778</v>
      </c>
      <c r="G1203" t="s">
        <v>778</v>
      </c>
      <c r="H1203" t="s">
        <v>5584</v>
      </c>
      <c r="I1203" t="s">
        <v>1961</v>
      </c>
      <c r="J1203" t="s">
        <v>348</v>
      </c>
      <c r="K1203" t="s">
        <v>4809</v>
      </c>
      <c r="L1203" t="s">
        <v>750</v>
      </c>
      <c r="N1203" t="s">
        <v>2511</v>
      </c>
      <c r="O1203" t="s">
        <v>5585</v>
      </c>
    </row>
    <row r="1204" spans="1:15" x14ac:dyDescent="0.25">
      <c r="A1204">
        <v>1203</v>
      </c>
      <c r="B1204" t="str">
        <f>HYPERLINK("https://digitalcommons.unl.edu/cgi/viewcontent.cgi?article=2403&amp;context=tractormuseumlit","Click for test report")</f>
        <v>Click for test report</v>
      </c>
      <c r="C1204">
        <v>1969</v>
      </c>
      <c r="D1204" t="s">
        <v>5579</v>
      </c>
      <c r="F1204" t="s">
        <v>778</v>
      </c>
      <c r="G1204" t="s">
        <v>778</v>
      </c>
      <c r="H1204" t="s">
        <v>5582</v>
      </c>
      <c r="I1204" t="s">
        <v>1961</v>
      </c>
      <c r="J1204" t="s">
        <v>348</v>
      </c>
      <c r="K1204" t="s">
        <v>4809</v>
      </c>
      <c r="L1204" t="s">
        <v>1893</v>
      </c>
      <c r="N1204" t="s">
        <v>4012</v>
      </c>
      <c r="O1204" t="s">
        <v>24</v>
      </c>
    </row>
    <row r="1205" spans="1:15" x14ac:dyDescent="0.25">
      <c r="A1205">
        <v>1204</v>
      </c>
      <c r="B1205" t="str">
        <f>HYPERLINK("https://digitalcommons.unl.edu/cgi/viewcontent.cgi?article=2403&amp;context=tractormuseumlit","Click for test report")</f>
        <v>Click for test report</v>
      </c>
      <c r="C1205">
        <v>1969</v>
      </c>
      <c r="D1205" t="s">
        <v>5579</v>
      </c>
      <c r="F1205" t="s">
        <v>778</v>
      </c>
      <c r="G1205" t="s">
        <v>778</v>
      </c>
      <c r="H1205" t="s">
        <v>5580</v>
      </c>
      <c r="I1205" t="s">
        <v>1961</v>
      </c>
      <c r="J1205" t="s">
        <v>348</v>
      </c>
      <c r="K1205" t="s">
        <v>4809</v>
      </c>
      <c r="L1205" t="s">
        <v>1893</v>
      </c>
      <c r="N1205" t="s">
        <v>4012</v>
      </c>
      <c r="O1205" t="s">
        <v>5581</v>
      </c>
    </row>
    <row r="1206" spans="1:15" x14ac:dyDescent="0.25">
      <c r="A1206">
        <v>1205</v>
      </c>
      <c r="B1206" t="str">
        <f>HYPERLINK("https://digitalcommons.unl.edu/cgi/viewcontent.cgi?article=1427&amp;context=tractormuseumlit","Click for test report")</f>
        <v>Click for test report</v>
      </c>
      <c r="C1206">
        <v>1969</v>
      </c>
      <c r="D1206" t="s">
        <v>5578</v>
      </c>
      <c r="F1206" t="s">
        <v>17</v>
      </c>
      <c r="G1206" t="s">
        <v>17</v>
      </c>
      <c r="H1206" t="s">
        <v>5576</v>
      </c>
      <c r="I1206" t="s">
        <v>28</v>
      </c>
      <c r="J1206" t="s">
        <v>348</v>
      </c>
      <c r="K1206" t="s">
        <v>4809</v>
      </c>
      <c r="L1206" t="s">
        <v>1257</v>
      </c>
      <c r="N1206" t="s">
        <v>353</v>
      </c>
      <c r="O1206" t="s">
        <v>5577</v>
      </c>
    </row>
    <row r="1207" spans="1:15" x14ac:dyDescent="0.25">
      <c r="A1207">
        <v>1206</v>
      </c>
      <c r="B1207" t="str">
        <f>HYPERLINK("https://digitalcommons.unl.edu/cgi/viewcontent.cgi?article=1428&amp;context=tractormuseumlit","Click for test report")</f>
        <v>Click for test report</v>
      </c>
      <c r="C1207">
        <v>1969</v>
      </c>
      <c r="D1207" t="s">
        <v>5575</v>
      </c>
      <c r="F1207" t="s">
        <v>17</v>
      </c>
      <c r="G1207" t="s">
        <v>17</v>
      </c>
      <c r="H1207" t="s">
        <v>5576</v>
      </c>
      <c r="I1207" t="s">
        <v>50</v>
      </c>
      <c r="J1207" t="s">
        <v>348</v>
      </c>
      <c r="K1207" t="s">
        <v>4809</v>
      </c>
      <c r="L1207" t="s">
        <v>764</v>
      </c>
      <c r="N1207" t="s">
        <v>728</v>
      </c>
      <c r="O1207" t="s">
        <v>5577</v>
      </c>
    </row>
    <row r="1208" spans="1:15" x14ac:dyDescent="0.25">
      <c r="A1208">
        <v>1207</v>
      </c>
      <c r="B1208" t="str">
        <f>HYPERLINK("https://digitalcommons.unl.edu/cgi/viewcontent.cgi?article=1429&amp;context=tractormuseumlit","Click for test report")</f>
        <v>Click for test report</v>
      </c>
      <c r="C1208">
        <v>1969</v>
      </c>
      <c r="D1208" t="s">
        <v>5573</v>
      </c>
      <c r="F1208" t="s">
        <v>17</v>
      </c>
      <c r="G1208" t="s">
        <v>17</v>
      </c>
      <c r="H1208" t="s">
        <v>5557</v>
      </c>
      <c r="I1208" t="s">
        <v>28</v>
      </c>
      <c r="J1208" t="s">
        <v>348</v>
      </c>
      <c r="K1208" t="s">
        <v>4809</v>
      </c>
      <c r="L1208" t="s">
        <v>339</v>
      </c>
      <c r="N1208" t="s">
        <v>343</v>
      </c>
      <c r="O1208" t="s">
        <v>5574</v>
      </c>
    </row>
    <row r="1209" spans="1:15" x14ac:dyDescent="0.25">
      <c r="A1209">
        <v>1208</v>
      </c>
      <c r="B1209" t="str">
        <f>HYPERLINK("https://digitalcommons.unl.edu/cgi/viewcontent.cgi?article=1430&amp;context=tractormuseumlit","Click for test report")</f>
        <v>Click for test report</v>
      </c>
      <c r="C1209">
        <v>1969</v>
      </c>
      <c r="D1209" t="s">
        <v>5571</v>
      </c>
      <c r="F1209" t="s">
        <v>17</v>
      </c>
      <c r="G1209" t="s">
        <v>17</v>
      </c>
      <c r="H1209" t="s">
        <v>5557</v>
      </c>
      <c r="I1209" t="s">
        <v>50</v>
      </c>
      <c r="J1209" t="s">
        <v>348</v>
      </c>
      <c r="K1209" t="s">
        <v>4809</v>
      </c>
      <c r="L1209" t="s">
        <v>52</v>
      </c>
      <c r="N1209" t="s">
        <v>340</v>
      </c>
      <c r="O1209" t="s">
        <v>5572</v>
      </c>
    </row>
    <row r="1210" spans="1:15" x14ac:dyDescent="0.25">
      <c r="A1210">
        <v>1209</v>
      </c>
      <c r="B1210" t="str">
        <f>HYPERLINK("https://digitalcommons.unl.edu/cgi/viewcontent.cgi?article=1431&amp;context=tractormuseumlit","Click for test report")</f>
        <v>Click for test report</v>
      </c>
      <c r="C1210">
        <v>1969</v>
      </c>
      <c r="D1210" t="s">
        <v>5570</v>
      </c>
      <c r="F1210" t="s">
        <v>17</v>
      </c>
      <c r="G1210" t="s">
        <v>17</v>
      </c>
      <c r="H1210" t="s">
        <v>1993</v>
      </c>
      <c r="I1210" t="s">
        <v>28</v>
      </c>
      <c r="J1210" t="s">
        <v>348</v>
      </c>
      <c r="K1210" t="s">
        <v>21</v>
      </c>
      <c r="L1210" t="s">
        <v>475</v>
      </c>
      <c r="N1210" t="s">
        <v>558</v>
      </c>
      <c r="O1210" t="s">
        <v>24</v>
      </c>
    </row>
    <row r="1211" spans="1:15" x14ac:dyDescent="0.25">
      <c r="A1211">
        <v>1210</v>
      </c>
      <c r="B1211" t="str">
        <f>HYPERLINK("https://digitalcommons.unl.edu/cgi/viewcontent.cgi?article=1432&amp;context=tractormuseumlit","Click for test report")</f>
        <v>Click for test report</v>
      </c>
      <c r="C1211">
        <v>1969</v>
      </c>
      <c r="D1211" t="s">
        <v>5569</v>
      </c>
      <c r="F1211" t="s">
        <v>17</v>
      </c>
      <c r="G1211" t="s">
        <v>17</v>
      </c>
      <c r="H1211" t="s">
        <v>1993</v>
      </c>
      <c r="I1211" t="s">
        <v>50</v>
      </c>
      <c r="J1211" t="s">
        <v>348</v>
      </c>
      <c r="K1211" t="s">
        <v>21</v>
      </c>
      <c r="L1211" t="s">
        <v>126</v>
      </c>
      <c r="N1211" t="s">
        <v>22</v>
      </c>
      <c r="O1211" t="s">
        <v>24</v>
      </c>
    </row>
    <row r="1212" spans="1:15" x14ac:dyDescent="0.25">
      <c r="A1212">
        <v>1211</v>
      </c>
      <c r="B1212" t="str">
        <f>HYPERLINK("https://digitalcommons.unl.edu/cgi/viewcontent.cgi?article=3688&amp;context=tractormuseumlit","Click for test report")</f>
        <v>Click for test report</v>
      </c>
      <c r="C1212">
        <v>1969</v>
      </c>
      <c r="D1212" t="s">
        <v>5568</v>
      </c>
      <c r="G1212" t="s">
        <v>322</v>
      </c>
      <c r="O1212" t="s">
        <v>24</v>
      </c>
    </row>
    <row r="1213" spans="1:15" x14ac:dyDescent="0.25">
      <c r="A1213">
        <v>1212</v>
      </c>
      <c r="B1213" t="str">
        <f>HYPERLINK("https://digitalcommons.unl.edu/cgi/viewcontent.cgi?article=1123&amp;context=tractormuseumlit","Click for test report")</f>
        <v>Click for test report</v>
      </c>
      <c r="C1213">
        <v>1969</v>
      </c>
      <c r="D1213" t="s">
        <v>5567</v>
      </c>
      <c r="F1213" t="s">
        <v>4325</v>
      </c>
      <c r="G1213" t="s">
        <v>4325</v>
      </c>
      <c r="H1213" t="s">
        <v>4923</v>
      </c>
      <c r="I1213" t="s">
        <v>50</v>
      </c>
      <c r="J1213" t="s">
        <v>348</v>
      </c>
      <c r="K1213" t="s">
        <v>21</v>
      </c>
      <c r="L1213" t="s">
        <v>1514</v>
      </c>
      <c r="N1213" t="s">
        <v>794</v>
      </c>
      <c r="O1213" t="s">
        <v>24</v>
      </c>
    </row>
    <row r="1214" spans="1:15" x14ac:dyDescent="0.25">
      <c r="A1214">
        <v>1213</v>
      </c>
      <c r="B1214" t="str">
        <f>HYPERLINK("https://digitalcommons.unl.edu/cgi/viewcontent.cgi?article=2404&amp;context=tractormuseumlit","Click for test report")</f>
        <v>Click for test report</v>
      </c>
      <c r="C1214">
        <v>1969</v>
      </c>
      <c r="D1214" t="s">
        <v>5565</v>
      </c>
      <c r="F1214" t="s">
        <v>4472</v>
      </c>
      <c r="G1214" t="s">
        <v>4472</v>
      </c>
      <c r="H1214" t="s">
        <v>5566</v>
      </c>
      <c r="I1214" t="s">
        <v>50</v>
      </c>
      <c r="J1214" t="s">
        <v>348</v>
      </c>
      <c r="K1214" t="s">
        <v>4809</v>
      </c>
      <c r="L1214" t="s">
        <v>2826</v>
      </c>
      <c r="N1214" t="s">
        <v>3388</v>
      </c>
      <c r="O1214" t="s">
        <v>24</v>
      </c>
    </row>
    <row r="1215" spans="1:15" x14ac:dyDescent="0.25">
      <c r="A1215">
        <v>1214</v>
      </c>
      <c r="B1215" t="str">
        <f>HYPERLINK("https://digitalcommons.unl.edu/cgi/viewcontent.cgi?article=2405&amp;context=tractormuseumlit","Click for test report")</f>
        <v>Click for test report</v>
      </c>
      <c r="C1215">
        <v>1969</v>
      </c>
      <c r="D1215" t="s">
        <v>5564</v>
      </c>
      <c r="F1215" t="s">
        <v>4472</v>
      </c>
      <c r="G1215" t="s">
        <v>4472</v>
      </c>
      <c r="H1215" t="s">
        <v>5241</v>
      </c>
      <c r="I1215" t="s">
        <v>50</v>
      </c>
      <c r="J1215" t="s">
        <v>348</v>
      </c>
      <c r="K1215" t="s">
        <v>4809</v>
      </c>
      <c r="L1215" t="s">
        <v>410</v>
      </c>
      <c r="N1215" t="s">
        <v>2826</v>
      </c>
      <c r="O1215" t="s">
        <v>24</v>
      </c>
    </row>
    <row r="1216" spans="1:15" x14ac:dyDescent="0.25">
      <c r="A1216">
        <v>1215</v>
      </c>
      <c r="B1216" t="str">
        <f>HYPERLINK("https://digitalcommons.unl.edu/cgi/viewcontent.cgi?article=2406&amp;context=tractormuseumlit","Click for test report")</f>
        <v>Click for test report</v>
      </c>
      <c r="C1216">
        <v>1969</v>
      </c>
      <c r="D1216" t="s">
        <v>4451</v>
      </c>
      <c r="F1216" t="s">
        <v>778</v>
      </c>
      <c r="G1216" t="s">
        <v>778</v>
      </c>
      <c r="H1216" t="s">
        <v>5357</v>
      </c>
      <c r="I1216" t="s">
        <v>1961</v>
      </c>
      <c r="J1216" t="s">
        <v>348</v>
      </c>
      <c r="K1216" t="s">
        <v>4809</v>
      </c>
      <c r="L1216" t="s">
        <v>725</v>
      </c>
      <c r="N1216" t="s">
        <v>750</v>
      </c>
      <c r="O1216" t="s">
        <v>24</v>
      </c>
    </row>
    <row r="1217" spans="1:15" x14ac:dyDescent="0.25">
      <c r="A1217">
        <v>1216</v>
      </c>
      <c r="B1217" t="str">
        <f>HYPERLINK("https://digitalcommons.unl.edu/cgi/viewcontent.cgi?article=2407&amp;context=tractormuseumlit","Click for test report")</f>
        <v>Click for test report</v>
      </c>
      <c r="C1217">
        <v>1969</v>
      </c>
      <c r="D1217" t="s">
        <v>5562</v>
      </c>
      <c r="F1217" t="s">
        <v>778</v>
      </c>
      <c r="G1217" t="s">
        <v>778</v>
      </c>
      <c r="H1217" t="s">
        <v>5563</v>
      </c>
      <c r="I1217" t="s">
        <v>1961</v>
      </c>
      <c r="J1217" t="s">
        <v>348</v>
      </c>
      <c r="K1217" t="s">
        <v>4809</v>
      </c>
      <c r="L1217" t="s">
        <v>1864</v>
      </c>
      <c r="N1217" t="s">
        <v>1994</v>
      </c>
      <c r="O1217" t="s">
        <v>24</v>
      </c>
    </row>
    <row r="1218" spans="1:15" x14ac:dyDescent="0.25">
      <c r="A1218">
        <v>1217</v>
      </c>
      <c r="B1218" t="str">
        <f>HYPERLINK("https://digitalcommons.unl.edu/cgi/viewcontent.cgi?article=2408&amp;context=tractormuseumlit","Click for test report")</f>
        <v>Click for test report</v>
      </c>
      <c r="C1218">
        <v>1969</v>
      </c>
      <c r="D1218" t="s">
        <v>5561</v>
      </c>
      <c r="F1218" t="s">
        <v>778</v>
      </c>
      <c r="G1218" t="s">
        <v>778</v>
      </c>
      <c r="H1218" t="s">
        <v>5475</v>
      </c>
      <c r="I1218" t="s">
        <v>1961</v>
      </c>
      <c r="J1218" t="s">
        <v>348</v>
      </c>
      <c r="K1218" t="s">
        <v>21</v>
      </c>
      <c r="L1218" t="s">
        <v>574</v>
      </c>
      <c r="N1218" t="s">
        <v>743</v>
      </c>
      <c r="O1218" t="s">
        <v>24</v>
      </c>
    </row>
    <row r="1219" spans="1:15" x14ac:dyDescent="0.25">
      <c r="A1219">
        <v>1218</v>
      </c>
      <c r="B1219" t="str">
        <f>HYPERLINK("https://digitalcommons.unl.edu/cgi/viewcontent.cgi?article=1433&amp;context=tractormuseumlit","Click for test report")</f>
        <v>Click for test report</v>
      </c>
      <c r="C1219">
        <v>1969</v>
      </c>
      <c r="D1219" t="s">
        <v>5559</v>
      </c>
      <c r="F1219" t="s">
        <v>17</v>
      </c>
      <c r="G1219" t="s">
        <v>17</v>
      </c>
      <c r="H1219" t="s">
        <v>5560</v>
      </c>
      <c r="I1219" t="s">
        <v>50</v>
      </c>
      <c r="J1219" t="s">
        <v>348</v>
      </c>
      <c r="K1219" t="s">
        <v>21</v>
      </c>
      <c r="L1219" t="s">
        <v>52</v>
      </c>
      <c r="N1219" t="s">
        <v>1796</v>
      </c>
      <c r="O1219" t="s">
        <v>24</v>
      </c>
    </row>
    <row r="1220" spans="1:15" x14ac:dyDescent="0.25">
      <c r="A1220">
        <v>1219</v>
      </c>
      <c r="B1220" t="str">
        <f>HYPERLINK("https://digitalcommons.unl.edu/cgi/viewcontent.cgi?article=1434&amp;context=tractormuseumlit","Click for test report")</f>
        <v>Click for test report</v>
      </c>
      <c r="C1220">
        <v>1969</v>
      </c>
      <c r="D1220" t="s">
        <v>5556</v>
      </c>
      <c r="F1220" t="s">
        <v>17</v>
      </c>
      <c r="G1220" t="s">
        <v>17</v>
      </c>
      <c r="H1220" t="s">
        <v>5557</v>
      </c>
      <c r="I1220" t="s">
        <v>28</v>
      </c>
      <c r="J1220" t="s">
        <v>348</v>
      </c>
      <c r="K1220" t="s">
        <v>21</v>
      </c>
      <c r="L1220" t="s">
        <v>339</v>
      </c>
      <c r="N1220" t="s">
        <v>343</v>
      </c>
      <c r="O1220" t="s">
        <v>5558</v>
      </c>
    </row>
    <row r="1221" spans="1:15" x14ac:dyDescent="0.25">
      <c r="A1221">
        <v>1220</v>
      </c>
      <c r="B1221" t="str">
        <f>HYPERLINK("https://digitalcommons.unl.edu/cgi/viewcontent.cgi?article=1435&amp;context=tractormuseumlit","Click for test report")</f>
        <v>Click for test report</v>
      </c>
      <c r="C1221">
        <v>1969</v>
      </c>
      <c r="D1221" t="s">
        <v>5554</v>
      </c>
      <c r="F1221" t="s">
        <v>17</v>
      </c>
      <c r="G1221" t="s">
        <v>17</v>
      </c>
      <c r="H1221" t="s">
        <v>5137</v>
      </c>
      <c r="I1221" t="s">
        <v>50</v>
      </c>
      <c r="J1221" t="s">
        <v>348</v>
      </c>
      <c r="K1221" t="s">
        <v>21</v>
      </c>
      <c r="L1221" t="s">
        <v>853</v>
      </c>
      <c r="N1221" t="s">
        <v>359</v>
      </c>
      <c r="O1221" t="s">
        <v>5555</v>
      </c>
    </row>
    <row r="1222" spans="1:15" x14ac:dyDescent="0.25">
      <c r="A1222">
        <v>1221</v>
      </c>
      <c r="B1222" t="str">
        <f>HYPERLINK("https://digitalcommons.unl.edu/cgi/viewcontent.cgi?article=2409&amp;context=tractormuseumlit","Click for test report")</f>
        <v>Click for test report</v>
      </c>
      <c r="C1222">
        <v>1969</v>
      </c>
      <c r="D1222" t="s">
        <v>5526</v>
      </c>
      <c r="F1222" t="s">
        <v>4395</v>
      </c>
      <c r="G1222" t="s">
        <v>3708</v>
      </c>
      <c r="H1222" t="s">
        <v>5553</v>
      </c>
      <c r="I1222" t="s">
        <v>1961</v>
      </c>
      <c r="J1222" t="s">
        <v>348</v>
      </c>
      <c r="K1222" t="s">
        <v>21</v>
      </c>
      <c r="L1222" t="s">
        <v>130</v>
      </c>
      <c r="N1222" t="s">
        <v>247</v>
      </c>
      <c r="O1222" t="s">
        <v>24</v>
      </c>
    </row>
    <row r="1223" spans="1:15" x14ac:dyDescent="0.25">
      <c r="A1223">
        <v>1222</v>
      </c>
      <c r="B1223" t="str">
        <f>HYPERLINK("https://digitalcommons.unl.edu/cgi/viewcontent.cgi?article=2410&amp;context=tractormuseumlit","Click for test report")</f>
        <v>Click for test report</v>
      </c>
      <c r="C1223">
        <v>1969</v>
      </c>
      <c r="D1223" t="s">
        <v>5551</v>
      </c>
      <c r="F1223" t="s">
        <v>4395</v>
      </c>
      <c r="G1223" t="s">
        <v>3708</v>
      </c>
      <c r="H1223" t="s">
        <v>5552</v>
      </c>
      <c r="I1223" t="s">
        <v>1961</v>
      </c>
      <c r="J1223" t="s">
        <v>348</v>
      </c>
      <c r="K1223" t="s">
        <v>21</v>
      </c>
      <c r="L1223" t="s">
        <v>119</v>
      </c>
      <c r="N1223" t="s">
        <v>569</v>
      </c>
      <c r="O1223" t="s">
        <v>24</v>
      </c>
    </row>
    <row r="1224" spans="1:15" x14ac:dyDescent="0.25">
      <c r="A1224">
        <v>1223</v>
      </c>
      <c r="B1224" t="str">
        <f>HYPERLINK("https://digitalcommons.unl.edu/cgi/viewcontent.cgi?article=2411&amp;context=tractormuseumlit","Click for test report")</f>
        <v>Click for test report</v>
      </c>
      <c r="C1224">
        <v>1969</v>
      </c>
      <c r="D1224" t="s">
        <v>5358</v>
      </c>
      <c r="F1224" t="s">
        <v>4325</v>
      </c>
      <c r="G1224" t="s">
        <v>4325</v>
      </c>
      <c r="H1224" t="s">
        <v>4216</v>
      </c>
      <c r="I1224" t="s">
        <v>50</v>
      </c>
      <c r="J1224" t="s">
        <v>348</v>
      </c>
      <c r="K1224" t="s">
        <v>21</v>
      </c>
      <c r="L1224" t="s">
        <v>2699</v>
      </c>
      <c r="N1224" t="s">
        <v>1802</v>
      </c>
      <c r="O1224" t="s">
        <v>24</v>
      </c>
    </row>
    <row r="1225" spans="1:15" x14ac:dyDescent="0.25">
      <c r="A1225">
        <v>1224</v>
      </c>
      <c r="B1225" t="str">
        <f>HYPERLINK("https://digitalcommons.unl.edu/cgi/viewcontent.cgi?article=2412&amp;context=tractormuseumlit","Click for test report")</f>
        <v>Click for test report</v>
      </c>
      <c r="C1225">
        <v>1969</v>
      </c>
      <c r="D1225" t="s">
        <v>5546</v>
      </c>
      <c r="F1225" t="s">
        <v>4503</v>
      </c>
      <c r="G1225" t="s">
        <v>4504</v>
      </c>
      <c r="H1225" t="s">
        <v>5549</v>
      </c>
      <c r="I1225" t="s">
        <v>2964</v>
      </c>
      <c r="J1225" t="s">
        <v>348</v>
      </c>
      <c r="K1225" t="s">
        <v>21</v>
      </c>
      <c r="L1225" t="s">
        <v>1970</v>
      </c>
      <c r="N1225" t="s">
        <v>3152</v>
      </c>
      <c r="O1225" t="s">
        <v>5550</v>
      </c>
    </row>
    <row r="1226" spans="1:15" x14ac:dyDescent="0.25">
      <c r="A1226">
        <v>1225</v>
      </c>
      <c r="B1226" t="str">
        <f>HYPERLINK("https://digitalcommons.unl.edu/cgi/viewcontent.cgi?article=2412&amp;context=tractormuseumlit","Click for test report")</f>
        <v>Click for test report</v>
      </c>
      <c r="C1226">
        <v>1969</v>
      </c>
      <c r="D1226" t="s">
        <v>5546</v>
      </c>
      <c r="F1226" t="s">
        <v>4503</v>
      </c>
      <c r="G1226" t="s">
        <v>4504</v>
      </c>
      <c r="H1226" t="s">
        <v>5547</v>
      </c>
      <c r="I1226" t="s">
        <v>2964</v>
      </c>
      <c r="J1226" t="s">
        <v>348</v>
      </c>
      <c r="K1226" t="s">
        <v>21</v>
      </c>
      <c r="L1226" t="s">
        <v>1970</v>
      </c>
      <c r="N1226" t="s">
        <v>3152</v>
      </c>
      <c r="O1226" t="s">
        <v>5548</v>
      </c>
    </row>
    <row r="1227" spans="1:15" x14ac:dyDescent="0.25">
      <c r="A1227">
        <v>1226</v>
      </c>
      <c r="B1227" t="str">
        <f>HYPERLINK("https://digitalcommons.unl.edu/cgi/viewcontent.cgi?article=2413&amp;context=tractormuseumlit","Click for test report")</f>
        <v>Click for test report</v>
      </c>
      <c r="C1227">
        <v>1969</v>
      </c>
      <c r="D1227" t="s">
        <v>4448</v>
      </c>
      <c r="F1227" t="s">
        <v>3800</v>
      </c>
      <c r="G1227" t="s">
        <v>4473</v>
      </c>
      <c r="H1227" t="s">
        <v>5367</v>
      </c>
      <c r="I1227" t="s">
        <v>3474</v>
      </c>
      <c r="J1227" t="s">
        <v>348</v>
      </c>
      <c r="K1227" t="s">
        <v>21</v>
      </c>
      <c r="L1227" t="s">
        <v>1347</v>
      </c>
      <c r="N1227" t="s">
        <v>349</v>
      </c>
      <c r="O1227" t="s">
        <v>24</v>
      </c>
    </row>
    <row r="1228" spans="1:15" x14ac:dyDescent="0.25">
      <c r="A1228">
        <v>1227</v>
      </c>
      <c r="B1228" t="str">
        <f>HYPERLINK("https://digitalcommons.unl.edu/cgi/viewcontent.cgi?article=2414&amp;context=tractormuseumlit","Click for test report")</f>
        <v>Click for test report</v>
      </c>
      <c r="C1228">
        <v>1969</v>
      </c>
      <c r="D1228" t="s">
        <v>5545</v>
      </c>
      <c r="F1228" t="s">
        <v>3800</v>
      </c>
      <c r="G1228" t="s">
        <v>4473</v>
      </c>
      <c r="H1228" t="s">
        <v>5367</v>
      </c>
      <c r="I1228" t="s">
        <v>50</v>
      </c>
      <c r="J1228" t="s">
        <v>348</v>
      </c>
      <c r="K1228" t="s">
        <v>21</v>
      </c>
      <c r="L1228" t="s">
        <v>1347</v>
      </c>
      <c r="N1228" t="s">
        <v>728</v>
      </c>
      <c r="O1228" t="s">
        <v>24</v>
      </c>
    </row>
    <row r="1229" spans="1:15" x14ac:dyDescent="0.25">
      <c r="A1229">
        <v>1228</v>
      </c>
      <c r="B1229" t="str">
        <f>HYPERLINK("https://digitalcommons.unl.edu/cgi/viewcontent.cgi?article=2415&amp;context=tractormuseumlit","Click for test report")</f>
        <v>Click for test report</v>
      </c>
      <c r="C1229">
        <v>1969</v>
      </c>
      <c r="D1229" t="s">
        <v>5544</v>
      </c>
      <c r="F1229" t="s">
        <v>3800</v>
      </c>
      <c r="G1229" t="s">
        <v>4473</v>
      </c>
      <c r="H1229" t="s">
        <v>5467</v>
      </c>
      <c r="I1229" t="s">
        <v>3474</v>
      </c>
      <c r="J1229" t="s">
        <v>348</v>
      </c>
      <c r="K1229" t="s">
        <v>4809</v>
      </c>
      <c r="L1229" t="s">
        <v>3123</v>
      </c>
      <c r="N1229" t="s">
        <v>2188</v>
      </c>
      <c r="O1229" t="s">
        <v>24</v>
      </c>
    </row>
    <row r="1230" spans="1:15" x14ac:dyDescent="0.25">
      <c r="A1230">
        <v>1229</v>
      </c>
      <c r="B1230" t="str">
        <f>HYPERLINK("https://digitalcommons.unl.edu/cgi/viewcontent.cgi?article=2416&amp;context=tractormuseumlit","Click for test report")</f>
        <v>Click for test report</v>
      </c>
      <c r="C1230">
        <v>1969</v>
      </c>
      <c r="D1230" t="s">
        <v>5543</v>
      </c>
      <c r="F1230" t="s">
        <v>3800</v>
      </c>
      <c r="G1230" t="s">
        <v>4473</v>
      </c>
      <c r="H1230" t="s">
        <v>5467</v>
      </c>
      <c r="I1230" t="s">
        <v>50</v>
      </c>
      <c r="J1230" t="s">
        <v>348</v>
      </c>
      <c r="K1230" t="s">
        <v>21</v>
      </c>
      <c r="L1230" t="s">
        <v>404</v>
      </c>
      <c r="N1230" t="s">
        <v>735</v>
      </c>
      <c r="O1230" t="s">
        <v>24</v>
      </c>
    </row>
    <row r="1231" spans="1:15" x14ac:dyDescent="0.25">
      <c r="A1231">
        <v>1230</v>
      </c>
      <c r="B1231" t="str">
        <f>HYPERLINK("https://digitalcommons.unl.edu/cgi/viewcontent.cgi?article=2417&amp;context=tractormuseumlit","Click for test report")</f>
        <v>Click for test report</v>
      </c>
      <c r="C1231">
        <v>1970</v>
      </c>
      <c r="D1231" t="s">
        <v>5542</v>
      </c>
      <c r="F1231" t="s">
        <v>3800</v>
      </c>
      <c r="G1231" t="s">
        <v>4473</v>
      </c>
      <c r="H1231" t="s">
        <v>5479</v>
      </c>
      <c r="I1231" t="s">
        <v>50</v>
      </c>
      <c r="J1231" t="s">
        <v>348</v>
      </c>
      <c r="K1231" t="s">
        <v>21</v>
      </c>
      <c r="L1231" t="s">
        <v>1796</v>
      </c>
      <c r="N1231" t="s">
        <v>743</v>
      </c>
      <c r="O1231" t="s">
        <v>24</v>
      </c>
    </row>
    <row r="1232" spans="1:15" x14ac:dyDescent="0.25">
      <c r="A1232">
        <v>1231</v>
      </c>
      <c r="B1232" t="str">
        <f>HYPERLINK("https://digitalcommons.unl.edu/cgi/viewcontent.cgi?article=2418&amp;context=tractormuseumlit","Click for test report")</f>
        <v>Click for test report</v>
      </c>
      <c r="C1232">
        <v>1970</v>
      </c>
      <c r="D1232" t="s">
        <v>5541</v>
      </c>
      <c r="F1232" t="s">
        <v>3800</v>
      </c>
      <c r="G1232" t="s">
        <v>4473</v>
      </c>
      <c r="H1232" t="s">
        <v>5494</v>
      </c>
      <c r="I1232" t="s">
        <v>50</v>
      </c>
      <c r="J1232" t="s">
        <v>348</v>
      </c>
      <c r="K1232" t="s">
        <v>21</v>
      </c>
      <c r="L1232" t="s">
        <v>46</v>
      </c>
      <c r="N1232" t="s">
        <v>1796</v>
      </c>
      <c r="O1232" t="s">
        <v>24</v>
      </c>
    </row>
    <row r="1233" spans="1:15" x14ac:dyDescent="0.25">
      <c r="A1233">
        <v>1232</v>
      </c>
      <c r="B1233" t="str">
        <f>HYPERLINK("https://digitalcommons.unl.edu/cgi/viewcontent.cgi?article=2418&amp;context=tractormuseumlit","Click for test report")</f>
        <v>Click for test report</v>
      </c>
      <c r="C1233">
        <v>1970</v>
      </c>
      <c r="D1233" t="s">
        <v>5541</v>
      </c>
      <c r="F1233" t="s">
        <v>3800</v>
      </c>
      <c r="G1233" t="s">
        <v>4473</v>
      </c>
      <c r="H1233" t="s">
        <v>5460</v>
      </c>
      <c r="I1233" t="s">
        <v>50</v>
      </c>
      <c r="J1233" t="s">
        <v>348</v>
      </c>
      <c r="K1233" t="s">
        <v>21</v>
      </c>
      <c r="L1233" t="s">
        <v>46</v>
      </c>
      <c r="N1233" t="s">
        <v>1796</v>
      </c>
      <c r="O1233" t="s">
        <v>5540</v>
      </c>
    </row>
    <row r="1234" spans="1:15" x14ac:dyDescent="0.25">
      <c r="A1234">
        <v>1233</v>
      </c>
      <c r="B1234" t="str">
        <f>HYPERLINK("https://digitalcommons.unl.edu/cgi/viewcontent.cgi?article=2419&amp;context=tractormuseumlit","Click for test report")</f>
        <v>Click for test report</v>
      </c>
      <c r="C1234">
        <v>1970</v>
      </c>
      <c r="D1234" t="s">
        <v>5539</v>
      </c>
      <c r="F1234" t="s">
        <v>3800</v>
      </c>
      <c r="G1234" t="s">
        <v>4473</v>
      </c>
      <c r="H1234" t="s">
        <v>5494</v>
      </c>
      <c r="I1234" t="s">
        <v>3474</v>
      </c>
      <c r="J1234" t="s">
        <v>348</v>
      </c>
      <c r="K1234" t="s">
        <v>21</v>
      </c>
      <c r="L1234" t="s">
        <v>46</v>
      </c>
      <c r="N1234" t="s">
        <v>55</v>
      </c>
      <c r="O1234" t="s">
        <v>24</v>
      </c>
    </row>
    <row r="1235" spans="1:15" x14ac:dyDescent="0.25">
      <c r="A1235">
        <v>1234</v>
      </c>
      <c r="B1235" t="str">
        <f>HYPERLINK("https://digitalcommons.unl.edu/cgi/viewcontent.cgi?article=2419&amp;context=tractormuseumlit","Click for test report")</f>
        <v>Click for test report</v>
      </c>
      <c r="C1235">
        <v>1970</v>
      </c>
      <c r="D1235" t="s">
        <v>5539</v>
      </c>
      <c r="F1235" t="s">
        <v>3800</v>
      </c>
      <c r="G1235" t="s">
        <v>4473</v>
      </c>
      <c r="H1235" t="s">
        <v>5460</v>
      </c>
      <c r="I1235" t="s">
        <v>3474</v>
      </c>
      <c r="J1235" t="s">
        <v>348</v>
      </c>
      <c r="K1235" t="s">
        <v>21</v>
      </c>
      <c r="L1235" t="s">
        <v>46</v>
      </c>
      <c r="N1235" t="s">
        <v>55</v>
      </c>
      <c r="O1235" t="s">
        <v>5540</v>
      </c>
    </row>
    <row r="1236" spans="1:15" x14ac:dyDescent="0.25">
      <c r="A1236">
        <v>1235</v>
      </c>
      <c r="B1236" t="str">
        <f>HYPERLINK("https://digitalcommons.unl.edu/cgi/viewcontent.cgi?article=2420&amp;context=tractormuseumlit","Click for test report")</f>
        <v>Click for test report</v>
      </c>
      <c r="C1236">
        <v>1970</v>
      </c>
      <c r="D1236" t="s">
        <v>5538</v>
      </c>
      <c r="F1236" t="s">
        <v>3800</v>
      </c>
      <c r="G1236" t="s">
        <v>4473</v>
      </c>
      <c r="H1236" t="s">
        <v>5479</v>
      </c>
      <c r="I1236" t="s">
        <v>3474</v>
      </c>
      <c r="J1236" t="s">
        <v>348</v>
      </c>
      <c r="K1236" t="s">
        <v>21</v>
      </c>
      <c r="L1236" t="s">
        <v>1796</v>
      </c>
      <c r="N1236" t="s">
        <v>1867</v>
      </c>
      <c r="O1236" t="s">
        <v>24</v>
      </c>
    </row>
    <row r="1237" spans="1:15" x14ac:dyDescent="0.25">
      <c r="A1237">
        <v>1236</v>
      </c>
      <c r="B1237" t="str">
        <f>HYPERLINK("https://digitalcommons.unl.edu/cgi/viewcontent.cgi?article=2421&amp;context=tractormuseumlit","Click for test report")</f>
        <v>Click for test report</v>
      </c>
      <c r="C1237">
        <v>1970</v>
      </c>
      <c r="D1237" t="s">
        <v>259</v>
      </c>
      <c r="F1237" t="s">
        <v>3800</v>
      </c>
      <c r="G1237" t="s">
        <v>4473</v>
      </c>
      <c r="H1237" t="s">
        <v>5479</v>
      </c>
      <c r="I1237" t="s">
        <v>3474</v>
      </c>
      <c r="J1237" t="s">
        <v>348</v>
      </c>
      <c r="K1237" t="s">
        <v>4809</v>
      </c>
      <c r="L1237" t="s">
        <v>1796</v>
      </c>
      <c r="N1237" t="s">
        <v>740</v>
      </c>
      <c r="O1237" t="s">
        <v>24</v>
      </c>
    </row>
    <row r="1238" spans="1:15" x14ac:dyDescent="0.25">
      <c r="A1238">
        <v>1237</v>
      </c>
      <c r="B1238" t="str">
        <f>HYPERLINK("https://digitalcommons.unl.edu/cgi/viewcontent.cgi?article=2422&amp;context=tractormuseumlit","Click for test report")</f>
        <v>Click for test report</v>
      </c>
      <c r="C1238">
        <v>1970</v>
      </c>
      <c r="D1238" t="s">
        <v>5537</v>
      </c>
      <c r="F1238" t="s">
        <v>3800</v>
      </c>
      <c r="G1238" t="s">
        <v>4473</v>
      </c>
      <c r="H1238" t="s">
        <v>5479</v>
      </c>
      <c r="I1238" t="s">
        <v>50</v>
      </c>
      <c r="J1238" t="s">
        <v>348</v>
      </c>
      <c r="K1238" t="s">
        <v>4809</v>
      </c>
      <c r="L1238" t="s">
        <v>1796</v>
      </c>
      <c r="N1238" t="s">
        <v>746</v>
      </c>
      <c r="O1238" t="s">
        <v>24</v>
      </c>
    </row>
    <row r="1239" spans="1:15" x14ac:dyDescent="0.25">
      <c r="A1239">
        <v>1238</v>
      </c>
      <c r="B1239" t="str">
        <f>HYPERLINK("https://digitalcommons.unl.edu/cgi/viewcontent.cgi?article=1573&amp;context=tractormuseumlit","Click for test report")</f>
        <v>Click for test report</v>
      </c>
      <c r="C1239">
        <v>1970</v>
      </c>
      <c r="D1239" t="s">
        <v>4443</v>
      </c>
      <c r="F1239" t="s">
        <v>4426</v>
      </c>
      <c r="G1239" t="s">
        <v>5347</v>
      </c>
      <c r="H1239" t="s">
        <v>5535</v>
      </c>
      <c r="I1239" t="s">
        <v>3474</v>
      </c>
      <c r="J1239" t="s">
        <v>348</v>
      </c>
      <c r="K1239" t="s">
        <v>21</v>
      </c>
      <c r="L1239" t="s">
        <v>123</v>
      </c>
      <c r="N1239" t="s">
        <v>343</v>
      </c>
      <c r="O1239" t="s">
        <v>5536</v>
      </c>
    </row>
    <row r="1240" spans="1:15" x14ac:dyDescent="0.25">
      <c r="A1240">
        <v>1239</v>
      </c>
      <c r="B1240" t="str">
        <f>HYPERLINK("https://digitalcommons.unl.edu/cgi/viewcontent.cgi?article=1573&amp;context=tractormuseumlit","Click for test report")</f>
        <v>Click for test report</v>
      </c>
      <c r="C1240">
        <v>1970</v>
      </c>
      <c r="D1240" t="s">
        <v>4443</v>
      </c>
      <c r="F1240" t="s">
        <v>4426</v>
      </c>
      <c r="G1240" t="s">
        <v>5345</v>
      </c>
      <c r="H1240" t="s">
        <v>2623</v>
      </c>
      <c r="I1240" t="s">
        <v>3474</v>
      </c>
      <c r="J1240" t="s">
        <v>348</v>
      </c>
      <c r="K1240" t="s">
        <v>21</v>
      </c>
      <c r="L1240" t="s">
        <v>123</v>
      </c>
      <c r="N1240" t="s">
        <v>343</v>
      </c>
      <c r="O1240" t="s">
        <v>24</v>
      </c>
    </row>
    <row r="1241" spans="1:15" x14ac:dyDescent="0.25">
      <c r="A1241">
        <v>1240</v>
      </c>
      <c r="B1241" t="str">
        <f>HYPERLINK("https://digitalcommons.unl.edu/cgi/viewcontent.cgi?article=1574&amp;context=tractormuseumlit","Click for test report")</f>
        <v>Click for test report</v>
      </c>
      <c r="C1241">
        <v>1970</v>
      </c>
      <c r="D1241" t="s">
        <v>5534</v>
      </c>
      <c r="F1241" t="s">
        <v>4426</v>
      </c>
      <c r="G1241" t="s">
        <v>5347</v>
      </c>
      <c r="H1241" t="s">
        <v>5532</v>
      </c>
      <c r="I1241" t="s">
        <v>3474</v>
      </c>
      <c r="J1241" t="s">
        <v>348</v>
      </c>
      <c r="K1241" t="s">
        <v>21</v>
      </c>
      <c r="L1241" t="s">
        <v>1347</v>
      </c>
      <c r="N1241" t="s">
        <v>725</v>
      </c>
      <c r="O1241" t="s">
        <v>5533</v>
      </c>
    </row>
    <row r="1242" spans="1:15" x14ac:dyDescent="0.25">
      <c r="A1242">
        <v>1241</v>
      </c>
      <c r="B1242" t="str">
        <f>HYPERLINK("https://digitalcommons.unl.edu/cgi/viewcontent.cgi?article=1574&amp;context=tractormuseumlit","Click for test report")</f>
        <v>Click for test report</v>
      </c>
      <c r="C1242">
        <v>1970</v>
      </c>
      <c r="D1242" t="s">
        <v>5534</v>
      </c>
      <c r="F1242" t="s">
        <v>4426</v>
      </c>
      <c r="G1242" t="s">
        <v>5345</v>
      </c>
      <c r="H1242" t="s">
        <v>3582</v>
      </c>
      <c r="I1242" t="s">
        <v>3474</v>
      </c>
      <c r="J1242" t="s">
        <v>348</v>
      </c>
      <c r="K1242" t="s">
        <v>21</v>
      </c>
      <c r="L1242" t="s">
        <v>1347</v>
      </c>
      <c r="N1242" t="s">
        <v>725</v>
      </c>
      <c r="O1242" t="s">
        <v>24</v>
      </c>
    </row>
    <row r="1243" spans="1:15" x14ac:dyDescent="0.25">
      <c r="A1243">
        <v>1242</v>
      </c>
      <c r="B1243" t="str">
        <f>HYPERLINK("https://digitalcommons.unl.edu/cgi/viewcontent.cgi?article=1575&amp;context=tractormuseumlit","Click for test report")</f>
        <v>Click for test report</v>
      </c>
      <c r="C1243">
        <v>1970</v>
      </c>
      <c r="D1243" t="s">
        <v>256</v>
      </c>
      <c r="F1243" t="s">
        <v>4426</v>
      </c>
      <c r="G1243" t="s">
        <v>5347</v>
      </c>
      <c r="H1243" t="s">
        <v>5532</v>
      </c>
      <c r="I1243" t="s">
        <v>3474</v>
      </c>
      <c r="J1243" t="s">
        <v>348</v>
      </c>
      <c r="K1243" t="s">
        <v>4809</v>
      </c>
      <c r="L1243" t="s">
        <v>1347</v>
      </c>
      <c r="N1243" t="s">
        <v>353</v>
      </c>
      <c r="O1243" t="s">
        <v>5533</v>
      </c>
    </row>
    <row r="1244" spans="1:15" x14ac:dyDescent="0.25">
      <c r="A1244">
        <v>1243</v>
      </c>
      <c r="B1244" t="str">
        <f>HYPERLINK("https://digitalcommons.unl.edu/cgi/viewcontent.cgi?article=1575&amp;context=tractormuseumlit","Click for test report")</f>
        <v>Click for test report</v>
      </c>
      <c r="C1244">
        <v>1970</v>
      </c>
      <c r="D1244" t="s">
        <v>256</v>
      </c>
      <c r="F1244" t="s">
        <v>4426</v>
      </c>
      <c r="G1244" t="s">
        <v>5345</v>
      </c>
      <c r="H1244" t="s">
        <v>3582</v>
      </c>
      <c r="I1244" t="s">
        <v>3474</v>
      </c>
      <c r="J1244" t="s">
        <v>348</v>
      </c>
      <c r="K1244" t="s">
        <v>4809</v>
      </c>
      <c r="L1244" t="s">
        <v>1347</v>
      </c>
      <c r="N1244" t="s">
        <v>353</v>
      </c>
      <c r="O1244" t="s">
        <v>24</v>
      </c>
    </row>
    <row r="1245" spans="1:15" x14ac:dyDescent="0.25">
      <c r="A1245">
        <v>1244</v>
      </c>
      <c r="B1245" t="str">
        <f>HYPERLINK("https://digitalcommons.unl.edu/cgi/viewcontent.cgi?article=2423&amp;context=tractormuseumlit","Click for test report")</f>
        <v>Click for test report</v>
      </c>
      <c r="C1245">
        <v>1970</v>
      </c>
      <c r="D1245" t="s">
        <v>5531</v>
      </c>
      <c r="F1245" t="s">
        <v>4325</v>
      </c>
      <c r="G1245" t="s">
        <v>4325</v>
      </c>
      <c r="H1245" t="s">
        <v>5357</v>
      </c>
      <c r="I1245" t="s">
        <v>1961</v>
      </c>
      <c r="J1245" t="s">
        <v>348</v>
      </c>
      <c r="K1245" t="s">
        <v>21</v>
      </c>
      <c r="L1245" t="s">
        <v>1864</v>
      </c>
      <c r="N1245" t="s">
        <v>1970</v>
      </c>
      <c r="O1245" t="s">
        <v>5530</v>
      </c>
    </row>
    <row r="1246" spans="1:15" x14ac:dyDescent="0.25">
      <c r="A1246">
        <v>1245</v>
      </c>
      <c r="B1246" t="str">
        <f>HYPERLINK("https://digitalcommons.unl.edu/cgi/viewcontent.cgi?article=2424&amp;context=tractormuseumlit","Click for test report")</f>
        <v>Click for test report</v>
      </c>
      <c r="C1246">
        <v>1970</v>
      </c>
      <c r="D1246" t="s">
        <v>5529</v>
      </c>
      <c r="F1246" t="s">
        <v>4325</v>
      </c>
      <c r="G1246" t="s">
        <v>4325</v>
      </c>
      <c r="H1246" t="s">
        <v>4215</v>
      </c>
      <c r="I1246" t="s">
        <v>1961</v>
      </c>
      <c r="J1246" t="s">
        <v>348</v>
      </c>
      <c r="K1246" t="s">
        <v>21</v>
      </c>
      <c r="L1246" t="s">
        <v>1867</v>
      </c>
      <c r="N1246" t="s">
        <v>1350</v>
      </c>
      <c r="O1246" t="s">
        <v>5530</v>
      </c>
    </row>
    <row r="1247" spans="1:15" x14ac:dyDescent="0.25">
      <c r="A1247">
        <v>1246</v>
      </c>
      <c r="B1247" t="str">
        <f>HYPERLINK("https://digitalcommons.unl.edu/cgi/viewcontent.cgi?article=2425&amp;context=tractormuseumlit","Click for test report")</f>
        <v>Click for test report</v>
      </c>
      <c r="C1247">
        <v>1970</v>
      </c>
      <c r="D1247" t="s">
        <v>5528</v>
      </c>
      <c r="F1247" t="s">
        <v>4503</v>
      </c>
      <c r="G1247" t="s">
        <v>4504</v>
      </c>
      <c r="H1247" t="s">
        <v>5527</v>
      </c>
      <c r="I1247" t="s">
        <v>1961</v>
      </c>
      <c r="J1247" t="s">
        <v>348</v>
      </c>
      <c r="K1247" t="s">
        <v>21</v>
      </c>
      <c r="L1247" t="s">
        <v>454</v>
      </c>
      <c r="N1247" t="s">
        <v>574</v>
      </c>
      <c r="O1247" t="s">
        <v>24</v>
      </c>
    </row>
    <row r="1248" spans="1:15" x14ac:dyDescent="0.25">
      <c r="A1248">
        <v>1247</v>
      </c>
      <c r="B1248" t="str">
        <f>HYPERLINK("https://digitalcommons.unl.edu/cgi/viewcontent.cgi?article=2426&amp;context=tractormuseumlit","Click for test report")</f>
        <v>Click for test report</v>
      </c>
      <c r="C1248">
        <v>1970</v>
      </c>
      <c r="D1248" t="s">
        <v>254</v>
      </c>
      <c r="F1248" t="s">
        <v>4503</v>
      </c>
      <c r="G1248" t="s">
        <v>4504</v>
      </c>
      <c r="H1248" t="s">
        <v>5527</v>
      </c>
      <c r="I1248" t="s">
        <v>2964</v>
      </c>
      <c r="J1248" t="s">
        <v>348</v>
      </c>
      <c r="K1248" t="s">
        <v>21</v>
      </c>
      <c r="L1248" t="s">
        <v>343</v>
      </c>
      <c r="N1248" t="s">
        <v>349</v>
      </c>
      <c r="O1248" t="s">
        <v>24</v>
      </c>
    </row>
    <row r="1249" spans="1:15" x14ac:dyDescent="0.25">
      <c r="A1249">
        <v>1248</v>
      </c>
      <c r="B1249" t="str">
        <f>HYPERLINK("https://digitalcommons.unl.edu/cgi/viewcontent.cgi?article=2427&amp;context=tractormuseumlit","Click for test report")</f>
        <v>Click for test report</v>
      </c>
      <c r="C1249">
        <v>1970</v>
      </c>
      <c r="D1249" t="s">
        <v>5525</v>
      </c>
      <c r="F1249" t="s">
        <v>4503</v>
      </c>
      <c r="G1249" t="s">
        <v>4504</v>
      </c>
      <c r="H1249" t="s">
        <v>5526</v>
      </c>
      <c r="I1249" t="s">
        <v>2964</v>
      </c>
      <c r="J1249" t="s">
        <v>348</v>
      </c>
      <c r="K1249" t="s">
        <v>21</v>
      </c>
      <c r="L1249" t="s">
        <v>22</v>
      </c>
      <c r="N1249" t="s">
        <v>343</v>
      </c>
      <c r="O1249" t="s">
        <v>24</v>
      </c>
    </row>
    <row r="1250" spans="1:15" x14ac:dyDescent="0.25">
      <c r="A1250">
        <v>1249</v>
      </c>
      <c r="B1250" t="str">
        <f>HYPERLINK("https://digitalcommons.unl.edu/cgi/viewcontent.cgi?article=2428&amp;context=tractormuseumlit","Click for test report")</f>
        <v>Click for test report</v>
      </c>
      <c r="C1250">
        <v>1970</v>
      </c>
      <c r="D1250" t="s">
        <v>5524</v>
      </c>
      <c r="F1250" t="s">
        <v>4503</v>
      </c>
      <c r="G1250" t="s">
        <v>4504</v>
      </c>
      <c r="H1250" t="s">
        <v>4732</v>
      </c>
      <c r="I1250" t="s">
        <v>1961</v>
      </c>
      <c r="J1250" t="s">
        <v>348</v>
      </c>
      <c r="K1250" t="s">
        <v>21</v>
      </c>
      <c r="L1250" t="s">
        <v>119</v>
      </c>
      <c r="N1250" t="s">
        <v>333</v>
      </c>
      <c r="O1250" t="s">
        <v>24</v>
      </c>
    </row>
    <row r="1251" spans="1:15" x14ac:dyDescent="0.25">
      <c r="A1251">
        <v>1250</v>
      </c>
      <c r="B1251" t="str">
        <f>HYPERLINK("https://digitalcommons.unl.edu/cgi/viewcontent.cgi?article=2429&amp;context=tractormuseumlit","Click for test report")</f>
        <v>Click for test report</v>
      </c>
      <c r="C1251">
        <v>1970</v>
      </c>
      <c r="D1251" t="s">
        <v>5523</v>
      </c>
      <c r="F1251" t="s">
        <v>778</v>
      </c>
      <c r="G1251" t="s">
        <v>778</v>
      </c>
      <c r="H1251" t="s">
        <v>4722</v>
      </c>
      <c r="I1251" t="s">
        <v>1961</v>
      </c>
      <c r="J1251" t="s">
        <v>348</v>
      </c>
      <c r="K1251" t="s">
        <v>21</v>
      </c>
      <c r="L1251" t="s">
        <v>1514</v>
      </c>
      <c r="N1251" t="s">
        <v>363</v>
      </c>
      <c r="O1251" t="s">
        <v>24</v>
      </c>
    </row>
    <row r="1252" spans="1:15" x14ac:dyDescent="0.25">
      <c r="A1252">
        <v>1251</v>
      </c>
      <c r="B1252" t="str">
        <f>HYPERLINK("https://digitalcommons.unl.edu/cgi/viewcontent.cgi?article=1436&amp;context=tractormuseumlit","Click for test report")</f>
        <v>Click for test report</v>
      </c>
      <c r="C1252">
        <v>1970</v>
      </c>
      <c r="D1252" t="s">
        <v>250</v>
      </c>
      <c r="F1252" t="s">
        <v>17</v>
      </c>
      <c r="G1252" t="s">
        <v>17</v>
      </c>
      <c r="H1252" t="s">
        <v>2626</v>
      </c>
      <c r="I1252" t="s">
        <v>50</v>
      </c>
      <c r="J1252" t="s">
        <v>348</v>
      </c>
      <c r="K1252" t="s">
        <v>21</v>
      </c>
      <c r="L1252" t="s">
        <v>122</v>
      </c>
      <c r="N1252" t="s">
        <v>368</v>
      </c>
      <c r="O1252" t="s">
        <v>24</v>
      </c>
    </row>
    <row r="1253" spans="1:15" x14ac:dyDescent="0.25">
      <c r="A1253">
        <v>1252</v>
      </c>
      <c r="B1253" t="str">
        <f>HYPERLINK("https://digitalcommons.unl.edu/cgi/viewcontent.cgi?article=2430&amp;context=tractormuseumlit","Click for test report")</f>
        <v>Click for test report</v>
      </c>
      <c r="C1253">
        <v>1970</v>
      </c>
      <c r="D1253" t="s">
        <v>5522</v>
      </c>
      <c r="F1253" t="s">
        <v>4395</v>
      </c>
      <c r="G1253" t="s">
        <v>3708</v>
      </c>
      <c r="H1253" t="s">
        <v>5521</v>
      </c>
      <c r="I1253" t="s">
        <v>50</v>
      </c>
      <c r="J1253" t="s">
        <v>348</v>
      </c>
      <c r="K1253" t="s">
        <v>4809</v>
      </c>
      <c r="L1253" t="s">
        <v>1802</v>
      </c>
      <c r="N1253" t="s">
        <v>4012</v>
      </c>
      <c r="O1253" t="s">
        <v>4936</v>
      </c>
    </row>
    <row r="1254" spans="1:15" x14ac:dyDescent="0.25">
      <c r="A1254">
        <v>1253</v>
      </c>
      <c r="B1254" t="str">
        <f>HYPERLINK("https://digitalcommons.unl.edu/cgi/viewcontent.cgi?article=2431&amp;context=tractormuseumlit","Click for test report")</f>
        <v>Click for test report</v>
      </c>
      <c r="C1254">
        <v>1970</v>
      </c>
      <c r="D1254" t="s">
        <v>5520</v>
      </c>
      <c r="F1254" t="s">
        <v>4395</v>
      </c>
      <c r="G1254" t="s">
        <v>3708</v>
      </c>
      <c r="H1254" t="s">
        <v>5521</v>
      </c>
      <c r="I1254" t="s">
        <v>50</v>
      </c>
      <c r="J1254" t="s">
        <v>348</v>
      </c>
      <c r="K1254" t="s">
        <v>21</v>
      </c>
      <c r="L1254" t="s">
        <v>2699</v>
      </c>
      <c r="N1254" t="s">
        <v>3973</v>
      </c>
      <c r="O1254" t="s">
        <v>4936</v>
      </c>
    </row>
    <row r="1255" spans="1:15" x14ac:dyDescent="0.25">
      <c r="A1255">
        <v>1254</v>
      </c>
      <c r="B1255" t="str">
        <f>HYPERLINK("https://digitalcommons.unl.edu/cgi/viewcontent.cgi?article=2432&amp;context=tractormuseumlit","Click for test report")</f>
        <v>Click for test report</v>
      </c>
      <c r="C1255">
        <v>1970</v>
      </c>
      <c r="D1255" t="s">
        <v>5519</v>
      </c>
      <c r="F1255" t="s">
        <v>4395</v>
      </c>
      <c r="G1255" t="s">
        <v>3708</v>
      </c>
      <c r="H1255" t="s">
        <v>1748</v>
      </c>
      <c r="I1255" t="s">
        <v>50</v>
      </c>
      <c r="J1255" t="s">
        <v>348</v>
      </c>
      <c r="K1255" t="s">
        <v>21</v>
      </c>
      <c r="L1255" t="s">
        <v>4008</v>
      </c>
      <c r="N1255" t="s">
        <v>4352</v>
      </c>
      <c r="O1255" t="s">
        <v>4936</v>
      </c>
    </row>
    <row r="1256" spans="1:15" x14ac:dyDescent="0.25">
      <c r="A1256">
        <v>1255</v>
      </c>
      <c r="B1256" t="str">
        <f>HYPERLINK("https://digitalcommons.unl.edu/cgi/viewcontent.cgi?article=2433&amp;context=tractormuseumlit","Click for test report")</f>
        <v>Click for test report</v>
      </c>
      <c r="C1256">
        <v>1970</v>
      </c>
      <c r="D1256" t="s">
        <v>5518</v>
      </c>
      <c r="F1256" t="s">
        <v>4395</v>
      </c>
      <c r="G1256" t="s">
        <v>3708</v>
      </c>
      <c r="H1256" t="s">
        <v>1748</v>
      </c>
      <c r="I1256" t="s">
        <v>50</v>
      </c>
      <c r="J1256" t="s">
        <v>348</v>
      </c>
      <c r="K1256" t="s">
        <v>4809</v>
      </c>
      <c r="L1256" t="s">
        <v>4440</v>
      </c>
      <c r="N1256" t="s">
        <v>4352</v>
      </c>
      <c r="O1256" t="s">
        <v>4936</v>
      </c>
    </row>
    <row r="1257" spans="1:15" x14ac:dyDescent="0.25">
      <c r="A1257">
        <v>1256</v>
      </c>
      <c r="B1257" t="str">
        <f>HYPERLINK("https://digitalcommons.unl.edu/cgi/viewcontent.cgi?article=1576&amp;context=tractormuseumlit","Click for test report")</f>
        <v>Click for test report</v>
      </c>
      <c r="C1257">
        <v>1970</v>
      </c>
      <c r="D1257" t="s">
        <v>5517</v>
      </c>
      <c r="F1257" t="s">
        <v>4426</v>
      </c>
      <c r="G1257" t="s">
        <v>5345</v>
      </c>
      <c r="H1257" t="s">
        <v>1971</v>
      </c>
      <c r="I1257" t="s">
        <v>3474</v>
      </c>
      <c r="J1257" t="s">
        <v>348</v>
      </c>
      <c r="K1257" t="s">
        <v>21</v>
      </c>
      <c r="L1257" t="s">
        <v>364</v>
      </c>
      <c r="N1257" t="s">
        <v>454</v>
      </c>
      <c r="O1257" t="s">
        <v>24</v>
      </c>
    </row>
    <row r="1258" spans="1:15" x14ac:dyDescent="0.25">
      <c r="A1258">
        <v>1257</v>
      </c>
      <c r="B1258" t="str">
        <f>HYPERLINK("https://digitalcommons.unl.edu/cgi/viewcontent.cgi?article=1577&amp;context=tractormuseumlit","Click for test report")</f>
        <v>Click for test report</v>
      </c>
      <c r="C1258">
        <v>1970</v>
      </c>
      <c r="D1258" t="s">
        <v>5516</v>
      </c>
      <c r="F1258" t="s">
        <v>4426</v>
      </c>
      <c r="G1258" t="s">
        <v>5347</v>
      </c>
      <c r="H1258" t="s">
        <v>5514</v>
      </c>
      <c r="I1258" t="s">
        <v>3474</v>
      </c>
      <c r="J1258" t="s">
        <v>348</v>
      </c>
      <c r="K1258" t="s">
        <v>4809</v>
      </c>
      <c r="L1258" t="s">
        <v>55</v>
      </c>
      <c r="N1258" t="s">
        <v>1867</v>
      </c>
      <c r="O1258" t="s">
        <v>5515</v>
      </c>
    </row>
    <row r="1259" spans="1:15" x14ac:dyDescent="0.25">
      <c r="A1259">
        <v>1258</v>
      </c>
      <c r="B1259" t="str">
        <f>HYPERLINK("https://digitalcommons.unl.edu/cgi/viewcontent.cgi?article=1577&amp;context=tractormuseumlit","Click for test report")</f>
        <v>Click for test report</v>
      </c>
      <c r="C1259">
        <v>1970</v>
      </c>
      <c r="D1259" t="s">
        <v>5516</v>
      </c>
      <c r="F1259" t="s">
        <v>4426</v>
      </c>
      <c r="G1259" t="s">
        <v>5345</v>
      </c>
      <c r="H1259" t="s">
        <v>3242</v>
      </c>
      <c r="I1259" t="s">
        <v>3474</v>
      </c>
      <c r="J1259" t="s">
        <v>348</v>
      </c>
      <c r="K1259" t="s">
        <v>4809</v>
      </c>
      <c r="L1259" t="s">
        <v>55</v>
      </c>
      <c r="N1259" t="s">
        <v>1867</v>
      </c>
      <c r="O1259" t="s">
        <v>24</v>
      </c>
    </row>
    <row r="1260" spans="1:15" x14ac:dyDescent="0.25">
      <c r="A1260">
        <v>1259</v>
      </c>
      <c r="B1260" t="str">
        <f>HYPERLINK("https://digitalcommons.unl.edu/cgi/viewcontent.cgi?article=1578&amp;context=tractormuseumlit","Click for test report")</f>
        <v>Click for test report</v>
      </c>
      <c r="C1260">
        <v>1970</v>
      </c>
      <c r="D1260" t="s">
        <v>5513</v>
      </c>
      <c r="F1260" t="s">
        <v>4426</v>
      </c>
      <c r="G1260" t="s">
        <v>5347</v>
      </c>
      <c r="H1260" t="s">
        <v>5514</v>
      </c>
      <c r="I1260" t="s">
        <v>3474</v>
      </c>
      <c r="J1260" t="s">
        <v>348</v>
      </c>
      <c r="K1260" t="s">
        <v>21</v>
      </c>
      <c r="L1260" t="s">
        <v>55</v>
      </c>
      <c r="N1260" t="s">
        <v>740</v>
      </c>
      <c r="O1260" t="s">
        <v>5515</v>
      </c>
    </row>
    <row r="1261" spans="1:15" x14ac:dyDescent="0.25">
      <c r="A1261">
        <v>1260</v>
      </c>
      <c r="B1261" t="str">
        <f>HYPERLINK("https://digitalcommons.unl.edu/cgi/viewcontent.cgi?article=1578&amp;context=tractormuseumlit","Click for test report")</f>
        <v>Click for test report</v>
      </c>
      <c r="C1261">
        <v>1970</v>
      </c>
      <c r="D1261" t="s">
        <v>5513</v>
      </c>
      <c r="F1261" t="s">
        <v>4426</v>
      </c>
      <c r="G1261" t="s">
        <v>5345</v>
      </c>
      <c r="H1261" t="s">
        <v>3242</v>
      </c>
      <c r="I1261" t="s">
        <v>3474</v>
      </c>
      <c r="J1261" t="s">
        <v>348</v>
      </c>
      <c r="K1261" t="s">
        <v>21</v>
      </c>
      <c r="L1261" t="s">
        <v>55</v>
      </c>
      <c r="N1261" t="s">
        <v>740</v>
      </c>
      <c r="O1261" t="s">
        <v>24</v>
      </c>
    </row>
    <row r="1262" spans="1:15" x14ac:dyDescent="0.25">
      <c r="A1262">
        <v>1261</v>
      </c>
      <c r="B1262" t="str">
        <f>HYPERLINK("https://digitalcommons.unl.edu/cgi/viewcontent.cgi?article=2434&amp;context=tractormuseumlit","Click for test report")</f>
        <v>Click for test report</v>
      </c>
      <c r="C1262">
        <v>1970</v>
      </c>
      <c r="D1262" t="s">
        <v>5512</v>
      </c>
      <c r="F1262" t="s">
        <v>3800</v>
      </c>
      <c r="G1262" t="s">
        <v>4473</v>
      </c>
      <c r="H1262" t="s">
        <v>5467</v>
      </c>
      <c r="I1262" t="s">
        <v>3474</v>
      </c>
      <c r="J1262" t="s">
        <v>348</v>
      </c>
      <c r="K1262" t="s">
        <v>21</v>
      </c>
      <c r="L1262" t="s">
        <v>404</v>
      </c>
      <c r="N1262" t="s">
        <v>3319</v>
      </c>
      <c r="O1262" t="s">
        <v>24</v>
      </c>
    </row>
    <row r="1263" spans="1:15" x14ac:dyDescent="0.25">
      <c r="A1263">
        <v>1262</v>
      </c>
      <c r="B1263" t="str">
        <f>HYPERLINK("https://digitalcommons.unl.edu/cgi/viewcontent.cgi?article=2435&amp;context=tractormuseumlit","Click for test report")</f>
        <v>Click for test report</v>
      </c>
      <c r="C1263">
        <v>1970</v>
      </c>
      <c r="D1263" t="s">
        <v>5511</v>
      </c>
      <c r="F1263" t="s">
        <v>3800</v>
      </c>
      <c r="G1263" t="s">
        <v>4473</v>
      </c>
      <c r="H1263" t="s">
        <v>5367</v>
      </c>
      <c r="I1263" t="s">
        <v>3474</v>
      </c>
      <c r="J1263" t="s">
        <v>348</v>
      </c>
      <c r="K1263" t="s">
        <v>4809</v>
      </c>
      <c r="L1263" t="s">
        <v>1347</v>
      </c>
      <c r="N1263" t="s">
        <v>1051</v>
      </c>
      <c r="O1263" t="s">
        <v>24</v>
      </c>
    </row>
    <row r="1264" spans="1:15" x14ac:dyDescent="0.25">
      <c r="A1264">
        <v>1263</v>
      </c>
      <c r="B1264" t="str">
        <f>HYPERLINK("https://digitalcommons.unl.edu/cgi/viewcontent.cgi?article=2436&amp;context=tractormuseumlit","Click for test report")</f>
        <v>Click for test report</v>
      </c>
      <c r="C1264">
        <v>1970</v>
      </c>
      <c r="D1264" t="s">
        <v>5510</v>
      </c>
      <c r="F1264" t="s">
        <v>3800</v>
      </c>
      <c r="G1264" t="s">
        <v>4473</v>
      </c>
      <c r="H1264" t="s">
        <v>5367</v>
      </c>
      <c r="I1264" t="s">
        <v>50</v>
      </c>
      <c r="J1264" t="s">
        <v>348</v>
      </c>
      <c r="K1264" t="s">
        <v>4809</v>
      </c>
      <c r="L1264" t="s">
        <v>764</v>
      </c>
      <c r="N1264" t="s">
        <v>728</v>
      </c>
      <c r="O1264" t="s">
        <v>24</v>
      </c>
    </row>
    <row r="1265" spans="1:15" x14ac:dyDescent="0.25">
      <c r="A1265">
        <v>1264</v>
      </c>
      <c r="B1265" t="str">
        <f>HYPERLINK("https://digitalcommons.unl.edu/cgi/viewcontent.cgi?article=2437&amp;context=tractormuseumlit","Click for test report")</f>
        <v>Click for test report</v>
      </c>
      <c r="C1265">
        <v>1970</v>
      </c>
      <c r="D1265" t="s">
        <v>5509</v>
      </c>
      <c r="F1265" t="s">
        <v>3800</v>
      </c>
      <c r="G1265" t="s">
        <v>4473</v>
      </c>
      <c r="H1265" t="s">
        <v>5467</v>
      </c>
      <c r="I1265" t="s">
        <v>50</v>
      </c>
      <c r="J1265" t="s">
        <v>348</v>
      </c>
      <c r="K1265" t="s">
        <v>4809</v>
      </c>
      <c r="L1265" t="s">
        <v>404</v>
      </c>
      <c r="N1265" t="s">
        <v>735</v>
      </c>
      <c r="O1265" t="s">
        <v>24</v>
      </c>
    </row>
    <row r="1266" spans="1:15" x14ac:dyDescent="0.25">
      <c r="A1266">
        <v>1265</v>
      </c>
      <c r="B1266" t="str">
        <f>HYPERLINK("https://digitalcommons.unl.edu/cgi/viewcontent.cgi?article=2438&amp;context=tractormuseumlit","Click for test report")</f>
        <v>Click for test report</v>
      </c>
      <c r="C1266">
        <v>1970</v>
      </c>
      <c r="D1266" t="s">
        <v>5508</v>
      </c>
      <c r="F1266" t="s">
        <v>3800</v>
      </c>
      <c r="G1266" t="s">
        <v>4473</v>
      </c>
      <c r="H1266" t="s">
        <v>5332</v>
      </c>
      <c r="I1266" t="s">
        <v>50</v>
      </c>
      <c r="J1266" t="s">
        <v>348</v>
      </c>
      <c r="K1266" t="s">
        <v>21</v>
      </c>
      <c r="L1266" t="s">
        <v>794</v>
      </c>
      <c r="N1266" t="s">
        <v>23</v>
      </c>
      <c r="O1266" t="s">
        <v>24</v>
      </c>
    </row>
    <row r="1267" spans="1:15" x14ac:dyDescent="0.25">
      <c r="A1267">
        <v>1266</v>
      </c>
      <c r="B1267" t="str">
        <f>HYPERLINK("https://digitalcommons.unl.edu/cgi/viewcontent.cgi?article=2438&amp;context=tractormuseumlit","Click for test report")</f>
        <v>Click for test report</v>
      </c>
      <c r="C1267">
        <v>1970</v>
      </c>
      <c r="D1267" t="s">
        <v>5508</v>
      </c>
      <c r="F1267" t="s">
        <v>3800</v>
      </c>
      <c r="G1267" t="s">
        <v>4473</v>
      </c>
      <c r="H1267" t="s">
        <v>5324</v>
      </c>
      <c r="I1267" t="s">
        <v>50</v>
      </c>
      <c r="J1267" t="s">
        <v>348</v>
      </c>
      <c r="K1267" t="s">
        <v>21</v>
      </c>
      <c r="L1267" t="s">
        <v>794</v>
      </c>
      <c r="N1267" t="s">
        <v>23</v>
      </c>
      <c r="O1267" t="s">
        <v>24</v>
      </c>
    </row>
    <row r="1268" spans="1:15" x14ac:dyDescent="0.25">
      <c r="A1268">
        <v>1267</v>
      </c>
      <c r="B1268" t="str">
        <f>HYPERLINK("https://digitalcommons.unl.edu/cgi/viewcontent.cgi?article=1437&amp;context=tractormuseumlit","Click for test report")</f>
        <v>Click for test report</v>
      </c>
      <c r="C1268">
        <v>1971</v>
      </c>
      <c r="D1268" t="s">
        <v>5507</v>
      </c>
      <c r="F1268" t="s">
        <v>17</v>
      </c>
      <c r="G1268" t="s">
        <v>17</v>
      </c>
      <c r="H1268" t="s">
        <v>5161</v>
      </c>
      <c r="I1268" t="s">
        <v>50</v>
      </c>
      <c r="J1268" t="s">
        <v>29</v>
      </c>
      <c r="K1268" t="s">
        <v>21</v>
      </c>
      <c r="L1268" t="s">
        <v>328</v>
      </c>
      <c r="N1268" t="s">
        <v>119</v>
      </c>
      <c r="O1268" t="s">
        <v>24</v>
      </c>
    </row>
    <row r="1269" spans="1:15" x14ac:dyDescent="0.25">
      <c r="A1269">
        <v>1268</v>
      </c>
      <c r="B1269" t="str">
        <f>HYPERLINK("https://digitalcommons.unl.edu/cgi/viewcontent.cgi?article=1438&amp;context=tractormuseumlit","Click for test report")</f>
        <v>Click for test report</v>
      </c>
      <c r="C1269">
        <v>1971</v>
      </c>
      <c r="D1269" t="s">
        <v>5506</v>
      </c>
      <c r="F1269" t="s">
        <v>17</v>
      </c>
      <c r="G1269" t="s">
        <v>17</v>
      </c>
      <c r="H1269" t="s">
        <v>5489</v>
      </c>
      <c r="I1269" t="s">
        <v>28</v>
      </c>
      <c r="J1269" t="s">
        <v>348</v>
      </c>
      <c r="K1269" t="s">
        <v>21</v>
      </c>
      <c r="L1269" t="s">
        <v>1514</v>
      </c>
      <c r="N1269" t="s">
        <v>336</v>
      </c>
      <c r="O1269" t="s">
        <v>24</v>
      </c>
    </row>
    <row r="1270" spans="1:15" x14ac:dyDescent="0.25">
      <c r="A1270">
        <v>1269</v>
      </c>
      <c r="B1270" t="str">
        <f>HYPERLINK("https://digitalcommons.unl.edu/cgi/viewcontent.cgi?article=2439&amp;context=tractormuseumlit","Click for test report")</f>
        <v>Click for test report</v>
      </c>
      <c r="C1270">
        <v>1971</v>
      </c>
      <c r="D1270" t="s">
        <v>5504</v>
      </c>
      <c r="F1270" t="s">
        <v>4325</v>
      </c>
      <c r="G1270" t="s">
        <v>4325</v>
      </c>
      <c r="H1270" t="s">
        <v>4927</v>
      </c>
      <c r="I1270" t="s">
        <v>50</v>
      </c>
      <c r="J1270" t="s">
        <v>348</v>
      </c>
      <c r="K1270" t="s">
        <v>21</v>
      </c>
      <c r="L1270" t="s">
        <v>475</v>
      </c>
      <c r="N1270" t="s">
        <v>677</v>
      </c>
      <c r="O1270" t="s">
        <v>5505</v>
      </c>
    </row>
    <row r="1271" spans="1:15" x14ac:dyDescent="0.25">
      <c r="A1271">
        <v>1270</v>
      </c>
      <c r="B1271" t="str">
        <f>HYPERLINK("https://digitalcommons.unl.edu/cgi/viewcontent.cgi?article=2440&amp;context=tractormuseumlit","Click for test report")</f>
        <v>Click for test report</v>
      </c>
      <c r="C1271">
        <v>1971</v>
      </c>
      <c r="D1271" t="s">
        <v>5401</v>
      </c>
      <c r="F1271" t="s">
        <v>3800</v>
      </c>
      <c r="G1271" t="s">
        <v>4473</v>
      </c>
      <c r="H1271" t="s">
        <v>5494</v>
      </c>
      <c r="I1271" t="s">
        <v>3474</v>
      </c>
      <c r="J1271" t="s">
        <v>348</v>
      </c>
      <c r="K1271" t="s">
        <v>21</v>
      </c>
      <c r="L1271" t="s">
        <v>364</v>
      </c>
      <c r="N1271" t="s">
        <v>339</v>
      </c>
      <c r="O1271" t="s">
        <v>5480</v>
      </c>
    </row>
    <row r="1272" spans="1:15" x14ac:dyDescent="0.25">
      <c r="A1272">
        <v>1271</v>
      </c>
      <c r="B1272" t="str">
        <f>HYPERLINK("https://digitalcommons.unl.edu/cgi/viewcontent.cgi?article=2440&amp;context=tractormuseumlit","Click for test report")</f>
        <v>Click for test report</v>
      </c>
      <c r="C1272">
        <v>1971</v>
      </c>
      <c r="D1272" t="s">
        <v>5401</v>
      </c>
      <c r="F1272" t="s">
        <v>3800</v>
      </c>
      <c r="G1272" t="s">
        <v>4473</v>
      </c>
      <c r="H1272" t="s">
        <v>5460</v>
      </c>
      <c r="I1272" t="s">
        <v>3474</v>
      </c>
      <c r="J1272" t="s">
        <v>348</v>
      </c>
      <c r="K1272" t="s">
        <v>21</v>
      </c>
      <c r="L1272" t="s">
        <v>364</v>
      </c>
      <c r="N1272" t="s">
        <v>339</v>
      </c>
      <c r="O1272" t="s">
        <v>5503</v>
      </c>
    </row>
    <row r="1273" spans="1:15" x14ac:dyDescent="0.25">
      <c r="A1273">
        <v>1272</v>
      </c>
      <c r="B1273" t="str">
        <f>HYPERLINK("https://digitalcommons.unl.edu/cgi/viewcontent.cgi?article=2441&amp;context=tractormuseumlit","Click for test report")</f>
        <v>Click for test report</v>
      </c>
      <c r="C1273">
        <v>1971</v>
      </c>
      <c r="D1273" t="s">
        <v>5502</v>
      </c>
      <c r="F1273" t="s">
        <v>3800</v>
      </c>
      <c r="G1273" t="s">
        <v>4473</v>
      </c>
      <c r="H1273" t="s">
        <v>5494</v>
      </c>
      <c r="I1273" t="s">
        <v>50</v>
      </c>
      <c r="J1273" t="s">
        <v>348</v>
      </c>
      <c r="K1273" t="s">
        <v>21</v>
      </c>
      <c r="L1273" t="s">
        <v>705</v>
      </c>
      <c r="N1273" t="s">
        <v>131</v>
      </c>
      <c r="O1273" t="s">
        <v>5480</v>
      </c>
    </row>
    <row r="1274" spans="1:15" x14ac:dyDescent="0.25">
      <c r="A1274">
        <v>1273</v>
      </c>
      <c r="B1274" t="str">
        <f>HYPERLINK("https://digitalcommons.unl.edu/cgi/viewcontent.cgi?article=2441&amp;context=tractormuseumlit","Click for test report")</f>
        <v>Click for test report</v>
      </c>
      <c r="C1274">
        <v>1971</v>
      </c>
      <c r="D1274" t="s">
        <v>5502</v>
      </c>
      <c r="F1274" t="s">
        <v>3800</v>
      </c>
      <c r="G1274" t="s">
        <v>4473</v>
      </c>
      <c r="H1274" t="s">
        <v>5460</v>
      </c>
      <c r="I1274" t="s">
        <v>50</v>
      </c>
      <c r="J1274" t="s">
        <v>348</v>
      </c>
      <c r="K1274" t="s">
        <v>21</v>
      </c>
      <c r="L1274" t="s">
        <v>705</v>
      </c>
      <c r="N1274" t="s">
        <v>131</v>
      </c>
      <c r="O1274" t="s">
        <v>5503</v>
      </c>
    </row>
    <row r="1275" spans="1:15" x14ac:dyDescent="0.25">
      <c r="A1275">
        <v>1274</v>
      </c>
      <c r="B1275" t="str">
        <f>HYPERLINK("https://digitalcommons.unl.edu/cgi/viewcontent.cgi?article=2442&amp;context=tractormuseumlit","Click for test report")</f>
        <v>Click for test report</v>
      </c>
      <c r="C1275">
        <v>1971</v>
      </c>
      <c r="D1275" t="s">
        <v>5501</v>
      </c>
      <c r="F1275" t="s">
        <v>3800</v>
      </c>
      <c r="G1275" t="s">
        <v>4473</v>
      </c>
      <c r="H1275" t="s">
        <v>5479</v>
      </c>
      <c r="I1275" t="s">
        <v>3474</v>
      </c>
      <c r="J1275" t="s">
        <v>348</v>
      </c>
      <c r="K1275" t="s">
        <v>21</v>
      </c>
      <c r="L1275" t="s">
        <v>131</v>
      </c>
      <c r="N1275" t="s">
        <v>574</v>
      </c>
      <c r="O1275" t="s">
        <v>5480</v>
      </c>
    </row>
    <row r="1276" spans="1:15" x14ac:dyDescent="0.25">
      <c r="A1276">
        <v>1275</v>
      </c>
      <c r="B1276" t="str">
        <f>HYPERLINK("https://digitalcommons.unl.edu/cgi/viewcontent.cgi?article=2443&amp;context=tractormuseumlit","Click for test report")</f>
        <v>Click for test report</v>
      </c>
      <c r="C1276">
        <v>1971</v>
      </c>
      <c r="D1276" t="s">
        <v>5498</v>
      </c>
      <c r="F1276" t="s">
        <v>5347</v>
      </c>
      <c r="G1276" t="s">
        <v>5347</v>
      </c>
      <c r="H1276" t="s">
        <v>5500</v>
      </c>
      <c r="I1276" t="s">
        <v>1961</v>
      </c>
      <c r="J1276" t="s">
        <v>348</v>
      </c>
      <c r="K1276" t="s">
        <v>21</v>
      </c>
      <c r="L1276" t="s">
        <v>853</v>
      </c>
      <c r="N1276" t="s">
        <v>363</v>
      </c>
      <c r="O1276" t="s">
        <v>24</v>
      </c>
    </row>
    <row r="1277" spans="1:15" x14ac:dyDescent="0.25">
      <c r="A1277">
        <v>1276</v>
      </c>
      <c r="B1277" t="str">
        <f>HYPERLINK("https://digitalcommons.unl.edu/cgi/viewcontent.cgi?article=2443&amp;context=tractormuseumlit","Click for test report")</f>
        <v>Click for test report</v>
      </c>
      <c r="C1277">
        <v>1971</v>
      </c>
      <c r="D1277" t="s">
        <v>5498</v>
      </c>
      <c r="F1277" t="s">
        <v>5347</v>
      </c>
      <c r="G1277" t="s">
        <v>5345</v>
      </c>
      <c r="H1277" t="s">
        <v>674</v>
      </c>
      <c r="I1277" t="s">
        <v>1961</v>
      </c>
      <c r="J1277" t="s">
        <v>348</v>
      </c>
      <c r="K1277" t="s">
        <v>21</v>
      </c>
      <c r="L1277" t="s">
        <v>853</v>
      </c>
      <c r="N1277" t="s">
        <v>363</v>
      </c>
      <c r="O1277" t="s">
        <v>5499</v>
      </c>
    </row>
    <row r="1278" spans="1:15" x14ac:dyDescent="0.25">
      <c r="A1278">
        <v>1277</v>
      </c>
      <c r="B1278" t="str">
        <f>HYPERLINK("https://digitalcommons.unl.edu/cgi/viewcontent.cgi?article=2444&amp;context=tractormuseumlit","Click for test report")</f>
        <v>Click for test report</v>
      </c>
      <c r="C1278">
        <v>1971</v>
      </c>
      <c r="D1278" t="s">
        <v>5494</v>
      </c>
      <c r="F1278" t="s">
        <v>5347</v>
      </c>
      <c r="G1278" t="s">
        <v>5347</v>
      </c>
      <c r="H1278" t="s">
        <v>5497</v>
      </c>
      <c r="I1278" t="s">
        <v>50</v>
      </c>
      <c r="J1278" t="s">
        <v>29</v>
      </c>
      <c r="K1278" t="s">
        <v>21</v>
      </c>
      <c r="L1278" t="s">
        <v>839</v>
      </c>
      <c r="N1278" t="s">
        <v>842</v>
      </c>
      <c r="O1278" t="s">
        <v>24</v>
      </c>
    </row>
    <row r="1279" spans="1:15" x14ac:dyDescent="0.25">
      <c r="A1279">
        <v>1278</v>
      </c>
      <c r="B1279" t="str">
        <f>HYPERLINK("https://digitalcommons.unl.edu/cgi/viewcontent.cgi?article=2444&amp;context=tractormuseumlit","Click for test report")</f>
        <v>Click for test report</v>
      </c>
      <c r="C1279">
        <v>1971</v>
      </c>
      <c r="D1279" t="s">
        <v>5494</v>
      </c>
      <c r="F1279" t="s">
        <v>5347</v>
      </c>
      <c r="G1279" t="s">
        <v>5345</v>
      </c>
      <c r="H1279" t="s">
        <v>5495</v>
      </c>
      <c r="I1279" t="s">
        <v>50</v>
      </c>
      <c r="J1279" t="s">
        <v>29</v>
      </c>
      <c r="K1279" t="s">
        <v>21</v>
      </c>
      <c r="L1279" t="s">
        <v>839</v>
      </c>
      <c r="N1279" t="s">
        <v>842</v>
      </c>
      <c r="O1279" t="s">
        <v>5496</v>
      </c>
    </row>
    <row r="1280" spans="1:15" x14ac:dyDescent="0.25">
      <c r="A1280">
        <v>1279</v>
      </c>
      <c r="B1280" t="str">
        <f>HYPERLINK("https://digitalcommons.unl.edu/cgi/viewcontent.cgi?article=2445&amp;context=tractormuseumlit","Click for test report")</f>
        <v>Click for test report</v>
      </c>
      <c r="C1280">
        <v>1971</v>
      </c>
      <c r="D1280" t="s">
        <v>5492</v>
      </c>
      <c r="F1280" t="s">
        <v>62</v>
      </c>
      <c r="G1280" t="s">
        <v>62</v>
      </c>
      <c r="H1280" t="s">
        <v>5493</v>
      </c>
      <c r="I1280" t="s">
        <v>50</v>
      </c>
      <c r="J1280" t="s">
        <v>348</v>
      </c>
      <c r="K1280" t="s">
        <v>21</v>
      </c>
      <c r="L1280" t="s">
        <v>4627</v>
      </c>
      <c r="N1280" t="s">
        <v>4452</v>
      </c>
      <c r="O1280" t="s">
        <v>24</v>
      </c>
    </row>
    <row r="1281" spans="1:15" x14ac:dyDescent="0.25">
      <c r="A1281">
        <v>1280</v>
      </c>
      <c r="B1281" t="str">
        <f>HYPERLINK("https://digitalcommons.unl.edu/cgi/viewcontent.cgi?article=2446&amp;context=tractormuseumlit","Click for test report")</f>
        <v>Click for test report</v>
      </c>
      <c r="C1281">
        <v>1971</v>
      </c>
      <c r="D1281" t="s">
        <v>5490</v>
      </c>
      <c r="F1281" t="s">
        <v>62</v>
      </c>
      <c r="G1281" t="s">
        <v>62</v>
      </c>
      <c r="H1281" t="s">
        <v>5491</v>
      </c>
      <c r="I1281" t="s">
        <v>50</v>
      </c>
      <c r="J1281" t="s">
        <v>348</v>
      </c>
      <c r="K1281" t="s">
        <v>21</v>
      </c>
      <c r="L1281" t="s">
        <v>4355</v>
      </c>
      <c r="N1281" t="s">
        <v>4627</v>
      </c>
      <c r="O1281" t="s">
        <v>24</v>
      </c>
    </row>
    <row r="1282" spans="1:15" x14ac:dyDescent="0.25">
      <c r="A1282">
        <v>1281</v>
      </c>
      <c r="B1282" t="str">
        <f>HYPERLINK("https://digitalcommons.unl.edu/cgi/viewcontent.cgi?article=1439&amp;context=tractormuseumlit","Click for test report")</f>
        <v>Click for test report</v>
      </c>
      <c r="C1282">
        <v>1971</v>
      </c>
      <c r="D1282" t="s">
        <v>5488</v>
      </c>
      <c r="F1282" t="s">
        <v>17</v>
      </c>
      <c r="G1282" t="s">
        <v>17</v>
      </c>
      <c r="H1282" t="s">
        <v>5489</v>
      </c>
      <c r="I1282" t="s">
        <v>50</v>
      </c>
      <c r="J1282" t="s">
        <v>348</v>
      </c>
      <c r="K1282" t="s">
        <v>21</v>
      </c>
      <c r="L1282" t="s">
        <v>1514</v>
      </c>
      <c r="N1282" t="s">
        <v>569</v>
      </c>
      <c r="O1282" t="s">
        <v>24</v>
      </c>
    </row>
    <row r="1283" spans="1:15" x14ac:dyDescent="0.25">
      <c r="A1283">
        <v>1282</v>
      </c>
      <c r="B1283" t="str">
        <f>HYPERLINK("https://digitalcommons.unl.edu/cgi/viewcontent.cgi?article=2447&amp;context=tractormuseumlit","Click for test report")</f>
        <v>Click for test report</v>
      </c>
      <c r="C1283">
        <v>1971</v>
      </c>
      <c r="D1283" t="s">
        <v>5486</v>
      </c>
      <c r="F1283" t="s">
        <v>4344</v>
      </c>
      <c r="G1283" t="s">
        <v>4850</v>
      </c>
      <c r="H1283" t="s">
        <v>5487</v>
      </c>
      <c r="I1283" t="s">
        <v>50</v>
      </c>
      <c r="J1283" t="s">
        <v>348</v>
      </c>
      <c r="K1283" t="s">
        <v>21</v>
      </c>
      <c r="L1283" t="s">
        <v>1796</v>
      </c>
      <c r="N1283" t="s">
        <v>1867</v>
      </c>
      <c r="O1283" t="s">
        <v>24</v>
      </c>
    </row>
    <row r="1284" spans="1:15" x14ac:dyDescent="0.25">
      <c r="A1284">
        <v>1283</v>
      </c>
      <c r="B1284" t="str">
        <f>HYPERLINK("https://digitalcommons.unl.edu/cgi/viewcontent.cgi?article=2448&amp;context=tractormuseumlit","Click for test report")</f>
        <v>Click for test report</v>
      </c>
      <c r="C1284">
        <v>1971</v>
      </c>
      <c r="D1284" t="s">
        <v>5484</v>
      </c>
      <c r="F1284" t="s">
        <v>4344</v>
      </c>
      <c r="G1284" t="s">
        <v>4850</v>
      </c>
      <c r="H1284" t="s">
        <v>5485</v>
      </c>
      <c r="I1284" t="s">
        <v>50</v>
      </c>
      <c r="J1284" t="s">
        <v>348</v>
      </c>
      <c r="K1284" t="s">
        <v>21</v>
      </c>
      <c r="L1284" t="s">
        <v>3973</v>
      </c>
      <c r="N1284" t="s">
        <v>4012</v>
      </c>
      <c r="O1284" t="s">
        <v>24</v>
      </c>
    </row>
    <row r="1285" spans="1:15" x14ac:dyDescent="0.25">
      <c r="A1285">
        <v>1284</v>
      </c>
      <c r="B1285" t="str">
        <f>HYPERLINK("https://digitalcommons.unl.edu/cgi/viewcontent.cgi?article=2449&amp;context=tractormuseumlit","Click for test report")</f>
        <v>Click for test report</v>
      </c>
      <c r="C1285">
        <v>1971</v>
      </c>
      <c r="D1285" t="s">
        <v>5483</v>
      </c>
      <c r="F1285" t="s">
        <v>3800</v>
      </c>
      <c r="G1285" t="s">
        <v>4473</v>
      </c>
      <c r="H1285" t="s">
        <v>5367</v>
      </c>
      <c r="I1285" t="s">
        <v>3474</v>
      </c>
      <c r="J1285" t="s">
        <v>348</v>
      </c>
      <c r="K1285" t="s">
        <v>21</v>
      </c>
      <c r="L1285" t="s">
        <v>378</v>
      </c>
      <c r="N1285" t="s">
        <v>1257</v>
      </c>
      <c r="O1285" t="s">
        <v>5482</v>
      </c>
    </row>
    <row r="1286" spans="1:15" x14ac:dyDescent="0.25">
      <c r="A1286">
        <v>1285</v>
      </c>
      <c r="B1286" t="str">
        <f>HYPERLINK("https://digitalcommons.unl.edu/cgi/viewcontent.cgi?article=2450&amp;context=tractormuseumlit","Click for test report")</f>
        <v>Click for test report</v>
      </c>
      <c r="C1286">
        <v>1971</v>
      </c>
      <c r="D1286" t="s">
        <v>5481</v>
      </c>
      <c r="F1286" t="s">
        <v>3800</v>
      </c>
      <c r="G1286" t="s">
        <v>4473</v>
      </c>
      <c r="H1286" t="s">
        <v>5367</v>
      </c>
      <c r="I1286" t="s">
        <v>50</v>
      </c>
      <c r="J1286" t="s">
        <v>348</v>
      </c>
      <c r="K1286" t="s">
        <v>21</v>
      </c>
      <c r="L1286" t="s">
        <v>378</v>
      </c>
      <c r="N1286" t="s">
        <v>1347</v>
      </c>
      <c r="O1286" t="s">
        <v>5482</v>
      </c>
    </row>
    <row r="1287" spans="1:15" x14ac:dyDescent="0.25">
      <c r="A1287">
        <v>1286</v>
      </c>
      <c r="B1287" t="str">
        <f>HYPERLINK("https://digitalcommons.unl.edu/cgi/viewcontent.cgi?article=2451&amp;context=tractormuseumlit","Click for test report")</f>
        <v>Click for test report</v>
      </c>
      <c r="C1287">
        <v>1971</v>
      </c>
      <c r="D1287" t="s">
        <v>5478</v>
      </c>
      <c r="F1287" t="s">
        <v>3800</v>
      </c>
      <c r="G1287" t="s">
        <v>4473</v>
      </c>
      <c r="H1287" t="s">
        <v>5479</v>
      </c>
      <c r="I1287" t="s">
        <v>50</v>
      </c>
      <c r="J1287" t="s">
        <v>348</v>
      </c>
      <c r="K1287" t="s">
        <v>21</v>
      </c>
      <c r="L1287" t="s">
        <v>131</v>
      </c>
      <c r="N1287" t="s">
        <v>574</v>
      </c>
      <c r="O1287" t="s">
        <v>5480</v>
      </c>
    </row>
    <row r="1288" spans="1:15" x14ac:dyDescent="0.25">
      <c r="A1288">
        <v>1287</v>
      </c>
      <c r="B1288" t="str">
        <f>HYPERLINK("https://digitalcommons.unl.edu/cgi/viewcontent.cgi?article=2452&amp;context=tractormuseumlit","Click for test report")</f>
        <v>Click for test report</v>
      </c>
      <c r="C1288">
        <v>1971</v>
      </c>
      <c r="D1288" t="s">
        <v>5476</v>
      </c>
      <c r="F1288" t="s">
        <v>3652</v>
      </c>
      <c r="G1288" t="s">
        <v>3652</v>
      </c>
      <c r="H1288" t="s">
        <v>5477</v>
      </c>
      <c r="I1288" t="s">
        <v>50</v>
      </c>
      <c r="J1288" t="s">
        <v>29</v>
      </c>
      <c r="K1288" t="s">
        <v>21</v>
      </c>
      <c r="N1288" t="s">
        <v>1821</v>
      </c>
      <c r="O1288" t="s">
        <v>2163</v>
      </c>
    </row>
    <row r="1289" spans="1:15" x14ac:dyDescent="0.25">
      <c r="A1289">
        <v>1288</v>
      </c>
      <c r="B1289" t="str">
        <f>HYPERLINK("https://digitalcommons.unl.edu/cgi/viewcontent.cgi?article=2453&amp;context=tractormuseumlit","Click for test report")</f>
        <v>Click for test report</v>
      </c>
      <c r="C1289">
        <v>1971</v>
      </c>
      <c r="D1289" t="s">
        <v>5475</v>
      </c>
      <c r="F1289" t="s">
        <v>4503</v>
      </c>
      <c r="G1289" t="s">
        <v>4504</v>
      </c>
      <c r="H1289" t="s">
        <v>4698</v>
      </c>
      <c r="I1289" t="s">
        <v>1961</v>
      </c>
      <c r="J1289" t="s">
        <v>348</v>
      </c>
      <c r="K1289" t="s">
        <v>21</v>
      </c>
      <c r="L1289" t="s">
        <v>2676</v>
      </c>
      <c r="N1289" t="s">
        <v>567</v>
      </c>
      <c r="O1289" t="s">
        <v>24</v>
      </c>
    </row>
    <row r="1290" spans="1:15" x14ac:dyDescent="0.25">
      <c r="A1290">
        <v>1289</v>
      </c>
      <c r="B1290" t="str">
        <f>HYPERLINK("https://digitalcommons.unl.edu/cgi/viewcontent.cgi?article=2454&amp;context=tractormuseumlit","Click for test report")</f>
        <v>Click for test report</v>
      </c>
      <c r="C1290">
        <v>1971</v>
      </c>
      <c r="D1290" t="s">
        <v>5474</v>
      </c>
      <c r="F1290" t="s">
        <v>4503</v>
      </c>
      <c r="G1290" t="s">
        <v>4504</v>
      </c>
      <c r="H1290" t="s">
        <v>5401</v>
      </c>
      <c r="I1290" t="s">
        <v>1961</v>
      </c>
      <c r="J1290" t="s">
        <v>348</v>
      </c>
      <c r="K1290" t="s">
        <v>21</v>
      </c>
      <c r="L1290" t="s">
        <v>122</v>
      </c>
      <c r="N1290" t="s">
        <v>571</v>
      </c>
      <c r="O1290" t="s">
        <v>24</v>
      </c>
    </row>
    <row r="1291" spans="1:15" x14ac:dyDescent="0.25">
      <c r="A1291">
        <v>1290</v>
      </c>
      <c r="B1291" t="str">
        <f>HYPERLINK("https://digitalcommons.unl.edu/cgi/viewcontent.cgi?article=2455&amp;context=tractormuseumlit","Click for test report")</f>
        <v>Click for test report</v>
      </c>
      <c r="C1291">
        <v>1971</v>
      </c>
      <c r="D1291" t="s">
        <v>5473</v>
      </c>
      <c r="F1291" t="s">
        <v>4503</v>
      </c>
      <c r="G1291" t="s">
        <v>4504</v>
      </c>
      <c r="H1291" t="s">
        <v>5404</v>
      </c>
      <c r="I1291" t="s">
        <v>1961</v>
      </c>
      <c r="J1291" t="s">
        <v>348</v>
      </c>
      <c r="K1291" t="s">
        <v>21</v>
      </c>
      <c r="L1291" t="s">
        <v>52</v>
      </c>
      <c r="N1291" t="s">
        <v>343</v>
      </c>
      <c r="O1291" t="s">
        <v>24</v>
      </c>
    </row>
    <row r="1292" spans="1:15" x14ac:dyDescent="0.25">
      <c r="A1292">
        <v>1291</v>
      </c>
      <c r="B1292" t="str">
        <f>HYPERLINK("https://digitalcommons.unl.edu/cgi/viewcontent.cgi?article=2456&amp;context=tractormuseumlit","Click for test report")</f>
        <v>Click for test report</v>
      </c>
      <c r="C1292">
        <v>1971</v>
      </c>
      <c r="D1292" t="s">
        <v>5472</v>
      </c>
      <c r="F1292" t="s">
        <v>4503</v>
      </c>
      <c r="G1292" t="s">
        <v>4504</v>
      </c>
      <c r="H1292" t="s">
        <v>5401</v>
      </c>
      <c r="I1292" t="s">
        <v>2964</v>
      </c>
      <c r="J1292" t="s">
        <v>348</v>
      </c>
      <c r="K1292" t="s">
        <v>21</v>
      </c>
      <c r="L1292" t="s">
        <v>374</v>
      </c>
      <c r="N1292" t="s">
        <v>461</v>
      </c>
      <c r="O1292" t="s">
        <v>24</v>
      </c>
    </row>
    <row r="1293" spans="1:15" x14ac:dyDescent="0.25">
      <c r="A1293">
        <v>1292</v>
      </c>
      <c r="B1293" t="str">
        <f>HYPERLINK("https://digitalcommons.unl.edu/cgi/viewcontent.cgi?article=1440&amp;context=tractormuseumlit","Click for test report")</f>
        <v>Click for test report</v>
      </c>
      <c r="C1293">
        <v>1971</v>
      </c>
      <c r="D1293" t="s">
        <v>5471</v>
      </c>
      <c r="F1293" t="s">
        <v>17</v>
      </c>
      <c r="G1293" t="s">
        <v>17</v>
      </c>
      <c r="H1293" t="s">
        <v>1521</v>
      </c>
      <c r="I1293" t="s">
        <v>1961</v>
      </c>
      <c r="J1293" t="s">
        <v>348</v>
      </c>
      <c r="K1293" t="s">
        <v>4809</v>
      </c>
      <c r="L1293" t="s">
        <v>1051</v>
      </c>
      <c r="N1293" t="s">
        <v>750</v>
      </c>
      <c r="O1293" t="s">
        <v>24</v>
      </c>
    </row>
    <row r="1294" spans="1:15" x14ac:dyDescent="0.25">
      <c r="A1294">
        <v>1293</v>
      </c>
      <c r="B1294" t="str">
        <f>HYPERLINK("https://digitalcommons.unl.edu/cgi/viewcontent.cgi?article=1441&amp;context=tractormuseumlit","Click for test report")</f>
        <v>Click for test report</v>
      </c>
      <c r="C1294">
        <v>1971</v>
      </c>
      <c r="D1294" t="s">
        <v>5223</v>
      </c>
      <c r="F1294" t="s">
        <v>17</v>
      </c>
      <c r="G1294" t="s">
        <v>17</v>
      </c>
      <c r="H1294" t="s">
        <v>1521</v>
      </c>
      <c r="I1294" t="s">
        <v>1961</v>
      </c>
      <c r="J1294" t="s">
        <v>348</v>
      </c>
      <c r="K1294" t="s">
        <v>21</v>
      </c>
      <c r="L1294" t="s">
        <v>1051</v>
      </c>
      <c r="N1294" t="s">
        <v>3319</v>
      </c>
      <c r="O1294" t="s">
        <v>24</v>
      </c>
    </row>
    <row r="1295" spans="1:15" x14ac:dyDescent="0.25">
      <c r="A1295">
        <v>1294</v>
      </c>
      <c r="B1295" t="str">
        <f>HYPERLINK("https://digitalcommons.unl.edu/cgi/viewcontent.cgi?article=2457&amp;context=tractormuseumlit","Click for test report")</f>
        <v>Click for test report</v>
      </c>
      <c r="C1295">
        <v>1971</v>
      </c>
      <c r="D1295" t="s">
        <v>5181</v>
      </c>
      <c r="F1295" t="s">
        <v>778</v>
      </c>
      <c r="G1295" t="s">
        <v>778</v>
      </c>
      <c r="H1295" t="s">
        <v>4629</v>
      </c>
      <c r="I1295" t="s">
        <v>50</v>
      </c>
      <c r="J1295" t="s">
        <v>29</v>
      </c>
      <c r="K1295" t="s">
        <v>21</v>
      </c>
      <c r="N1295" t="s">
        <v>2422</v>
      </c>
      <c r="O1295" t="s">
        <v>2163</v>
      </c>
    </row>
    <row r="1296" spans="1:15" x14ac:dyDescent="0.25">
      <c r="A1296">
        <v>1295</v>
      </c>
      <c r="B1296" t="str">
        <f>HYPERLINK("https://digitalcommons.unl.edu/cgi/viewcontent.cgi?article=2458&amp;context=tractormuseumlit","Click for test report")</f>
        <v>Click for test report</v>
      </c>
      <c r="C1296">
        <v>1971</v>
      </c>
      <c r="D1296" t="s">
        <v>5470</v>
      </c>
      <c r="F1296" t="s">
        <v>778</v>
      </c>
      <c r="G1296" t="s">
        <v>778</v>
      </c>
      <c r="H1296" t="s">
        <v>3047</v>
      </c>
      <c r="I1296" t="s">
        <v>50</v>
      </c>
      <c r="J1296" t="s">
        <v>29</v>
      </c>
      <c r="K1296" t="s">
        <v>21</v>
      </c>
      <c r="N1296" t="s">
        <v>71</v>
      </c>
      <c r="O1296" t="s">
        <v>2163</v>
      </c>
    </row>
    <row r="1297" spans="1:15" x14ac:dyDescent="0.25">
      <c r="A1297">
        <v>1296</v>
      </c>
      <c r="B1297" t="str">
        <f>HYPERLINK("https://digitalcommons.unl.edu/cgi/viewcontent.cgi?article=2459&amp;context=tractormuseumlit","Click for test report")</f>
        <v>Click for test report</v>
      </c>
      <c r="C1297">
        <v>1971</v>
      </c>
      <c r="D1297" t="s">
        <v>5469</v>
      </c>
      <c r="F1297" t="s">
        <v>3800</v>
      </c>
      <c r="G1297" t="s">
        <v>4473</v>
      </c>
      <c r="H1297" t="s">
        <v>5467</v>
      </c>
      <c r="I1297" t="s">
        <v>50</v>
      </c>
      <c r="J1297" t="s">
        <v>348</v>
      </c>
      <c r="K1297" t="s">
        <v>21</v>
      </c>
      <c r="L1297" t="s">
        <v>728</v>
      </c>
      <c r="N1297" t="s">
        <v>2029</v>
      </c>
      <c r="O1297" t="s">
        <v>5468</v>
      </c>
    </row>
    <row r="1298" spans="1:15" x14ac:dyDescent="0.25">
      <c r="A1298">
        <v>1297</v>
      </c>
      <c r="B1298" t="str">
        <f>HYPERLINK("https://digitalcommons.unl.edu/cgi/viewcontent.cgi?article=2460&amp;context=tractormuseumlit","Click for test report")</f>
        <v>Click for test report</v>
      </c>
      <c r="C1298">
        <v>1971</v>
      </c>
      <c r="D1298" t="s">
        <v>5466</v>
      </c>
      <c r="F1298" t="s">
        <v>3800</v>
      </c>
      <c r="G1298" t="s">
        <v>4473</v>
      </c>
      <c r="H1298" t="s">
        <v>5467</v>
      </c>
      <c r="I1298" t="s">
        <v>3474</v>
      </c>
      <c r="J1298" t="s">
        <v>348</v>
      </c>
      <c r="K1298" t="s">
        <v>21</v>
      </c>
      <c r="L1298" t="s">
        <v>349</v>
      </c>
      <c r="N1298" t="s">
        <v>2029</v>
      </c>
      <c r="O1298" t="s">
        <v>5468</v>
      </c>
    </row>
    <row r="1299" spans="1:15" x14ac:dyDescent="0.25">
      <c r="A1299">
        <v>1298</v>
      </c>
      <c r="B1299" t="str">
        <f>HYPERLINK("https://digitalcommons.unl.edu/cgi/viewcontent.cgi?article=2195&amp;context=tractormuseumlit","Click for test report")</f>
        <v>Click for test report</v>
      </c>
      <c r="C1299">
        <v>1972</v>
      </c>
      <c r="D1299" t="s">
        <v>5464</v>
      </c>
      <c r="F1299" t="s">
        <v>5081</v>
      </c>
      <c r="G1299" t="s">
        <v>4504</v>
      </c>
      <c r="H1299" t="s">
        <v>5421</v>
      </c>
      <c r="I1299" t="s">
        <v>50</v>
      </c>
      <c r="J1299" t="s">
        <v>348</v>
      </c>
      <c r="K1299" t="s">
        <v>21</v>
      </c>
      <c r="L1299" t="s">
        <v>4012</v>
      </c>
      <c r="N1299" t="s">
        <v>4440</v>
      </c>
      <c r="O1299" t="s">
        <v>5465</v>
      </c>
    </row>
    <row r="1300" spans="1:15" x14ac:dyDescent="0.25">
      <c r="A1300">
        <v>1299</v>
      </c>
      <c r="B1300" t="str">
        <f>HYPERLINK("https://digitalcommons.unl.edu/cgi/viewcontent.cgi?article=2312&amp;context=tractormuseumlit","Click for test report")</f>
        <v>Click for test report</v>
      </c>
      <c r="C1300">
        <v>1972</v>
      </c>
      <c r="D1300" t="s">
        <v>5461</v>
      </c>
      <c r="F1300" t="s">
        <v>4325</v>
      </c>
      <c r="G1300" t="s">
        <v>4325</v>
      </c>
      <c r="H1300" t="s">
        <v>5462</v>
      </c>
      <c r="I1300" t="s">
        <v>1961</v>
      </c>
      <c r="J1300" t="s">
        <v>348</v>
      </c>
      <c r="K1300" t="s">
        <v>21</v>
      </c>
      <c r="L1300" t="s">
        <v>131</v>
      </c>
      <c r="N1300" t="s">
        <v>343</v>
      </c>
      <c r="O1300" t="s">
        <v>5463</v>
      </c>
    </row>
    <row r="1301" spans="1:15" x14ac:dyDescent="0.25">
      <c r="A1301">
        <v>1300</v>
      </c>
      <c r="B1301" t="str">
        <f>HYPERLINK("https://digitalcommons.unl.edu/cgi/viewcontent.cgi?article=3688&amp;context=tractormuseumlit","Click for test report")</f>
        <v>Click for test report</v>
      </c>
      <c r="C1301">
        <v>1972</v>
      </c>
      <c r="D1301" t="s">
        <v>5460</v>
      </c>
      <c r="G1301" t="s">
        <v>322</v>
      </c>
      <c r="O1301" t="s">
        <v>24</v>
      </c>
    </row>
    <row r="1302" spans="1:15" x14ac:dyDescent="0.25">
      <c r="A1302">
        <v>1301</v>
      </c>
      <c r="B1302" t="str">
        <f>HYPERLINK("https://digitalcommons.unl.edu/cgi/viewcontent.cgi?article=2461&amp;context=tractormuseumlit","Click for test report")</f>
        <v>Click for test report</v>
      </c>
      <c r="C1302">
        <v>1972</v>
      </c>
      <c r="D1302" t="s">
        <v>5458</v>
      </c>
      <c r="F1302" t="s">
        <v>4344</v>
      </c>
      <c r="G1302" t="s">
        <v>4850</v>
      </c>
      <c r="H1302" t="s">
        <v>5459</v>
      </c>
      <c r="I1302" t="s">
        <v>50</v>
      </c>
      <c r="J1302" t="s">
        <v>348</v>
      </c>
      <c r="K1302" t="s">
        <v>21</v>
      </c>
      <c r="L1302" t="s">
        <v>747</v>
      </c>
      <c r="N1302" t="s">
        <v>353</v>
      </c>
      <c r="O1302" t="s">
        <v>24</v>
      </c>
    </row>
    <row r="1303" spans="1:15" x14ac:dyDescent="0.25">
      <c r="A1303">
        <v>1302</v>
      </c>
      <c r="B1303" t="str">
        <f>HYPERLINK("https://digitalcommons.unl.edu/cgi/viewcontent.cgi?article=2462&amp;context=tractormuseumlit","Click for test report")</f>
        <v>Click for test report</v>
      </c>
      <c r="C1303">
        <v>1972</v>
      </c>
      <c r="D1303" t="s">
        <v>5457</v>
      </c>
      <c r="F1303" t="s">
        <v>4344</v>
      </c>
      <c r="G1303" t="s">
        <v>4850</v>
      </c>
      <c r="H1303" t="s">
        <v>5392</v>
      </c>
      <c r="I1303" t="s">
        <v>50</v>
      </c>
      <c r="J1303" t="s">
        <v>348</v>
      </c>
      <c r="K1303" t="s">
        <v>21</v>
      </c>
      <c r="L1303" t="s">
        <v>363</v>
      </c>
      <c r="N1303" t="s">
        <v>446</v>
      </c>
      <c r="O1303" t="s">
        <v>24</v>
      </c>
    </row>
    <row r="1304" spans="1:15" x14ac:dyDescent="0.25">
      <c r="A1304">
        <v>1303</v>
      </c>
      <c r="B1304" t="str">
        <f>HYPERLINK("https://digitalcommons.unl.edu/cgi/viewcontent.cgi?article=2463&amp;context=tractormuseumlit","Click for test report")</f>
        <v>Click for test report</v>
      </c>
      <c r="C1304">
        <v>1972</v>
      </c>
      <c r="D1304" t="s">
        <v>5456</v>
      </c>
      <c r="F1304" t="s">
        <v>4395</v>
      </c>
      <c r="G1304" t="s">
        <v>3708</v>
      </c>
      <c r="H1304" t="s">
        <v>5297</v>
      </c>
      <c r="I1304" t="s">
        <v>50</v>
      </c>
      <c r="J1304" t="s">
        <v>348</v>
      </c>
      <c r="K1304" t="s">
        <v>21</v>
      </c>
      <c r="L1304" t="s">
        <v>716</v>
      </c>
      <c r="N1304" t="s">
        <v>764</v>
      </c>
      <c r="O1304" t="s">
        <v>24</v>
      </c>
    </row>
    <row r="1305" spans="1:15" x14ac:dyDescent="0.25">
      <c r="A1305">
        <v>1304</v>
      </c>
      <c r="B1305" t="str">
        <f>HYPERLINK("https://digitalcommons.unl.edu/cgi/viewcontent.cgi?article=2464&amp;context=tractormuseumlit","Click for test report")</f>
        <v>Click for test report</v>
      </c>
      <c r="C1305">
        <v>1972</v>
      </c>
      <c r="D1305" t="s">
        <v>5455</v>
      </c>
      <c r="F1305" t="s">
        <v>4503</v>
      </c>
      <c r="G1305" t="s">
        <v>4504</v>
      </c>
      <c r="H1305" t="s">
        <v>5417</v>
      </c>
      <c r="I1305" t="s">
        <v>1961</v>
      </c>
      <c r="J1305" t="s">
        <v>348</v>
      </c>
      <c r="K1305" t="s">
        <v>4809</v>
      </c>
      <c r="L1305" t="s">
        <v>746</v>
      </c>
      <c r="N1305" t="s">
        <v>764</v>
      </c>
      <c r="O1305" t="s">
        <v>24</v>
      </c>
    </row>
    <row r="1306" spans="1:15" x14ac:dyDescent="0.25">
      <c r="A1306">
        <v>1305</v>
      </c>
      <c r="B1306" t="str">
        <f>HYPERLINK("https://digitalcommons.unl.edu/cgi/viewcontent.cgi?article=2465&amp;context=tractormuseumlit","Click for test report")</f>
        <v>Click for test report</v>
      </c>
      <c r="C1306">
        <v>1972</v>
      </c>
      <c r="D1306" t="s">
        <v>5454</v>
      </c>
      <c r="F1306" t="s">
        <v>4503</v>
      </c>
      <c r="G1306" t="s">
        <v>4504</v>
      </c>
      <c r="H1306" t="s">
        <v>5404</v>
      </c>
      <c r="I1306" t="s">
        <v>2964</v>
      </c>
      <c r="J1306" t="s">
        <v>348</v>
      </c>
      <c r="K1306" t="s">
        <v>21</v>
      </c>
      <c r="L1306" t="s">
        <v>457</v>
      </c>
      <c r="N1306" t="s">
        <v>764</v>
      </c>
      <c r="O1306" t="s">
        <v>24</v>
      </c>
    </row>
    <row r="1307" spans="1:15" x14ac:dyDescent="0.25">
      <c r="A1307">
        <v>1306</v>
      </c>
      <c r="B1307" t="str">
        <f>HYPERLINK("https://digitalcommons.unl.edu/cgi/viewcontent.cgi?article=2466&amp;context=tractormuseumlit","Click for test report")</f>
        <v>Click for test report</v>
      </c>
      <c r="C1307">
        <v>1972</v>
      </c>
      <c r="D1307" t="s">
        <v>5453</v>
      </c>
      <c r="F1307" t="s">
        <v>4503</v>
      </c>
      <c r="G1307" t="s">
        <v>4504</v>
      </c>
      <c r="H1307" t="s">
        <v>5452</v>
      </c>
      <c r="I1307" t="s">
        <v>50</v>
      </c>
      <c r="J1307" t="s">
        <v>348</v>
      </c>
      <c r="K1307" t="s">
        <v>4809</v>
      </c>
      <c r="L1307" t="s">
        <v>2699</v>
      </c>
      <c r="N1307" t="s">
        <v>2825</v>
      </c>
      <c r="O1307" t="s">
        <v>24</v>
      </c>
    </row>
    <row r="1308" spans="1:15" x14ac:dyDescent="0.25">
      <c r="A1308">
        <v>1307</v>
      </c>
      <c r="B1308" t="str">
        <f>HYPERLINK("https://digitalcommons.unl.edu/cgi/viewcontent.cgi?article=2467&amp;context=tractormuseumlit","Click for test report")</f>
        <v>Click for test report</v>
      </c>
      <c r="C1308">
        <v>1972</v>
      </c>
      <c r="D1308" t="s">
        <v>5451</v>
      </c>
      <c r="F1308" t="s">
        <v>4503</v>
      </c>
      <c r="G1308" t="s">
        <v>4504</v>
      </c>
      <c r="H1308" t="s">
        <v>5452</v>
      </c>
      <c r="I1308" t="s">
        <v>50</v>
      </c>
      <c r="J1308" t="s">
        <v>348</v>
      </c>
      <c r="K1308" t="s">
        <v>21</v>
      </c>
      <c r="L1308" t="s">
        <v>2699</v>
      </c>
      <c r="N1308" t="s">
        <v>2825</v>
      </c>
      <c r="O1308" t="s">
        <v>24</v>
      </c>
    </row>
    <row r="1309" spans="1:15" x14ac:dyDescent="0.25">
      <c r="A1309">
        <v>1308</v>
      </c>
      <c r="B1309" t="str">
        <f>HYPERLINK("https://digitalcommons.unl.edu/cgi/viewcontent.cgi?article=2468&amp;context=tractormuseumlit","Click for test report")</f>
        <v>Click for test report</v>
      </c>
      <c r="C1309">
        <v>1972</v>
      </c>
      <c r="D1309" t="s">
        <v>5450</v>
      </c>
      <c r="F1309" t="s">
        <v>4503</v>
      </c>
      <c r="G1309" t="s">
        <v>4504</v>
      </c>
      <c r="H1309" t="s">
        <v>5448</v>
      </c>
      <c r="I1309" t="s">
        <v>50</v>
      </c>
      <c r="J1309" t="s">
        <v>348</v>
      </c>
      <c r="K1309" t="s">
        <v>4809</v>
      </c>
      <c r="L1309" t="s">
        <v>3319</v>
      </c>
      <c r="N1309" t="s">
        <v>2511</v>
      </c>
      <c r="O1309" t="s">
        <v>5449</v>
      </c>
    </row>
    <row r="1310" spans="1:15" x14ac:dyDescent="0.25">
      <c r="A1310">
        <v>1309</v>
      </c>
      <c r="B1310" t="str">
        <f>HYPERLINK("https://digitalcommons.unl.edu/cgi/viewcontent.cgi?article=2469&amp;context=tractormuseumlit","Click for test report")</f>
        <v>Click for test report</v>
      </c>
      <c r="C1310">
        <v>1972</v>
      </c>
      <c r="D1310" t="s">
        <v>5447</v>
      </c>
      <c r="F1310" t="s">
        <v>4503</v>
      </c>
      <c r="G1310" t="s">
        <v>4504</v>
      </c>
      <c r="H1310" t="s">
        <v>5448</v>
      </c>
      <c r="I1310" t="s">
        <v>50</v>
      </c>
      <c r="J1310" t="s">
        <v>348</v>
      </c>
      <c r="K1310" t="s">
        <v>21</v>
      </c>
      <c r="L1310" t="s">
        <v>3319</v>
      </c>
      <c r="N1310" t="s">
        <v>410</v>
      </c>
      <c r="O1310" t="s">
        <v>5449</v>
      </c>
    </row>
    <row r="1311" spans="1:15" x14ac:dyDescent="0.25">
      <c r="A1311">
        <v>1310</v>
      </c>
      <c r="B1311" t="str">
        <f>HYPERLINK("https://digitalcommons.unl.edu/cgi/viewcontent.cgi?article=2470&amp;context=tractormuseumlit","Click for test report")</f>
        <v>Click for test report</v>
      </c>
      <c r="C1311">
        <v>1972</v>
      </c>
      <c r="D1311" t="s">
        <v>5445</v>
      </c>
      <c r="F1311" t="s">
        <v>17</v>
      </c>
      <c r="G1311" t="s">
        <v>17</v>
      </c>
      <c r="H1311" t="s">
        <v>5446</v>
      </c>
      <c r="I1311" t="s">
        <v>50</v>
      </c>
      <c r="J1311" t="s">
        <v>348</v>
      </c>
      <c r="K1311" t="s">
        <v>21</v>
      </c>
      <c r="L1311" t="s">
        <v>115</v>
      </c>
      <c r="N1311" t="s">
        <v>1037</v>
      </c>
      <c r="O1311" t="s">
        <v>24</v>
      </c>
    </row>
    <row r="1312" spans="1:15" x14ac:dyDescent="0.25">
      <c r="A1312">
        <v>1311</v>
      </c>
      <c r="B1312" t="str">
        <f>HYPERLINK("https://digitalcommons.unl.edu/cgi/viewcontent.cgi?article=2471&amp;context=tractormuseumlit","Click for test report")</f>
        <v>Click for test report</v>
      </c>
      <c r="C1312">
        <v>1972</v>
      </c>
      <c r="D1312" t="s">
        <v>5444</v>
      </c>
      <c r="F1312" t="s">
        <v>17</v>
      </c>
      <c r="G1312" t="s">
        <v>17</v>
      </c>
      <c r="H1312" t="s">
        <v>2907</v>
      </c>
      <c r="I1312" t="s">
        <v>50</v>
      </c>
      <c r="J1312" t="s">
        <v>29</v>
      </c>
      <c r="K1312" t="s">
        <v>21</v>
      </c>
      <c r="L1312" t="s">
        <v>115</v>
      </c>
      <c r="N1312" t="s">
        <v>1821</v>
      </c>
      <c r="O1312" t="s">
        <v>24</v>
      </c>
    </row>
    <row r="1313" spans="1:15" x14ac:dyDescent="0.25">
      <c r="A1313">
        <v>1312</v>
      </c>
      <c r="B1313" t="str">
        <f>HYPERLINK("https://digitalcommons.unl.edu/cgi/viewcontent.cgi?article=2472&amp;context=tractormuseumlit","Click for test report")</f>
        <v>Click for test report</v>
      </c>
      <c r="C1313">
        <v>1972</v>
      </c>
      <c r="D1313" t="s">
        <v>5443</v>
      </c>
      <c r="F1313" t="s">
        <v>3800</v>
      </c>
      <c r="G1313" t="s">
        <v>4473</v>
      </c>
      <c r="H1313" t="s">
        <v>4916</v>
      </c>
      <c r="I1313" t="s">
        <v>3474</v>
      </c>
      <c r="J1313" t="s">
        <v>348</v>
      </c>
      <c r="K1313" t="s">
        <v>21</v>
      </c>
      <c r="L1313" t="s">
        <v>909</v>
      </c>
      <c r="N1313" t="s">
        <v>126</v>
      </c>
      <c r="O1313" t="s">
        <v>24</v>
      </c>
    </row>
    <row r="1314" spans="1:15" x14ac:dyDescent="0.25">
      <c r="A1314">
        <v>1313</v>
      </c>
      <c r="B1314" t="str">
        <f>HYPERLINK("https://digitalcommons.unl.edu/cgi/viewcontent.cgi?article=2473&amp;context=tractormuseumlit","Click for test report")</f>
        <v>Click for test report</v>
      </c>
      <c r="C1314">
        <v>1972</v>
      </c>
      <c r="D1314" t="s">
        <v>5442</v>
      </c>
      <c r="F1314" t="s">
        <v>3800</v>
      </c>
      <c r="G1314" t="s">
        <v>4473</v>
      </c>
      <c r="H1314" t="s">
        <v>5136</v>
      </c>
      <c r="I1314" t="s">
        <v>3474</v>
      </c>
      <c r="J1314" t="s">
        <v>348</v>
      </c>
      <c r="K1314" t="s">
        <v>21</v>
      </c>
      <c r="L1314" t="s">
        <v>359</v>
      </c>
      <c r="N1314" t="s">
        <v>45</v>
      </c>
      <c r="O1314" t="s">
        <v>24</v>
      </c>
    </row>
    <row r="1315" spans="1:15" x14ac:dyDescent="0.25">
      <c r="A1315">
        <v>1314</v>
      </c>
      <c r="B1315" t="str">
        <f>HYPERLINK("https://digitalcommons.unl.edu/cgi/viewcontent.cgi?article=2474&amp;context=tractormuseumlit","Click for test report")</f>
        <v>Click for test report</v>
      </c>
      <c r="C1315">
        <v>1972</v>
      </c>
      <c r="D1315" t="s">
        <v>5440</v>
      </c>
      <c r="F1315" t="s">
        <v>4344</v>
      </c>
      <c r="G1315" t="s">
        <v>4850</v>
      </c>
      <c r="H1315" t="s">
        <v>5441</v>
      </c>
      <c r="I1315" t="s">
        <v>50</v>
      </c>
      <c r="J1315" t="s">
        <v>348</v>
      </c>
      <c r="K1315" t="s">
        <v>21</v>
      </c>
      <c r="L1315" t="s">
        <v>404</v>
      </c>
      <c r="N1315" t="s">
        <v>2188</v>
      </c>
      <c r="O1315" t="s">
        <v>24</v>
      </c>
    </row>
    <row r="1316" spans="1:15" x14ac:dyDescent="0.25">
      <c r="A1316">
        <v>1315</v>
      </c>
      <c r="B1316" t="str">
        <f>HYPERLINK("https://digitalcommons.unl.edu/cgi/viewcontent.cgi?article=2475&amp;context=tractormuseumlit","Click for test report")</f>
        <v>Click for test report</v>
      </c>
      <c r="C1316">
        <v>1972</v>
      </c>
      <c r="D1316" t="s">
        <v>5389</v>
      </c>
      <c r="F1316" t="s">
        <v>4344</v>
      </c>
      <c r="G1316" t="s">
        <v>4850</v>
      </c>
      <c r="H1316" t="s">
        <v>5439</v>
      </c>
      <c r="I1316" t="s">
        <v>50</v>
      </c>
      <c r="J1316" t="s">
        <v>348</v>
      </c>
      <c r="K1316" t="s">
        <v>21</v>
      </c>
      <c r="L1316" t="s">
        <v>130</v>
      </c>
      <c r="N1316" t="s">
        <v>457</v>
      </c>
      <c r="O1316" t="s">
        <v>24</v>
      </c>
    </row>
    <row r="1317" spans="1:15" x14ac:dyDescent="0.25">
      <c r="A1317">
        <v>1316</v>
      </c>
      <c r="B1317" t="str">
        <f>HYPERLINK("https://digitalcommons.unl.edu/cgi/viewcontent.cgi?article=2476&amp;context=tractormuseumlit","Click for test report")</f>
        <v>Click for test report</v>
      </c>
      <c r="C1317">
        <v>1972</v>
      </c>
      <c r="D1317" t="s">
        <v>5220</v>
      </c>
      <c r="F1317" t="s">
        <v>4970</v>
      </c>
      <c r="G1317" t="s">
        <v>4970</v>
      </c>
      <c r="H1317" t="s">
        <v>5438</v>
      </c>
      <c r="I1317" t="s">
        <v>50</v>
      </c>
      <c r="J1317" t="s">
        <v>348</v>
      </c>
      <c r="K1317" t="s">
        <v>4809</v>
      </c>
      <c r="L1317" t="s">
        <v>4444</v>
      </c>
      <c r="N1317" t="s">
        <v>4449</v>
      </c>
      <c r="O1317" t="s">
        <v>24</v>
      </c>
    </row>
    <row r="1318" spans="1:15" x14ac:dyDescent="0.25">
      <c r="A1318">
        <v>1317</v>
      </c>
      <c r="B1318" t="str">
        <f>HYPERLINK("https://digitalcommons.unl.edu/cgi/viewcontent.cgi?article=2477&amp;context=tractormuseumlit","Click for test report")</f>
        <v>Click for test report</v>
      </c>
      <c r="C1318">
        <v>1972</v>
      </c>
      <c r="D1318" t="s">
        <v>5435</v>
      </c>
      <c r="F1318" t="s">
        <v>5436</v>
      </c>
      <c r="G1318" t="s">
        <v>4828</v>
      </c>
      <c r="H1318" t="s">
        <v>5437</v>
      </c>
      <c r="I1318" t="s">
        <v>50</v>
      </c>
      <c r="J1318" t="s">
        <v>348</v>
      </c>
      <c r="K1318" t="s">
        <v>21</v>
      </c>
      <c r="L1318" t="s">
        <v>375</v>
      </c>
      <c r="N1318" t="s">
        <v>565</v>
      </c>
      <c r="O1318" t="s">
        <v>24</v>
      </c>
    </row>
    <row r="1319" spans="1:15" x14ac:dyDescent="0.25">
      <c r="A1319">
        <v>1318</v>
      </c>
      <c r="B1319" t="str">
        <f>HYPERLINK("https://digitalcommons.unl.edu/cgi/viewcontent.cgi?article=2478&amp;context=tractormuseumlit","Click for test report")</f>
        <v>Click for test report</v>
      </c>
      <c r="C1319">
        <v>1972</v>
      </c>
      <c r="D1319" t="s">
        <v>5150</v>
      </c>
      <c r="F1319" t="s">
        <v>5147</v>
      </c>
      <c r="G1319" t="s">
        <v>4828</v>
      </c>
      <c r="H1319" t="s">
        <v>5433</v>
      </c>
      <c r="I1319" t="s">
        <v>50</v>
      </c>
      <c r="J1319" t="s">
        <v>348</v>
      </c>
      <c r="K1319" t="s">
        <v>21</v>
      </c>
      <c r="L1319" t="s">
        <v>2627</v>
      </c>
      <c r="N1319" t="s">
        <v>1893</v>
      </c>
      <c r="O1319" t="s">
        <v>24</v>
      </c>
    </row>
    <row r="1320" spans="1:15" x14ac:dyDescent="0.25">
      <c r="A1320">
        <v>1319</v>
      </c>
      <c r="B1320" t="str">
        <f>HYPERLINK("https://digitalcommons.unl.edu/cgi/viewcontent.cgi?article=2478&amp;context=tractormuseumlit","Click for test report")</f>
        <v>Click for test report</v>
      </c>
      <c r="C1320">
        <v>1972</v>
      </c>
      <c r="D1320" t="s">
        <v>5150</v>
      </c>
      <c r="F1320" t="s">
        <v>5147</v>
      </c>
      <c r="G1320" t="s">
        <v>5431</v>
      </c>
      <c r="H1320" t="s">
        <v>5433</v>
      </c>
      <c r="I1320" t="s">
        <v>50</v>
      </c>
      <c r="J1320" t="s">
        <v>348</v>
      </c>
      <c r="K1320" t="s">
        <v>21</v>
      </c>
      <c r="L1320" t="s">
        <v>2627</v>
      </c>
      <c r="N1320" t="s">
        <v>1893</v>
      </c>
      <c r="O1320" t="s">
        <v>5434</v>
      </c>
    </row>
    <row r="1321" spans="1:15" x14ac:dyDescent="0.25">
      <c r="A1321">
        <v>1320</v>
      </c>
      <c r="B1321" t="str">
        <f>HYPERLINK("https://digitalcommons.unl.edu/cgi/viewcontent.cgi?article=2479&amp;context=tractormuseumlit","Click for test report")</f>
        <v>Click for test report</v>
      </c>
      <c r="C1321">
        <v>1972</v>
      </c>
      <c r="D1321" t="s">
        <v>5146</v>
      </c>
      <c r="F1321" t="s">
        <v>5147</v>
      </c>
      <c r="G1321" t="s">
        <v>4828</v>
      </c>
      <c r="H1321" t="s">
        <v>5432</v>
      </c>
      <c r="I1321" t="s">
        <v>50</v>
      </c>
      <c r="J1321" t="s">
        <v>348</v>
      </c>
      <c r="K1321" t="s">
        <v>21</v>
      </c>
      <c r="L1321" t="s">
        <v>3123</v>
      </c>
      <c r="N1321" t="s">
        <v>2188</v>
      </c>
      <c r="O1321" t="s">
        <v>24</v>
      </c>
    </row>
    <row r="1322" spans="1:15" x14ac:dyDescent="0.25">
      <c r="A1322">
        <v>1321</v>
      </c>
      <c r="B1322" t="str">
        <f>HYPERLINK("https://digitalcommons.unl.edu/cgi/viewcontent.cgi?article=2479&amp;context=tractormuseumlit","Click for test report")</f>
        <v>Click for test report</v>
      </c>
      <c r="C1322">
        <v>1972</v>
      </c>
      <c r="D1322" t="s">
        <v>5146</v>
      </c>
      <c r="F1322" t="s">
        <v>5147</v>
      </c>
      <c r="G1322" t="s">
        <v>5431</v>
      </c>
      <c r="H1322" t="s">
        <v>5432</v>
      </c>
      <c r="I1322" t="s">
        <v>50</v>
      </c>
      <c r="J1322" t="s">
        <v>348</v>
      </c>
      <c r="K1322" t="s">
        <v>21</v>
      </c>
      <c r="L1322" t="s">
        <v>3123</v>
      </c>
      <c r="N1322" t="s">
        <v>2188</v>
      </c>
      <c r="O1322" t="s">
        <v>5149</v>
      </c>
    </row>
    <row r="1323" spans="1:15" x14ac:dyDescent="0.25">
      <c r="A1323">
        <v>1322</v>
      </c>
      <c r="B1323" t="str">
        <f>HYPERLINK("https://digitalcommons.unl.edu/cgi/viewcontent.cgi?article=3313&amp;context=tractormuseumlit","Click for test report")</f>
        <v>Click for test report</v>
      </c>
      <c r="C1323">
        <v>1972</v>
      </c>
      <c r="D1323" t="s">
        <v>5429</v>
      </c>
      <c r="F1323" t="s">
        <v>17</v>
      </c>
      <c r="G1323" t="s">
        <v>17</v>
      </c>
      <c r="H1323" t="s">
        <v>5430</v>
      </c>
      <c r="I1323" t="s">
        <v>1961</v>
      </c>
      <c r="J1323" t="s">
        <v>348</v>
      </c>
      <c r="K1323" t="s">
        <v>21</v>
      </c>
      <c r="L1323" t="s">
        <v>363</v>
      </c>
      <c r="N1323" t="s">
        <v>364</v>
      </c>
      <c r="O1323" t="s">
        <v>24</v>
      </c>
    </row>
    <row r="1324" spans="1:15" x14ac:dyDescent="0.25">
      <c r="A1324">
        <v>1323</v>
      </c>
      <c r="B1324" t="str">
        <f>HYPERLINK("https://digitalcommons.unl.edu/cgi/viewcontent.cgi?article=2480&amp;context=tractormuseumlit","Click for test report")</f>
        <v>Click for test report</v>
      </c>
      <c r="C1324">
        <v>1972</v>
      </c>
      <c r="D1324" t="s">
        <v>5427</v>
      </c>
      <c r="F1324" t="s">
        <v>17</v>
      </c>
      <c r="G1324" t="s">
        <v>17</v>
      </c>
      <c r="H1324" t="s">
        <v>5428</v>
      </c>
      <c r="I1324" t="s">
        <v>1961</v>
      </c>
      <c r="J1324" t="s">
        <v>348</v>
      </c>
      <c r="K1324" t="s">
        <v>21</v>
      </c>
      <c r="L1324" t="s">
        <v>344</v>
      </c>
      <c r="N1324" t="s">
        <v>2030</v>
      </c>
      <c r="O1324" t="s">
        <v>24</v>
      </c>
    </row>
    <row r="1325" spans="1:15" x14ac:dyDescent="0.25">
      <c r="A1325">
        <v>1324</v>
      </c>
      <c r="B1325" t="str">
        <f>HYPERLINK("https://digitalcommons.unl.edu/cgi/viewcontent.cgi?article=2481&amp;context=tractormuseumlit","Click for test report")</f>
        <v>Click for test report</v>
      </c>
      <c r="C1325">
        <v>1972</v>
      </c>
      <c r="D1325" t="s">
        <v>5426</v>
      </c>
      <c r="F1325" t="s">
        <v>17</v>
      </c>
      <c r="G1325" t="s">
        <v>17</v>
      </c>
      <c r="H1325" t="s">
        <v>3969</v>
      </c>
      <c r="I1325" t="s">
        <v>1961</v>
      </c>
      <c r="J1325" t="s">
        <v>348</v>
      </c>
      <c r="K1325" t="s">
        <v>21</v>
      </c>
      <c r="L1325" t="s">
        <v>46</v>
      </c>
      <c r="N1325" t="s">
        <v>55</v>
      </c>
      <c r="O1325" t="s">
        <v>24</v>
      </c>
    </row>
    <row r="1326" spans="1:15" x14ac:dyDescent="0.25">
      <c r="A1326">
        <v>1325</v>
      </c>
      <c r="B1326" t="str">
        <f>HYPERLINK("https://digitalcommons.unl.edu/cgi/viewcontent.cgi?article=2482&amp;context=tractormuseumlit","Click for test report")</f>
        <v>Click for test report</v>
      </c>
      <c r="C1326">
        <v>1972</v>
      </c>
      <c r="D1326" t="s">
        <v>5424</v>
      </c>
      <c r="F1326" t="s">
        <v>17</v>
      </c>
      <c r="G1326" t="s">
        <v>17</v>
      </c>
      <c r="H1326" t="s">
        <v>5425</v>
      </c>
      <c r="I1326" t="s">
        <v>28</v>
      </c>
      <c r="J1326" t="s">
        <v>348</v>
      </c>
      <c r="K1326" t="s">
        <v>21</v>
      </c>
      <c r="L1326" t="s">
        <v>1830</v>
      </c>
      <c r="N1326" t="s">
        <v>329</v>
      </c>
      <c r="O1326" t="s">
        <v>24</v>
      </c>
    </row>
    <row r="1327" spans="1:15" x14ac:dyDescent="0.25">
      <c r="A1327">
        <v>1326</v>
      </c>
      <c r="B1327" t="str">
        <f>HYPERLINK("https://digitalcommons.unl.edu/cgi/viewcontent.cgi?article=2483&amp;context=tractormuseumlit","Click for test report")</f>
        <v>Click for test report</v>
      </c>
      <c r="C1327">
        <v>1972</v>
      </c>
      <c r="D1327" t="s">
        <v>5422</v>
      </c>
      <c r="F1327" t="s">
        <v>3800</v>
      </c>
      <c r="G1327" t="s">
        <v>4473</v>
      </c>
      <c r="H1327" t="s">
        <v>5423</v>
      </c>
      <c r="I1327" t="s">
        <v>3474</v>
      </c>
      <c r="J1327" t="s">
        <v>29</v>
      </c>
      <c r="K1327" t="s">
        <v>21</v>
      </c>
      <c r="L1327" t="s">
        <v>1767</v>
      </c>
      <c r="N1327" t="s">
        <v>439</v>
      </c>
      <c r="O1327" t="s">
        <v>24</v>
      </c>
    </row>
    <row r="1328" spans="1:15" x14ac:dyDescent="0.25">
      <c r="A1328">
        <v>1327</v>
      </c>
      <c r="B1328" t="str">
        <f>HYPERLINK("https://digitalcommons.unl.edu/cgi/viewcontent.cgi?article=2484&amp;context=tractormuseumlit","Click for test report")</f>
        <v>Click for test report</v>
      </c>
      <c r="C1328">
        <v>1972</v>
      </c>
      <c r="D1328" t="s">
        <v>5420</v>
      </c>
      <c r="F1328" t="s">
        <v>4503</v>
      </c>
      <c r="G1328" t="s">
        <v>4504</v>
      </c>
      <c r="H1328" t="s">
        <v>5421</v>
      </c>
      <c r="I1328" t="s">
        <v>50</v>
      </c>
      <c r="J1328" t="s">
        <v>348</v>
      </c>
      <c r="K1328" t="s">
        <v>4809</v>
      </c>
      <c r="L1328" t="s">
        <v>4012</v>
      </c>
      <c r="N1328" t="s">
        <v>4589</v>
      </c>
      <c r="O1328" t="s">
        <v>24</v>
      </c>
    </row>
    <row r="1329" spans="1:15" x14ac:dyDescent="0.25">
      <c r="A1329">
        <v>1328</v>
      </c>
      <c r="B1329" t="str">
        <f>HYPERLINK("https://digitalcommons.unl.edu/cgi/viewcontent.cgi?article=2485&amp;context=tractormuseumlit","Click for test report")</f>
        <v>Click for test report</v>
      </c>
      <c r="C1329">
        <v>1972</v>
      </c>
      <c r="D1329" t="s">
        <v>5282</v>
      </c>
      <c r="F1329" t="s">
        <v>4503</v>
      </c>
      <c r="G1329" t="s">
        <v>4504</v>
      </c>
      <c r="H1329" t="s">
        <v>5419</v>
      </c>
      <c r="I1329" t="s">
        <v>50</v>
      </c>
      <c r="J1329" t="s">
        <v>29</v>
      </c>
      <c r="K1329" t="s">
        <v>21</v>
      </c>
      <c r="L1329" t="s">
        <v>1830</v>
      </c>
      <c r="N1329" t="s">
        <v>332</v>
      </c>
      <c r="O1329" t="s">
        <v>24</v>
      </c>
    </row>
    <row r="1330" spans="1:15" x14ac:dyDescent="0.25">
      <c r="A1330">
        <v>1329</v>
      </c>
      <c r="B1330" t="str">
        <f>HYPERLINK("https://digitalcommons.unl.edu/cgi/viewcontent.cgi?article=2486&amp;context=tractormuseumlit","Click for test report")</f>
        <v>Click for test report</v>
      </c>
      <c r="C1330">
        <v>1972</v>
      </c>
      <c r="D1330" t="s">
        <v>5416</v>
      </c>
      <c r="F1330" t="s">
        <v>4503</v>
      </c>
      <c r="G1330" t="s">
        <v>4504</v>
      </c>
      <c r="H1330" t="s">
        <v>5417</v>
      </c>
      <c r="I1330" t="s">
        <v>1961</v>
      </c>
      <c r="J1330" t="s">
        <v>348</v>
      </c>
      <c r="K1330" t="s">
        <v>21</v>
      </c>
      <c r="L1330" t="s">
        <v>1796</v>
      </c>
      <c r="N1330" t="s">
        <v>1867</v>
      </c>
      <c r="O1330" t="s">
        <v>5418</v>
      </c>
    </row>
    <row r="1331" spans="1:15" x14ac:dyDescent="0.25">
      <c r="A1331">
        <v>1330</v>
      </c>
      <c r="B1331" t="str">
        <f>HYPERLINK("https://digitalcommons.unl.edu/cgi/viewcontent.cgi?article=2487&amp;context=tractormuseumlit","Click for test report")</f>
        <v>Click for test report</v>
      </c>
      <c r="C1331">
        <v>1972</v>
      </c>
      <c r="D1331" t="s">
        <v>5414</v>
      </c>
      <c r="F1331" t="s">
        <v>4503</v>
      </c>
      <c r="G1331" t="s">
        <v>4504</v>
      </c>
      <c r="H1331" t="s">
        <v>4692</v>
      </c>
      <c r="I1331" t="s">
        <v>1961</v>
      </c>
      <c r="J1331" t="s">
        <v>348</v>
      </c>
      <c r="K1331" t="s">
        <v>21</v>
      </c>
      <c r="L1331" t="s">
        <v>527</v>
      </c>
      <c r="N1331" t="s">
        <v>842</v>
      </c>
      <c r="O1331" t="s">
        <v>5415</v>
      </c>
    </row>
    <row r="1332" spans="1:15" x14ac:dyDescent="0.25">
      <c r="A1332">
        <v>1331</v>
      </c>
      <c r="B1332" t="str">
        <f>HYPERLINK("https://digitalcommons.unl.edu/cgi/viewcontent.cgi?article=2488&amp;context=tractormuseumlit","Click for test report")</f>
        <v>Click for test report</v>
      </c>
      <c r="C1332">
        <v>1973</v>
      </c>
      <c r="D1332" t="s">
        <v>5412</v>
      </c>
      <c r="F1332" t="s">
        <v>4325</v>
      </c>
      <c r="G1332" t="s">
        <v>4325</v>
      </c>
      <c r="H1332" t="s">
        <v>5413</v>
      </c>
      <c r="I1332" t="s">
        <v>1961</v>
      </c>
      <c r="J1332" t="s">
        <v>348</v>
      </c>
      <c r="K1332" t="s">
        <v>21</v>
      </c>
      <c r="L1332" t="s">
        <v>332</v>
      </c>
      <c r="N1332" t="s">
        <v>374</v>
      </c>
      <c r="O1332" t="s">
        <v>24</v>
      </c>
    </row>
    <row r="1333" spans="1:15" x14ac:dyDescent="0.25">
      <c r="A1333">
        <v>1332</v>
      </c>
      <c r="B1333" t="str">
        <f>HYPERLINK("https://digitalcommons.unl.edu/cgi/viewcontent.cgi?article=2489&amp;context=tractormuseumlit","Click for test report")</f>
        <v>Click for test report</v>
      </c>
      <c r="C1333">
        <v>1973</v>
      </c>
      <c r="D1333" t="s">
        <v>5410</v>
      </c>
      <c r="F1333" t="s">
        <v>4325</v>
      </c>
      <c r="G1333" t="s">
        <v>4325</v>
      </c>
      <c r="H1333" t="s">
        <v>5411</v>
      </c>
      <c r="I1333" t="s">
        <v>1961</v>
      </c>
      <c r="J1333" t="s">
        <v>348</v>
      </c>
      <c r="K1333" t="s">
        <v>21</v>
      </c>
      <c r="L1333" t="s">
        <v>818</v>
      </c>
      <c r="N1333" t="s">
        <v>1514</v>
      </c>
      <c r="O1333" t="s">
        <v>24</v>
      </c>
    </row>
    <row r="1334" spans="1:15" x14ac:dyDescent="0.25">
      <c r="A1334">
        <v>1333</v>
      </c>
      <c r="B1334" t="str">
        <f>HYPERLINK("https://digitalcommons.unl.edu/cgi/viewcontent.cgi?article=2490&amp;context=tractormuseumlit","Click for test report")</f>
        <v>Click for test report</v>
      </c>
      <c r="C1334">
        <v>1973</v>
      </c>
      <c r="D1334" t="s">
        <v>5408</v>
      </c>
      <c r="F1334" t="s">
        <v>4395</v>
      </c>
      <c r="G1334" t="s">
        <v>3708</v>
      </c>
      <c r="H1334" t="s">
        <v>5409</v>
      </c>
      <c r="I1334" t="s">
        <v>1961</v>
      </c>
      <c r="J1334" t="s">
        <v>348</v>
      </c>
      <c r="K1334" t="s">
        <v>21</v>
      </c>
      <c r="L1334" t="s">
        <v>23</v>
      </c>
      <c r="N1334" t="s">
        <v>131</v>
      </c>
      <c r="O1334" t="s">
        <v>24</v>
      </c>
    </row>
    <row r="1335" spans="1:15" x14ac:dyDescent="0.25">
      <c r="A1335">
        <v>1334</v>
      </c>
      <c r="B1335" t="str">
        <f>HYPERLINK("https://digitalcommons.unl.edu/cgi/viewcontent.cgi?article=2491&amp;context=tractormuseumlit","Click for test report")</f>
        <v>Click for test report</v>
      </c>
      <c r="C1335">
        <v>1973</v>
      </c>
      <c r="D1335" t="s">
        <v>5406</v>
      </c>
      <c r="F1335" t="s">
        <v>4395</v>
      </c>
      <c r="G1335" t="s">
        <v>3708</v>
      </c>
      <c r="H1335" t="s">
        <v>5407</v>
      </c>
      <c r="I1335" t="s">
        <v>1961</v>
      </c>
      <c r="J1335" t="s">
        <v>348</v>
      </c>
      <c r="K1335" t="s">
        <v>21</v>
      </c>
      <c r="L1335" t="s">
        <v>1514</v>
      </c>
      <c r="N1335" t="s">
        <v>122</v>
      </c>
      <c r="O1335" t="s">
        <v>24</v>
      </c>
    </row>
    <row r="1336" spans="1:15" x14ac:dyDescent="0.25">
      <c r="A1336">
        <v>1335</v>
      </c>
      <c r="B1336" t="str">
        <f>HYPERLINK("https://digitalcommons.unl.edu/cgi/viewcontent.cgi?article=2492&amp;context=tractormuseumlit","Click for test report")</f>
        <v>Click for test report</v>
      </c>
      <c r="C1336">
        <v>1973</v>
      </c>
      <c r="D1336" t="s">
        <v>5403</v>
      </c>
      <c r="F1336" t="s">
        <v>4503</v>
      </c>
      <c r="G1336" t="s">
        <v>4504</v>
      </c>
      <c r="H1336" t="s">
        <v>5404</v>
      </c>
      <c r="I1336" t="s">
        <v>1961</v>
      </c>
      <c r="J1336" t="s">
        <v>348</v>
      </c>
      <c r="K1336" t="s">
        <v>21</v>
      </c>
      <c r="L1336" t="s">
        <v>46</v>
      </c>
      <c r="N1336" t="s">
        <v>461</v>
      </c>
      <c r="O1336" t="s">
        <v>5405</v>
      </c>
    </row>
    <row r="1337" spans="1:15" x14ac:dyDescent="0.25">
      <c r="A1337">
        <v>1336</v>
      </c>
      <c r="B1337" t="str">
        <f>HYPERLINK("https://digitalcommons.unl.edu/cgi/viewcontent.cgi?article=2493&amp;context=tractormuseumlit","Click for test report")</f>
        <v>Click for test report</v>
      </c>
      <c r="C1337">
        <v>1973</v>
      </c>
      <c r="D1337" t="s">
        <v>5400</v>
      </c>
      <c r="F1337" t="s">
        <v>4503</v>
      </c>
      <c r="G1337" t="s">
        <v>4504</v>
      </c>
      <c r="H1337" t="s">
        <v>5401</v>
      </c>
      <c r="I1337" t="s">
        <v>1961</v>
      </c>
      <c r="J1337" t="s">
        <v>348</v>
      </c>
      <c r="K1337" t="s">
        <v>21</v>
      </c>
      <c r="L1337" t="s">
        <v>363</v>
      </c>
      <c r="N1337" t="s">
        <v>364</v>
      </c>
      <c r="O1337" t="s">
        <v>5402</v>
      </c>
    </row>
    <row r="1338" spans="1:15" x14ac:dyDescent="0.25">
      <c r="A1338">
        <v>1337</v>
      </c>
      <c r="B1338" t="str">
        <f>HYPERLINK("https://digitalcommons.unl.edu/cgi/viewcontent.cgi?article=2494&amp;context=tractormuseumlit","Click for test report")</f>
        <v>Click for test report</v>
      </c>
      <c r="C1338">
        <v>1973</v>
      </c>
      <c r="D1338" t="s">
        <v>5280</v>
      </c>
      <c r="F1338" t="s">
        <v>4503</v>
      </c>
      <c r="G1338" t="s">
        <v>4504</v>
      </c>
      <c r="H1338" t="s">
        <v>4698</v>
      </c>
      <c r="I1338" t="s">
        <v>1961</v>
      </c>
      <c r="J1338" t="s">
        <v>348</v>
      </c>
      <c r="K1338" t="s">
        <v>21</v>
      </c>
      <c r="L1338" t="s">
        <v>527</v>
      </c>
      <c r="N1338" t="s">
        <v>1386</v>
      </c>
      <c r="O1338" t="s">
        <v>5399</v>
      </c>
    </row>
    <row r="1339" spans="1:15" x14ac:dyDescent="0.25">
      <c r="A1339">
        <v>1338</v>
      </c>
      <c r="B1339" t="str">
        <f>HYPERLINK("https://digitalcommons.unl.edu/cgi/viewcontent.cgi?article=2495&amp;context=tractormuseumlit","Click for test report")</f>
        <v>Click for test report</v>
      </c>
      <c r="C1339">
        <v>1973</v>
      </c>
      <c r="D1339" t="s">
        <v>5398</v>
      </c>
      <c r="F1339" t="s">
        <v>4503</v>
      </c>
      <c r="G1339" t="s">
        <v>4504</v>
      </c>
      <c r="H1339" t="s">
        <v>5397</v>
      </c>
      <c r="I1339" t="s">
        <v>50</v>
      </c>
      <c r="J1339" t="s">
        <v>348</v>
      </c>
      <c r="K1339" t="s">
        <v>4809</v>
      </c>
      <c r="L1339" t="s">
        <v>2511</v>
      </c>
      <c r="N1339" t="s">
        <v>3152</v>
      </c>
      <c r="O1339" t="s">
        <v>24</v>
      </c>
    </row>
    <row r="1340" spans="1:15" x14ac:dyDescent="0.25">
      <c r="A1340">
        <v>1339</v>
      </c>
      <c r="B1340" t="str">
        <f>HYPERLINK("https://digitalcommons.unl.edu/cgi/viewcontent.cgi?article=2496&amp;context=tractormuseumlit","Click for test report")</f>
        <v>Click for test report</v>
      </c>
      <c r="C1340">
        <v>1973</v>
      </c>
      <c r="D1340" t="s">
        <v>5396</v>
      </c>
      <c r="F1340" t="s">
        <v>4503</v>
      </c>
      <c r="G1340" t="s">
        <v>4504</v>
      </c>
      <c r="H1340" t="s">
        <v>5397</v>
      </c>
      <c r="I1340" t="s">
        <v>50</v>
      </c>
      <c r="J1340" t="s">
        <v>348</v>
      </c>
      <c r="K1340" t="s">
        <v>21</v>
      </c>
      <c r="L1340" t="s">
        <v>1009</v>
      </c>
      <c r="N1340" t="s">
        <v>2826</v>
      </c>
      <c r="O1340" t="s">
        <v>24</v>
      </c>
    </row>
    <row r="1341" spans="1:15" x14ac:dyDescent="0.25">
      <c r="A1341">
        <v>1340</v>
      </c>
      <c r="B1341" t="str">
        <f>HYPERLINK("https://digitalcommons.unl.edu/cgi/viewcontent.cgi?article=2497&amp;context=tractormuseumlit","Click for test report")</f>
        <v>Click for test report</v>
      </c>
      <c r="C1341">
        <v>1973</v>
      </c>
      <c r="D1341" t="s">
        <v>5395</v>
      </c>
      <c r="F1341" t="s">
        <v>4503</v>
      </c>
      <c r="G1341" t="s">
        <v>4504</v>
      </c>
      <c r="H1341" t="s">
        <v>5394</v>
      </c>
      <c r="I1341" t="s">
        <v>50</v>
      </c>
      <c r="J1341" t="s">
        <v>348</v>
      </c>
      <c r="K1341" t="s">
        <v>4809</v>
      </c>
      <c r="L1341" t="s">
        <v>353</v>
      </c>
      <c r="N1341" t="s">
        <v>3123</v>
      </c>
      <c r="O1341" t="s">
        <v>24</v>
      </c>
    </row>
    <row r="1342" spans="1:15" x14ac:dyDescent="0.25">
      <c r="A1342">
        <v>1341</v>
      </c>
      <c r="B1342" t="str">
        <f>HYPERLINK("https://digitalcommons.unl.edu/cgi/viewcontent.cgi?article=2498&amp;context=tractormuseumlit","Click for test report")</f>
        <v>Click for test report</v>
      </c>
      <c r="C1342">
        <v>1973</v>
      </c>
      <c r="D1342" t="s">
        <v>5393</v>
      </c>
      <c r="F1342" t="s">
        <v>4503</v>
      </c>
      <c r="G1342" t="s">
        <v>4504</v>
      </c>
      <c r="H1342" t="s">
        <v>5394</v>
      </c>
      <c r="I1342" t="s">
        <v>50</v>
      </c>
      <c r="J1342" t="s">
        <v>348</v>
      </c>
      <c r="K1342" t="s">
        <v>21</v>
      </c>
      <c r="L1342" t="s">
        <v>725</v>
      </c>
      <c r="N1342" t="s">
        <v>1970</v>
      </c>
      <c r="O1342" t="s">
        <v>24</v>
      </c>
    </row>
    <row r="1343" spans="1:15" x14ac:dyDescent="0.25">
      <c r="A1343">
        <v>1342</v>
      </c>
      <c r="B1343" t="str">
        <f>HYPERLINK("https://digitalcommons.unl.edu/cgi/viewcontent.cgi?article=2499&amp;context=tractormuseumlit","Click for test report")</f>
        <v>Click for test report</v>
      </c>
      <c r="C1343">
        <v>1973</v>
      </c>
      <c r="D1343" t="s">
        <v>5391</v>
      </c>
      <c r="F1343" t="s">
        <v>4344</v>
      </c>
      <c r="G1343" t="s">
        <v>4850</v>
      </c>
      <c r="H1343" t="s">
        <v>5392</v>
      </c>
      <c r="I1343" t="s">
        <v>50</v>
      </c>
      <c r="J1343" t="s">
        <v>348</v>
      </c>
      <c r="K1343" t="s">
        <v>21</v>
      </c>
      <c r="L1343" t="s">
        <v>363</v>
      </c>
      <c r="N1343" t="s">
        <v>23</v>
      </c>
      <c r="O1343" t="s">
        <v>24</v>
      </c>
    </row>
    <row r="1344" spans="1:15" x14ac:dyDescent="0.25">
      <c r="A1344">
        <v>1343</v>
      </c>
      <c r="B1344" t="str">
        <f>HYPERLINK("https://digitalcommons.unl.edu/cgi/viewcontent.cgi?article=2500&amp;context=tractormuseumlit","Click for test report")</f>
        <v>Click for test report</v>
      </c>
      <c r="C1344">
        <v>1973</v>
      </c>
      <c r="D1344" t="s">
        <v>5012</v>
      </c>
      <c r="F1344" t="s">
        <v>4344</v>
      </c>
      <c r="G1344" t="s">
        <v>4850</v>
      </c>
      <c r="H1344" t="s">
        <v>5390</v>
      </c>
      <c r="I1344" t="s">
        <v>50</v>
      </c>
      <c r="J1344" t="s">
        <v>348</v>
      </c>
      <c r="K1344" t="s">
        <v>21</v>
      </c>
      <c r="L1344" t="s">
        <v>2090</v>
      </c>
      <c r="N1344" t="s">
        <v>1893</v>
      </c>
      <c r="O1344" t="s">
        <v>24</v>
      </c>
    </row>
    <row r="1345" spans="1:15" x14ac:dyDescent="0.25">
      <c r="A1345">
        <v>1344</v>
      </c>
      <c r="B1345" t="str">
        <f>HYPERLINK("https://digitalcommons.unl.edu/cgi/viewcontent.cgi?article=2501&amp;context=tractormuseumlit","Click for test report")</f>
        <v>Click for test report</v>
      </c>
      <c r="C1345">
        <v>1973</v>
      </c>
      <c r="D1345" t="s">
        <v>5388</v>
      </c>
      <c r="F1345" t="s">
        <v>778</v>
      </c>
      <c r="G1345" t="s">
        <v>778</v>
      </c>
      <c r="H1345" t="s">
        <v>5389</v>
      </c>
      <c r="I1345" t="s">
        <v>1961</v>
      </c>
      <c r="J1345" t="s">
        <v>348</v>
      </c>
      <c r="K1345" t="s">
        <v>21</v>
      </c>
      <c r="L1345" t="s">
        <v>46</v>
      </c>
      <c r="N1345" t="s">
        <v>55</v>
      </c>
      <c r="O1345" t="s">
        <v>24</v>
      </c>
    </row>
    <row r="1346" spans="1:15" x14ac:dyDescent="0.25">
      <c r="A1346">
        <v>1345</v>
      </c>
      <c r="B1346" t="str">
        <f>HYPERLINK("https://digitalcommons.unl.edu/cgi/viewcontent.cgi?article=2502&amp;context=tractormuseumlit","Click for test report")</f>
        <v>Click for test report</v>
      </c>
      <c r="C1346">
        <v>1973</v>
      </c>
      <c r="D1346" t="s">
        <v>5387</v>
      </c>
      <c r="F1346" t="s">
        <v>778</v>
      </c>
      <c r="G1346" t="s">
        <v>778</v>
      </c>
      <c r="H1346" t="s">
        <v>5223</v>
      </c>
      <c r="I1346" t="s">
        <v>1961</v>
      </c>
      <c r="J1346" t="s">
        <v>348</v>
      </c>
      <c r="K1346" t="s">
        <v>21</v>
      </c>
      <c r="L1346" t="s">
        <v>574</v>
      </c>
      <c r="N1346" t="s">
        <v>1347</v>
      </c>
      <c r="O1346" t="s">
        <v>24</v>
      </c>
    </row>
    <row r="1347" spans="1:15" x14ac:dyDescent="0.25">
      <c r="A1347">
        <v>1346</v>
      </c>
      <c r="B1347" t="str">
        <f>HYPERLINK("https://digitalcommons.unl.edu/cgi/viewcontent.cgi?article=2503&amp;context=tractormuseumlit","Click for test report")</f>
        <v>Click for test report</v>
      </c>
      <c r="C1347">
        <v>1973</v>
      </c>
      <c r="D1347" t="s">
        <v>5386</v>
      </c>
      <c r="F1347" t="s">
        <v>778</v>
      </c>
      <c r="G1347" t="s">
        <v>778</v>
      </c>
      <c r="H1347" t="s">
        <v>5274</v>
      </c>
      <c r="I1347" t="s">
        <v>1961</v>
      </c>
      <c r="J1347" t="s">
        <v>348</v>
      </c>
      <c r="K1347" t="s">
        <v>21</v>
      </c>
      <c r="L1347" t="s">
        <v>474</v>
      </c>
      <c r="N1347" t="s">
        <v>1266</v>
      </c>
      <c r="O1347" t="s">
        <v>24</v>
      </c>
    </row>
    <row r="1348" spans="1:15" x14ac:dyDescent="0.25">
      <c r="A1348">
        <v>1347</v>
      </c>
      <c r="B1348" t="str">
        <f>HYPERLINK("https://digitalcommons.unl.edu/cgi/viewcontent.cgi?article=2504&amp;context=tractormuseumlit","Click for test report")</f>
        <v>Click for test report</v>
      </c>
      <c r="C1348">
        <v>1973</v>
      </c>
      <c r="D1348" t="s">
        <v>5385</v>
      </c>
      <c r="F1348" t="s">
        <v>778</v>
      </c>
      <c r="G1348" t="s">
        <v>778</v>
      </c>
      <c r="H1348" t="s">
        <v>5385</v>
      </c>
      <c r="I1348" t="s">
        <v>1961</v>
      </c>
      <c r="J1348" t="s">
        <v>348</v>
      </c>
      <c r="K1348" t="s">
        <v>21</v>
      </c>
      <c r="L1348" t="s">
        <v>2652</v>
      </c>
      <c r="N1348" t="s">
        <v>677</v>
      </c>
      <c r="O1348" t="s">
        <v>24</v>
      </c>
    </row>
    <row r="1349" spans="1:15" x14ac:dyDescent="0.25">
      <c r="A1349">
        <v>1348</v>
      </c>
      <c r="B1349" t="str">
        <f>HYPERLINK("https://digitalcommons.unl.edu/cgi/viewcontent.cgi?article=2505&amp;context=tractormuseumlit","Click for test report")</f>
        <v>Click for test report</v>
      </c>
      <c r="C1349">
        <v>1973</v>
      </c>
      <c r="D1349" t="s">
        <v>4486</v>
      </c>
      <c r="F1349" t="s">
        <v>4472</v>
      </c>
      <c r="G1349" t="s">
        <v>4472</v>
      </c>
      <c r="H1349" t="s">
        <v>4487</v>
      </c>
      <c r="I1349" t="s">
        <v>50</v>
      </c>
      <c r="J1349" t="s">
        <v>348</v>
      </c>
      <c r="K1349" t="s">
        <v>21</v>
      </c>
      <c r="L1349" t="s">
        <v>353</v>
      </c>
      <c r="N1349" t="s">
        <v>735</v>
      </c>
      <c r="O1349" t="s">
        <v>24</v>
      </c>
    </row>
    <row r="1350" spans="1:15" x14ac:dyDescent="0.25">
      <c r="A1350">
        <v>1349</v>
      </c>
      <c r="B1350" t="str">
        <f>HYPERLINK("https://digitalcommons.unl.edu/cgi/viewcontent.cgi?article=2506&amp;context=tractormuseumlit","Click for test report")</f>
        <v>Click for test report</v>
      </c>
      <c r="C1350">
        <v>1973</v>
      </c>
      <c r="D1350" t="s">
        <v>4484</v>
      </c>
      <c r="F1350" t="s">
        <v>4472</v>
      </c>
      <c r="G1350" t="s">
        <v>4472</v>
      </c>
      <c r="H1350" t="s">
        <v>4338</v>
      </c>
      <c r="I1350" t="s">
        <v>50</v>
      </c>
      <c r="J1350" t="s">
        <v>348</v>
      </c>
      <c r="K1350" t="s">
        <v>21</v>
      </c>
      <c r="L1350" t="s">
        <v>2090</v>
      </c>
      <c r="N1350" t="s">
        <v>1893</v>
      </c>
      <c r="O1350" t="s">
        <v>24</v>
      </c>
    </row>
    <row r="1351" spans="1:15" x14ac:dyDescent="0.25">
      <c r="A1351">
        <v>1350</v>
      </c>
      <c r="B1351" t="str">
        <f>HYPERLINK("https://digitalcommons.unl.edu/cgi/viewcontent.cgi?article=2507&amp;context=tractormuseumlit","Click for test report")</f>
        <v>Click for test report</v>
      </c>
      <c r="C1351">
        <v>1973</v>
      </c>
      <c r="D1351" t="s">
        <v>4482</v>
      </c>
      <c r="F1351" t="s">
        <v>4472</v>
      </c>
      <c r="G1351" t="s">
        <v>4472</v>
      </c>
      <c r="H1351" t="s">
        <v>5256</v>
      </c>
      <c r="I1351" t="s">
        <v>19</v>
      </c>
      <c r="J1351" t="s">
        <v>348</v>
      </c>
      <c r="K1351" t="s">
        <v>21</v>
      </c>
      <c r="L1351" t="s">
        <v>1350</v>
      </c>
      <c r="N1351" t="s">
        <v>1994</v>
      </c>
      <c r="O1351" t="s">
        <v>24</v>
      </c>
    </row>
    <row r="1352" spans="1:15" x14ac:dyDescent="0.25">
      <c r="A1352">
        <v>1351</v>
      </c>
      <c r="B1352" t="str">
        <f>HYPERLINK("https://digitalcommons.unl.edu/cgi/viewcontent.cgi?article=2508&amp;context=tractormuseumlit","Click for test report")</f>
        <v>Click for test report</v>
      </c>
      <c r="C1352">
        <v>1973</v>
      </c>
      <c r="D1352" t="s">
        <v>5383</v>
      </c>
      <c r="F1352" t="s">
        <v>3583</v>
      </c>
      <c r="G1352" t="s">
        <v>3514</v>
      </c>
      <c r="H1352" t="s">
        <v>5384</v>
      </c>
      <c r="I1352" t="s">
        <v>50</v>
      </c>
      <c r="J1352" t="s">
        <v>348</v>
      </c>
      <c r="K1352" t="s">
        <v>21</v>
      </c>
      <c r="L1352" t="s">
        <v>1867</v>
      </c>
      <c r="N1352" t="s">
        <v>1350</v>
      </c>
      <c r="O1352" t="s">
        <v>24</v>
      </c>
    </row>
    <row r="1353" spans="1:15" x14ac:dyDescent="0.25">
      <c r="A1353">
        <v>1352</v>
      </c>
      <c r="B1353" t="str">
        <f>HYPERLINK("https://digitalcommons.unl.edu/cgi/viewcontent.cgi?article=2509&amp;context=tractormuseumlit","Click for test report")</f>
        <v>Click for test report</v>
      </c>
      <c r="C1353">
        <v>1973</v>
      </c>
      <c r="D1353" t="s">
        <v>5382</v>
      </c>
      <c r="F1353" t="s">
        <v>4426</v>
      </c>
      <c r="G1353" t="s">
        <v>5345</v>
      </c>
      <c r="H1353" t="s">
        <v>53</v>
      </c>
      <c r="I1353" t="s">
        <v>3474</v>
      </c>
      <c r="J1353" t="s">
        <v>348</v>
      </c>
      <c r="K1353" t="s">
        <v>21</v>
      </c>
      <c r="L1353" t="s">
        <v>328</v>
      </c>
      <c r="N1353" t="s">
        <v>359</v>
      </c>
      <c r="O1353" t="s">
        <v>24</v>
      </c>
    </row>
    <row r="1354" spans="1:15" x14ac:dyDescent="0.25">
      <c r="A1354">
        <v>1353</v>
      </c>
      <c r="B1354" t="str">
        <f>HYPERLINK("https://digitalcommons.unl.edu/cgi/viewcontent.cgi?article=2510&amp;context=tractormuseumlit","Click for test report")</f>
        <v>Click for test report</v>
      </c>
      <c r="C1354">
        <v>1973</v>
      </c>
      <c r="D1354" t="s">
        <v>5378</v>
      </c>
      <c r="F1354" t="s">
        <v>4426</v>
      </c>
      <c r="G1354" t="s">
        <v>5347</v>
      </c>
      <c r="H1354" t="s">
        <v>5381</v>
      </c>
      <c r="I1354" t="s">
        <v>3474</v>
      </c>
      <c r="J1354" t="s">
        <v>348</v>
      </c>
      <c r="K1354" t="s">
        <v>21</v>
      </c>
      <c r="L1354" t="s">
        <v>909</v>
      </c>
      <c r="N1354" t="s">
        <v>1397</v>
      </c>
      <c r="O1354" t="s">
        <v>24</v>
      </c>
    </row>
    <row r="1355" spans="1:15" x14ac:dyDescent="0.25">
      <c r="A1355">
        <v>1354</v>
      </c>
      <c r="B1355" t="str">
        <f>HYPERLINK("https://digitalcommons.unl.edu/cgi/viewcontent.cgi?article=2510&amp;context=tractormuseumlit","Click for test report")</f>
        <v>Click for test report</v>
      </c>
      <c r="C1355">
        <v>1973</v>
      </c>
      <c r="D1355" t="s">
        <v>5378</v>
      </c>
      <c r="F1355" t="s">
        <v>4426</v>
      </c>
      <c r="G1355" t="s">
        <v>5345</v>
      </c>
      <c r="H1355" t="s">
        <v>5379</v>
      </c>
      <c r="I1355" t="s">
        <v>3474</v>
      </c>
      <c r="J1355" t="s">
        <v>348</v>
      </c>
      <c r="K1355" t="s">
        <v>21</v>
      </c>
      <c r="L1355" t="s">
        <v>909</v>
      </c>
      <c r="N1355" t="s">
        <v>1397</v>
      </c>
      <c r="O1355" t="s">
        <v>5380</v>
      </c>
    </row>
    <row r="1356" spans="1:15" x14ac:dyDescent="0.25">
      <c r="A1356">
        <v>1355</v>
      </c>
      <c r="B1356" t="str">
        <f>HYPERLINK("https://digitalcommons.unl.edu/cgi/viewcontent.cgi?article=2511&amp;context=tractormuseumlit","Click for test report")</f>
        <v>Click for test report</v>
      </c>
      <c r="C1356">
        <v>1973</v>
      </c>
      <c r="D1356" t="s">
        <v>4479</v>
      </c>
      <c r="F1356" t="s">
        <v>4472</v>
      </c>
      <c r="G1356" t="s">
        <v>4472</v>
      </c>
      <c r="H1356" t="s">
        <v>4480</v>
      </c>
      <c r="I1356" t="s">
        <v>50</v>
      </c>
      <c r="J1356" t="s">
        <v>348</v>
      </c>
      <c r="K1356" t="s">
        <v>21</v>
      </c>
      <c r="L1356" t="s">
        <v>1350</v>
      </c>
      <c r="N1356" t="s">
        <v>2029</v>
      </c>
      <c r="O1356" t="s">
        <v>24</v>
      </c>
    </row>
    <row r="1357" spans="1:15" x14ac:dyDescent="0.25">
      <c r="A1357">
        <v>1356</v>
      </c>
      <c r="B1357" t="str">
        <f>HYPERLINK("https://digitalcommons.unl.edu/cgi/viewcontent.cgi?article=2512&amp;context=tractormuseumlit","Click for test report")</f>
        <v>Click for test report</v>
      </c>
      <c r="C1357">
        <v>1973</v>
      </c>
      <c r="D1357" t="s">
        <v>5377</v>
      </c>
      <c r="F1357" t="s">
        <v>4472</v>
      </c>
      <c r="G1357" t="s">
        <v>4472</v>
      </c>
      <c r="H1357" t="s">
        <v>4338</v>
      </c>
      <c r="I1357" t="s">
        <v>50</v>
      </c>
      <c r="J1357" t="s">
        <v>348</v>
      </c>
      <c r="K1357" t="s">
        <v>4809</v>
      </c>
      <c r="L1357" t="s">
        <v>2826</v>
      </c>
      <c r="N1357" t="s">
        <v>4012</v>
      </c>
      <c r="O1357" t="s">
        <v>24</v>
      </c>
    </row>
    <row r="1358" spans="1:15" x14ac:dyDescent="0.25">
      <c r="A1358">
        <v>1357</v>
      </c>
      <c r="B1358" t="str">
        <f>HYPERLINK("https://digitalcommons.unl.edu/cgi/viewcontent.cgi?article=2513&amp;context=tractormuseumlit","Click for test report")</f>
        <v>Click for test report</v>
      </c>
      <c r="C1358">
        <v>1973</v>
      </c>
      <c r="D1358" t="s">
        <v>4476</v>
      </c>
      <c r="F1358" t="s">
        <v>4472</v>
      </c>
      <c r="G1358" t="s">
        <v>4472</v>
      </c>
      <c r="H1358" t="s">
        <v>4477</v>
      </c>
      <c r="I1358" t="s">
        <v>50</v>
      </c>
      <c r="J1358" t="s">
        <v>348</v>
      </c>
      <c r="K1358" t="s">
        <v>21</v>
      </c>
      <c r="L1358" t="s">
        <v>3123</v>
      </c>
      <c r="N1358" t="s">
        <v>410</v>
      </c>
      <c r="O1358" t="s">
        <v>24</v>
      </c>
    </row>
    <row r="1359" spans="1:15" x14ac:dyDescent="0.25">
      <c r="A1359">
        <v>1358</v>
      </c>
      <c r="B1359" t="str">
        <f>HYPERLINK("https://digitalcommons.unl.edu/cgi/viewcontent.cgi?article=2514&amp;context=tractormuseumlit","Click for test report")</f>
        <v>Click for test report</v>
      </c>
      <c r="C1359">
        <v>1973</v>
      </c>
      <c r="D1359" t="s">
        <v>5375</v>
      </c>
      <c r="F1359" t="s">
        <v>62</v>
      </c>
      <c r="G1359" t="s">
        <v>62</v>
      </c>
      <c r="H1359" t="s">
        <v>5376</v>
      </c>
      <c r="I1359" t="s">
        <v>50</v>
      </c>
      <c r="J1359" t="s">
        <v>348</v>
      </c>
      <c r="K1359" t="s">
        <v>21</v>
      </c>
      <c r="L1359" t="s">
        <v>4359</v>
      </c>
      <c r="N1359" t="s">
        <v>4363</v>
      </c>
      <c r="O1359" t="s">
        <v>24</v>
      </c>
    </row>
    <row r="1360" spans="1:15" x14ac:dyDescent="0.25">
      <c r="A1360">
        <v>1359</v>
      </c>
      <c r="B1360" t="str">
        <f>HYPERLINK("https://digitalcommons.unl.edu/cgi/viewcontent.cgi?article=2515&amp;context=tractormuseumlit","Click for test report")</f>
        <v>Click for test report</v>
      </c>
      <c r="C1360">
        <v>1973</v>
      </c>
      <c r="D1360" t="s">
        <v>5372</v>
      </c>
      <c r="F1360" t="s">
        <v>17</v>
      </c>
      <c r="G1360" t="s">
        <v>17</v>
      </c>
      <c r="H1360" t="s">
        <v>5373</v>
      </c>
      <c r="I1360" t="s">
        <v>50</v>
      </c>
      <c r="J1360" t="s">
        <v>348</v>
      </c>
      <c r="K1360" t="s">
        <v>21</v>
      </c>
      <c r="L1360" t="s">
        <v>2825</v>
      </c>
      <c r="N1360" t="s">
        <v>4589</v>
      </c>
      <c r="O1360" t="s">
        <v>5374</v>
      </c>
    </row>
    <row r="1361" spans="1:15" x14ac:dyDescent="0.25">
      <c r="A1361">
        <v>1360</v>
      </c>
      <c r="B1361" t="str">
        <f>HYPERLINK("https://digitalcommons.unl.edu/cgi/viewcontent.cgi?article=2516&amp;context=tractormuseumlit","Click for test report")</f>
        <v>Click for test report</v>
      </c>
      <c r="C1361">
        <v>1973</v>
      </c>
      <c r="D1361" t="s">
        <v>5371</v>
      </c>
      <c r="F1361" t="s">
        <v>17</v>
      </c>
      <c r="G1361" t="s">
        <v>17</v>
      </c>
      <c r="H1361" t="s">
        <v>4541</v>
      </c>
      <c r="I1361" t="s">
        <v>1961</v>
      </c>
      <c r="J1361" t="s">
        <v>348</v>
      </c>
      <c r="K1361" t="s">
        <v>21</v>
      </c>
      <c r="L1361" t="s">
        <v>2511</v>
      </c>
      <c r="N1361" t="s">
        <v>1802</v>
      </c>
      <c r="O1361" t="s">
        <v>24</v>
      </c>
    </row>
    <row r="1362" spans="1:15" x14ac:dyDescent="0.25">
      <c r="A1362">
        <v>1361</v>
      </c>
      <c r="B1362" t="str">
        <f>HYPERLINK("https://digitalcommons.unl.edu/cgi/viewcontent.cgi?article=2517&amp;context=tractormuseumlit","Click for test report")</f>
        <v>Click for test report</v>
      </c>
      <c r="C1362">
        <v>1973</v>
      </c>
      <c r="D1362" t="s">
        <v>5370</v>
      </c>
      <c r="F1362" t="s">
        <v>3800</v>
      </c>
      <c r="G1362" t="s">
        <v>4473</v>
      </c>
      <c r="H1362" t="s">
        <v>4916</v>
      </c>
      <c r="I1362" t="s">
        <v>3474</v>
      </c>
      <c r="J1362" t="s">
        <v>348</v>
      </c>
      <c r="K1362" t="s">
        <v>21</v>
      </c>
      <c r="L1362" t="s">
        <v>1037</v>
      </c>
      <c r="N1362" t="s">
        <v>329</v>
      </c>
      <c r="O1362" t="s">
        <v>5368</v>
      </c>
    </row>
    <row r="1363" spans="1:15" x14ac:dyDescent="0.25">
      <c r="A1363">
        <v>1362</v>
      </c>
      <c r="B1363" t="str">
        <f>HYPERLINK("https://digitalcommons.unl.edu/cgi/viewcontent.cgi?article=2518&amp;context=tractormuseumlit","Click for test report")</f>
        <v>Click for test report</v>
      </c>
      <c r="C1363">
        <v>1973</v>
      </c>
      <c r="D1363" t="s">
        <v>5369</v>
      </c>
      <c r="F1363" t="s">
        <v>3800</v>
      </c>
      <c r="G1363" t="s">
        <v>4473</v>
      </c>
      <c r="H1363" t="s">
        <v>5367</v>
      </c>
      <c r="I1363" t="s">
        <v>50</v>
      </c>
      <c r="J1363" t="s">
        <v>348</v>
      </c>
      <c r="K1363" t="s">
        <v>21</v>
      </c>
      <c r="L1363" t="s">
        <v>344</v>
      </c>
      <c r="N1363" t="s">
        <v>764</v>
      </c>
      <c r="O1363" t="s">
        <v>5368</v>
      </c>
    </row>
    <row r="1364" spans="1:15" x14ac:dyDescent="0.25">
      <c r="A1364">
        <v>1363</v>
      </c>
      <c r="B1364" t="str">
        <f>HYPERLINK("https://digitalcommons.unl.edu/cgi/viewcontent.cgi?article=2519&amp;context=tractormuseumlit","Click for test report")</f>
        <v>Click for test report</v>
      </c>
      <c r="C1364">
        <v>1973</v>
      </c>
      <c r="D1364" t="s">
        <v>4722</v>
      </c>
      <c r="F1364" t="s">
        <v>3800</v>
      </c>
      <c r="G1364" t="s">
        <v>4473</v>
      </c>
      <c r="H1364" t="s">
        <v>5367</v>
      </c>
      <c r="I1364" t="s">
        <v>3474</v>
      </c>
      <c r="J1364" t="s">
        <v>348</v>
      </c>
      <c r="K1364" t="s">
        <v>21</v>
      </c>
      <c r="L1364" t="s">
        <v>344</v>
      </c>
      <c r="N1364" t="s">
        <v>764</v>
      </c>
      <c r="O1364" t="s">
        <v>5368</v>
      </c>
    </row>
    <row r="1365" spans="1:15" x14ac:dyDescent="0.25">
      <c r="A1365">
        <v>1364</v>
      </c>
      <c r="B1365" t="str">
        <f>HYPERLINK("https://digitalcommons.unl.edu/cgi/viewcontent.cgi?article=2520&amp;context=tractormuseumlit","Click for test report")</f>
        <v>Click for test report</v>
      </c>
      <c r="C1365">
        <v>1973</v>
      </c>
      <c r="D1365" t="s">
        <v>5279</v>
      </c>
      <c r="F1365" t="s">
        <v>4503</v>
      </c>
      <c r="G1365" t="s">
        <v>4504</v>
      </c>
      <c r="H1365" t="s">
        <v>5365</v>
      </c>
      <c r="I1365" t="s">
        <v>1961</v>
      </c>
      <c r="J1365" t="s">
        <v>348</v>
      </c>
      <c r="K1365" t="s">
        <v>21</v>
      </c>
      <c r="L1365" t="s">
        <v>747</v>
      </c>
      <c r="N1365" t="s">
        <v>353</v>
      </c>
      <c r="O1365" t="s">
        <v>24</v>
      </c>
    </row>
    <row r="1366" spans="1:15" x14ac:dyDescent="0.25">
      <c r="A1366">
        <v>1365</v>
      </c>
      <c r="B1366" t="str">
        <f>HYPERLINK("https://digitalcommons.unl.edu/cgi/viewcontent.cgi?article=2521&amp;context=tractormuseumlit","Click for test report")</f>
        <v>Click for test report</v>
      </c>
      <c r="C1366">
        <v>1973</v>
      </c>
      <c r="D1366" t="s">
        <v>5277</v>
      </c>
      <c r="F1366" t="s">
        <v>4503</v>
      </c>
      <c r="G1366" t="s">
        <v>4504</v>
      </c>
      <c r="H1366" t="s">
        <v>5365</v>
      </c>
      <c r="I1366" t="s">
        <v>1961</v>
      </c>
      <c r="J1366" t="s">
        <v>348</v>
      </c>
      <c r="K1366" t="s">
        <v>4809</v>
      </c>
      <c r="L1366" t="s">
        <v>747</v>
      </c>
      <c r="N1366" t="s">
        <v>731</v>
      </c>
      <c r="O1366" t="s">
        <v>5366</v>
      </c>
    </row>
    <row r="1367" spans="1:15" x14ac:dyDescent="0.25">
      <c r="A1367">
        <v>1366</v>
      </c>
      <c r="B1367" t="str">
        <f>HYPERLINK("https://digitalcommons.unl.edu/cgi/viewcontent.cgi?article=2522&amp;context=tractormuseumlit","Click for test report")</f>
        <v>Click for test report</v>
      </c>
      <c r="C1367">
        <v>1973</v>
      </c>
      <c r="D1367" t="s">
        <v>5363</v>
      </c>
      <c r="F1367" t="s">
        <v>4503</v>
      </c>
      <c r="G1367" t="s">
        <v>4504</v>
      </c>
      <c r="H1367" t="s">
        <v>5364</v>
      </c>
      <c r="I1367" t="s">
        <v>50</v>
      </c>
      <c r="J1367" t="s">
        <v>29</v>
      </c>
      <c r="K1367" t="s">
        <v>21</v>
      </c>
      <c r="N1367" t="s">
        <v>520</v>
      </c>
      <c r="O1367" t="s">
        <v>2163</v>
      </c>
    </row>
    <row r="1368" spans="1:15" x14ac:dyDescent="0.25">
      <c r="A1368">
        <v>1367</v>
      </c>
      <c r="B1368" t="str">
        <f>HYPERLINK("https://digitalcommons.unl.edu/cgi/viewcontent.cgi?article=2523&amp;context=tractormuseumlit","Click for test report")</f>
        <v>Click for test report</v>
      </c>
      <c r="C1368">
        <v>1973</v>
      </c>
      <c r="D1368" t="s">
        <v>5276</v>
      </c>
      <c r="F1368" t="s">
        <v>4503</v>
      </c>
      <c r="G1368" t="s">
        <v>4504</v>
      </c>
      <c r="H1368" t="s">
        <v>5362</v>
      </c>
      <c r="I1368" t="s">
        <v>2964</v>
      </c>
      <c r="J1368" t="s">
        <v>348</v>
      </c>
      <c r="K1368" t="s">
        <v>4809</v>
      </c>
      <c r="L1368" t="s">
        <v>2747</v>
      </c>
      <c r="N1368" t="s">
        <v>1970</v>
      </c>
      <c r="O1368" t="s">
        <v>5275</v>
      </c>
    </row>
    <row r="1369" spans="1:15" x14ac:dyDescent="0.25">
      <c r="A1369">
        <v>1368</v>
      </c>
      <c r="B1369" t="str">
        <f>HYPERLINK("https://digitalcommons.unl.edu/cgi/viewcontent.cgi?article=2523&amp;context=tractormuseumlit","Click for test report")</f>
        <v>Click for test report</v>
      </c>
      <c r="C1369">
        <v>1973</v>
      </c>
      <c r="D1369" t="s">
        <v>5276</v>
      </c>
      <c r="F1369" t="s">
        <v>4503</v>
      </c>
      <c r="G1369" t="s">
        <v>4504</v>
      </c>
      <c r="H1369" t="s">
        <v>5361</v>
      </c>
      <c r="I1369" t="s">
        <v>2964</v>
      </c>
      <c r="J1369" t="s">
        <v>348</v>
      </c>
      <c r="K1369" t="s">
        <v>4809</v>
      </c>
      <c r="L1369" t="s">
        <v>2747</v>
      </c>
      <c r="N1369" t="s">
        <v>1970</v>
      </c>
      <c r="O1369" t="s">
        <v>24</v>
      </c>
    </row>
    <row r="1370" spans="1:15" x14ac:dyDescent="0.25">
      <c r="A1370">
        <v>1369</v>
      </c>
      <c r="B1370" t="str">
        <f>HYPERLINK("https://digitalcommons.unl.edu/cgi/viewcontent.cgi?article=2525&amp;context=tractormuseumlit","Click for test report")</f>
        <v>Click for test report</v>
      </c>
      <c r="C1370">
        <v>1973</v>
      </c>
      <c r="D1370" t="s">
        <v>5274</v>
      </c>
      <c r="F1370" t="s">
        <v>4503</v>
      </c>
      <c r="G1370" t="s">
        <v>4504</v>
      </c>
      <c r="H1370" t="s">
        <v>5362</v>
      </c>
      <c r="I1370" t="s">
        <v>2964</v>
      </c>
      <c r="J1370" t="s">
        <v>348</v>
      </c>
      <c r="K1370" t="s">
        <v>21</v>
      </c>
      <c r="L1370" t="s">
        <v>2747</v>
      </c>
      <c r="N1370" t="s">
        <v>1994</v>
      </c>
      <c r="O1370" t="s">
        <v>5275</v>
      </c>
    </row>
    <row r="1371" spans="1:15" x14ac:dyDescent="0.25">
      <c r="A1371">
        <v>1370</v>
      </c>
      <c r="B1371" t="str">
        <f>HYPERLINK("https://digitalcommons.unl.edu/cgi/viewcontent.cgi?article=2525&amp;context=tractormuseumlit","Click for test report")</f>
        <v>Click for test report</v>
      </c>
      <c r="C1371">
        <v>1973</v>
      </c>
      <c r="D1371" t="s">
        <v>5274</v>
      </c>
      <c r="F1371" t="s">
        <v>4503</v>
      </c>
      <c r="G1371" t="s">
        <v>4504</v>
      </c>
      <c r="H1371" t="s">
        <v>5361</v>
      </c>
      <c r="I1371" t="s">
        <v>2964</v>
      </c>
      <c r="J1371" t="s">
        <v>348</v>
      </c>
      <c r="K1371" t="s">
        <v>21</v>
      </c>
      <c r="L1371" t="s">
        <v>2747</v>
      </c>
      <c r="N1371" t="s">
        <v>1994</v>
      </c>
      <c r="O1371" t="s">
        <v>24</v>
      </c>
    </row>
    <row r="1372" spans="1:15" x14ac:dyDescent="0.25">
      <c r="A1372">
        <v>1371</v>
      </c>
      <c r="B1372" t="str">
        <f>HYPERLINK("https://digitalcommons.unl.edu/cgi/viewcontent.cgi?article=2411&amp;context=tractormuseumlit","Click for test report")</f>
        <v>Click for test report</v>
      </c>
      <c r="C1372">
        <v>1974</v>
      </c>
      <c r="D1372" t="s">
        <v>5358</v>
      </c>
      <c r="F1372" t="s">
        <v>4325</v>
      </c>
      <c r="G1372" t="s">
        <v>4325</v>
      </c>
      <c r="H1372" t="s">
        <v>5359</v>
      </c>
      <c r="I1372" t="s">
        <v>50</v>
      </c>
      <c r="J1372" t="s">
        <v>348</v>
      </c>
      <c r="K1372" t="s">
        <v>21</v>
      </c>
      <c r="L1372" t="s">
        <v>2699</v>
      </c>
      <c r="N1372" t="s">
        <v>1802</v>
      </c>
      <c r="O1372" t="s">
        <v>5360</v>
      </c>
    </row>
    <row r="1373" spans="1:15" x14ac:dyDescent="0.25">
      <c r="A1373">
        <v>1372</v>
      </c>
      <c r="B1373" t="str">
        <f>HYPERLINK("https://digitalcommons.unl.edu/cgi/viewcontent.cgi?article=2526&amp;context=tractormuseumlit","Click for test report")</f>
        <v>Click for test report</v>
      </c>
      <c r="C1373">
        <v>1974</v>
      </c>
      <c r="D1373" t="s">
        <v>5356</v>
      </c>
      <c r="F1373" t="s">
        <v>4325</v>
      </c>
      <c r="G1373" t="s">
        <v>4325</v>
      </c>
      <c r="H1373" t="s">
        <v>5357</v>
      </c>
      <c r="I1373" t="s">
        <v>1961</v>
      </c>
      <c r="J1373" t="s">
        <v>348</v>
      </c>
      <c r="K1373" t="s">
        <v>4809</v>
      </c>
      <c r="L1373" t="s">
        <v>1051</v>
      </c>
      <c r="N1373" t="s">
        <v>3123</v>
      </c>
      <c r="O1373" t="s">
        <v>24</v>
      </c>
    </row>
    <row r="1374" spans="1:15" x14ac:dyDescent="0.25">
      <c r="A1374">
        <v>1373</v>
      </c>
      <c r="B1374" t="str">
        <f>HYPERLINK("https://digitalcommons.unl.edu/cgi/viewcontent.cgi?article=2527&amp;context=tractormuseumlit","Click for test report")</f>
        <v>Click for test report</v>
      </c>
      <c r="C1374">
        <v>1974</v>
      </c>
      <c r="D1374" t="s">
        <v>5272</v>
      </c>
      <c r="F1374" t="s">
        <v>17</v>
      </c>
      <c r="G1374" t="s">
        <v>17</v>
      </c>
      <c r="H1374" t="s">
        <v>5355</v>
      </c>
      <c r="I1374" t="s">
        <v>1961</v>
      </c>
      <c r="J1374" t="s">
        <v>348</v>
      </c>
      <c r="K1374" t="s">
        <v>21</v>
      </c>
      <c r="L1374" t="s">
        <v>1347</v>
      </c>
      <c r="N1374" t="s">
        <v>353</v>
      </c>
      <c r="O1374" t="s">
        <v>24</v>
      </c>
    </row>
    <row r="1375" spans="1:15" x14ac:dyDescent="0.25">
      <c r="A1375">
        <v>1374</v>
      </c>
      <c r="B1375" t="str">
        <f>HYPERLINK("https://digitalcommons.unl.edu/cgi/viewcontent.cgi?article=2528&amp;context=tractormuseumlit","Click for test report")</f>
        <v>Click for test report</v>
      </c>
      <c r="C1375">
        <v>1974</v>
      </c>
      <c r="D1375" t="s">
        <v>5353</v>
      </c>
      <c r="F1375" t="s">
        <v>4503</v>
      </c>
      <c r="G1375" t="s">
        <v>4504</v>
      </c>
      <c r="H1375" t="s">
        <v>5354</v>
      </c>
      <c r="I1375" t="s">
        <v>2964</v>
      </c>
      <c r="J1375" t="s">
        <v>348</v>
      </c>
      <c r="K1375" t="s">
        <v>21</v>
      </c>
      <c r="L1375" t="s">
        <v>368</v>
      </c>
      <c r="N1375" t="s">
        <v>565</v>
      </c>
      <c r="O1375" t="s">
        <v>24</v>
      </c>
    </row>
    <row r="1376" spans="1:15" x14ac:dyDescent="0.25">
      <c r="A1376">
        <v>1375</v>
      </c>
      <c r="B1376" t="str">
        <f>HYPERLINK("https://digitalcommons.unl.edu/cgi/viewcontent.cgi?article=2529&amp;context=tractormuseumlit","Click for test report")</f>
        <v>Click for test report</v>
      </c>
      <c r="C1376">
        <v>1974</v>
      </c>
      <c r="D1376" t="s">
        <v>5351</v>
      </c>
      <c r="F1376" t="s">
        <v>4426</v>
      </c>
      <c r="G1376" t="s">
        <v>3166</v>
      </c>
      <c r="H1376" t="s">
        <v>5352</v>
      </c>
      <c r="I1376" t="s">
        <v>3474</v>
      </c>
      <c r="J1376" t="s">
        <v>29</v>
      </c>
      <c r="K1376" t="s">
        <v>21</v>
      </c>
      <c r="L1376" t="s">
        <v>939</v>
      </c>
      <c r="N1376" t="s">
        <v>2676</v>
      </c>
      <c r="O1376" t="s">
        <v>24</v>
      </c>
    </row>
    <row r="1377" spans="1:15" x14ac:dyDescent="0.25">
      <c r="A1377">
        <v>1376</v>
      </c>
      <c r="B1377" t="str">
        <f>HYPERLINK("https://digitalcommons.unl.edu/cgi/viewcontent.cgi?article=2530&amp;context=tractormuseumlit","Click for test report")</f>
        <v>Click for test report</v>
      </c>
      <c r="C1377">
        <v>1974</v>
      </c>
      <c r="D1377" t="s">
        <v>5349</v>
      </c>
      <c r="F1377" t="s">
        <v>3800</v>
      </c>
      <c r="G1377" t="s">
        <v>4473</v>
      </c>
      <c r="H1377" t="s">
        <v>5136</v>
      </c>
      <c r="I1377" t="s">
        <v>3474</v>
      </c>
      <c r="J1377" t="s">
        <v>348</v>
      </c>
      <c r="K1377" t="s">
        <v>21</v>
      </c>
      <c r="L1377" t="s">
        <v>1514</v>
      </c>
      <c r="N1377" t="s">
        <v>794</v>
      </c>
      <c r="O1377" t="s">
        <v>5350</v>
      </c>
    </row>
    <row r="1378" spans="1:15" x14ac:dyDescent="0.25">
      <c r="A1378">
        <v>1377</v>
      </c>
      <c r="B1378" t="str">
        <f>HYPERLINK("https://digitalcommons.unl.edu/cgi/viewcontent.cgi?article=2531&amp;context=tractormuseumlit","Click for test report")</f>
        <v>Click for test report</v>
      </c>
      <c r="C1378">
        <v>1974</v>
      </c>
      <c r="D1378" t="s">
        <v>5344</v>
      </c>
      <c r="F1378" t="s">
        <v>4426</v>
      </c>
      <c r="G1378" t="s">
        <v>5347</v>
      </c>
      <c r="H1378" t="s">
        <v>5348</v>
      </c>
      <c r="I1378" t="s">
        <v>3474</v>
      </c>
      <c r="J1378" t="s">
        <v>348</v>
      </c>
      <c r="K1378" t="s">
        <v>21</v>
      </c>
      <c r="L1378" t="s">
        <v>123</v>
      </c>
      <c r="N1378" t="s">
        <v>716</v>
      </c>
      <c r="O1378" t="s">
        <v>24</v>
      </c>
    </row>
    <row r="1379" spans="1:15" x14ac:dyDescent="0.25">
      <c r="A1379">
        <v>1378</v>
      </c>
      <c r="B1379" t="str">
        <f>HYPERLINK("https://digitalcommons.unl.edu/cgi/viewcontent.cgi?article=2531&amp;context=tractormuseumlit","Click for test report")</f>
        <v>Click for test report</v>
      </c>
      <c r="C1379">
        <v>1974</v>
      </c>
      <c r="D1379" t="s">
        <v>5344</v>
      </c>
      <c r="F1379" t="s">
        <v>4426</v>
      </c>
      <c r="G1379" t="s">
        <v>5345</v>
      </c>
      <c r="H1379" t="s">
        <v>2571</v>
      </c>
      <c r="I1379" t="s">
        <v>3474</v>
      </c>
      <c r="J1379" t="s">
        <v>348</v>
      </c>
      <c r="K1379" t="s">
        <v>21</v>
      </c>
      <c r="L1379" t="s">
        <v>123</v>
      </c>
      <c r="N1379" t="s">
        <v>716</v>
      </c>
      <c r="O1379" t="s">
        <v>5346</v>
      </c>
    </row>
    <row r="1380" spans="1:15" x14ac:dyDescent="0.25">
      <c r="A1380">
        <v>1379</v>
      </c>
      <c r="B1380" t="str">
        <f>HYPERLINK("https://digitalcommons.unl.edu/cgi/viewcontent.cgi?article=2532&amp;context=tractormuseumlit","Click for test report")</f>
        <v>Click for test report</v>
      </c>
      <c r="C1380">
        <v>1974</v>
      </c>
      <c r="D1380" t="s">
        <v>5342</v>
      </c>
      <c r="F1380" t="s">
        <v>3652</v>
      </c>
      <c r="G1380" t="s">
        <v>3652</v>
      </c>
      <c r="H1380" t="s">
        <v>5343</v>
      </c>
      <c r="I1380" t="s">
        <v>50</v>
      </c>
      <c r="J1380" t="s">
        <v>29</v>
      </c>
      <c r="K1380" t="s">
        <v>21</v>
      </c>
      <c r="N1380" t="s">
        <v>1430</v>
      </c>
      <c r="O1380" t="s">
        <v>2163</v>
      </c>
    </row>
    <row r="1381" spans="1:15" x14ac:dyDescent="0.25">
      <c r="A1381">
        <v>1380</v>
      </c>
      <c r="B1381" t="str">
        <f>HYPERLINK("https://digitalcommons.unl.edu/cgi/viewcontent.cgi?article=2533&amp;context=tractormuseumlit","Click for test report")</f>
        <v>Click for test report</v>
      </c>
      <c r="C1381">
        <v>1974</v>
      </c>
      <c r="D1381" t="s">
        <v>5143</v>
      </c>
      <c r="F1381" t="s">
        <v>4828</v>
      </c>
      <c r="G1381" t="s">
        <v>4828</v>
      </c>
      <c r="H1381" t="s">
        <v>3645</v>
      </c>
      <c r="I1381" t="s">
        <v>1961</v>
      </c>
      <c r="J1381" t="s">
        <v>348</v>
      </c>
      <c r="K1381" t="s">
        <v>21</v>
      </c>
      <c r="L1381" t="s">
        <v>722</v>
      </c>
      <c r="N1381" t="s">
        <v>1864</v>
      </c>
      <c r="O1381" t="s">
        <v>24</v>
      </c>
    </row>
    <row r="1382" spans="1:15" x14ac:dyDescent="0.25">
      <c r="A1382">
        <v>1381</v>
      </c>
      <c r="B1382" t="str">
        <f>HYPERLINK("https://digitalcommons.unl.edu/cgi/viewcontent.cgi?article=3688&amp;context=tractormuseumlit","Click for test report")</f>
        <v>Click for test report</v>
      </c>
      <c r="C1382">
        <v>1974</v>
      </c>
      <c r="D1382" t="s">
        <v>5341</v>
      </c>
      <c r="G1382" t="s">
        <v>322</v>
      </c>
      <c r="O1382" t="s">
        <v>24</v>
      </c>
    </row>
    <row r="1383" spans="1:15" x14ac:dyDescent="0.25">
      <c r="A1383">
        <v>1382</v>
      </c>
      <c r="B1383" t="str">
        <f>HYPERLINK("https://digitalcommons.unl.edu/cgi/viewcontent.cgi?article=2534&amp;context=tractormuseumlit","Click for test report")</f>
        <v>Click for test report</v>
      </c>
      <c r="C1383">
        <v>1974</v>
      </c>
      <c r="D1383" t="s">
        <v>5339</v>
      </c>
      <c r="F1383" t="s">
        <v>3800</v>
      </c>
      <c r="G1383" t="s">
        <v>4473</v>
      </c>
      <c r="H1383" t="s">
        <v>5340</v>
      </c>
      <c r="I1383" t="s">
        <v>3474</v>
      </c>
      <c r="J1383" t="s">
        <v>29</v>
      </c>
      <c r="K1383" t="s">
        <v>21</v>
      </c>
      <c r="L1383" t="s">
        <v>1444</v>
      </c>
      <c r="N1383" t="s">
        <v>2273</v>
      </c>
      <c r="O1383" t="s">
        <v>24</v>
      </c>
    </row>
    <row r="1384" spans="1:15" x14ac:dyDescent="0.25">
      <c r="A1384">
        <v>1383</v>
      </c>
      <c r="B1384" t="str">
        <f>HYPERLINK("https://digitalcommons.unl.edu/cgi/viewcontent.cgi?article=2535&amp;context=tractormuseumlit","Click for test report")</f>
        <v>Click for test report</v>
      </c>
      <c r="C1384">
        <v>1974</v>
      </c>
      <c r="D1384" t="s">
        <v>5338</v>
      </c>
      <c r="F1384" t="s">
        <v>4325</v>
      </c>
      <c r="G1384" t="s">
        <v>4325</v>
      </c>
      <c r="H1384" t="s">
        <v>5295</v>
      </c>
      <c r="I1384" t="s">
        <v>1961</v>
      </c>
      <c r="J1384" t="s">
        <v>348</v>
      </c>
      <c r="K1384" t="s">
        <v>21</v>
      </c>
      <c r="L1384" t="s">
        <v>858</v>
      </c>
      <c r="N1384" t="s">
        <v>569</v>
      </c>
      <c r="O1384" t="s">
        <v>24</v>
      </c>
    </row>
    <row r="1385" spans="1:15" x14ac:dyDescent="0.25">
      <c r="A1385">
        <v>1384</v>
      </c>
      <c r="B1385" t="str">
        <f>HYPERLINK("https://digitalcommons.unl.edu/cgi/viewcontent.cgi?article=2536&amp;context=tractormuseumlit","Click for test report")</f>
        <v>Click for test report</v>
      </c>
      <c r="C1385">
        <v>1974</v>
      </c>
      <c r="D1385" t="s">
        <v>5337</v>
      </c>
      <c r="F1385" t="s">
        <v>4325</v>
      </c>
      <c r="G1385" t="s">
        <v>4325</v>
      </c>
      <c r="H1385" t="s">
        <v>5293</v>
      </c>
      <c r="I1385" t="s">
        <v>1961</v>
      </c>
      <c r="J1385" t="s">
        <v>348</v>
      </c>
      <c r="K1385" t="s">
        <v>21</v>
      </c>
      <c r="L1385" t="s">
        <v>786</v>
      </c>
      <c r="N1385" t="s">
        <v>474</v>
      </c>
      <c r="O1385" t="s">
        <v>24</v>
      </c>
    </row>
    <row r="1386" spans="1:15" x14ac:dyDescent="0.25">
      <c r="A1386">
        <v>1385</v>
      </c>
      <c r="B1386" t="str">
        <f>HYPERLINK("https://digitalcommons.unl.edu/cgi/viewcontent.cgi?article=2537&amp;context=tractormuseumlit","Click for test report")</f>
        <v>Click for test report</v>
      </c>
      <c r="C1386">
        <v>1974</v>
      </c>
      <c r="D1386" t="s">
        <v>5335</v>
      </c>
      <c r="F1386" t="s">
        <v>4325</v>
      </c>
      <c r="G1386" t="s">
        <v>4325</v>
      </c>
      <c r="H1386" t="s">
        <v>5336</v>
      </c>
      <c r="I1386" t="s">
        <v>1961</v>
      </c>
      <c r="J1386" t="s">
        <v>348</v>
      </c>
      <c r="K1386" t="s">
        <v>21</v>
      </c>
      <c r="L1386" t="s">
        <v>469</v>
      </c>
      <c r="N1386" t="s">
        <v>2422</v>
      </c>
      <c r="O1386" t="s">
        <v>24</v>
      </c>
    </row>
    <row r="1387" spans="1:15" x14ac:dyDescent="0.25">
      <c r="A1387">
        <v>1386</v>
      </c>
      <c r="B1387" t="str">
        <f>HYPERLINK("https://digitalcommons.unl.edu/cgi/viewcontent.cgi?article=2538&amp;context=tractormuseumlit","Click for test report")</f>
        <v>Click for test report</v>
      </c>
      <c r="C1387">
        <v>1974</v>
      </c>
      <c r="D1387" t="s">
        <v>5216</v>
      </c>
      <c r="F1387" t="s">
        <v>3652</v>
      </c>
      <c r="G1387" t="s">
        <v>3652</v>
      </c>
      <c r="H1387" t="s">
        <v>5334</v>
      </c>
      <c r="I1387" t="s">
        <v>50</v>
      </c>
      <c r="J1387" t="s">
        <v>29</v>
      </c>
      <c r="K1387" t="s">
        <v>21</v>
      </c>
      <c r="N1387" t="s">
        <v>5218</v>
      </c>
      <c r="O1387" t="s">
        <v>2163</v>
      </c>
    </row>
    <row r="1388" spans="1:15" x14ac:dyDescent="0.25">
      <c r="A1388">
        <v>1387</v>
      </c>
      <c r="B1388" t="str">
        <f>HYPERLINK("https://digitalcommons.unl.edu/cgi/viewcontent.cgi?article=2539&amp;context=tractormuseumlit","Click for test report")</f>
        <v>Click for test report</v>
      </c>
      <c r="C1388">
        <v>1974</v>
      </c>
      <c r="D1388" t="s">
        <v>5332</v>
      </c>
      <c r="F1388" t="s">
        <v>3652</v>
      </c>
      <c r="G1388" t="s">
        <v>3652</v>
      </c>
      <c r="H1388" t="s">
        <v>5333</v>
      </c>
      <c r="I1388" t="s">
        <v>50</v>
      </c>
      <c r="J1388" t="s">
        <v>29</v>
      </c>
      <c r="K1388" t="s">
        <v>21</v>
      </c>
      <c r="N1388" t="s">
        <v>504</v>
      </c>
      <c r="O1388" t="s">
        <v>2163</v>
      </c>
    </row>
    <row r="1389" spans="1:15" x14ac:dyDescent="0.25">
      <c r="A1389">
        <v>1388</v>
      </c>
      <c r="B1389" t="str">
        <f>HYPERLINK("https://digitalcommons.unl.edu/cgi/viewcontent.cgi?article=2395&amp;context=tractormuseumlit","Click for test report")</f>
        <v>Click for test report</v>
      </c>
      <c r="C1389">
        <v>1975</v>
      </c>
      <c r="D1389" t="s">
        <v>5330</v>
      </c>
      <c r="F1389" t="s">
        <v>4395</v>
      </c>
      <c r="G1389" t="s">
        <v>3708</v>
      </c>
      <c r="H1389" t="s">
        <v>5239</v>
      </c>
      <c r="I1389" t="s">
        <v>50</v>
      </c>
      <c r="J1389" t="s">
        <v>348</v>
      </c>
      <c r="K1389" t="s">
        <v>4809</v>
      </c>
      <c r="L1389" t="s">
        <v>1257</v>
      </c>
      <c r="N1389" t="s">
        <v>2029</v>
      </c>
      <c r="O1389" t="s">
        <v>5331</v>
      </c>
    </row>
    <row r="1390" spans="1:15" x14ac:dyDescent="0.25">
      <c r="A1390">
        <v>1389</v>
      </c>
      <c r="B1390" t="str">
        <f>HYPERLINK("https://digitalcommons.unl.edu/cgi/viewcontent.cgi?article=2540&amp;context=tractormuseumlit","Click for test report")</f>
        <v>Click for test report</v>
      </c>
      <c r="C1390">
        <v>1975</v>
      </c>
      <c r="D1390" t="s">
        <v>5328</v>
      </c>
      <c r="F1390" t="s">
        <v>778</v>
      </c>
      <c r="G1390" t="s">
        <v>778</v>
      </c>
      <c r="H1390" t="s">
        <v>5329</v>
      </c>
      <c r="I1390" t="s">
        <v>1961</v>
      </c>
      <c r="J1390" t="s">
        <v>348</v>
      </c>
      <c r="K1390" t="s">
        <v>21</v>
      </c>
      <c r="L1390" t="s">
        <v>574</v>
      </c>
      <c r="N1390" t="s">
        <v>1347</v>
      </c>
      <c r="O1390" t="s">
        <v>24</v>
      </c>
    </row>
    <row r="1391" spans="1:15" x14ac:dyDescent="0.25">
      <c r="A1391">
        <v>1390</v>
      </c>
      <c r="B1391" t="str">
        <f>HYPERLINK("https://digitalcommons.unl.edu/cgi/viewcontent.cgi?article=2542&amp;context=tractormuseumlit","Click for test report")</f>
        <v>Click for test report</v>
      </c>
      <c r="C1391">
        <v>1975</v>
      </c>
      <c r="D1391" t="s">
        <v>5327</v>
      </c>
      <c r="F1391" t="s">
        <v>778</v>
      </c>
      <c r="G1391" t="s">
        <v>778</v>
      </c>
      <c r="H1391" t="s">
        <v>4617</v>
      </c>
      <c r="I1391" t="s">
        <v>50</v>
      </c>
      <c r="J1391" t="s">
        <v>29</v>
      </c>
      <c r="K1391" t="s">
        <v>21</v>
      </c>
      <c r="L1391" t="s">
        <v>1767</v>
      </c>
      <c r="N1391" t="s">
        <v>439</v>
      </c>
      <c r="O1391" t="s">
        <v>24</v>
      </c>
    </row>
    <row r="1392" spans="1:15" x14ac:dyDescent="0.25">
      <c r="A1392">
        <v>1391</v>
      </c>
      <c r="B1392" t="str">
        <f>HYPERLINK("https://digitalcommons.unl.edu/cgi/viewcontent.cgi?article=2544&amp;context=tractormuseumlit","Click for test report")</f>
        <v>Click for test report</v>
      </c>
      <c r="C1392">
        <v>1975</v>
      </c>
      <c r="D1392" t="s">
        <v>5326</v>
      </c>
      <c r="F1392" t="s">
        <v>778</v>
      </c>
      <c r="G1392" t="s">
        <v>778</v>
      </c>
      <c r="H1392" t="s">
        <v>3032</v>
      </c>
      <c r="I1392" t="s">
        <v>50</v>
      </c>
      <c r="J1392" t="s">
        <v>29</v>
      </c>
      <c r="K1392" t="s">
        <v>21</v>
      </c>
      <c r="L1392" t="s">
        <v>505</v>
      </c>
      <c r="N1392" t="s">
        <v>150</v>
      </c>
      <c r="O1392" t="s">
        <v>24</v>
      </c>
    </row>
    <row r="1393" spans="1:15" x14ac:dyDescent="0.25">
      <c r="A1393">
        <v>1392</v>
      </c>
      <c r="B1393" t="str">
        <f>HYPERLINK("https://digitalcommons.unl.edu/cgi/viewcontent.cgi?article=2545&amp;context=tractormuseumlit","Click for test report")</f>
        <v>Click for test report</v>
      </c>
      <c r="C1393">
        <v>1975</v>
      </c>
      <c r="D1393" t="s">
        <v>5325</v>
      </c>
      <c r="F1393" t="s">
        <v>4503</v>
      </c>
      <c r="G1393" t="s">
        <v>4504</v>
      </c>
      <c r="H1393" t="s">
        <v>4413</v>
      </c>
      <c r="I1393" t="s">
        <v>1961</v>
      </c>
      <c r="J1393" t="s">
        <v>348</v>
      </c>
      <c r="K1393" t="s">
        <v>21</v>
      </c>
      <c r="L1393" t="s">
        <v>786</v>
      </c>
      <c r="N1393" t="s">
        <v>474</v>
      </c>
      <c r="O1393" t="s">
        <v>24</v>
      </c>
    </row>
    <row r="1394" spans="1:15" x14ac:dyDescent="0.25">
      <c r="A1394">
        <v>1393</v>
      </c>
      <c r="B1394" t="str">
        <f>HYPERLINK("https://digitalcommons.unl.edu/cgi/viewcontent.cgi?article=2546&amp;context=tractormuseumlit","Click for test report")</f>
        <v>Click for test report</v>
      </c>
      <c r="C1394">
        <v>1975</v>
      </c>
      <c r="D1394" t="s">
        <v>5324</v>
      </c>
      <c r="F1394" t="s">
        <v>4503</v>
      </c>
      <c r="G1394" t="s">
        <v>4504</v>
      </c>
      <c r="H1394" t="s">
        <v>4409</v>
      </c>
      <c r="I1394" t="s">
        <v>1961</v>
      </c>
      <c r="J1394" t="s">
        <v>348</v>
      </c>
      <c r="K1394" t="s">
        <v>21</v>
      </c>
      <c r="L1394" t="s">
        <v>1830</v>
      </c>
      <c r="N1394" t="s">
        <v>2676</v>
      </c>
      <c r="O1394" t="s">
        <v>24</v>
      </c>
    </row>
    <row r="1395" spans="1:15" x14ac:dyDescent="0.25">
      <c r="A1395">
        <v>1394</v>
      </c>
      <c r="B1395" t="str">
        <f>HYPERLINK("https://digitalcommons.unl.edu/cgi/viewcontent.cgi?article=2547&amp;context=tractormuseumlit","Click for test report")</f>
        <v>Click for test report</v>
      </c>
      <c r="C1395">
        <v>1975</v>
      </c>
      <c r="D1395" t="s">
        <v>5323</v>
      </c>
      <c r="F1395" t="s">
        <v>5321</v>
      </c>
      <c r="G1395" t="s">
        <v>4986</v>
      </c>
      <c r="H1395" t="s">
        <v>5176</v>
      </c>
      <c r="I1395" t="s">
        <v>50</v>
      </c>
      <c r="J1395" t="s">
        <v>348</v>
      </c>
      <c r="K1395" t="s">
        <v>21</v>
      </c>
      <c r="L1395" t="s">
        <v>407</v>
      </c>
      <c r="N1395" t="s">
        <v>2090</v>
      </c>
      <c r="O1395" t="s">
        <v>24</v>
      </c>
    </row>
    <row r="1396" spans="1:15" x14ac:dyDescent="0.25">
      <c r="A1396">
        <v>1395</v>
      </c>
      <c r="B1396" t="str">
        <f>HYPERLINK("https://digitalcommons.unl.edu/cgi/viewcontent.cgi?article=2548&amp;context=tractormuseumlit","Click for test report")</f>
        <v>Click for test report</v>
      </c>
      <c r="C1396">
        <v>1975</v>
      </c>
      <c r="D1396" t="s">
        <v>5322</v>
      </c>
      <c r="F1396" t="s">
        <v>5321</v>
      </c>
      <c r="G1396" t="s">
        <v>4986</v>
      </c>
      <c r="H1396" t="s">
        <v>5174</v>
      </c>
      <c r="I1396" t="s">
        <v>50</v>
      </c>
      <c r="J1396" t="s">
        <v>348</v>
      </c>
      <c r="K1396" t="s">
        <v>21</v>
      </c>
      <c r="L1396" t="s">
        <v>2826</v>
      </c>
      <c r="N1396" t="s">
        <v>2825</v>
      </c>
      <c r="O1396" t="s">
        <v>24</v>
      </c>
    </row>
    <row r="1397" spans="1:15" x14ac:dyDescent="0.25">
      <c r="A1397">
        <v>1396</v>
      </c>
      <c r="B1397" t="str">
        <f>HYPERLINK("https://digitalcommons.unl.edu/cgi/viewcontent.cgi?article=2549&amp;context=tractormuseumlit","Click for test report")</f>
        <v>Click for test report</v>
      </c>
      <c r="C1397">
        <v>1975</v>
      </c>
      <c r="D1397" t="s">
        <v>5320</v>
      </c>
      <c r="F1397" t="s">
        <v>5321</v>
      </c>
      <c r="G1397" t="s">
        <v>4986</v>
      </c>
      <c r="H1397" t="s">
        <v>1178</v>
      </c>
      <c r="I1397" t="s">
        <v>50</v>
      </c>
      <c r="J1397" t="s">
        <v>348</v>
      </c>
      <c r="K1397" t="s">
        <v>21</v>
      </c>
      <c r="L1397" t="s">
        <v>461</v>
      </c>
      <c r="N1397" t="s">
        <v>58</v>
      </c>
      <c r="O1397" t="s">
        <v>24</v>
      </c>
    </row>
    <row r="1398" spans="1:15" x14ac:dyDescent="0.25">
      <c r="A1398">
        <v>1397</v>
      </c>
      <c r="B1398" t="str">
        <f>HYPERLINK("https://digitalcommons.unl.edu/cgi/viewcontent.cgi?article=2550&amp;context=tractormuseumlit","Click for test report")</f>
        <v>Click for test report</v>
      </c>
      <c r="C1398">
        <v>1975</v>
      </c>
      <c r="D1398" t="s">
        <v>5319</v>
      </c>
      <c r="F1398" t="s">
        <v>17</v>
      </c>
      <c r="G1398" t="s">
        <v>17</v>
      </c>
      <c r="H1398" t="s">
        <v>2564</v>
      </c>
      <c r="I1398" t="s">
        <v>1961</v>
      </c>
      <c r="J1398" t="s">
        <v>29</v>
      </c>
      <c r="K1398" t="s">
        <v>21</v>
      </c>
      <c r="L1398" t="s">
        <v>913</v>
      </c>
      <c r="N1398" t="s">
        <v>1041</v>
      </c>
      <c r="O1398" t="s">
        <v>24</v>
      </c>
    </row>
    <row r="1399" spans="1:15" x14ac:dyDescent="0.25">
      <c r="A1399">
        <v>1398</v>
      </c>
      <c r="B1399" t="str">
        <f>HYPERLINK("https://digitalcommons.unl.edu/cgi/viewcontent.cgi?article=2551&amp;context=tractormuseumlit","Click for test report")</f>
        <v>Click for test report</v>
      </c>
      <c r="C1399">
        <v>1975</v>
      </c>
      <c r="D1399" t="s">
        <v>5318</v>
      </c>
      <c r="F1399" t="s">
        <v>17</v>
      </c>
      <c r="G1399" t="s">
        <v>17</v>
      </c>
      <c r="H1399" t="s">
        <v>3999</v>
      </c>
      <c r="I1399" t="s">
        <v>1961</v>
      </c>
      <c r="J1399" t="s">
        <v>29</v>
      </c>
      <c r="K1399" t="s">
        <v>21</v>
      </c>
      <c r="L1399" t="s">
        <v>232</v>
      </c>
      <c r="N1399" t="s">
        <v>892</v>
      </c>
      <c r="O1399" t="s">
        <v>24</v>
      </c>
    </row>
    <row r="1400" spans="1:15" x14ac:dyDescent="0.25">
      <c r="A1400">
        <v>1399</v>
      </c>
      <c r="B1400" t="str">
        <f>HYPERLINK("https://digitalcommons.unl.edu/cgi/viewcontent.cgi?article=2552&amp;context=tractormuseumlit","Click for test report")</f>
        <v>Click for test report</v>
      </c>
      <c r="C1400">
        <v>1975</v>
      </c>
      <c r="D1400" t="s">
        <v>5316</v>
      </c>
      <c r="F1400" t="s">
        <v>4426</v>
      </c>
      <c r="G1400" t="s">
        <v>3166</v>
      </c>
      <c r="H1400" t="s">
        <v>5317</v>
      </c>
      <c r="I1400" t="s">
        <v>3474</v>
      </c>
      <c r="J1400" t="s">
        <v>348</v>
      </c>
      <c r="K1400" t="s">
        <v>21</v>
      </c>
      <c r="L1400" t="s">
        <v>130</v>
      </c>
      <c r="N1400" t="s">
        <v>562</v>
      </c>
      <c r="O1400" t="s">
        <v>24</v>
      </c>
    </row>
    <row r="1401" spans="1:15" x14ac:dyDescent="0.25">
      <c r="A1401">
        <v>1400</v>
      </c>
      <c r="B1401" t="str">
        <f>HYPERLINK("https://digitalcommons.unl.edu/cgi/viewcontent.cgi?article=2553&amp;context=tractormuseumlit","Click for test report")</f>
        <v>Click for test report</v>
      </c>
      <c r="C1401">
        <v>1975</v>
      </c>
      <c r="D1401" t="s">
        <v>5314</v>
      </c>
      <c r="F1401" t="s">
        <v>4426</v>
      </c>
      <c r="G1401" t="s">
        <v>3166</v>
      </c>
      <c r="H1401" t="s">
        <v>5315</v>
      </c>
      <c r="I1401" t="s">
        <v>3474</v>
      </c>
      <c r="J1401" t="s">
        <v>348</v>
      </c>
      <c r="K1401" t="s">
        <v>21</v>
      </c>
      <c r="L1401" t="s">
        <v>325</v>
      </c>
      <c r="N1401" t="s">
        <v>1386</v>
      </c>
      <c r="O1401" t="s">
        <v>24</v>
      </c>
    </row>
    <row r="1402" spans="1:15" x14ac:dyDescent="0.25">
      <c r="A1402">
        <v>1401</v>
      </c>
      <c r="B1402" t="str">
        <f>HYPERLINK("https://digitalcommons.unl.edu/cgi/viewcontent.cgi?article=2554&amp;context=tractormuseumlit","Click for test report")</f>
        <v>Click for test report</v>
      </c>
      <c r="C1402">
        <v>1975</v>
      </c>
      <c r="D1402" t="s">
        <v>5313</v>
      </c>
      <c r="F1402" t="s">
        <v>5286</v>
      </c>
      <c r="G1402" t="s">
        <v>3514</v>
      </c>
      <c r="H1402" t="s">
        <v>4561</v>
      </c>
      <c r="I1402" t="s">
        <v>50</v>
      </c>
      <c r="J1402" t="s">
        <v>348</v>
      </c>
      <c r="K1402" t="s">
        <v>21</v>
      </c>
      <c r="L1402" t="s">
        <v>4355</v>
      </c>
      <c r="N1402" t="s">
        <v>4362</v>
      </c>
      <c r="O1402" t="s">
        <v>24</v>
      </c>
    </row>
    <row r="1403" spans="1:15" x14ac:dyDescent="0.25">
      <c r="A1403">
        <v>1402</v>
      </c>
      <c r="B1403" t="str">
        <f>HYPERLINK("https://digitalcommons.unl.edu/cgi/viewcontent.cgi?article=2555&amp;context=tractormuseumlit","Click for test report")</f>
        <v>Click for test report</v>
      </c>
      <c r="C1403">
        <v>1975</v>
      </c>
      <c r="D1403" t="s">
        <v>5311</v>
      </c>
      <c r="F1403" t="s">
        <v>4426</v>
      </c>
      <c r="G1403" t="s">
        <v>3166</v>
      </c>
      <c r="H1403" t="s">
        <v>5312</v>
      </c>
      <c r="I1403" t="s">
        <v>50</v>
      </c>
      <c r="J1403" t="s">
        <v>29</v>
      </c>
      <c r="K1403" t="s">
        <v>21</v>
      </c>
      <c r="L1403" t="s">
        <v>469</v>
      </c>
      <c r="N1403" t="s">
        <v>818</v>
      </c>
      <c r="O1403" t="s">
        <v>24</v>
      </c>
    </row>
    <row r="1404" spans="1:15" x14ac:dyDescent="0.25">
      <c r="A1404">
        <v>1403</v>
      </c>
      <c r="B1404" t="str">
        <f>HYPERLINK("https://digitalcommons.unl.edu/cgi/viewcontent.cgi?article=2556&amp;context=tractormuseumlit","Click for test report")</f>
        <v>Click for test report</v>
      </c>
      <c r="C1404">
        <v>1975</v>
      </c>
      <c r="D1404" t="s">
        <v>5309</v>
      </c>
      <c r="F1404" t="s">
        <v>4053</v>
      </c>
      <c r="G1404" t="s">
        <v>4066</v>
      </c>
      <c r="H1404" t="s">
        <v>5310</v>
      </c>
      <c r="I1404" t="s">
        <v>50</v>
      </c>
      <c r="J1404" t="s">
        <v>20</v>
      </c>
      <c r="K1404" t="s">
        <v>21</v>
      </c>
      <c r="L1404" t="s">
        <v>344</v>
      </c>
      <c r="N1404" t="s">
        <v>747</v>
      </c>
      <c r="O1404" t="s">
        <v>24</v>
      </c>
    </row>
    <row r="1405" spans="1:15" x14ac:dyDescent="0.25">
      <c r="A1405">
        <v>1404</v>
      </c>
      <c r="B1405" t="str">
        <f>HYPERLINK("https://digitalcommons.unl.edu/cgi/viewcontent.cgi?article=2557&amp;context=tractormuseumlit","Click for test report")</f>
        <v>Click for test report</v>
      </c>
      <c r="C1405">
        <v>1975</v>
      </c>
      <c r="D1405" t="s">
        <v>5307</v>
      </c>
      <c r="F1405" t="s">
        <v>4066</v>
      </c>
      <c r="G1405" t="s">
        <v>4066</v>
      </c>
      <c r="H1405" t="s">
        <v>5308</v>
      </c>
      <c r="I1405" t="s">
        <v>50</v>
      </c>
      <c r="J1405" t="s">
        <v>20</v>
      </c>
      <c r="K1405" t="s">
        <v>21</v>
      </c>
      <c r="L1405" t="s">
        <v>368</v>
      </c>
      <c r="N1405" t="s">
        <v>461</v>
      </c>
      <c r="O1405" t="s">
        <v>24</v>
      </c>
    </row>
    <row r="1406" spans="1:15" x14ac:dyDescent="0.25">
      <c r="A1406">
        <v>1405</v>
      </c>
      <c r="B1406" t="str">
        <f>HYPERLINK("https://digitalcommons.unl.edu/cgi/viewcontent.cgi?article=2558&amp;context=tractormuseumlit","Click for test report")</f>
        <v>Click for test report</v>
      </c>
      <c r="C1406">
        <v>1975</v>
      </c>
      <c r="D1406" t="s">
        <v>5306</v>
      </c>
      <c r="F1406" t="s">
        <v>778</v>
      </c>
      <c r="G1406" t="s">
        <v>778</v>
      </c>
      <c r="H1406" t="s">
        <v>5298</v>
      </c>
      <c r="I1406" t="s">
        <v>50</v>
      </c>
      <c r="J1406" t="s">
        <v>348</v>
      </c>
      <c r="K1406" t="s">
        <v>21</v>
      </c>
      <c r="L1406" t="s">
        <v>3152</v>
      </c>
      <c r="N1406" t="s">
        <v>3973</v>
      </c>
      <c r="O1406" t="s">
        <v>24</v>
      </c>
    </row>
    <row r="1407" spans="1:15" x14ac:dyDescent="0.25">
      <c r="A1407">
        <v>1406</v>
      </c>
      <c r="B1407" t="str">
        <f>HYPERLINK("https://digitalcommons.unl.edu/cgi/viewcontent.cgi?article=2559&amp;context=tractormuseumlit","Click for test report")</f>
        <v>Click for test report</v>
      </c>
      <c r="C1407">
        <v>1975</v>
      </c>
      <c r="D1407" t="s">
        <v>5304</v>
      </c>
      <c r="F1407" t="s">
        <v>778</v>
      </c>
      <c r="G1407" t="s">
        <v>778</v>
      </c>
      <c r="H1407" t="s">
        <v>5305</v>
      </c>
      <c r="I1407" t="s">
        <v>1961</v>
      </c>
      <c r="J1407" t="s">
        <v>348</v>
      </c>
      <c r="K1407" t="s">
        <v>21</v>
      </c>
      <c r="L1407" t="s">
        <v>1051</v>
      </c>
      <c r="N1407" t="s">
        <v>750</v>
      </c>
      <c r="O1407" t="s">
        <v>24</v>
      </c>
    </row>
    <row r="1408" spans="1:15" x14ac:dyDescent="0.25">
      <c r="A1408">
        <v>1407</v>
      </c>
      <c r="B1408" t="str">
        <f>HYPERLINK("https://digitalcommons.unl.edu/cgi/viewcontent.cgi?article=2560&amp;context=tractormuseumlit","Click for test report")</f>
        <v>Click for test report</v>
      </c>
      <c r="C1408">
        <v>1975</v>
      </c>
      <c r="D1408" t="s">
        <v>5303</v>
      </c>
      <c r="F1408" t="s">
        <v>778</v>
      </c>
      <c r="G1408" t="s">
        <v>778</v>
      </c>
      <c r="H1408" t="s">
        <v>5176</v>
      </c>
      <c r="I1408" t="s">
        <v>1961</v>
      </c>
      <c r="J1408" t="s">
        <v>348</v>
      </c>
      <c r="K1408" t="s">
        <v>21</v>
      </c>
      <c r="L1408" t="s">
        <v>735</v>
      </c>
      <c r="N1408" t="s">
        <v>2090</v>
      </c>
      <c r="O1408" t="s">
        <v>24</v>
      </c>
    </row>
    <row r="1409" spans="1:15" x14ac:dyDescent="0.25">
      <c r="A1409">
        <v>1408</v>
      </c>
      <c r="B1409" t="str">
        <f>HYPERLINK("https://digitalcommons.unl.edu/cgi/viewcontent.cgi?article=2561&amp;context=tractormuseumlit","Click for test report")</f>
        <v>Click for test report</v>
      </c>
      <c r="C1409">
        <v>1975</v>
      </c>
      <c r="D1409" t="s">
        <v>4896</v>
      </c>
      <c r="F1409" t="s">
        <v>778</v>
      </c>
      <c r="G1409" t="s">
        <v>778</v>
      </c>
      <c r="H1409" t="s">
        <v>5176</v>
      </c>
      <c r="I1409" t="s">
        <v>1961</v>
      </c>
      <c r="J1409" t="s">
        <v>348</v>
      </c>
      <c r="K1409" t="s">
        <v>4809</v>
      </c>
      <c r="L1409" t="s">
        <v>735</v>
      </c>
      <c r="N1409" t="s">
        <v>2090</v>
      </c>
      <c r="O1409" t="s">
        <v>24</v>
      </c>
    </row>
    <row r="1410" spans="1:15" x14ac:dyDescent="0.25">
      <c r="A1410">
        <v>1409</v>
      </c>
      <c r="B1410" t="str">
        <f>HYPERLINK("https://digitalcommons.unl.edu/cgi/viewcontent.cgi?article=2562&amp;context=tractormuseumlit","Click for test report")</f>
        <v>Click for test report</v>
      </c>
      <c r="C1410">
        <v>1975</v>
      </c>
      <c r="D1410" t="s">
        <v>5302</v>
      </c>
      <c r="F1410" t="s">
        <v>17</v>
      </c>
      <c r="G1410" t="s">
        <v>17</v>
      </c>
      <c r="H1410" t="s">
        <v>1495</v>
      </c>
      <c r="I1410" t="s">
        <v>50</v>
      </c>
      <c r="J1410" t="s">
        <v>348</v>
      </c>
      <c r="K1410" t="s">
        <v>21</v>
      </c>
      <c r="L1410" t="s">
        <v>2699</v>
      </c>
      <c r="N1410" t="s">
        <v>3388</v>
      </c>
      <c r="O1410" t="s">
        <v>24</v>
      </c>
    </row>
    <row r="1411" spans="1:15" x14ac:dyDescent="0.25">
      <c r="A1411">
        <v>1410</v>
      </c>
      <c r="B1411" t="str">
        <f>HYPERLINK("https://digitalcommons.unl.edu/cgi/viewcontent.cgi?article=2563&amp;context=tractormuseumlit","Click for test report")</f>
        <v>Click for test report</v>
      </c>
      <c r="C1411">
        <v>1975</v>
      </c>
      <c r="D1411" t="s">
        <v>5301</v>
      </c>
      <c r="F1411" t="s">
        <v>17</v>
      </c>
      <c r="G1411" t="s">
        <v>17</v>
      </c>
      <c r="H1411" t="s">
        <v>67</v>
      </c>
      <c r="I1411" t="s">
        <v>1961</v>
      </c>
      <c r="J1411" t="s">
        <v>348</v>
      </c>
      <c r="K1411" t="s">
        <v>21</v>
      </c>
      <c r="L1411" t="s">
        <v>735</v>
      </c>
      <c r="N1411" t="s">
        <v>2627</v>
      </c>
      <c r="O1411" t="s">
        <v>24</v>
      </c>
    </row>
    <row r="1412" spans="1:15" x14ac:dyDescent="0.25">
      <c r="A1412">
        <v>1411</v>
      </c>
      <c r="B1412" t="str">
        <f>HYPERLINK("https://digitalcommons.unl.edu/cgi/viewcontent.cgi?article=2564&amp;context=tractormuseumlit","Click for test report")</f>
        <v>Click for test report</v>
      </c>
      <c r="C1412">
        <v>1975</v>
      </c>
      <c r="D1412" t="s">
        <v>5299</v>
      </c>
      <c r="F1412" t="s">
        <v>778</v>
      </c>
      <c r="G1412" t="s">
        <v>778</v>
      </c>
      <c r="H1412" t="s">
        <v>5300</v>
      </c>
      <c r="I1412" t="s">
        <v>1961</v>
      </c>
      <c r="J1412" t="s">
        <v>348</v>
      </c>
      <c r="K1412" t="s">
        <v>21</v>
      </c>
      <c r="L1412" t="s">
        <v>1257</v>
      </c>
      <c r="N1412" t="s">
        <v>1051</v>
      </c>
      <c r="O1412" t="s">
        <v>24</v>
      </c>
    </row>
    <row r="1413" spans="1:15" x14ac:dyDescent="0.25">
      <c r="A1413">
        <v>1412</v>
      </c>
      <c r="B1413" t="str">
        <f>HYPERLINK("https://digitalcommons.unl.edu/cgi/viewcontent.cgi?article=2565&amp;context=tractormuseumlit","Click for test report")</f>
        <v>Click for test report</v>
      </c>
      <c r="C1413">
        <v>1975</v>
      </c>
      <c r="D1413" t="s">
        <v>4593</v>
      </c>
      <c r="F1413" t="s">
        <v>778</v>
      </c>
      <c r="G1413" t="s">
        <v>778</v>
      </c>
      <c r="H1413" t="s">
        <v>5298</v>
      </c>
      <c r="I1413" t="s">
        <v>50</v>
      </c>
      <c r="J1413" t="s">
        <v>348</v>
      </c>
      <c r="K1413" t="s">
        <v>4809</v>
      </c>
      <c r="L1413" t="s">
        <v>2627</v>
      </c>
      <c r="N1413" t="s">
        <v>2825</v>
      </c>
      <c r="O1413" t="s">
        <v>24</v>
      </c>
    </row>
    <row r="1414" spans="1:15" x14ac:dyDescent="0.25">
      <c r="A1414">
        <v>1413</v>
      </c>
      <c r="B1414" t="str">
        <f>HYPERLINK("https://digitalcommons.unl.edu/cgi/viewcontent.cgi?article=2566&amp;context=tractormuseumlit","Click for test report")</f>
        <v>Click for test report</v>
      </c>
      <c r="C1414">
        <v>1975</v>
      </c>
      <c r="D1414" t="s">
        <v>5296</v>
      </c>
      <c r="F1414" t="s">
        <v>4325</v>
      </c>
      <c r="G1414" t="s">
        <v>4325</v>
      </c>
      <c r="H1414" t="s">
        <v>5297</v>
      </c>
      <c r="I1414" t="s">
        <v>3474</v>
      </c>
      <c r="J1414" t="s">
        <v>348</v>
      </c>
      <c r="K1414" t="s">
        <v>21</v>
      </c>
      <c r="L1414" t="s">
        <v>677</v>
      </c>
      <c r="N1414" t="s">
        <v>454</v>
      </c>
      <c r="O1414" t="s">
        <v>24</v>
      </c>
    </row>
    <row r="1415" spans="1:15" x14ac:dyDescent="0.25">
      <c r="A1415">
        <v>1414</v>
      </c>
      <c r="B1415" t="str">
        <f>HYPERLINK("https://digitalcommons.unl.edu/cgi/viewcontent.cgi?article=2567&amp;context=tractormuseumlit","Click for test report")</f>
        <v>Click for test report</v>
      </c>
      <c r="C1415">
        <v>1975</v>
      </c>
      <c r="D1415" t="s">
        <v>5294</v>
      </c>
      <c r="F1415" t="s">
        <v>4325</v>
      </c>
      <c r="G1415" t="s">
        <v>4325</v>
      </c>
      <c r="H1415" t="s">
        <v>5295</v>
      </c>
      <c r="I1415" t="s">
        <v>1808</v>
      </c>
      <c r="J1415" t="s">
        <v>348</v>
      </c>
      <c r="K1415" t="s">
        <v>21</v>
      </c>
      <c r="L1415" t="s">
        <v>858</v>
      </c>
      <c r="N1415" t="s">
        <v>569</v>
      </c>
      <c r="O1415" t="s">
        <v>24</v>
      </c>
    </row>
    <row r="1416" spans="1:15" x14ac:dyDescent="0.25">
      <c r="A1416">
        <v>1415</v>
      </c>
      <c r="B1416" t="str">
        <f>HYPERLINK("https://digitalcommons.unl.edu/cgi/viewcontent.cgi?article=2568&amp;context=tractormuseumlit","Click for test report")</f>
        <v>Click for test report</v>
      </c>
      <c r="C1416">
        <v>1975</v>
      </c>
      <c r="D1416" t="s">
        <v>5292</v>
      </c>
      <c r="F1416" t="s">
        <v>4325</v>
      </c>
      <c r="G1416" t="s">
        <v>4325</v>
      </c>
      <c r="H1416" t="s">
        <v>5293</v>
      </c>
      <c r="I1416" t="s">
        <v>1808</v>
      </c>
      <c r="J1416" t="s">
        <v>348</v>
      </c>
      <c r="K1416" t="s">
        <v>21</v>
      </c>
      <c r="L1416" t="s">
        <v>786</v>
      </c>
      <c r="N1416" t="s">
        <v>1262</v>
      </c>
      <c r="O1416" t="s">
        <v>24</v>
      </c>
    </row>
    <row r="1417" spans="1:15" x14ac:dyDescent="0.25">
      <c r="A1417">
        <v>1416</v>
      </c>
      <c r="B1417" t="str">
        <f>HYPERLINK("https://digitalcommons.unl.edu/cgi/viewcontent.cgi?article=2569&amp;context=tractormuseumlit","Click for test report")</f>
        <v>Click for test report</v>
      </c>
      <c r="C1417">
        <v>1975</v>
      </c>
      <c r="D1417" t="s">
        <v>5290</v>
      </c>
      <c r="F1417" t="s">
        <v>62</v>
      </c>
      <c r="G1417" t="s">
        <v>62</v>
      </c>
      <c r="H1417" t="s">
        <v>5291</v>
      </c>
      <c r="I1417" t="s">
        <v>50</v>
      </c>
      <c r="J1417" t="s">
        <v>348</v>
      </c>
      <c r="K1417" t="s">
        <v>21</v>
      </c>
      <c r="L1417" t="s">
        <v>4013</v>
      </c>
      <c r="N1417" t="s">
        <v>4444</v>
      </c>
      <c r="O1417" t="s">
        <v>24</v>
      </c>
    </row>
    <row r="1418" spans="1:15" x14ac:dyDescent="0.25">
      <c r="A1418">
        <v>1417</v>
      </c>
      <c r="B1418" t="str">
        <f>HYPERLINK("https://digitalcommons.unl.edu/cgi/viewcontent.cgi?article=2570&amp;context=tractormuseumlit","Click for test report")</f>
        <v>Click for test report</v>
      </c>
      <c r="C1418">
        <v>1975</v>
      </c>
      <c r="D1418" t="s">
        <v>5288</v>
      </c>
      <c r="F1418" t="s">
        <v>4615</v>
      </c>
      <c r="G1418" t="s">
        <v>4615</v>
      </c>
      <c r="H1418" t="s">
        <v>5289</v>
      </c>
      <c r="I1418" t="s">
        <v>50</v>
      </c>
      <c r="J1418" t="s">
        <v>348</v>
      </c>
      <c r="K1418" t="s">
        <v>21</v>
      </c>
      <c r="L1418" t="s">
        <v>4627</v>
      </c>
      <c r="N1418" t="s">
        <v>4628</v>
      </c>
      <c r="O1418" t="s">
        <v>24</v>
      </c>
    </row>
    <row r="1419" spans="1:15" x14ac:dyDescent="0.25">
      <c r="A1419">
        <v>1418</v>
      </c>
      <c r="B1419" t="str">
        <f>HYPERLINK("https://digitalcommons.unl.edu/cgi/viewcontent.cgi?article=2571&amp;context=tractormuseumlit","Click for test report")</f>
        <v>Click for test report</v>
      </c>
      <c r="C1419">
        <v>1975</v>
      </c>
      <c r="D1419" t="s">
        <v>5285</v>
      </c>
      <c r="F1419" t="s">
        <v>5286</v>
      </c>
      <c r="G1419" t="s">
        <v>3514</v>
      </c>
      <c r="H1419" t="s">
        <v>5287</v>
      </c>
      <c r="I1419" t="s">
        <v>50</v>
      </c>
      <c r="J1419" t="s">
        <v>348</v>
      </c>
      <c r="K1419" t="s">
        <v>21</v>
      </c>
      <c r="L1419" t="s">
        <v>4589</v>
      </c>
      <c r="N1419" t="s">
        <v>4355</v>
      </c>
      <c r="O1419" t="s">
        <v>24</v>
      </c>
    </row>
    <row r="1420" spans="1:15" x14ac:dyDescent="0.25">
      <c r="A1420">
        <v>1419</v>
      </c>
      <c r="B1420" t="str">
        <f>HYPERLINK("https://digitalcommons.unl.edu/cgi/viewcontent.cgi?article=2398&amp;context=tractormuseumlit","Click for test report")</f>
        <v>Click for test report</v>
      </c>
      <c r="C1420">
        <v>1976</v>
      </c>
      <c r="D1420" t="s">
        <v>4816</v>
      </c>
      <c r="F1420" t="s">
        <v>4395</v>
      </c>
      <c r="G1420" t="s">
        <v>3708</v>
      </c>
      <c r="H1420" t="s">
        <v>5241</v>
      </c>
      <c r="I1420" t="s">
        <v>50</v>
      </c>
      <c r="J1420" t="s">
        <v>348</v>
      </c>
      <c r="K1420" t="s">
        <v>4809</v>
      </c>
      <c r="L1420" t="s">
        <v>3319</v>
      </c>
      <c r="N1420" t="s">
        <v>1009</v>
      </c>
      <c r="O1420" t="s">
        <v>4818</v>
      </c>
    </row>
    <row r="1421" spans="1:15" x14ac:dyDescent="0.25">
      <c r="A1421">
        <v>1420</v>
      </c>
      <c r="B1421" t="str">
        <f>HYPERLINK("https://digitalcommons.unl.edu/cgi/viewcontent.cgi?article=2485&amp;context=tractormuseumlit","Click for test report")</f>
        <v>Click for test report</v>
      </c>
      <c r="C1421">
        <v>1976</v>
      </c>
      <c r="D1421" t="s">
        <v>5282</v>
      </c>
      <c r="F1421" t="s">
        <v>4503</v>
      </c>
      <c r="G1421" t="s">
        <v>4504</v>
      </c>
      <c r="H1421" t="s">
        <v>5283</v>
      </c>
      <c r="I1421" t="s">
        <v>50</v>
      </c>
      <c r="J1421" t="s">
        <v>29</v>
      </c>
      <c r="K1421" t="s">
        <v>21</v>
      </c>
      <c r="L1421" t="s">
        <v>1830</v>
      </c>
      <c r="N1421" t="s">
        <v>332</v>
      </c>
      <c r="O1421" t="s">
        <v>5284</v>
      </c>
    </row>
    <row r="1422" spans="1:15" x14ac:dyDescent="0.25">
      <c r="A1422">
        <v>1421</v>
      </c>
      <c r="B1422" t="str">
        <f>HYPERLINK("https://digitalcommons.unl.edu/cgi/viewcontent.cgi?article=2494&amp;context=tractormuseumlit","Click for test report")</f>
        <v>Click for test report</v>
      </c>
      <c r="C1422">
        <v>1976</v>
      </c>
      <c r="D1422" t="s">
        <v>5280</v>
      </c>
      <c r="F1422" t="s">
        <v>4503</v>
      </c>
      <c r="G1422" t="s">
        <v>4504</v>
      </c>
      <c r="H1422" t="s">
        <v>4655</v>
      </c>
      <c r="I1422" t="s">
        <v>1961</v>
      </c>
      <c r="J1422" t="s">
        <v>348</v>
      </c>
      <c r="K1422" t="s">
        <v>21</v>
      </c>
      <c r="L1422" t="s">
        <v>527</v>
      </c>
      <c r="N1422" t="s">
        <v>1386</v>
      </c>
      <c r="O1422" t="s">
        <v>5281</v>
      </c>
    </row>
    <row r="1423" spans="1:15" x14ac:dyDescent="0.25">
      <c r="A1423">
        <v>1422</v>
      </c>
      <c r="B1423" t="str">
        <f>HYPERLINK("https://digitalcommons.unl.edu/cgi/viewcontent.cgi?article=2520&amp;context=tractormuseumlit","Click for test report")</f>
        <v>Click for test report</v>
      </c>
      <c r="C1423">
        <v>1976</v>
      </c>
      <c r="D1423" t="s">
        <v>5279</v>
      </c>
      <c r="F1423" t="s">
        <v>4503</v>
      </c>
      <c r="G1423" t="s">
        <v>4504</v>
      </c>
      <c r="H1423" t="s">
        <v>5004</v>
      </c>
      <c r="I1423" t="s">
        <v>1961</v>
      </c>
      <c r="J1423" t="s">
        <v>348</v>
      </c>
      <c r="K1423" t="s">
        <v>21</v>
      </c>
      <c r="L1423" t="s">
        <v>747</v>
      </c>
      <c r="N1423" t="s">
        <v>353</v>
      </c>
      <c r="O1423" t="s">
        <v>5278</v>
      </c>
    </row>
    <row r="1424" spans="1:15" x14ac:dyDescent="0.25">
      <c r="A1424">
        <v>1423</v>
      </c>
      <c r="B1424" t="str">
        <f>HYPERLINK("https://digitalcommons.unl.edu/cgi/viewcontent.cgi?article=2521&amp;context=tractormuseumlit","Click for test report")</f>
        <v>Click for test report</v>
      </c>
      <c r="C1424">
        <v>1976</v>
      </c>
      <c r="D1424" t="s">
        <v>5277</v>
      </c>
      <c r="F1424" t="s">
        <v>4503</v>
      </c>
      <c r="G1424" t="s">
        <v>4504</v>
      </c>
      <c r="H1424" t="s">
        <v>5004</v>
      </c>
      <c r="I1424" t="s">
        <v>1961</v>
      </c>
      <c r="J1424" t="s">
        <v>348</v>
      </c>
      <c r="K1424" t="s">
        <v>4809</v>
      </c>
      <c r="L1424" t="s">
        <v>747</v>
      </c>
      <c r="N1424" t="s">
        <v>731</v>
      </c>
      <c r="O1424" t="s">
        <v>5278</v>
      </c>
    </row>
    <row r="1425" spans="1:15" x14ac:dyDescent="0.25">
      <c r="A1425">
        <v>1424</v>
      </c>
      <c r="B1425" t="str">
        <f>HYPERLINK("https://digitalcommons.unl.edu/cgi/viewcontent.cgi?article=2523&amp;context=tractormuseumlit","Click for test report")</f>
        <v>Click for test report</v>
      </c>
      <c r="C1425">
        <v>1976</v>
      </c>
      <c r="D1425" t="s">
        <v>5276</v>
      </c>
      <c r="F1425" t="s">
        <v>4503</v>
      </c>
      <c r="G1425" t="s">
        <v>4504</v>
      </c>
      <c r="H1425" t="s">
        <v>5001</v>
      </c>
      <c r="I1425" t="s">
        <v>2964</v>
      </c>
      <c r="J1425" t="s">
        <v>348</v>
      </c>
      <c r="K1425" t="s">
        <v>4809</v>
      </c>
      <c r="L1425" t="s">
        <v>2747</v>
      </c>
      <c r="N1425" t="s">
        <v>1970</v>
      </c>
      <c r="O1425" t="s">
        <v>5275</v>
      </c>
    </row>
    <row r="1426" spans="1:15" x14ac:dyDescent="0.25">
      <c r="A1426">
        <v>1425</v>
      </c>
      <c r="B1426" t="str">
        <f>HYPERLINK("https://digitalcommons.unl.edu/cgi/viewcontent.cgi?article=2525&amp;context=tractormuseumlit","Click for test report")</f>
        <v>Click for test report</v>
      </c>
      <c r="C1426">
        <v>1976</v>
      </c>
      <c r="D1426" t="s">
        <v>5274</v>
      </c>
      <c r="F1426" t="s">
        <v>4503</v>
      </c>
      <c r="G1426" t="s">
        <v>4504</v>
      </c>
      <c r="H1426" t="s">
        <v>5001</v>
      </c>
      <c r="I1426" t="s">
        <v>2964</v>
      </c>
      <c r="J1426" t="s">
        <v>348</v>
      </c>
      <c r="K1426" t="s">
        <v>21</v>
      </c>
      <c r="L1426" t="s">
        <v>2747</v>
      </c>
      <c r="N1426" t="s">
        <v>1994</v>
      </c>
      <c r="O1426" t="s">
        <v>5275</v>
      </c>
    </row>
    <row r="1427" spans="1:15" x14ac:dyDescent="0.25">
      <c r="A1427">
        <v>1426</v>
      </c>
      <c r="B1427" t="str">
        <f>HYPERLINK("https://digitalcommons.unl.edu/cgi/viewcontent.cgi?article=2527&amp;context=tractormuseumlit","Click for test report")</f>
        <v>Click for test report</v>
      </c>
      <c r="C1427">
        <v>1976</v>
      </c>
      <c r="D1427" t="s">
        <v>5272</v>
      </c>
      <c r="F1427" t="s">
        <v>17</v>
      </c>
      <c r="G1427" t="s">
        <v>17</v>
      </c>
      <c r="H1427" t="s">
        <v>4669</v>
      </c>
      <c r="I1427" t="s">
        <v>1961</v>
      </c>
      <c r="J1427" t="s">
        <v>348</v>
      </c>
      <c r="K1427" t="s">
        <v>21</v>
      </c>
      <c r="L1427" t="s">
        <v>1347</v>
      </c>
      <c r="N1427" t="s">
        <v>353</v>
      </c>
      <c r="O1427" t="s">
        <v>5273</v>
      </c>
    </row>
    <row r="1428" spans="1:15" x14ac:dyDescent="0.25">
      <c r="A1428">
        <v>1427</v>
      </c>
      <c r="B1428" t="str">
        <f>HYPERLINK("https://digitalcommons.unl.edu/cgi/viewcontent.cgi?article=2572&amp;context=tractormuseumlit","Click for test report")</f>
        <v>Click for test report</v>
      </c>
      <c r="C1428">
        <v>1976</v>
      </c>
      <c r="D1428" t="s">
        <v>5271</v>
      </c>
      <c r="F1428" t="s">
        <v>4395</v>
      </c>
      <c r="G1428" t="s">
        <v>3708</v>
      </c>
      <c r="H1428" t="s">
        <v>5235</v>
      </c>
      <c r="I1428" t="s">
        <v>50</v>
      </c>
      <c r="J1428" t="s">
        <v>348</v>
      </c>
      <c r="K1428" t="s">
        <v>21</v>
      </c>
      <c r="L1428" t="s">
        <v>1051</v>
      </c>
      <c r="N1428" t="s">
        <v>3319</v>
      </c>
      <c r="O1428" t="s">
        <v>3468</v>
      </c>
    </row>
    <row r="1429" spans="1:15" x14ac:dyDescent="0.25">
      <c r="A1429">
        <v>1428</v>
      </c>
      <c r="B1429" t="str">
        <f>HYPERLINK("https://digitalcommons.unl.edu/cgi/viewcontent.cgi?article=2573&amp;context=tractormuseumlit","Click for test report")</f>
        <v>Click for test report</v>
      </c>
      <c r="C1429">
        <v>1976</v>
      </c>
      <c r="D1429" t="s">
        <v>5269</v>
      </c>
      <c r="F1429" t="s">
        <v>4395</v>
      </c>
      <c r="G1429" t="s">
        <v>3708</v>
      </c>
      <c r="H1429" t="s">
        <v>5270</v>
      </c>
      <c r="I1429" t="s">
        <v>50</v>
      </c>
      <c r="J1429" t="s">
        <v>348</v>
      </c>
      <c r="K1429" t="s">
        <v>21</v>
      </c>
      <c r="L1429" t="s">
        <v>2511</v>
      </c>
      <c r="N1429" t="s">
        <v>2627</v>
      </c>
      <c r="O1429" t="s">
        <v>3468</v>
      </c>
    </row>
    <row r="1430" spans="1:15" x14ac:dyDescent="0.25">
      <c r="A1430">
        <v>1429</v>
      </c>
      <c r="B1430" t="str">
        <f>HYPERLINK("https://digitalcommons.unl.edu/cgi/viewcontent.cgi?article=2574&amp;context=tractormuseumlit","Click for test report")</f>
        <v>Click for test report</v>
      </c>
      <c r="C1430">
        <v>1976</v>
      </c>
      <c r="D1430" t="s">
        <v>5268</v>
      </c>
      <c r="F1430" t="s">
        <v>4395</v>
      </c>
      <c r="G1430" t="s">
        <v>3708</v>
      </c>
      <c r="H1430" t="s">
        <v>5236</v>
      </c>
      <c r="I1430" t="s">
        <v>50</v>
      </c>
      <c r="J1430" t="s">
        <v>348</v>
      </c>
      <c r="K1430" t="s">
        <v>21</v>
      </c>
      <c r="L1430" t="s">
        <v>2699</v>
      </c>
      <c r="N1430" t="s">
        <v>3388</v>
      </c>
      <c r="O1430" t="s">
        <v>4936</v>
      </c>
    </row>
    <row r="1431" spans="1:15" x14ac:dyDescent="0.25">
      <c r="A1431">
        <v>1430</v>
      </c>
      <c r="B1431" t="str">
        <f>HYPERLINK("https://digitalcommons.unl.edu/cgi/viewcontent.cgi?article=2575&amp;context=tractormuseumlit","Click for test report")</f>
        <v>Click for test report</v>
      </c>
      <c r="C1431">
        <v>1976</v>
      </c>
      <c r="D1431" t="s">
        <v>5267</v>
      </c>
      <c r="F1431" t="s">
        <v>4395</v>
      </c>
      <c r="G1431" t="s">
        <v>3708</v>
      </c>
      <c r="H1431" t="s">
        <v>5242</v>
      </c>
      <c r="I1431" t="s">
        <v>50</v>
      </c>
      <c r="J1431" t="s">
        <v>348</v>
      </c>
      <c r="K1431" t="s">
        <v>21</v>
      </c>
      <c r="L1431" t="s">
        <v>4012</v>
      </c>
      <c r="N1431" t="s">
        <v>4352</v>
      </c>
      <c r="O1431" t="s">
        <v>4936</v>
      </c>
    </row>
    <row r="1432" spans="1:15" x14ac:dyDescent="0.25">
      <c r="A1432">
        <v>1431</v>
      </c>
      <c r="B1432" t="str">
        <f>HYPERLINK("https://digitalcommons.unl.edu/cgi/viewcontent.cgi?article=3688&amp;context=tractormuseumlit","Click for test report")</f>
        <v>Click for test report</v>
      </c>
      <c r="C1432">
        <v>1976</v>
      </c>
      <c r="D1432" t="s">
        <v>5266</v>
      </c>
      <c r="G1432" t="s">
        <v>322</v>
      </c>
      <c r="O1432" t="s">
        <v>24</v>
      </c>
    </row>
    <row r="1433" spans="1:15" x14ac:dyDescent="0.25">
      <c r="A1433">
        <v>1432</v>
      </c>
      <c r="B1433" t="str">
        <f>HYPERLINK("https://digitalcommons.unl.edu/cgi/viewcontent.cgi?article=2576&amp;context=tractormuseumlit","Click for test report")</f>
        <v>Click for test report</v>
      </c>
      <c r="C1433">
        <v>1976</v>
      </c>
      <c r="D1433" t="s">
        <v>5265</v>
      </c>
      <c r="F1433" t="s">
        <v>4395</v>
      </c>
      <c r="G1433" t="s">
        <v>3708</v>
      </c>
      <c r="H1433" t="s">
        <v>5242</v>
      </c>
      <c r="I1433" t="s">
        <v>50</v>
      </c>
      <c r="J1433" t="s">
        <v>348</v>
      </c>
      <c r="K1433" t="s">
        <v>4809</v>
      </c>
      <c r="L1433" t="s">
        <v>4012</v>
      </c>
      <c r="N1433" t="s">
        <v>4589</v>
      </c>
      <c r="O1433" t="s">
        <v>4936</v>
      </c>
    </row>
    <row r="1434" spans="1:15" x14ac:dyDescent="0.25">
      <c r="A1434">
        <v>1433</v>
      </c>
      <c r="B1434" t="str">
        <f>HYPERLINK("https://digitalcommons.unl.edu/cgi/viewcontent.cgi?article=2577&amp;context=tractormuseumlit","Click for test report")</f>
        <v>Click for test report</v>
      </c>
      <c r="C1434">
        <v>1976</v>
      </c>
      <c r="D1434" t="s">
        <v>4814</v>
      </c>
      <c r="F1434" t="s">
        <v>4395</v>
      </c>
      <c r="G1434" t="s">
        <v>3708</v>
      </c>
      <c r="H1434" t="s">
        <v>5242</v>
      </c>
      <c r="I1434" t="s">
        <v>50</v>
      </c>
      <c r="J1434" t="s">
        <v>348</v>
      </c>
      <c r="K1434" t="s">
        <v>4809</v>
      </c>
      <c r="L1434" t="s">
        <v>3388</v>
      </c>
      <c r="N1434" t="s">
        <v>4440</v>
      </c>
      <c r="O1434" t="s">
        <v>3468</v>
      </c>
    </row>
    <row r="1435" spans="1:15" x14ac:dyDescent="0.25">
      <c r="A1435">
        <v>1434</v>
      </c>
      <c r="B1435" t="str">
        <f>HYPERLINK("https://digitalcommons.unl.edu/cgi/viewcontent.cgi?article=2578&amp;context=tractormuseumlit","Click for test report")</f>
        <v>Click for test report</v>
      </c>
      <c r="C1435">
        <v>1976</v>
      </c>
      <c r="D1435" t="s">
        <v>5264</v>
      </c>
      <c r="F1435" t="s">
        <v>4395</v>
      </c>
      <c r="G1435" t="s">
        <v>3708</v>
      </c>
      <c r="H1435" t="s">
        <v>5236</v>
      </c>
      <c r="I1435" t="s">
        <v>50</v>
      </c>
      <c r="J1435" t="s">
        <v>348</v>
      </c>
      <c r="K1435" t="s">
        <v>4809</v>
      </c>
      <c r="L1435" t="s">
        <v>2699</v>
      </c>
      <c r="N1435" t="s">
        <v>2825</v>
      </c>
      <c r="O1435" t="s">
        <v>4936</v>
      </c>
    </row>
    <row r="1436" spans="1:15" x14ac:dyDescent="0.25">
      <c r="A1436">
        <v>1435</v>
      </c>
      <c r="B1436" t="str">
        <f>HYPERLINK("https://digitalcommons.unl.edu/cgi/viewcontent.cgi?article=2579&amp;context=tractormuseumlit","Click for test report")</f>
        <v>Click for test report</v>
      </c>
      <c r="C1436">
        <v>1976</v>
      </c>
      <c r="D1436" t="s">
        <v>4471</v>
      </c>
      <c r="F1436" t="s">
        <v>4472</v>
      </c>
      <c r="G1436" t="s">
        <v>4472</v>
      </c>
      <c r="H1436" t="s">
        <v>4474</v>
      </c>
      <c r="I1436" t="s">
        <v>50</v>
      </c>
      <c r="J1436" t="s">
        <v>348</v>
      </c>
      <c r="K1436" t="s">
        <v>21</v>
      </c>
      <c r="L1436" t="s">
        <v>344</v>
      </c>
      <c r="N1436" t="s">
        <v>2747</v>
      </c>
      <c r="O1436" t="s">
        <v>4585</v>
      </c>
    </row>
    <row r="1437" spans="1:15" x14ac:dyDescent="0.25">
      <c r="A1437">
        <v>1436</v>
      </c>
      <c r="B1437" t="str">
        <f>HYPERLINK("https://digitalcommons.unl.edu/cgi/viewcontent.cgi?article=2580&amp;context=tractormuseumlit","Click for test report")</f>
        <v>Click for test report</v>
      </c>
      <c r="C1437">
        <v>1976</v>
      </c>
      <c r="D1437" t="s">
        <v>4480</v>
      </c>
      <c r="F1437" t="s">
        <v>4472</v>
      </c>
      <c r="G1437" t="s">
        <v>4473</v>
      </c>
      <c r="H1437" t="s">
        <v>4474</v>
      </c>
      <c r="I1437" t="s">
        <v>19</v>
      </c>
      <c r="J1437" t="s">
        <v>348</v>
      </c>
      <c r="K1437" t="s">
        <v>21</v>
      </c>
      <c r="L1437" t="s">
        <v>344</v>
      </c>
      <c r="N1437" t="s">
        <v>1257</v>
      </c>
      <c r="O1437" t="s">
        <v>5263</v>
      </c>
    </row>
    <row r="1438" spans="1:15" x14ac:dyDescent="0.25">
      <c r="A1438">
        <v>1437</v>
      </c>
      <c r="B1438" t="str">
        <f>HYPERLINK("https://digitalcommons.unl.edu/cgi/viewcontent.cgi?article=2580&amp;context=tractormuseumlit","Click for test report")</f>
        <v>Click for test report</v>
      </c>
      <c r="C1438">
        <v>1976</v>
      </c>
      <c r="D1438" t="s">
        <v>4480</v>
      </c>
      <c r="F1438" t="s">
        <v>4472</v>
      </c>
      <c r="G1438" t="s">
        <v>4472</v>
      </c>
      <c r="H1438" t="s">
        <v>4709</v>
      </c>
      <c r="I1438" t="s">
        <v>19</v>
      </c>
      <c r="J1438" t="s">
        <v>348</v>
      </c>
      <c r="K1438" t="s">
        <v>21</v>
      </c>
      <c r="L1438" t="s">
        <v>344</v>
      </c>
      <c r="N1438" t="s">
        <v>1257</v>
      </c>
      <c r="O1438" t="s">
        <v>5262</v>
      </c>
    </row>
    <row r="1439" spans="1:15" x14ac:dyDescent="0.25">
      <c r="A1439">
        <v>1438</v>
      </c>
      <c r="B1439" t="str">
        <f>HYPERLINK("https://digitalcommons.unl.edu/cgi/viewcontent.cgi?article=2581&amp;context=tractormuseumlit","Click for test report")</f>
        <v>Click for test report</v>
      </c>
      <c r="C1439">
        <v>1976</v>
      </c>
      <c r="D1439" t="s">
        <v>5258</v>
      </c>
      <c r="F1439" t="s">
        <v>5259</v>
      </c>
      <c r="G1439" t="s">
        <v>4473</v>
      </c>
      <c r="H1439" t="s">
        <v>5261</v>
      </c>
      <c r="I1439" t="s">
        <v>50</v>
      </c>
      <c r="J1439" t="s">
        <v>29</v>
      </c>
      <c r="K1439" t="s">
        <v>21</v>
      </c>
      <c r="L1439" t="s">
        <v>743</v>
      </c>
      <c r="N1439" t="s">
        <v>747</v>
      </c>
      <c r="O1439" t="s">
        <v>24</v>
      </c>
    </row>
    <row r="1440" spans="1:15" x14ac:dyDescent="0.25">
      <c r="A1440">
        <v>1439</v>
      </c>
      <c r="B1440" t="str">
        <f>HYPERLINK("https://digitalcommons.unl.edu/cgi/viewcontent.cgi?article=2581&amp;context=tractormuseumlit","Click for test report")</f>
        <v>Click for test report</v>
      </c>
      <c r="C1440">
        <v>1976</v>
      </c>
      <c r="D1440" t="s">
        <v>5258</v>
      </c>
      <c r="F1440" t="s">
        <v>5259</v>
      </c>
      <c r="G1440" t="s">
        <v>5259</v>
      </c>
      <c r="H1440" t="s">
        <v>5260</v>
      </c>
      <c r="I1440" t="s">
        <v>50</v>
      </c>
      <c r="J1440" t="s">
        <v>29</v>
      </c>
      <c r="K1440" t="s">
        <v>21</v>
      </c>
      <c r="L1440" t="s">
        <v>743</v>
      </c>
      <c r="N1440" t="s">
        <v>747</v>
      </c>
      <c r="O1440" t="s">
        <v>24</v>
      </c>
    </row>
    <row r="1441" spans="1:15" x14ac:dyDescent="0.25">
      <c r="A1441">
        <v>1440</v>
      </c>
      <c r="B1441" t="str">
        <f>HYPERLINK("https://digitalcommons.unl.edu/cgi/viewcontent.cgi?article=2582&amp;context=tractormuseumlit","Click for test report")</f>
        <v>Click for test report</v>
      </c>
      <c r="C1441">
        <v>1976</v>
      </c>
      <c r="D1441" t="s">
        <v>5256</v>
      </c>
      <c r="F1441" t="s">
        <v>4426</v>
      </c>
      <c r="G1441" t="s">
        <v>3166</v>
      </c>
      <c r="H1441" t="s">
        <v>5257</v>
      </c>
      <c r="I1441" t="s">
        <v>3474</v>
      </c>
      <c r="J1441" t="s">
        <v>348</v>
      </c>
      <c r="K1441" t="s">
        <v>21</v>
      </c>
      <c r="L1441" t="s">
        <v>1347</v>
      </c>
      <c r="N1441" t="s">
        <v>731</v>
      </c>
      <c r="O1441" t="s">
        <v>24</v>
      </c>
    </row>
    <row r="1442" spans="1:15" x14ac:dyDescent="0.25">
      <c r="A1442">
        <v>1441</v>
      </c>
      <c r="B1442" t="str">
        <f>HYPERLINK("https://digitalcommons.unl.edu/cgi/viewcontent.cgi?article=2583&amp;context=tractormuseumlit","Click for test report")</f>
        <v>Click for test report</v>
      </c>
      <c r="C1442">
        <v>1976</v>
      </c>
      <c r="D1442" t="s">
        <v>5254</v>
      </c>
      <c r="F1442" t="s">
        <v>4426</v>
      </c>
      <c r="G1442" t="s">
        <v>3166</v>
      </c>
      <c r="H1442" t="s">
        <v>5255</v>
      </c>
      <c r="I1442" t="s">
        <v>3474</v>
      </c>
      <c r="J1442" t="s">
        <v>348</v>
      </c>
      <c r="K1442" t="s">
        <v>21</v>
      </c>
      <c r="L1442" t="s">
        <v>1796</v>
      </c>
      <c r="N1442" t="s">
        <v>764</v>
      </c>
      <c r="O1442" t="s">
        <v>24</v>
      </c>
    </row>
    <row r="1443" spans="1:15" x14ac:dyDescent="0.25">
      <c r="A1443">
        <v>1442</v>
      </c>
      <c r="B1443" t="str">
        <f>HYPERLINK("https://digitalcommons.unl.edu/cgi/viewcontent.cgi?article=2584&amp;context=tractormuseumlit","Click for test report")</f>
        <v>Click for test report</v>
      </c>
      <c r="C1443">
        <v>1976</v>
      </c>
      <c r="D1443" t="s">
        <v>5253</v>
      </c>
      <c r="F1443" t="s">
        <v>778</v>
      </c>
      <c r="G1443" t="s">
        <v>778</v>
      </c>
      <c r="H1443" t="s">
        <v>5252</v>
      </c>
      <c r="I1443" t="s">
        <v>50</v>
      </c>
      <c r="J1443" t="s">
        <v>348</v>
      </c>
      <c r="K1443" t="s">
        <v>21</v>
      </c>
      <c r="L1443" t="s">
        <v>3388</v>
      </c>
      <c r="N1443" t="s">
        <v>4397</v>
      </c>
      <c r="O1443" t="s">
        <v>24</v>
      </c>
    </row>
    <row r="1444" spans="1:15" x14ac:dyDescent="0.25">
      <c r="A1444">
        <v>1443</v>
      </c>
      <c r="B1444" t="str">
        <f>HYPERLINK("https://digitalcommons.unl.edu/cgi/viewcontent.cgi?article=2585&amp;context=tractormuseumlit","Click for test report")</f>
        <v>Click for test report</v>
      </c>
      <c r="C1444">
        <v>1976</v>
      </c>
      <c r="D1444" t="s">
        <v>5251</v>
      </c>
      <c r="F1444" t="s">
        <v>778</v>
      </c>
      <c r="G1444" t="s">
        <v>778</v>
      </c>
      <c r="H1444" t="s">
        <v>5252</v>
      </c>
      <c r="I1444" t="s">
        <v>50</v>
      </c>
      <c r="J1444" t="s">
        <v>348</v>
      </c>
      <c r="K1444" t="s">
        <v>4809</v>
      </c>
      <c r="L1444" t="s">
        <v>3388</v>
      </c>
      <c r="N1444" t="s">
        <v>4397</v>
      </c>
      <c r="O1444" t="s">
        <v>24</v>
      </c>
    </row>
    <row r="1445" spans="1:15" x14ac:dyDescent="0.25">
      <c r="A1445">
        <v>1444</v>
      </c>
      <c r="B1445" t="str">
        <f>HYPERLINK("https://digitalcommons.unl.edu/cgi/viewcontent.cgi?article=2586&amp;context=tractormuseumlit","Click for test report")</f>
        <v>Click for test report</v>
      </c>
      <c r="C1445">
        <v>1976</v>
      </c>
      <c r="D1445" t="s">
        <v>5213</v>
      </c>
      <c r="F1445" t="s">
        <v>4503</v>
      </c>
      <c r="G1445" t="s">
        <v>4504</v>
      </c>
      <c r="H1445" t="s">
        <v>5250</v>
      </c>
      <c r="I1445" t="s">
        <v>50</v>
      </c>
      <c r="J1445" t="s">
        <v>29</v>
      </c>
      <c r="K1445" t="s">
        <v>21</v>
      </c>
      <c r="N1445" t="s">
        <v>1669</v>
      </c>
      <c r="O1445" t="s">
        <v>2163</v>
      </c>
    </row>
    <row r="1446" spans="1:15" x14ac:dyDescent="0.25">
      <c r="A1446">
        <v>1445</v>
      </c>
      <c r="B1446" t="str">
        <f>HYPERLINK("https://digitalcommons.unl.edu/cgi/viewcontent.cgi?article=2587&amp;context=tractormuseumlit","Click for test report")</f>
        <v>Click for test report</v>
      </c>
      <c r="C1446">
        <v>1976</v>
      </c>
      <c r="D1446" t="s">
        <v>5249</v>
      </c>
      <c r="F1446" t="s">
        <v>4395</v>
      </c>
      <c r="G1446" t="s">
        <v>3708</v>
      </c>
      <c r="H1446" t="s">
        <v>5239</v>
      </c>
      <c r="I1446" t="s">
        <v>50</v>
      </c>
      <c r="J1446" t="s">
        <v>348</v>
      </c>
      <c r="K1446" t="s">
        <v>21</v>
      </c>
      <c r="L1446" t="s">
        <v>1347</v>
      </c>
      <c r="N1446" t="s">
        <v>725</v>
      </c>
      <c r="O1446" t="s">
        <v>3468</v>
      </c>
    </row>
    <row r="1447" spans="1:15" x14ac:dyDescent="0.25">
      <c r="A1447">
        <v>1446</v>
      </c>
      <c r="B1447" t="str">
        <f>HYPERLINK("https://digitalcommons.unl.edu/cgi/viewcontent.cgi?article=2587&amp;context=tractormuseumlit","Click for test report")</f>
        <v>Click for test report</v>
      </c>
      <c r="C1447">
        <v>1976</v>
      </c>
      <c r="D1447" t="s">
        <v>5249</v>
      </c>
      <c r="F1447" t="s">
        <v>4395</v>
      </c>
      <c r="G1447" t="s">
        <v>3708</v>
      </c>
      <c r="H1447" t="s">
        <v>5189</v>
      </c>
      <c r="I1447" t="s">
        <v>50</v>
      </c>
      <c r="J1447" t="s">
        <v>348</v>
      </c>
      <c r="K1447" t="s">
        <v>21</v>
      </c>
      <c r="L1447" t="s">
        <v>1347</v>
      </c>
      <c r="N1447" t="s">
        <v>725</v>
      </c>
      <c r="O1447" t="s">
        <v>24</v>
      </c>
    </row>
    <row r="1448" spans="1:15" x14ac:dyDescent="0.25">
      <c r="A1448">
        <v>1447</v>
      </c>
      <c r="B1448" t="str">
        <f>HYPERLINK("https://digitalcommons.unl.edu/cgi/viewcontent.cgi?article=2588&amp;context=tractormuseumlit","Click for test report")</f>
        <v>Click for test report</v>
      </c>
      <c r="C1448">
        <v>1976</v>
      </c>
      <c r="D1448" t="s">
        <v>5246</v>
      </c>
      <c r="F1448" t="s">
        <v>3800</v>
      </c>
      <c r="G1448" t="s">
        <v>4473</v>
      </c>
      <c r="H1448" t="s">
        <v>5247</v>
      </c>
      <c r="I1448" t="s">
        <v>3474</v>
      </c>
      <c r="J1448" t="s">
        <v>348</v>
      </c>
      <c r="K1448" t="s">
        <v>21</v>
      </c>
      <c r="L1448" t="s">
        <v>1430</v>
      </c>
      <c r="N1448" t="s">
        <v>118</v>
      </c>
      <c r="O1448" t="s">
        <v>5248</v>
      </c>
    </row>
    <row r="1449" spans="1:15" x14ac:dyDescent="0.25">
      <c r="A1449">
        <v>1448</v>
      </c>
      <c r="B1449" t="str">
        <f>HYPERLINK("https://digitalcommons.unl.edu/cgi/viewcontent.cgi?article=2588&amp;context=tractormuseumlit","Click for test report")</f>
        <v>Click for test report</v>
      </c>
      <c r="C1449">
        <v>1976</v>
      </c>
      <c r="D1449" t="s">
        <v>5246</v>
      </c>
      <c r="F1449" t="s">
        <v>3800</v>
      </c>
      <c r="G1449" t="s">
        <v>4473</v>
      </c>
      <c r="H1449" t="s">
        <v>4404</v>
      </c>
      <c r="I1449" t="s">
        <v>3474</v>
      </c>
      <c r="J1449" t="s">
        <v>348</v>
      </c>
      <c r="K1449" t="s">
        <v>21</v>
      </c>
      <c r="L1449" t="s">
        <v>1430</v>
      </c>
      <c r="N1449" t="s">
        <v>118</v>
      </c>
      <c r="O1449" t="s">
        <v>24</v>
      </c>
    </row>
    <row r="1450" spans="1:15" x14ac:dyDescent="0.25">
      <c r="A1450">
        <v>1449</v>
      </c>
      <c r="B1450" t="str">
        <f>HYPERLINK("https://digitalcommons.unl.edu/cgi/viewcontent.cgi?article=2589&amp;context=tractormuseumlit","Click for test report")</f>
        <v>Click for test report</v>
      </c>
      <c r="C1450">
        <v>1976</v>
      </c>
      <c r="D1450" t="s">
        <v>5009</v>
      </c>
      <c r="F1450" t="s">
        <v>4344</v>
      </c>
      <c r="G1450" t="s">
        <v>4850</v>
      </c>
      <c r="H1450" t="s">
        <v>5245</v>
      </c>
      <c r="I1450" t="s">
        <v>50</v>
      </c>
      <c r="J1450" t="s">
        <v>348</v>
      </c>
      <c r="K1450" t="s">
        <v>21</v>
      </c>
      <c r="L1450" t="s">
        <v>1051</v>
      </c>
      <c r="N1450" t="s">
        <v>3319</v>
      </c>
      <c r="O1450" t="s">
        <v>24</v>
      </c>
    </row>
    <row r="1451" spans="1:15" x14ac:dyDescent="0.25">
      <c r="A1451">
        <v>1450</v>
      </c>
      <c r="B1451" t="str">
        <f>HYPERLINK("https://digitalcommons.unl.edu/cgi/viewcontent.cgi?article=2590&amp;context=tractormuseumlit","Click for test report")</f>
        <v>Click for test report</v>
      </c>
      <c r="C1451">
        <v>1976</v>
      </c>
      <c r="D1451" t="s">
        <v>5006</v>
      </c>
      <c r="F1451" t="s">
        <v>4344</v>
      </c>
      <c r="G1451" t="s">
        <v>4850</v>
      </c>
      <c r="H1451" t="s">
        <v>5244</v>
      </c>
      <c r="I1451" t="s">
        <v>50</v>
      </c>
      <c r="J1451" t="s">
        <v>348</v>
      </c>
      <c r="K1451" t="s">
        <v>21</v>
      </c>
      <c r="L1451" t="s">
        <v>2030</v>
      </c>
      <c r="N1451" t="s">
        <v>725</v>
      </c>
      <c r="O1451" t="s">
        <v>24</v>
      </c>
    </row>
    <row r="1452" spans="1:15" x14ac:dyDescent="0.25">
      <c r="A1452">
        <v>1451</v>
      </c>
      <c r="B1452" t="str">
        <f>HYPERLINK("https://digitalcommons.unl.edu/cgi/viewcontent.cgi?article=2591&amp;context=tractormuseumlit","Click for test report")</f>
        <v>Click for test report</v>
      </c>
      <c r="C1452">
        <v>1976</v>
      </c>
      <c r="D1452" t="s">
        <v>5243</v>
      </c>
      <c r="F1452" t="s">
        <v>4395</v>
      </c>
      <c r="G1452" t="s">
        <v>3708</v>
      </c>
      <c r="H1452" t="s">
        <v>5236</v>
      </c>
      <c r="I1452" t="s">
        <v>50</v>
      </c>
      <c r="J1452" t="s">
        <v>348</v>
      </c>
      <c r="K1452" t="s">
        <v>21</v>
      </c>
      <c r="L1452" t="s">
        <v>2699</v>
      </c>
      <c r="N1452" t="s">
        <v>3388</v>
      </c>
      <c r="O1452" t="s">
        <v>3468</v>
      </c>
    </row>
    <row r="1453" spans="1:15" x14ac:dyDescent="0.25">
      <c r="A1453">
        <v>1452</v>
      </c>
      <c r="B1453" t="str">
        <f>HYPERLINK("https://digitalcommons.unl.edu/cgi/viewcontent.cgi?article=2592&amp;context=tractormuseumlit","Click for test report")</f>
        <v>Click for test report</v>
      </c>
      <c r="C1453">
        <v>1976</v>
      </c>
      <c r="D1453" t="s">
        <v>4811</v>
      </c>
      <c r="F1453" t="s">
        <v>4395</v>
      </c>
      <c r="G1453" t="s">
        <v>3708</v>
      </c>
      <c r="H1453" t="s">
        <v>5242</v>
      </c>
      <c r="I1453" t="s">
        <v>50</v>
      </c>
      <c r="J1453" t="s">
        <v>348</v>
      </c>
      <c r="K1453" t="s">
        <v>21</v>
      </c>
      <c r="L1453" t="s">
        <v>4012</v>
      </c>
      <c r="N1453" t="s">
        <v>4589</v>
      </c>
      <c r="O1453" t="s">
        <v>3468</v>
      </c>
    </row>
    <row r="1454" spans="1:15" x14ac:dyDescent="0.25">
      <c r="A1454">
        <v>1453</v>
      </c>
      <c r="B1454" t="str">
        <f>HYPERLINK("https://digitalcommons.unl.edu/cgi/viewcontent.cgi?article=2593&amp;context=tractormuseumlit","Click for test report")</f>
        <v>Click for test report</v>
      </c>
      <c r="C1454">
        <v>1976</v>
      </c>
      <c r="D1454" t="s">
        <v>5240</v>
      </c>
      <c r="F1454" t="s">
        <v>4395</v>
      </c>
      <c r="G1454" t="s">
        <v>3708</v>
      </c>
      <c r="H1454" t="s">
        <v>5241</v>
      </c>
      <c r="I1454" t="s">
        <v>50</v>
      </c>
      <c r="J1454" t="s">
        <v>348</v>
      </c>
      <c r="K1454" t="s">
        <v>21</v>
      </c>
      <c r="L1454" t="s">
        <v>3319</v>
      </c>
      <c r="N1454" t="s">
        <v>2511</v>
      </c>
      <c r="O1454" t="s">
        <v>3468</v>
      </c>
    </row>
    <row r="1455" spans="1:15" x14ac:dyDescent="0.25">
      <c r="A1455">
        <v>1454</v>
      </c>
      <c r="B1455" t="str">
        <f>HYPERLINK("https://digitalcommons.unl.edu/cgi/viewcontent.cgi?article=2594&amp;context=tractormuseumlit","Click for test report")</f>
        <v>Click for test report</v>
      </c>
      <c r="C1455">
        <v>1976</v>
      </c>
      <c r="D1455" t="s">
        <v>5238</v>
      </c>
      <c r="F1455" t="s">
        <v>4395</v>
      </c>
      <c r="G1455" t="s">
        <v>3708</v>
      </c>
      <c r="H1455" t="s">
        <v>5239</v>
      </c>
      <c r="I1455" t="s">
        <v>1961</v>
      </c>
      <c r="J1455" t="s">
        <v>348</v>
      </c>
      <c r="K1455" t="s">
        <v>21</v>
      </c>
      <c r="L1455" t="s">
        <v>2030</v>
      </c>
      <c r="N1455" t="s">
        <v>353</v>
      </c>
      <c r="O1455" t="s">
        <v>3371</v>
      </c>
    </row>
    <row r="1456" spans="1:15" x14ac:dyDescent="0.25">
      <c r="A1456">
        <v>1455</v>
      </c>
      <c r="B1456" t="str">
        <f>HYPERLINK("https://digitalcommons.unl.edu/cgi/viewcontent.cgi?article=2595&amp;context=tractormuseumlit","Click for test report")</f>
        <v>Click for test report</v>
      </c>
      <c r="C1456">
        <v>1976</v>
      </c>
      <c r="D1456" t="s">
        <v>5237</v>
      </c>
      <c r="F1456" t="s">
        <v>4395</v>
      </c>
      <c r="G1456" t="s">
        <v>3708</v>
      </c>
      <c r="H1456" t="s">
        <v>3855</v>
      </c>
      <c r="I1456" t="s">
        <v>1961</v>
      </c>
      <c r="J1456" t="s">
        <v>348</v>
      </c>
      <c r="K1456" t="s">
        <v>21</v>
      </c>
      <c r="L1456" t="s">
        <v>343</v>
      </c>
      <c r="N1456" t="s">
        <v>1257</v>
      </c>
      <c r="O1456" t="s">
        <v>3371</v>
      </c>
    </row>
    <row r="1457" spans="1:15" x14ac:dyDescent="0.25">
      <c r="A1457">
        <v>1456</v>
      </c>
      <c r="B1457" t="str">
        <f>HYPERLINK("https://digitalcommons.unl.edu/cgi/viewcontent.cgi?article=2596&amp;context=tractormuseumlit","Click for test report")</f>
        <v>Click for test report</v>
      </c>
      <c r="C1457">
        <v>1976</v>
      </c>
      <c r="D1457" t="s">
        <v>4807</v>
      </c>
      <c r="F1457" t="s">
        <v>4395</v>
      </c>
      <c r="G1457" t="s">
        <v>3708</v>
      </c>
      <c r="H1457" t="s">
        <v>5236</v>
      </c>
      <c r="I1457" t="s">
        <v>50</v>
      </c>
      <c r="J1457" t="s">
        <v>348</v>
      </c>
      <c r="K1457" t="s">
        <v>4809</v>
      </c>
      <c r="L1457" t="s">
        <v>2699</v>
      </c>
      <c r="N1457" t="s">
        <v>2825</v>
      </c>
      <c r="O1457" t="s">
        <v>3468</v>
      </c>
    </row>
    <row r="1458" spans="1:15" x14ac:dyDescent="0.25">
      <c r="A1458">
        <v>1457</v>
      </c>
      <c r="B1458" t="str">
        <f>HYPERLINK("https://digitalcommons.unl.edu/cgi/viewcontent.cgi?article=2597&amp;context=tractormuseumlit","Click for test report")</f>
        <v>Click for test report</v>
      </c>
      <c r="C1458">
        <v>1976</v>
      </c>
      <c r="D1458" t="s">
        <v>5234</v>
      </c>
      <c r="F1458" t="s">
        <v>4395</v>
      </c>
      <c r="G1458" t="s">
        <v>3708</v>
      </c>
      <c r="H1458" t="s">
        <v>5235</v>
      </c>
      <c r="I1458" t="s">
        <v>1961</v>
      </c>
      <c r="J1458" t="s">
        <v>348</v>
      </c>
      <c r="K1458" t="s">
        <v>21</v>
      </c>
      <c r="L1458" t="s">
        <v>353</v>
      </c>
      <c r="N1458" t="s">
        <v>1650</v>
      </c>
      <c r="O1458" t="s">
        <v>3371</v>
      </c>
    </row>
    <row r="1459" spans="1:15" x14ac:dyDescent="0.25">
      <c r="A1459">
        <v>1458</v>
      </c>
      <c r="B1459" t="str">
        <f>HYPERLINK("https://digitalcommons.unl.edu/cgi/viewcontent.cgi?article=2598&amp;context=tractormuseumlit","Click for test report")</f>
        <v>Click for test report</v>
      </c>
      <c r="C1459">
        <v>1976</v>
      </c>
      <c r="D1459" t="s">
        <v>5230</v>
      </c>
      <c r="F1459" t="s">
        <v>5231</v>
      </c>
      <c r="G1459" t="s">
        <v>3708</v>
      </c>
      <c r="H1459" t="s">
        <v>5232</v>
      </c>
      <c r="I1459" t="s">
        <v>50</v>
      </c>
      <c r="J1459" t="s">
        <v>348</v>
      </c>
      <c r="K1459" t="s">
        <v>21</v>
      </c>
      <c r="L1459" t="s">
        <v>4358</v>
      </c>
      <c r="N1459" t="s">
        <v>4449</v>
      </c>
      <c r="O1459" t="s">
        <v>5233</v>
      </c>
    </row>
    <row r="1460" spans="1:15" x14ac:dyDescent="0.25">
      <c r="A1460">
        <v>1459</v>
      </c>
      <c r="B1460" t="str">
        <f>HYPERLINK("https://digitalcommons.unl.edu/cgi/viewcontent.cgi?article=2598&amp;context=tractormuseumlit","Click for test report")</f>
        <v>Click for test report</v>
      </c>
      <c r="C1460">
        <v>1976</v>
      </c>
      <c r="D1460" t="s">
        <v>5230</v>
      </c>
      <c r="F1460" t="s">
        <v>5231</v>
      </c>
      <c r="G1460" t="s">
        <v>3708</v>
      </c>
      <c r="H1460" t="s">
        <v>4298</v>
      </c>
      <c r="I1460" t="s">
        <v>50</v>
      </c>
      <c r="J1460" t="s">
        <v>348</v>
      </c>
      <c r="K1460" t="s">
        <v>21</v>
      </c>
      <c r="L1460" t="s">
        <v>4358</v>
      </c>
      <c r="N1460" t="s">
        <v>4449</v>
      </c>
      <c r="O1460" t="s">
        <v>24</v>
      </c>
    </row>
    <row r="1461" spans="1:15" x14ac:dyDescent="0.25">
      <c r="A1461">
        <v>1460</v>
      </c>
      <c r="B1461" t="str">
        <f>HYPERLINK("https://digitalcommons.unl.edu/cgi/viewcontent.cgi?article=2599&amp;context=tractormuseumlit","Click for test report")</f>
        <v>Click for test report</v>
      </c>
      <c r="C1461">
        <v>1976</v>
      </c>
      <c r="D1461" t="s">
        <v>5228</v>
      </c>
      <c r="F1461" t="s">
        <v>4325</v>
      </c>
      <c r="G1461" t="s">
        <v>4325</v>
      </c>
      <c r="H1461" t="s">
        <v>5229</v>
      </c>
      <c r="I1461" t="s">
        <v>1961</v>
      </c>
      <c r="J1461" t="s">
        <v>29</v>
      </c>
      <c r="K1461" t="s">
        <v>21</v>
      </c>
      <c r="L1461" t="s">
        <v>1029</v>
      </c>
      <c r="N1461" t="s">
        <v>1041</v>
      </c>
      <c r="O1461" t="s">
        <v>24</v>
      </c>
    </row>
    <row r="1462" spans="1:15" x14ac:dyDescent="0.25">
      <c r="A1462">
        <v>1461</v>
      </c>
      <c r="B1462" t="str">
        <f>HYPERLINK("https://digitalcommons.unl.edu/cgi/viewcontent.cgi?article=2600&amp;context=tractormuseumlit","Click for test report")</f>
        <v>Click for test report</v>
      </c>
      <c r="C1462">
        <v>1976</v>
      </c>
      <c r="D1462" t="s">
        <v>5226</v>
      </c>
      <c r="F1462" t="s">
        <v>5147</v>
      </c>
      <c r="G1462" t="s">
        <v>4325</v>
      </c>
      <c r="H1462" t="s">
        <v>5227</v>
      </c>
      <c r="I1462" t="s">
        <v>50</v>
      </c>
      <c r="J1462" t="s">
        <v>348</v>
      </c>
      <c r="K1462" t="s">
        <v>21</v>
      </c>
      <c r="L1462" t="s">
        <v>2699</v>
      </c>
      <c r="N1462" t="s">
        <v>2825</v>
      </c>
      <c r="O1462" t="s">
        <v>24</v>
      </c>
    </row>
    <row r="1463" spans="1:15" x14ac:dyDescent="0.25">
      <c r="A1463">
        <v>1462</v>
      </c>
      <c r="B1463" t="str">
        <f>HYPERLINK("https://digitalcommons.unl.edu/cgi/viewcontent.cgi?article=1441&amp;context=tractormuseumlit","Click for test report")</f>
        <v>Click for test report</v>
      </c>
      <c r="C1463">
        <v>1977</v>
      </c>
      <c r="D1463" t="s">
        <v>5223</v>
      </c>
      <c r="F1463" t="s">
        <v>17</v>
      </c>
      <c r="G1463" t="s">
        <v>17</v>
      </c>
      <c r="H1463" t="s">
        <v>5224</v>
      </c>
      <c r="I1463" t="s">
        <v>1961</v>
      </c>
      <c r="J1463" t="s">
        <v>348</v>
      </c>
      <c r="K1463" t="s">
        <v>21</v>
      </c>
      <c r="L1463" t="s">
        <v>1051</v>
      </c>
      <c r="N1463" t="s">
        <v>3319</v>
      </c>
      <c r="O1463" t="s">
        <v>5225</v>
      </c>
    </row>
    <row r="1464" spans="1:15" x14ac:dyDescent="0.25">
      <c r="A1464">
        <v>1463</v>
      </c>
      <c r="B1464" t="str">
        <f>HYPERLINK("https://digitalcommons.unl.edu/cgi/viewcontent.cgi?article=2476&amp;context=tractormuseumlit","Click for test report")</f>
        <v>Click for test report</v>
      </c>
      <c r="C1464">
        <v>1977</v>
      </c>
      <c r="D1464" t="s">
        <v>5220</v>
      </c>
      <c r="F1464" t="s">
        <v>4970</v>
      </c>
      <c r="G1464" t="s">
        <v>4970</v>
      </c>
      <c r="H1464" t="s">
        <v>5221</v>
      </c>
      <c r="I1464" t="s">
        <v>50</v>
      </c>
      <c r="J1464" t="s">
        <v>348</v>
      </c>
      <c r="K1464" t="s">
        <v>4809</v>
      </c>
      <c r="L1464" t="s">
        <v>4444</v>
      </c>
      <c r="N1464" t="s">
        <v>4449</v>
      </c>
      <c r="O1464" t="s">
        <v>5222</v>
      </c>
    </row>
    <row r="1465" spans="1:15" x14ac:dyDescent="0.25">
      <c r="A1465">
        <v>1464</v>
      </c>
      <c r="B1465" t="str">
        <f>HYPERLINK("https://digitalcommons.unl.edu/cgi/viewcontent.cgi?article=2538&amp;context=tractormuseumlit","Click for test report")</f>
        <v>Click for test report</v>
      </c>
      <c r="C1465">
        <v>1977</v>
      </c>
      <c r="D1465" t="s">
        <v>5216</v>
      </c>
      <c r="F1465" t="s">
        <v>3652</v>
      </c>
      <c r="G1465" t="s">
        <v>3652</v>
      </c>
      <c r="H1465" t="s">
        <v>5217</v>
      </c>
      <c r="I1465" t="s">
        <v>50</v>
      </c>
      <c r="J1465" t="s">
        <v>29</v>
      </c>
      <c r="K1465" t="s">
        <v>21</v>
      </c>
      <c r="N1465" t="s">
        <v>5218</v>
      </c>
      <c r="O1465" t="s">
        <v>5219</v>
      </c>
    </row>
    <row r="1466" spans="1:15" x14ac:dyDescent="0.25">
      <c r="A1466">
        <v>1465</v>
      </c>
      <c r="B1466" t="str">
        <f>HYPERLINK("https://digitalcommons.unl.edu/cgi/viewcontent.cgi?article=2586&amp;context=tractormuseumlit","Click for test report")</f>
        <v>Click for test report</v>
      </c>
      <c r="C1466">
        <v>1977</v>
      </c>
      <c r="D1466" t="s">
        <v>5213</v>
      </c>
      <c r="F1466" t="s">
        <v>4503</v>
      </c>
      <c r="G1466" t="s">
        <v>4504</v>
      </c>
      <c r="H1466" t="s">
        <v>5214</v>
      </c>
      <c r="I1466" t="s">
        <v>50</v>
      </c>
      <c r="J1466" t="s">
        <v>29</v>
      </c>
      <c r="K1466" t="s">
        <v>21</v>
      </c>
      <c r="N1466" t="s">
        <v>1669</v>
      </c>
      <c r="O1466" t="s">
        <v>5215</v>
      </c>
    </row>
    <row r="1467" spans="1:15" x14ac:dyDescent="0.25">
      <c r="A1467">
        <v>1466</v>
      </c>
      <c r="B1467" t="str">
        <f>HYPERLINK("https://digitalcommons.unl.edu/cgi/viewcontent.cgi?article=2601&amp;context=tractormuseumlit","Click for test report")</f>
        <v>Click for test report</v>
      </c>
      <c r="C1467">
        <v>1977</v>
      </c>
      <c r="D1467" t="s">
        <v>5211</v>
      </c>
      <c r="F1467" t="s">
        <v>4290</v>
      </c>
      <c r="G1467" t="s">
        <v>3166</v>
      </c>
      <c r="H1467" t="s">
        <v>5212</v>
      </c>
      <c r="I1467" t="s">
        <v>50</v>
      </c>
      <c r="J1467" t="s">
        <v>348</v>
      </c>
      <c r="K1467" t="s">
        <v>21</v>
      </c>
      <c r="L1467" t="s">
        <v>407</v>
      </c>
      <c r="N1467" t="s">
        <v>2627</v>
      </c>
      <c r="O1467" t="s">
        <v>24</v>
      </c>
    </row>
    <row r="1468" spans="1:15" x14ac:dyDescent="0.25">
      <c r="A1468">
        <v>1467</v>
      </c>
      <c r="B1468" t="str">
        <f>HYPERLINK("https://digitalcommons.unl.edu/cgi/viewcontent.cgi?article=2602&amp;context=tractormuseumlit","Click for test report")</f>
        <v>Click for test report</v>
      </c>
      <c r="C1468">
        <v>1977</v>
      </c>
      <c r="D1468" t="s">
        <v>5209</v>
      </c>
      <c r="F1468" t="s">
        <v>4290</v>
      </c>
      <c r="G1468" t="s">
        <v>3166</v>
      </c>
      <c r="H1468" t="s">
        <v>5210</v>
      </c>
      <c r="I1468" t="s">
        <v>50</v>
      </c>
      <c r="J1468" t="s">
        <v>348</v>
      </c>
      <c r="K1468" t="s">
        <v>21</v>
      </c>
      <c r="L1468" t="s">
        <v>728</v>
      </c>
      <c r="N1468" t="s">
        <v>1994</v>
      </c>
      <c r="O1468" t="s">
        <v>24</v>
      </c>
    </row>
    <row r="1469" spans="1:15" x14ac:dyDescent="0.25">
      <c r="A1469">
        <v>1468</v>
      </c>
      <c r="B1469" t="str">
        <f>HYPERLINK("https://digitalcommons.unl.edu/cgi/viewcontent.cgi?article=2603&amp;context=tractormuseumlit","Click for test report")</f>
        <v>Click for test report</v>
      </c>
      <c r="C1469">
        <v>1977</v>
      </c>
      <c r="D1469" t="s">
        <v>5207</v>
      </c>
      <c r="F1469" t="s">
        <v>3652</v>
      </c>
      <c r="G1469" t="s">
        <v>3652</v>
      </c>
      <c r="H1469" t="s">
        <v>5208</v>
      </c>
      <c r="I1469" t="s">
        <v>50</v>
      </c>
      <c r="J1469" t="s">
        <v>29</v>
      </c>
      <c r="K1469" t="s">
        <v>21</v>
      </c>
      <c r="N1469" t="s">
        <v>2660</v>
      </c>
      <c r="O1469" t="s">
        <v>2163</v>
      </c>
    </row>
    <row r="1470" spans="1:15" x14ac:dyDescent="0.25">
      <c r="A1470">
        <v>1469</v>
      </c>
      <c r="B1470" t="str">
        <f>HYPERLINK("https://digitalcommons.unl.edu/cgi/viewcontent.cgi?article=3688&amp;context=tractormuseumlit","Click for test report")</f>
        <v>Click for test report</v>
      </c>
      <c r="C1470">
        <v>1977</v>
      </c>
      <c r="D1470" t="s">
        <v>5206</v>
      </c>
      <c r="G1470" t="s">
        <v>322</v>
      </c>
      <c r="O1470" t="s">
        <v>24</v>
      </c>
    </row>
    <row r="1471" spans="1:15" x14ac:dyDescent="0.25">
      <c r="A1471">
        <v>1470</v>
      </c>
      <c r="B1471" t="str">
        <f>HYPERLINK("https://digitalcommons.unl.edu/cgi/viewcontent.cgi?article=2604&amp;context=tractormuseumlit","Click for test report")</f>
        <v>Click for test report</v>
      </c>
      <c r="C1471">
        <v>1977</v>
      </c>
      <c r="D1471" t="s">
        <v>5204</v>
      </c>
      <c r="F1471" t="s">
        <v>3652</v>
      </c>
      <c r="G1471" t="s">
        <v>3652</v>
      </c>
      <c r="H1471" t="s">
        <v>5205</v>
      </c>
      <c r="I1471" t="s">
        <v>50</v>
      </c>
      <c r="J1471" t="s">
        <v>29</v>
      </c>
      <c r="K1471" t="s">
        <v>21</v>
      </c>
      <c r="N1471" t="s">
        <v>206</v>
      </c>
      <c r="O1471" t="s">
        <v>2163</v>
      </c>
    </row>
    <row r="1472" spans="1:15" x14ac:dyDescent="0.25">
      <c r="A1472">
        <v>1471</v>
      </c>
      <c r="B1472" t="str">
        <f>HYPERLINK("https://digitalcommons.unl.edu/cgi/viewcontent.cgi?article=2605&amp;context=tractormuseumlit","Click for test report")</f>
        <v>Click for test report</v>
      </c>
      <c r="C1472">
        <v>1977</v>
      </c>
      <c r="D1472" t="s">
        <v>4712</v>
      </c>
      <c r="F1472" t="s">
        <v>3652</v>
      </c>
      <c r="G1472" t="s">
        <v>3652</v>
      </c>
      <c r="H1472" t="s">
        <v>5203</v>
      </c>
      <c r="I1472" t="s">
        <v>50</v>
      </c>
      <c r="J1472" t="s">
        <v>29</v>
      </c>
      <c r="K1472" t="s">
        <v>21</v>
      </c>
      <c r="N1472" t="s">
        <v>1176</v>
      </c>
      <c r="O1472" t="s">
        <v>2163</v>
      </c>
    </row>
    <row r="1473" spans="1:15" x14ac:dyDescent="0.25">
      <c r="A1473">
        <v>1472</v>
      </c>
      <c r="B1473" t="str">
        <f>HYPERLINK("https://digitalcommons.unl.edu/cgi/viewcontent.cgi?article=2606&amp;context=tractormuseumlit","Click for test report")</f>
        <v>Click for test report</v>
      </c>
      <c r="C1473">
        <v>1977</v>
      </c>
      <c r="D1473" t="s">
        <v>5199</v>
      </c>
      <c r="F1473" t="s">
        <v>3652</v>
      </c>
      <c r="G1473" t="s">
        <v>3652</v>
      </c>
      <c r="H1473" t="s">
        <v>5201</v>
      </c>
      <c r="I1473" t="s">
        <v>50</v>
      </c>
      <c r="J1473" t="s">
        <v>29</v>
      </c>
      <c r="K1473" t="s">
        <v>21</v>
      </c>
      <c r="N1473" t="s">
        <v>76</v>
      </c>
      <c r="O1473" t="s">
        <v>5202</v>
      </c>
    </row>
    <row r="1474" spans="1:15" x14ac:dyDescent="0.25">
      <c r="A1474">
        <v>1473</v>
      </c>
      <c r="B1474" t="str">
        <f>HYPERLINK("https://digitalcommons.unl.edu/cgi/viewcontent.cgi?article=2606&amp;context=tractormuseumlit","Click for test report")</f>
        <v>Click for test report</v>
      </c>
      <c r="C1474">
        <v>1977</v>
      </c>
      <c r="D1474" t="s">
        <v>5199</v>
      </c>
      <c r="F1474" t="s">
        <v>3652</v>
      </c>
      <c r="G1474" t="s">
        <v>3652</v>
      </c>
      <c r="H1474" t="s">
        <v>5200</v>
      </c>
      <c r="I1474" t="s">
        <v>50</v>
      </c>
      <c r="J1474" t="s">
        <v>29</v>
      </c>
      <c r="K1474" t="s">
        <v>21</v>
      </c>
      <c r="N1474" t="s">
        <v>76</v>
      </c>
      <c r="O1474" t="s">
        <v>2163</v>
      </c>
    </row>
    <row r="1475" spans="1:15" x14ac:dyDescent="0.25">
      <c r="A1475">
        <v>1474</v>
      </c>
      <c r="B1475" t="str">
        <f>HYPERLINK("https://digitalcommons.unl.edu/cgi/viewcontent.cgi?article=2607&amp;context=tractormuseumlit","Click for test report")</f>
        <v>Click for test report</v>
      </c>
      <c r="C1475">
        <v>1977</v>
      </c>
      <c r="D1475" t="s">
        <v>5198</v>
      </c>
      <c r="F1475" t="s">
        <v>3652</v>
      </c>
      <c r="G1475" t="s">
        <v>3652</v>
      </c>
      <c r="H1475" t="s">
        <v>5128</v>
      </c>
      <c r="I1475" t="s">
        <v>50</v>
      </c>
      <c r="J1475" t="s">
        <v>29</v>
      </c>
      <c r="K1475" t="s">
        <v>21</v>
      </c>
      <c r="N1475" t="s">
        <v>504</v>
      </c>
      <c r="O1475" t="s">
        <v>2163</v>
      </c>
    </row>
    <row r="1476" spans="1:15" x14ac:dyDescent="0.25">
      <c r="A1476">
        <v>1475</v>
      </c>
      <c r="B1476" t="str">
        <f>HYPERLINK("https://digitalcommons.unl.edu/cgi/viewcontent.cgi?article=2608&amp;context=tractormuseumlit","Click for test report")</f>
        <v>Click for test report</v>
      </c>
      <c r="C1476">
        <v>1977</v>
      </c>
      <c r="D1476" t="s">
        <v>5197</v>
      </c>
      <c r="F1476" t="s">
        <v>3652</v>
      </c>
      <c r="G1476" t="s">
        <v>3652</v>
      </c>
      <c r="H1476" t="s">
        <v>4739</v>
      </c>
      <c r="I1476" t="s">
        <v>50</v>
      </c>
      <c r="J1476" t="s">
        <v>29</v>
      </c>
      <c r="K1476" t="s">
        <v>21</v>
      </c>
      <c r="N1476" t="s">
        <v>552</v>
      </c>
      <c r="O1476" t="s">
        <v>2163</v>
      </c>
    </row>
    <row r="1477" spans="1:15" x14ac:dyDescent="0.25">
      <c r="A1477">
        <v>1476</v>
      </c>
      <c r="B1477" t="str">
        <f>HYPERLINK("https://digitalcommons.unl.edu/cgi/viewcontent.cgi?article=2609&amp;context=tractormuseumlit","Click for test report")</f>
        <v>Click for test report</v>
      </c>
      <c r="C1477">
        <v>1977</v>
      </c>
      <c r="D1477" t="s">
        <v>5195</v>
      </c>
      <c r="F1477" t="s">
        <v>4290</v>
      </c>
      <c r="G1477" t="s">
        <v>4325</v>
      </c>
      <c r="H1477" t="s">
        <v>5196</v>
      </c>
      <c r="I1477" t="s">
        <v>50</v>
      </c>
      <c r="J1477" t="s">
        <v>348</v>
      </c>
      <c r="K1477" t="s">
        <v>21</v>
      </c>
      <c r="L1477" t="s">
        <v>750</v>
      </c>
      <c r="N1477" t="s">
        <v>2511</v>
      </c>
      <c r="O1477" t="s">
        <v>24</v>
      </c>
    </row>
    <row r="1478" spans="1:15" x14ac:dyDescent="0.25">
      <c r="A1478">
        <v>1477</v>
      </c>
      <c r="B1478" t="str">
        <f>HYPERLINK("https://digitalcommons.unl.edu/cgi/viewcontent.cgi?article=2610&amp;context=tractormuseumlit","Click for test report")</f>
        <v>Click for test report</v>
      </c>
      <c r="C1478">
        <v>1977</v>
      </c>
      <c r="D1478" t="s">
        <v>5193</v>
      </c>
      <c r="F1478" t="s">
        <v>3800</v>
      </c>
      <c r="G1478" t="s">
        <v>4473</v>
      </c>
      <c r="H1478" t="s">
        <v>5194</v>
      </c>
      <c r="I1478" t="s">
        <v>3474</v>
      </c>
      <c r="J1478" t="s">
        <v>29</v>
      </c>
      <c r="K1478" t="s">
        <v>21</v>
      </c>
      <c r="L1478" t="s">
        <v>605</v>
      </c>
      <c r="N1478" t="s">
        <v>1444</v>
      </c>
      <c r="O1478" t="s">
        <v>24</v>
      </c>
    </row>
    <row r="1479" spans="1:15" x14ac:dyDescent="0.25">
      <c r="A1479">
        <v>1478</v>
      </c>
      <c r="B1479" t="str">
        <f>HYPERLINK("https://digitalcommons.unl.edu/cgi/viewcontent.cgi?article=2611&amp;context=tractormuseumlit","Click for test report")</f>
        <v>Click for test report</v>
      </c>
      <c r="C1479">
        <v>1977</v>
      </c>
      <c r="D1479" t="s">
        <v>5192</v>
      </c>
      <c r="F1479" t="s">
        <v>4395</v>
      </c>
      <c r="G1479" t="s">
        <v>3708</v>
      </c>
      <c r="H1479" t="s">
        <v>3850</v>
      </c>
      <c r="I1479" t="s">
        <v>1961</v>
      </c>
      <c r="J1479" t="s">
        <v>348</v>
      </c>
      <c r="K1479" t="s">
        <v>21</v>
      </c>
      <c r="L1479" t="s">
        <v>343</v>
      </c>
      <c r="N1479" t="s">
        <v>764</v>
      </c>
      <c r="O1479" t="s">
        <v>3371</v>
      </c>
    </row>
    <row r="1480" spans="1:15" x14ac:dyDescent="0.25">
      <c r="A1480">
        <v>1479</v>
      </c>
      <c r="B1480" t="str">
        <f>HYPERLINK("https://digitalcommons.unl.edu/cgi/viewcontent.cgi?article=2612&amp;context=tractormuseumlit","Click for test report")</f>
        <v>Click for test report</v>
      </c>
      <c r="C1480">
        <v>1977</v>
      </c>
      <c r="D1480" t="s">
        <v>5190</v>
      </c>
      <c r="F1480" t="s">
        <v>4395</v>
      </c>
      <c r="G1480" t="s">
        <v>3708</v>
      </c>
      <c r="H1480" t="s">
        <v>5191</v>
      </c>
      <c r="I1480" t="s">
        <v>1961</v>
      </c>
      <c r="J1480" t="s">
        <v>348</v>
      </c>
      <c r="K1480" t="s">
        <v>21</v>
      </c>
      <c r="L1480" t="s">
        <v>1514</v>
      </c>
      <c r="N1480" t="s">
        <v>333</v>
      </c>
      <c r="O1480" t="s">
        <v>3371</v>
      </c>
    </row>
    <row r="1481" spans="1:15" x14ac:dyDescent="0.25">
      <c r="A1481">
        <v>1480</v>
      </c>
      <c r="B1481" t="str">
        <f>HYPERLINK("https://digitalcommons.unl.edu/cgi/viewcontent.cgi?article=2613&amp;context=tractormuseumlit","Click for test report")</f>
        <v>Click for test report</v>
      </c>
      <c r="C1481">
        <v>1977</v>
      </c>
      <c r="D1481" t="s">
        <v>5188</v>
      </c>
      <c r="F1481" t="s">
        <v>4395</v>
      </c>
      <c r="G1481" t="s">
        <v>3708</v>
      </c>
      <c r="H1481" t="s">
        <v>5189</v>
      </c>
      <c r="I1481" t="s">
        <v>1961</v>
      </c>
      <c r="J1481" t="s">
        <v>348</v>
      </c>
      <c r="K1481" t="s">
        <v>21</v>
      </c>
      <c r="L1481" t="s">
        <v>2030</v>
      </c>
      <c r="N1481" t="s">
        <v>353</v>
      </c>
      <c r="O1481" t="s">
        <v>3371</v>
      </c>
    </row>
    <row r="1482" spans="1:15" x14ac:dyDescent="0.25">
      <c r="A1482">
        <v>1481</v>
      </c>
      <c r="B1482" t="str">
        <f>HYPERLINK("https://digitalcommons.unl.edu/cgi/viewcontent.cgi?article=2614&amp;context=tractormuseumlit","Click for test report")</f>
        <v>Click for test report</v>
      </c>
      <c r="C1482">
        <v>1977</v>
      </c>
      <c r="D1482" t="s">
        <v>5186</v>
      </c>
      <c r="F1482" t="s">
        <v>4395</v>
      </c>
      <c r="G1482" t="s">
        <v>3708</v>
      </c>
      <c r="H1482" t="s">
        <v>5187</v>
      </c>
      <c r="I1482" t="s">
        <v>1961</v>
      </c>
      <c r="J1482" t="s">
        <v>348</v>
      </c>
      <c r="K1482" t="s">
        <v>21</v>
      </c>
      <c r="L1482" t="s">
        <v>23</v>
      </c>
      <c r="N1482" t="s">
        <v>46</v>
      </c>
      <c r="O1482" t="s">
        <v>3371</v>
      </c>
    </row>
    <row r="1483" spans="1:15" x14ac:dyDescent="0.25">
      <c r="A1483">
        <v>1482</v>
      </c>
      <c r="B1483" t="str">
        <f>HYPERLINK("https://digitalcommons.unl.edu/cgi/viewcontent.cgi?article=2615&amp;context=tractormuseumlit","Click for test report")</f>
        <v>Click for test report</v>
      </c>
      <c r="C1483">
        <v>1977</v>
      </c>
      <c r="D1483" t="s">
        <v>5184</v>
      </c>
      <c r="F1483" t="s">
        <v>3652</v>
      </c>
      <c r="G1483" t="s">
        <v>3652</v>
      </c>
      <c r="H1483" t="s">
        <v>5185</v>
      </c>
      <c r="I1483" t="s">
        <v>50</v>
      </c>
      <c r="J1483" t="s">
        <v>29</v>
      </c>
      <c r="K1483" t="s">
        <v>21</v>
      </c>
      <c r="N1483" t="s">
        <v>115</v>
      </c>
      <c r="O1483" t="s">
        <v>2163</v>
      </c>
    </row>
    <row r="1484" spans="1:15" x14ac:dyDescent="0.25">
      <c r="A1484">
        <v>1483</v>
      </c>
      <c r="B1484" t="str">
        <f>HYPERLINK("https://digitalcommons.unl.edu/cgi/viewcontent.cgi?article=2616&amp;context=tractormuseumlit","Click for test report")</f>
        <v>Click for test report</v>
      </c>
      <c r="C1484">
        <v>1977</v>
      </c>
      <c r="D1484" t="s">
        <v>5180</v>
      </c>
      <c r="F1484" t="s">
        <v>4503</v>
      </c>
      <c r="G1484" t="s">
        <v>4504</v>
      </c>
      <c r="H1484" t="s">
        <v>5181</v>
      </c>
      <c r="I1484" t="s">
        <v>1961</v>
      </c>
      <c r="J1484" t="s">
        <v>348</v>
      </c>
      <c r="K1484" t="s">
        <v>21</v>
      </c>
      <c r="L1484" t="s">
        <v>119</v>
      </c>
      <c r="N1484" t="s">
        <v>446</v>
      </c>
      <c r="O1484" t="s">
        <v>5183</v>
      </c>
    </row>
    <row r="1485" spans="1:15" x14ac:dyDescent="0.25">
      <c r="A1485">
        <v>1484</v>
      </c>
      <c r="B1485" t="str">
        <f>HYPERLINK("https://digitalcommons.unl.edu/cgi/viewcontent.cgi?article=2616&amp;context=tractormuseumlit","Click for test report")</f>
        <v>Click for test report</v>
      </c>
      <c r="C1485">
        <v>1977</v>
      </c>
      <c r="D1485" t="s">
        <v>5180</v>
      </c>
      <c r="F1485" t="s">
        <v>4503</v>
      </c>
      <c r="G1485" t="s">
        <v>4504</v>
      </c>
      <c r="H1485" t="s">
        <v>5181</v>
      </c>
      <c r="I1485" t="s">
        <v>1961</v>
      </c>
      <c r="J1485" t="s">
        <v>348</v>
      </c>
      <c r="K1485" t="s">
        <v>21</v>
      </c>
      <c r="L1485" t="s">
        <v>119</v>
      </c>
      <c r="N1485" t="s">
        <v>122</v>
      </c>
      <c r="O1485" t="s">
        <v>5182</v>
      </c>
    </row>
    <row r="1486" spans="1:15" x14ac:dyDescent="0.25">
      <c r="A1486">
        <v>1485</v>
      </c>
      <c r="B1486" t="str">
        <f>HYPERLINK("https://digitalcommons.unl.edu/cgi/viewcontent.cgi?article=2617&amp;context=tractormuseumlit","Click for test report")</f>
        <v>Click for test report</v>
      </c>
      <c r="C1486">
        <v>1977</v>
      </c>
      <c r="D1486" t="s">
        <v>5179</v>
      </c>
      <c r="F1486" t="s">
        <v>4503</v>
      </c>
      <c r="G1486" t="s">
        <v>4504</v>
      </c>
      <c r="H1486" t="s">
        <v>4356</v>
      </c>
      <c r="I1486" t="s">
        <v>1961</v>
      </c>
      <c r="J1486" t="s">
        <v>348</v>
      </c>
      <c r="K1486" t="s">
        <v>21</v>
      </c>
      <c r="L1486" t="s">
        <v>786</v>
      </c>
      <c r="N1486" t="s">
        <v>474</v>
      </c>
      <c r="O1486" t="s">
        <v>24</v>
      </c>
    </row>
    <row r="1487" spans="1:15" x14ac:dyDescent="0.25">
      <c r="A1487">
        <v>1486</v>
      </c>
      <c r="B1487" t="str">
        <f>HYPERLINK("https://digitalcommons.unl.edu/cgi/viewcontent.cgi?article=2618&amp;context=tractormuseumlit","Click for test report")</f>
        <v>Click for test report</v>
      </c>
      <c r="C1487">
        <v>1977</v>
      </c>
      <c r="D1487" t="s">
        <v>5177</v>
      </c>
      <c r="F1487" t="s">
        <v>17</v>
      </c>
      <c r="G1487" t="s">
        <v>17</v>
      </c>
      <c r="H1487" t="s">
        <v>5178</v>
      </c>
      <c r="I1487" t="s">
        <v>1961</v>
      </c>
      <c r="J1487" t="s">
        <v>348</v>
      </c>
      <c r="K1487" t="s">
        <v>21</v>
      </c>
      <c r="L1487" t="s">
        <v>344</v>
      </c>
      <c r="N1487" t="s">
        <v>1257</v>
      </c>
      <c r="O1487" t="s">
        <v>24</v>
      </c>
    </row>
    <row r="1488" spans="1:15" x14ac:dyDescent="0.25">
      <c r="A1488">
        <v>1487</v>
      </c>
      <c r="B1488" t="str">
        <f>HYPERLINK("https://digitalcommons.unl.edu/cgi/viewcontent.cgi?article=2619&amp;context=tractormuseumlit","Click for test report")</f>
        <v>Click for test report</v>
      </c>
      <c r="C1488">
        <v>1977</v>
      </c>
      <c r="D1488" t="s">
        <v>4761</v>
      </c>
      <c r="F1488" t="s">
        <v>778</v>
      </c>
      <c r="G1488" t="s">
        <v>778</v>
      </c>
      <c r="H1488" t="s">
        <v>5176</v>
      </c>
      <c r="I1488" t="s">
        <v>1961</v>
      </c>
      <c r="J1488" t="s">
        <v>348</v>
      </c>
      <c r="K1488" t="s">
        <v>21</v>
      </c>
      <c r="L1488" t="s">
        <v>3319</v>
      </c>
      <c r="N1488" t="s">
        <v>1009</v>
      </c>
      <c r="O1488" t="s">
        <v>24</v>
      </c>
    </row>
    <row r="1489" spans="1:15" x14ac:dyDescent="0.25">
      <c r="A1489">
        <v>1488</v>
      </c>
      <c r="B1489" t="str">
        <f>HYPERLINK("https://digitalcommons.unl.edu/cgi/viewcontent.cgi?article=2620&amp;context=tractormuseumlit","Click for test report")</f>
        <v>Click for test report</v>
      </c>
      <c r="C1489">
        <v>1977</v>
      </c>
      <c r="D1489" t="s">
        <v>5175</v>
      </c>
      <c r="F1489" t="s">
        <v>778</v>
      </c>
      <c r="G1489" t="s">
        <v>778</v>
      </c>
      <c r="H1489" t="s">
        <v>5174</v>
      </c>
      <c r="I1489" t="s">
        <v>1961</v>
      </c>
      <c r="J1489" t="s">
        <v>348</v>
      </c>
      <c r="K1489" t="s">
        <v>21</v>
      </c>
      <c r="L1489" t="s">
        <v>3152</v>
      </c>
      <c r="N1489" t="s">
        <v>3973</v>
      </c>
      <c r="O1489" t="s">
        <v>24</v>
      </c>
    </row>
    <row r="1490" spans="1:15" x14ac:dyDescent="0.25">
      <c r="A1490">
        <v>1489</v>
      </c>
      <c r="B1490" t="str">
        <f>HYPERLINK("https://digitalcommons.unl.edu/cgi/viewcontent.cgi?article=2621&amp;context=tractormuseumlit","Click for test report")</f>
        <v>Click for test report</v>
      </c>
      <c r="C1490">
        <v>1977</v>
      </c>
      <c r="D1490" t="s">
        <v>5173</v>
      </c>
      <c r="F1490" t="s">
        <v>778</v>
      </c>
      <c r="G1490" t="s">
        <v>778</v>
      </c>
      <c r="H1490" t="s">
        <v>5174</v>
      </c>
      <c r="I1490" t="s">
        <v>50</v>
      </c>
      <c r="J1490" t="s">
        <v>348</v>
      </c>
      <c r="K1490" t="s">
        <v>4809</v>
      </c>
      <c r="L1490" t="s">
        <v>2627</v>
      </c>
      <c r="N1490" t="s">
        <v>2825</v>
      </c>
      <c r="O1490" t="s">
        <v>24</v>
      </c>
    </row>
    <row r="1491" spans="1:15" x14ac:dyDescent="0.25">
      <c r="A1491">
        <v>1490</v>
      </c>
      <c r="B1491" t="str">
        <f>HYPERLINK("https://digitalcommons.unl.edu/cgi/viewcontent.cgi?article=3688&amp;context=tractormuseumlit","Click for test report")</f>
        <v>Click for test report</v>
      </c>
      <c r="C1491">
        <v>1977</v>
      </c>
      <c r="D1491" t="s">
        <v>5172</v>
      </c>
      <c r="G1491" t="s">
        <v>322</v>
      </c>
      <c r="O1491" t="s">
        <v>24</v>
      </c>
    </row>
    <row r="1492" spans="1:15" x14ac:dyDescent="0.25">
      <c r="A1492">
        <v>1491</v>
      </c>
      <c r="B1492" t="str">
        <f>HYPERLINK("https://digitalcommons.unl.edu/cgi/viewcontent.cgi?article=2622&amp;context=tractormuseumlit","Click for test report")</f>
        <v>Click for test report</v>
      </c>
      <c r="C1492">
        <v>1977</v>
      </c>
      <c r="D1492" t="s">
        <v>5170</v>
      </c>
      <c r="F1492" t="s">
        <v>4503</v>
      </c>
      <c r="G1492" t="s">
        <v>4504</v>
      </c>
      <c r="H1492" t="s">
        <v>4996</v>
      </c>
      <c r="I1492" t="s">
        <v>1961</v>
      </c>
      <c r="J1492" t="s">
        <v>348</v>
      </c>
      <c r="K1492" t="s">
        <v>21</v>
      </c>
      <c r="L1492" t="s">
        <v>55</v>
      </c>
      <c r="N1492" t="s">
        <v>740</v>
      </c>
      <c r="O1492" t="s">
        <v>5171</v>
      </c>
    </row>
    <row r="1493" spans="1:15" x14ac:dyDescent="0.25">
      <c r="A1493">
        <v>1492</v>
      </c>
      <c r="B1493" t="str">
        <f>HYPERLINK("https://digitalcommons.unl.edu/cgi/viewcontent.cgi?article=2623&amp;context=tractormuseumlit","Click for test report")</f>
        <v>Click for test report</v>
      </c>
      <c r="C1493">
        <v>1977</v>
      </c>
      <c r="D1493" t="s">
        <v>5168</v>
      </c>
      <c r="F1493" t="s">
        <v>4503</v>
      </c>
      <c r="G1493" t="s">
        <v>4504</v>
      </c>
      <c r="H1493" t="s">
        <v>5169</v>
      </c>
      <c r="I1493" t="s">
        <v>1961</v>
      </c>
      <c r="J1493" t="s">
        <v>348</v>
      </c>
      <c r="K1493" t="s">
        <v>21</v>
      </c>
      <c r="L1493" t="s">
        <v>130</v>
      </c>
      <c r="N1493" t="s">
        <v>247</v>
      </c>
      <c r="O1493" t="s">
        <v>24</v>
      </c>
    </row>
    <row r="1494" spans="1:15" x14ac:dyDescent="0.25">
      <c r="A1494">
        <v>1493</v>
      </c>
      <c r="B1494" t="str">
        <f>HYPERLINK("https://digitalcommons.unl.edu/cgi/viewcontent.cgi?article=2624&amp;context=tractormuseumlit","Click for test report")</f>
        <v>Click for test report</v>
      </c>
      <c r="C1494">
        <v>1977</v>
      </c>
      <c r="D1494" t="s">
        <v>5166</v>
      </c>
      <c r="F1494" t="s">
        <v>4503</v>
      </c>
      <c r="G1494" t="s">
        <v>4504</v>
      </c>
      <c r="H1494" t="s">
        <v>5167</v>
      </c>
      <c r="I1494" t="s">
        <v>50</v>
      </c>
      <c r="J1494" t="s">
        <v>29</v>
      </c>
      <c r="K1494" t="s">
        <v>21</v>
      </c>
      <c r="N1494" t="s">
        <v>821</v>
      </c>
      <c r="O1494" t="s">
        <v>2163</v>
      </c>
    </row>
    <row r="1495" spans="1:15" x14ac:dyDescent="0.25">
      <c r="A1495">
        <v>1494</v>
      </c>
      <c r="B1495" t="str">
        <f>HYPERLINK("https://digitalcommons.unl.edu/cgi/viewcontent.cgi?article=2625&amp;context=tractormuseumlit","Click for test report")</f>
        <v>Click for test report</v>
      </c>
      <c r="C1495">
        <v>1977</v>
      </c>
      <c r="D1495" t="s">
        <v>5164</v>
      </c>
      <c r="F1495" t="s">
        <v>4503</v>
      </c>
      <c r="G1495" t="s">
        <v>4504</v>
      </c>
      <c r="H1495" t="s">
        <v>5165</v>
      </c>
      <c r="I1495" t="s">
        <v>2964</v>
      </c>
      <c r="J1495" t="s">
        <v>348</v>
      </c>
      <c r="K1495" t="s">
        <v>21</v>
      </c>
      <c r="L1495" t="s">
        <v>130</v>
      </c>
      <c r="N1495" t="s">
        <v>565</v>
      </c>
      <c r="O1495" t="s">
        <v>24</v>
      </c>
    </row>
    <row r="1496" spans="1:15" x14ac:dyDescent="0.25">
      <c r="A1496">
        <v>1495</v>
      </c>
      <c r="B1496" t="str">
        <f>HYPERLINK("https://digitalcommons.unl.edu/cgi/viewcontent.cgi?article=2626&amp;context=tractormuseumlit","Click for test report")</f>
        <v>Click for test report</v>
      </c>
      <c r="C1496">
        <v>1977</v>
      </c>
      <c r="D1496" t="s">
        <v>5163</v>
      </c>
      <c r="F1496" t="s">
        <v>778</v>
      </c>
      <c r="G1496" t="s">
        <v>778</v>
      </c>
      <c r="H1496" t="s">
        <v>4863</v>
      </c>
      <c r="I1496" t="s">
        <v>3474</v>
      </c>
      <c r="J1496" t="s">
        <v>348</v>
      </c>
      <c r="K1496" t="s">
        <v>21</v>
      </c>
      <c r="L1496" t="s">
        <v>2273</v>
      </c>
      <c r="N1496" t="s">
        <v>1041</v>
      </c>
      <c r="O1496" t="s">
        <v>3413</v>
      </c>
    </row>
    <row r="1497" spans="1:15" x14ac:dyDescent="0.25">
      <c r="A1497">
        <v>1496</v>
      </c>
      <c r="B1497" t="str">
        <f>HYPERLINK("https://digitalcommons.unl.edu/cgi/viewcontent.cgi?article=2627&amp;context=tractormuseumlit","Click for test report")</f>
        <v>Click for test report</v>
      </c>
      <c r="C1497">
        <v>1977</v>
      </c>
      <c r="D1497" t="s">
        <v>5162</v>
      </c>
      <c r="F1497" t="s">
        <v>4325</v>
      </c>
      <c r="G1497" t="s">
        <v>4325</v>
      </c>
      <c r="H1497" t="s">
        <v>5161</v>
      </c>
      <c r="I1497" t="s">
        <v>1808</v>
      </c>
      <c r="J1497" t="s">
        <v>348</v>
      </c>
      <c r="K1497" t="s">
        <v>21</v>
      </c>
      <c r="L1497" t="s">
        <v>126</v>
      </c>
      <c r="N1497" t="s">
        <v>130</v>
      </c>
      <c r="O1497" t="s">
        <v>24</v>
      </c>
    </row>
    <row r="1498" spans="1:15" x14ac:dyDescent="0.25">
      <c r="A1498">
        <v>1497</v>
      </c>
      <c r="B1498" t="str">
        <f>HYPERLINK("https://digitalcommons.unl.edu/cgi/viewcontent.cgi?article=2628&amp;context=tractormuseumlit","Click for test report")</f>
        <v>Click for test report</v>
      </c>
      <c r="C1498">
        <v>1977</v>
      </c>
      <c r="D1498" t="s">
        <v>5160</v>
      </c>
      <c r="F1498" t="s">
        <v>4325</v>
      </c>
      <c r="G1498" t="s">
        <v>4325</v>
      </c>
      <c r="H1498" t="s">
        <v>5161</v>
      </c>
      <c r="I1498" t="s">
        <v>1961</v>
      </c>
      <c r="J1498" t="s">
        <v>348</v>
      </c>
      <c r="K1498" t="s">
        <v>21</v>
      </c>
      <c r="L1498" t="s">
        <v>126</v>
      </c>
      <c r="N1498" t="s">
        <v>705</v>
      </c>
      <c r="O1498" t="s">
        <v>24</v>
      </c>
    </row>
    <row r="1499" spans="1:15" x14ac:dyDescent="0.25">
      <c r="A1499">
        <v>1498</v>
      </c>
      <c r="B1499" t="str">
        <f>HYPERLINK("https://digitalcommons.unl.edu/cgi/viewcontent.cgi?article=2629&amp;context=tractormuseumlit","Click for test report")</f>
        <v>Click for test report</v>
      </c>
      <c r="C1499">
        <v>1977</v>
      </c>
      <c r="D1499" t="s">
        <v>5159</v>
      </c>
      <c r="F1499" t="s">
        <v>4325</v>
      </c>
      <c r="G1499" t="s">
        <v>4325</v>
      </c>
      <c r="H1499" t="s">
        <v>5061</v>
      </c>
      <c r="I1499" t="s">
        <v>1961</v>
      </c>
      <c r="J1499" t="s">
        <v>348</v>
      </c>
      <c r="K1499" t="s">
        <v>21</v>
      </c>
      <c r="L1499" t="s">
        <v>328</v>
      </c>
      <c r="N1499" t="s">
        <v>1386</v>
      </c>
      <c r="O1499" t="s">
        <v>24</v>
      </c>
    </row>
    <row r="1500" spans="1:15" x14ac:dyDescent="0.25">
      <c r="A1500">
        <v>1499</v>
      </c>
      <c r="B1500" t="str">
        <f>HYPERLINK("https://digitalcommons.unl.edu/cgi/viewcontent.cgi?article=2630&amp;context=tractormuseumlit","Click for test report")</f>
        <v>Click for test report</v>
      </c>
      <c r="C1500">
        <v>1977</v>
      </c>
      <c r="D1500" t="s">
        <v>5158</v>
      </c>
      <c r="F1500" t="s">
        <v>4325</v>
      </c>
      <c r="G1500" t="s">
        <v>4325</v>
      </c>
      <c r="H1500" t="s">
        <v>3678</v>
      </c>
      <c r="I1500" t="s">
        <v>1961</v>
      </c>
      <c r="J1500" t="s">
        <v>29</v>
      </c>
      <c r="K1500" t="s">
        <v>21</v>
      </c>
      <c r="L1500" t="s">
        <v>231</v>
      </c>
      <c r="N1500" t="s">
        <v>65</v>
      </c>
      <c r="O1500" t="s">
        <v>24</v>
      </c>
    </row>
    <row r="1501" spans="1:15" x14ac:dyDescent="0.25">
      <c r="A1501">
        <v>1500</v>
      </c>
      <c r="B1501" t="str">
        <f>HYPERLINK("https://digitalcommons.unl.edu/cgi/viewcontent.cgi?article=2631&amp;context=tractormuseumlit","Click for test report")</f>
        <v>Click for test report</v>
      </c>
      <c r="C1501">
        <v>1977</v>
      </c>
      <c r="D1501" t="s">
        <v>5157</v>
      </c>
      <c r="F1501" t="s">
        <v>17</v>
      </c>
      <c r="G1501" t="s">
        <v>17</v>
      </c>
      <c r="H1501" t="s">
        <v>4981</v>
      </c>
      <c r="I1501" t="s">
        <v>28</v>
      </c>
      <c r="J1501" t="s">
        <v>348</v>
      </c>
      <c r="K1501" t="s">
        <v>21</v>
      </c>
      <c r="L1501" t="s">
        <v>1430</v>
      </c>
      <c r="N1501" t="s">
        <v>402</v>
      </c>
      <c r="O1501" t="s">
        <v>24</v>
      </c>
    </row>
    <row r="1502" spans="1:15" x14ac:dyDescent="0.25">
      <c r="A1502">
        <v>1501</v>
      </c>
      <c r="B1502" t="str">
        <f>HYPERLINK("https://digitalcommons.unl.edu/cgi/viewcontent.cgi?article=2632&amp;context=tractormuseumlit","Click for test report")</f>
        <v>Click for test report</v>
      </c>
      <c r="C1502">
        <v>1977</v>
      </c>
      <c r="D1502" t="s">
        <v>5156</v>
      </c>
      <c r="F1502" t="s">
        <v>17</v>
      </c>
      <c r="G1502" t="s">
        <v>17</v>
      </c>
      <c r="H1502" t="s">
        <v>4945</v>
      </c>
      <c r="I1502" t="s">
        <v>1961</v>
      </c>
      <c r="J1502" t="s">
        <v>348</v>
      </c>
      <c r="K1502" t="s">
        <v>21</v>
      </c>
      <c r="L1502" t="s">
        <v>818</v>
      </c>
      <c r="N1502" t="s">
        <v>329</v>
      </c>
      <c r="O1502" t="s">
        <v>24</v>
      </c>
    </row>
    <row r="1503" spans="1:15" x14ac:dyDescent="0.25">
      <c r="A1503">
        <v>1502</v>
      </c>
      <c r="B1503" t="str">
        <f>HYPERLINK("https://digitalcommons.unl.edu/cgi/viewcontent.cgi?article=2633&amp;context=tractormuseumlit","Click for test report")</f>
        <v>Click for test report</v>
      </c>
      <c r="C1503">
        <v>1977</v>
      </c>
      <c r="D1503" t="s">
        <v>5155</v>
      </c>
      <c r="F1503" t="s">
        <v>17</v>
      </c>
      <c r="G1503" t="s">
        <v>17</v>
      </c>
      <c r="H1503" t="s">
        <v>4947</v>
      </c>
      <c r="I1503" t="s">
        <v>1961</v>
      </c>
      <c r="J1503" t="s">
        <v>348</v>
      </c>
      <c r="K1503" t="s">
        <v>21</v>
      </c>
      <c r="L1503" t="s">
        <v>332</v>
      </c>
      <c r="N1503" t="s">
        <v>22</v>
      </c>
      <c r="O1503" t="s">
        <v>24</v>
      </c>
    </row>
    <row r="1504" spans="1:15" x14ac:dyDescent="0.25">
      <c r="A1504">
        <v>1503</v>
      </c>
      <c r="B1504" t="str">
        <f>HYPERLINK("https://digitalcommons.unl.edu/cgi/viewcontent.cgi?article=2634&amp;context=tractormuseumlit","Click for test report")</f>
        <v>Click for test report</v>
      </c>
      <c r="C1504">
        <v>1977</v>
      </c>
      <c r="D1504" t="s">
        <v>5154</v>
      </c>
      <c r="F1504" t="s">
        <v>17</v>
      </c>
      <c r="G1504" t="s">
        <v>17</v>
      </c>
      <c r="H1504" t="s">
        <v>4938</v>
      </c>
      <c r="I1504" t="s">
        <v>1961</v>
      </c>
      <c r="J1504" t="s">
        <v>348</v>
      </c>
      <c r="K1504" t="s">
        <v>21</v>
      </c>
      <c r="L1504" t="s">
        <v>23</v>
      </c>
      <c r="N1504" t="s">
        <v>339</v>
      </c>
      <c r="O1504" t="s">
        <v>24</v>
      </c>
    </row>
    <row r="1505" spans="1:15" x14ac:dyDescent="0.25">
      <c r="A1505">
        <v>1504</v>
      </c>
      <c r="B1505" t="str">
        <f>HYPERLINK("https://digitalcommons.unl.edu/cgi/viewcontent.cgi?article=2635&amp;context=tractormuseumlit","Click for test report")</f>
        <v>Click for test report</v>
      </c>
      <c r="C1505">
        <v>1977</v>
      </c>
      <c r="D1505" t="s">
        <v>5153</v>
      </c>
      <c r="F1505" t="s">
        <v>17</v>
      </c>
      <c r="G1505" t="s">
        <v>17</v>
      </c>
      <c r="H1505" t="s">
        <v>4942</v>
      </c>
      <c r="I1505" t="s">
        <v>1961</v>
      </c>
      <c r="J1505" t="s">
        <v>348</v>
      </c>
      <c r="K1505" t="s">
        <v>21</v>
      </c>
      <c r="L1505" t="s">
        <v>562</v>
      </c>
      <c r="N1505" t="s">
        <v>378</v>
      </c>
      <c r="O1505" t="s">
        <v>3371</v>
      </c>
    </row>
    <row r="1506" spans="1:15" x14ac:dyDescent="0.25">
      <c r="A1506">
        <v>1505</v>
      </c>
      <c r="B1506" t="str">
        <f>HYPERLINK("https://digitalcommons.unl.edu/cgi/viewcontent.cgi?article=2478&amp;context=tractormuseumlit","Click for test report")</f>
        <v>Click for test report</v>
      </c>
      <c r="C1506">
        <v>1978</v>
      </c>
      <c r="D1506" t="s">
        <v>5150</v>
      </c>
      <c r="F1506" t="s">
        <v>5147</v>
      </c>
      <c r="G1506" t="s">
        <v>4828</v>
      </c>
      <c r="H1506" t="s">
        <v>5151</v>
      </c>
      <c r="I1506" t="s">
        <v>50</v>
      </c>
      <c r="J1506" t="s">
        <v>348</v>
      </c>
      <c r="K1506" t="s">
        <v>21</v>
      </c>
      <c r="L1506" t="s">
        <v>2627</v>
      </c>
      <c r="N1506" t="s">
        <v>1893</v>
      </c>
      <c r="O1506" t="s">
        <v>5152</v>
      </c>
    </row>
    <row r="1507" spans="1:15" x14ac:dyDescent="0.25">
      <c r="A1507">
        <v>1506</v>
      </c>
      <c r="B1507" t="str">
        <f>HYPERLINK("https://digitalcommons.unl.edu/cgi/viewcontent.cgi?article=2479&amp;context=tractormuseumlit","Click for test report")</f>
        <v>Click for test report</v>
      </c>
      <c r="C1507">
        <v>1978</v>
      </c>
      <c r="D1507" t="s">
        <v>5146</v>
      </c>
      <c r="F1507" t="s">
        <v>5147</v>
      </c>
      <c r="G1507" t="s">
        <v>4828</v>
      </c>
      <c r="H1507" t="s">
        <v>5148</v>
      </c>
      <c r="I1507" t="s">
        <v>50</v>
      </c>
      <c r="J1507" t="s">
        <v>348</v>
      </c>
      <c r="K1507" t="s">
        <v>21</v>
      </c>
      <c r="L1507" t="s">
        <v>3123</v>
      </c>
      <c r="N1507" t="s">
        <v>2188</v>
      </c>
      <c r="O1507" t="s">
        <v>5149</v>
      </c>
    </row>
    <row r="1508" spans="1:15" x14ac:dyDescent="0.25">
      <c r="A1508">
        <v>1507</v>
      </c>
      <c r="B1508" t="str">
        <f>HYPERLINK("https://digitalcommons.unl.edu/cgi/viewcontent.cgi?article=2533&amp;context=tractormuseumlit","Click for test report")</f>
        <v>Click for test report</v>
      </c>
      <c r="C1508">
        <v>1978</v>
      </c>
      <c r="D1508" t="s">
        <v>5143</v>
      </c>
      <c r="F1508" t="s">
        <v>4828</v>
      </c>
      <c r="G1508" t="s">
        <v>4828</v>
      </c>
      <c r="H1508" t="s">
        <v>5144</v>
      </c>
      <c r="I1508" t="s">
        <v>1961</v>
      </c>
      <c r="J1508" t="s">
        <v>348</v>
      </c>
      <c r="K1508" t="s">
        <v>21</v>
      </c>
      <c r="L1508" t="s">
        <v>722</v>
      </c>
      <c r="N1508" t="s">
        <v>1864</v>
      </c>
      <c r="O1508" t="s">
        <v>5145</v>
      </c>
    </row>
    <row r="1509" spans="1:15" x14ac:dyDescent="0.25">
      <c r="A1509">
        <v>1508</v>
      </c>
      <c r="B1509" t="str">
        <f>HYPERLINK("https://digitalcommons.unl.edu/cgi/viewcontent.cgi?article=2636&amp;context=tractormuseumlit","Click for test report")</f>
        <v>Click for test report</v>
      </c>
      <c r="C1509">
        <v>1978</v>
      </c>
      <c r="D1509" t="s">
        <v>5141</v>
      </c>
      <c r="F1509" t="s">
        <v>4066</v>
      </c>
      <c r="G1509" t="s">
        <v>4066</v>
      </c>
      <c r="H1509" t="s">
        <v>5142</v>
      </c>
      <c r="I1509" t="s">
        <v>50</v>
      </c>
      <c r="J1509" t="s">
        <v>20</v>
      </c>
      <c r="K1509" t="s">
        <v>21</v>
      </c>
      <c r="L1509" t="s">
        <v>562</v>
      </c>
      <c r="N1509" t="s">
        <v>1371</v>
      </c>
      <c r="O1509" t="s">
        <v>24</v>
      </c>
    </row>
    <row r="1510" spans="1:15" x14ac:dyDescent="0.25">
      <c r="A1510">
        <v>1509</v>
      </c>
      <c r="B1510" t="str">
        <f>HYPERLINK("https://digitalcommons.unl.edu/cgi/viewcontent.cgi?article=2637&amp;context=tractormuseumlit","Click for test report")</f>
        <v>Click for test report</v>
      </c>
      <c r="C1510">
        <v>1978</v>
      </c>
      <c r="D1510" t="s">
        <v>5138</v>
      </c>
      <c r="F1510" t="s">
        <v>5139</v>
      </c>
      <c r="G1510" t="s">
        <v>4055</v>
      </c>
      <c r="H1510" t="s">
        <v>5140</v>
      </c>
      <c r="I1510" t="s">
        <v>50</v>
      </c>
      <c r="J1510" t="s">
        <v>20</v>
      </c>
      <c r="K1510" t="s">
        <v>21</v>
      </c>
      <c r="L1510" t="s">
        <v>454</v>
      </c>
      <c r="N1510" t="s">
        <v>746</v>
      </c>
      <c r="O1510" t="s">
        <v>24</v>
      </c>
    </row>
    <row r="1511" spans="1:15" x14ac:dyDescent="0.25">
      <c r="A1511">
        <v>1510</v>
      </c>
      <c r="B1511" t="str">
        <f>HYPERLINK("https://digitalcommons.unl.edu/cgi/viewcontent.cgi?article=2638&amp;context=tractormuseumlit","Click for test report")</f>
        <v>Click for test report</v>
      </c>
      <c r="C1511">
        <v>1978</v>
      </c>
      <c r="D1511" t="s">
        <v>5136</v>
      </c>
      <c r="F1511" t="s">
        <v>4442</v>
      </c>
      <c r="G1511" t="s">
        <v>4325</v>
      </c>
      <c r="H1511" t="s">
        <v>5137</v>
      </c>
      <c r="I1511" t="s">
        <v>50</v>
      </c>
      <c r="J1511" t="s">
        <v>348</v>
      </c>
      <c r="K1511" t="s">
        <v>21</v>
      </c>
      <c r="L1511" t="s">
        <v>4362</v>
      </c>
      <c r="N1511" t="s">
        <v>4449</v>
      </c>
      <c r="O1511" t="s">
        <v>24</v>
      </c>
    </row>
    <row r="1512" spans="1:15" x14ac:dyDescent="0.25">
      <c r="A1512">
        <v>1511</v>
      </c>
      <c r="B1512" t="str">
        <f>HYPERLINK("https://digitalcommons.unl.edu/cgi/viewcontent.cgi?article=2639&amp;context=tractormuseumlit","Click for test report")</f>
        <v>Click for test report</v>
      </c>
      <c r="C1512">
        <v>1978</v>
      </c>
      <c r="D1512" t="s">
        <v>5134</v>
      </c>
      <c r="F1512" t="s">
        <v>4442</v>
      </c>
      <c r="G1512" t="s">
        <v>4325</v>
      </c>
      <c r="H1512" t="s">
        <v>5135</v>
      </c>
      <c r="I1512" t="s">
        <v>50</v>
      </c>
      <c r="J1512" t="s">
        <v>348</v>
      </c>
      <c r="K1512" t="s">
        <v>21</v>
      </c>
      <c r="L1512" t="s">
        <v>4013</v>
      </c>
      <c r="N1512" t="s">
        <v>4358</v>
      </c>
      <c r="O1512" t="s">
        <v>24</v>
      </c>
    </row>
    <row r="1513" spans="1:15" x14ac:dyDescent="0.25">
      <c r="A1513">
        <v>1512</v>
      </c>
      <c r="B1513" t="str">
        <f>HYPERLINK("https://digitalcommons.unl.edu/cgi/viewcontent.cgi?article=2640&amp;context=tractormuseumlit","Click for test report")</f>
        <v>Click for test report</v>
      </c>
      <c r="C1513">
        <v>1978</v>
      </c>
      <c r="D1513" t="s">
        <v>5131</v>
      </c>
      <c r="F1513" t="s">
        <v>3652</v>
      </c>
      <c r="G1513" t="s">
        <v>3652</v>
      </c>
      <c r="H1513" t="s">
        <v>5133</v>
      </c>
      <c r="I1513" t="s">
        <v>50</v>
      </c>
      <c r="J1513" t="s">
        <v>29</v>
      </c>
      <c r="K1513" t="s">
        <v>21</v>
      </c>
      <c r="L1513" t="s">
        <v>130</v>
      </c>
      <c r="N1513" t="s">
        <v>1430</v>
      </c>
      <c r="O1513" t="s">
        <v>32</v>
      </c>
    </row>
    <row r="1514" spans="1:15" x14ac:dyDescent="0.25">
      <c r="A1514">
        <v>1513</v>
      </c>
      <c r="B1514" t="str">
        <f>HYPERLINK("https://digitalcommons.unl.edu/cgi/viewcontent.cgi?article=2640&amp;context=tractormuseumlit","Click for test report")</f>
        <v>Click for test report</v>
      </c>
      <c r="C1514">
        <v>1978</v>
      </c>
      <c r="D1514" t="s">
        <v>5131</v>
      </c>
      <c r="F1514" t="s">
        <v>3652</v>
      </c>
      <c r="G1514" t="s">
        <v>3652</v>
      </c>
      <c r="H1514" t="s">
        <v>4834</v>
      </c>
      <c r="I1514" t="s">
        <v>50</v>
      </c>
      <c r="J1514" t="s">
        <v>29</v>
      </c>
      <c r="K1514" t="s">
        <v>21</v>
      </c>
      <c r="L1514" t="s">
        <v>130</v>
      </c>
      <c r="N1514" t="s">
        <v>2880</v>
      </c>
      <c r="O1514" t="s">
        <v>5132</v>
      </c>
    </row>
    <row r="1515" spans="1:15" x14ac:dyDescent="0.25">
      <c r="A1515">
        <v>1514</v>
      </c>
      <c r="B1515" t="str">
        <f>HYPERLINK("https://digitalcommons.unl.edu/cgi/viewcontent.cgi?article=2641&amp;context=tractormuseumlit","Click for test report")</f>
        <v>Click for test report</v>
      </c>
      <c r="C1515">
        <v>1978</v>
      </c>
      <c r="D1515" t="s">
        <v>5127</v>
      </c>
      <c r="F1515" t="s">
        <v>3652</v>
      </c>
      <c r="G1515" t="s">
        <v>3652</v>
      </c>
      <c r="H1515" t="s">
        <v>5130</v>
      </c>
      <c r="I1515" t="s">
        <v>50</v>
      </c>
      <c r="J1515" t="s">
        <v>29</v>
      </c>
      <c r="K1515" t="s">
        <v>21</v>
      </c>
      <c r="L1515" t="s">
        <v>130</v>
      </c>
      <c r="N1515" t="s">
        <v>1444</v>
      </c>
      <c r="O1515" t="s">
        <v>32</v>
      </c>
    </row>
    <row r="1516" spans="1:15" x14ac:dyDescent="0.25">
      <c r="A1516">
        <v>1515</v>
      </c>
      <c r="B1516" t="str">
        <f>HYPERLINK("https://digitalcommons.unl.edu/cgi/viewcontent.cgi?article=2641&amp;context=tractormuseumlit","Click for test report")</f>
        <v>Click for test report</v>
      </c>
      <c r="C1516">
        <v>1978</v>
      </c>
      <c r="D1516" t="s">
        <v>5127</v>
      </c>
      <c r="F1516" t="s">
        <v>3652</v>
      </c>
      <c r="G1516" t="s">
        <v>3652</v>
      </c>
      <c r="H1516" t="s">
        <v>5128</v>
      </c>
      <c r="I1516" t="s">
        <v>50</v>
      </c>
      <c r="J1516" t="s">
        <v>29</v>
      </c>
      <c r="K1516" t="s">
        <v>21</v>
      </c>
      <c r="N1516" t="s">
        <v>65</v>
      </c>
      <c r="O1516" t="s">
        <v>5129</v>
      </c>
    </row>
    <row r="1517" spans="1:15" x14ac:dyDescent="0.25">
      <c r="A1517">
        <v>1516</v>
      </c>
      <c r="B1517" t="str">
        <f>HYPERLINK("https://digitalcommons.unl.edu/cgi/viewcontent.cgi?article=2643&amp;context=tractormuseumlit","Click for test report")</f>
        <v>Click for test report</v>
      </c>
      <c r="C1517">
        <v>1978</v>
      </c>
      <c r="D1517" t="s">
        <v>5123</v>
      </c>
      <c r="F1517" t="s">
        <v>3652</v>
      </c>
      <c r="G1517" t="s">
        <v>3652</v>
      </c>
      <c r="H1517" t="s">
        <v>5125</v>
      </c>
      <c r="I1517" t="s">
        <v>50</v>
      </c>
      <c r="J1517" t="s">
        <v>29</v>
      </c>
      <c r="K1517" t="s">
        <v>21</v>
      </c>
      <c r="N1517" t="s">
        <v>1068</v>
      </c>
      <c r="O1517" t="s">
        <v>5126</v>
      </c>
    </row>
    <row r="1518" spans="1:15" x14ac:dyDescent="0.25">
      <c r="A1518">
        <v>1517</v>
      </c>
      <c r="B1518" t="str">
        <f>HYPERLINK("https://digitalcommons.unl.edu/cgi/viewcontent.cgi?article=2643&amp;context=tractormuseumlit","Click for test report")</f>
        <v>Click for test report</v>
      </c>
      <c r="C1518">
        <v>1978</v>
      </c>
      <c r="D1518" t="s">
        <v>5123</v>
      </c>
      <c r="F1518" t="s">
        <v>3652</v>
      </c>
      <c r="G1518" t="s">
        <v>3652</v>
      </c>
      <c r="H1518" t="s">
        <v>5124</v>
      </c>
      <c r="I1518" t="s">
        <v>50</v>
      </c>
      <c r="J1518" t="s">
        <v>29</v>
      </c>
      <c r="K1518" t="s">
        <v>21</v>
      </c>
      <c r="L1518" t="s">
        <v>130</v>
      </c>
      <c r="N1518" t="s">
        <v>108</v>
      </c>
      <c r="O1518" t="s">
        <v>32</v>
      </c>
    </row>
    <row r="1519" spans="1:15" x14ac:dyDescent="0.25">
      <c r="A1519">
        <v>1518</v>
      </c>
      <c r="B1519" t="str">
        <f>HYPERLINK("https://digitalcommons.unl.edu/cgi/viewcontent.cgi?article=2644&amp;context=tractormuseumlit","Click for test report")</f>
        <v>Click for test report</v>
      </c>
      <c r="C1519">
        <v>1978</v>
      </c>
      <c r="D1519" t="s">
        <v>5121</v>
      </c>
      <c r="F1519" t="s">
        <v>4426</v>
      </c>
      <c r="G1519" t="s">
        <v>3166</v>
      </c>
      <c r="H1519" t="s">
        <v>5122</v>
      </c>
      <c r="I1519" t="s">
        <v>3474</v>
      </c>
      <c r="J1519" t="s">
        <v>348</v>
      </c>
      <c r="K1519" t="s">
        <v>21</v>
      </c>
      <c r="L1519" t="s">
        <v>528</v>
      </c>
      <c r="N1519" t="s">
        <v>569</v>
      </c>
      <c r="O1519" t="s">
        <v>24</v>
      </c>
    </row>
    <row r="1520" spans="1:15" x14ac:dyDescent="0.25">
      <c r="A1520">
        <v>1519</v>
      </c>
      <c r="B1520" t="str">
        <f>HYPERLINK("https://digitalcommons.unl.edu/cgi/viewcontent.cgi?article=2645&amp;context=tractormuseumlit","Click for test report")</f>
        <v>Click for test report</v>
      </c>
      <c r="C1520">
        <v>1978</v>
      </c>
      <c r="D1520" t="s">
        <v>5119</v>
      </c>
      <c r="F1520" t="s">
        <v>4426</v>
      </c>
      <c r="G1520" t="s">
        <v>3166</v>
      </c>
      <c r="H1520" t="s">
        <v>5120</v>
      </c>
      <c r="I1520" t="s">
        <v>3474</v>
      </c>
      <c r="J1520" t="s">
        <v>348</v>
      </c>
      <c r="K1520" t="s">
        <v>21</v>
      </c>
      <c r="L1520" t="s">
        <v>402</v>
      </c>
      <c r="N1520" t="s">
        <v>1042</v>
      </c>
      <c r="O1520" t="s">
        <v>24</v>
      </c>
    </row>
    <row r="1521" spans="1:15" x14ac:dyDescent="0.25">
      <c r="A1521">
        <v>1520</v>
      </c>
      <c r="B1521" t="str">
        <f>HYPERLINK("https://digitalcommons.unl.edu/cgi/viewcontent.cgi?article=2646&amp;context=tractormuseumlit","Click for test report")</f>
        <v>Click for test report</v>
      </c>
      <c r="C1521">
        <v>1978</v>
      </c>
      <c r="D1521" t="s">
        <v>5118</v>
      </c>
      <c r="F1521" t="s">
        <v>4503</v>
      </c>
      <c r="G1521" t="s">
        <v>4504</v>
      </c>
      <c r="H1521" t="s">
        <v>4884</v>
      </c>
      <c r="I1521" t="s">
        <v>50</v>
      </c>
      <c r="J1521" t="s">
        <v>348</v>
      </c>
      <c r="K1521" t="s">
        <v>4809</v>
      </c>
      <c r="L1521" t="s">
        <v>4590</v>
      </c>
      <c r="N1521" t="s">
        <v>4359</v>
      </c>
      <c r="O1521" t="s">
        <v>24</v>
      </c>
    </row>
    <row r="1522" spans="1:15" x14ac:dyDescent="0.25">
      <c r="A1522">
        <v>1521</v>
      </c>
      <c r="B1522" t="str">
        <f>HYPERLINK("https://digitalcommons.unl.edu/cgi/viewcontent.cgi?article=2647&amp;context=tractormuseumlit","Click for test report")</f>
        <v>Click for test report</v>
      </c>
      <c r="C1522">
        <v>1978</v>
      </c>
      <c r="D1522" t="s">
        <v>5117</v>
      </c>
      <c r="F1522" t="s">
        <v>778</v>
      </c>
      <c r="G1522" t="s">
        <v>778</v>
      </c>
      <c r="H1522" t="s">
        <v>4880</v>
      </c>
      <c r="I1522" t="s">
        <v>3474</v>
      </c>
      <c r="J1522" t="s">
        <v>348</v>
      </c>
      <c r="K1522" t="s">
        <v>21</v>
      </c>
      <c r="L1522" t="s">
        <v>1821</v>
      </c>
      <c r="N1522" t="s">
        <v>839</v>
      </c>
      <c r="O1522" t="s">
        <v>3413</v>
      </c>
    </row>
    <row r="1523" spans="1:15" x14ac:dyDescent="0.25">
      <c r="A1523">
        <v>1522</v>
      </c>
      <c r="B1523" t="str">
        <f>HYPERLINK("https://digitalcommons.unl.edu/cgi/viewcontent.cgi?article=2648&amp;context=tractormuseumlit","Click for test report")</f>
        <v>Click for test report</v>
      </c>
      <c r="C1523">
        <v>1978</v>
      </c>
      <c r="D1523" t="s">
        <v>5116</v>
      </c>
      <c r="F1523" t="s">
        <v>61</v>
      </c>
      <c r="G1523" t="s">
        <v>61</v>
      </c>
      <c r="H1523" t="s">
        <v>5020</v>
      </c>
      <c r="I1523" t="s">
        <v>50</v>
      </c>
      <c r="J1523" t="s">
        <v>29</v>
      </c>
      <c r="K1523" t="s">
        <v>21</v>
      </c>
      <c r="L1523" t="s">
        <v>1439</v>
      </c>
      <c r="N1523" t="s">
        <v>504</v>
      </c>
      <c r="O1523" t="s">
        <v>24</v>
      </c>
    </row>
    <row r="1524" spans="1:15" x14ac:dyDescent="0.25">
      <c r="A1524">
        <v>1523</v>
      </c>
      <c r="B1524" t="str">
        <f>HYPERLINK("https://digitalcommons.unl.edu/cgi/viewcontent.cgi?article=2649&amp;context=tractormuseumlit","Click for test report")</f>
        <v>Click for test report</v>
      </c>
      <c r="C1524">
        <v>1978</v>
      </c>
      <c r="D1524" t="s">
        <v>5114</v>
      </c>
      <c r="F1524" t="s">
        <v>4615</v>
      </c>
      <c r="G1524" t="s">
        <v>17</v>
      </c>
      <c r="H1524" t="s">
        <v>5115</v>
      </c>
      <c r="I1524" t="s">
        <v>50</v>
      </c>
      <c r="J1524" t="s">
        <v>348</v>
      </c>
      <c r="K1524" t="s">
        <v>21</v>
      </c>
      <c r="L1524" t="s">
        <v>4444</v>
      </c>
      <c r="N1524" t="s">
        <v>4449</v>
      </c>
      <c r="O1524" t="s">
        <v>24</v>
      </c>
    </row>
    <row r="1525" spans="1:15" x14ac:dyDescent="0.25">
      <c r="A1525">
        <v>1524</v>
      </c>
      <c r="B1525" t="str">
        <f>HYPERLINK("https://digitalcommons.unl.edu/cgi/viewcontent.cgi?article=2650&amp;context=tractormuseumlit","Click for test report")</f>
        <v>Click for test report</v>
      </c>
      <c r="C1525">
        <v>1978</v>
      </c>
      <c r="D1525" t="s">
        <v>5112</v>
      </c>
      <c r="F1525" t="s">
        <v>4615</v>
      </c>
      <c r="G1525" t="s">
        <v>17</v>
      </c>
      <c r="H1525" t="s">
        <v>5113</v>
      </c>
      <c r="I1525" t="s">
        <v>50</v>
      </c>
      <c r="J1525" t="s">
        <v>348</v>
      </c>
      <c r="K1525" t="s">
        <v>21</v>
      </c>
      <c r="L1525" t="s">
        <v>4352</v>
      </c>
      <c r="N1525" t="s">
        <v>4358</v>
      </c>
      <c r="O1525" t="s">
        <v>24</v>
      </c>
    </row>
    <row r="1526" spans="1:15" x14ac:dyDescent="0.25">
      <c r="A1526">
        <v>1525</v>
      </c>
      <c r="B1526" t="str">
        <f>HYPERLINK("https://digitalcommons.unl.edu/cgi/viewcontent.cgi?article=2651&amp;context=tractormuseumlit","Click for test report")</f>
        <v>Click for test report</v>
      </c>
      <c r="C1526">
        <v>1978</v>
      </c>
      <c r="D1526" t="s">
        <v>5108</v>
      </c>
      <c r="F1526" t="s">
        <v>3652</v>
      </c>
      <c r="G1526" t="s">
        <v>3652</v>
      </c>
      <c r="H1526" t="s">
        <v>5111</v>
      </c>
      <c r="I1526" t="s">
        <v>4859</v>
      </c>
      <c r="J1526" t="s">
        <v>29</v>
      </c>
      <c r="K1526" t="s">
        <v>21</v>
      </c>
      <c r="N1526" t="s">
        <v>490</v>
      </c>
      <c r="O1526" t="s">
        <v>2163</v>
      </c>
    </row>
    <row r="1527" spans="1:15" x14ac:dyDescent="0.25">
      <c r="A1527">
        <v>1526</v>
      </c>
      <c r="B1527" t="str">
        <f>HYPERLINK("https://digitalcommons.unl.edu/cgi/viewcontent.cgi?article=2651&amp;context=tractormuseumlit","Click for test report")</f>
        <v>Click for test report</v>
      </c>
      <c r="C1527">
        <v>1978</v>
      </c>
      <c r="D1527" t="s">
        <v>5108</v>
      </c>
      <c r="F1527" t="s">
        <v>3652</v>
      </c>
      <c r="G1527" t="s">
        <v>3652</v>
      </c>
      <c r="H1527" t="s">
        <v>5109</v>
      </c>
      <c r="I1527" t="s">
        <v>4859</v>
      </c>
      <c r="J1527" t="s">
        <v>29</v>
      </c>
      <c r="K1527" t="s">
        <v>21</v>
      </c>
      <c r="N1527" t="s">
        <v>490</v>
      </c>
      <c r="O1527" t="s">
        <v>5110</v>
      </c>
    </row>
    <row r="1528" spans="1:15" x14ac:dyDescent="0.25">
      <c r="A1528">
        <v>1527</v>
      </c>
      <c r="B1528" t="str">
        <f>HYPERLINK("https://digitalcommons.unl.edu/cgi/viewcontent.cgi?article=2652&amp;context=tractormuseumlit","Click for test report")</f>
        <v>Click for test report</v>
      </c>
      <c r="C1528">
        <v>1978</v>
      </c>
      <c r="D1528" t="s">
        <v>5106</v>
      </c>
      <c r="F1528" t="s">
        <v>62</v>
      </c>
      <c r="G1528" t="s">
        <v>62</v>
      </c>
      <c r="H1528" t="s">
        <v>5107</v>
      </c>
      <c r="I1528" t="s">
        <v>50</v>
      </c>
      <c r="J1528" t="s">
        <v>348</v>
      </c>
      <c r="K1528" t="s">
        <v>21</v>
      </c>
      <c r="L1528" t="s">
        <v>4444</v>
      </c>
      <c r="N1528" t="s">
        <v>4449</v>
      </c>
      <c r="O1528" t="s">
        <v>24</v>
      </c>
    </row>
    <row r="1529" spans="1:15" x14ac:dyDescent="0.25">
      <c r="A1529">
        <v>1528</v>
      </c>
      <c r="B1529" t="str">
        <f>HYPERLINK("https://digitalcommons.unl.edu/cgi/viewcontent.cgi?article=2653&amp;context=tractormuseumlit","Click for test report")</f>
        <v>Click for test report</v>
      </c>
      <c r="C1529">
        <v>1978</v>
      </c>
      <c r="D1529" t="s">
        <v>5104</v>
      </c>
      <c r="F1529" t="s">
        <v>62</v>
      </c>
      <c r="G1529" t="s">
        <v>62</v>
      </c>
      <c r="H1529" t="s">
        <v>5105</v>
      </c>
      <c r="I1529" t="s">
        <v>50</v>
      </c>
      <c r="J1529" t="s">
        <v>348</v>
      </c>
      <c r="K1529" t="s">
        <v>21</v>
      </c>
      <c r="L1529" t="s">
        <v>4444</v>
      </c>
      <c r="N1529" t="s">
        <v>4449</v>
      </c>
      <c r="O1529" t="s">
        <v>4695</v>
      </c>
    </row>
    <row r="1530" spans="1:15" x14ac:dyDescent="0.25">
      <c r="A1530">
        <v>1529</v>
      </c>
      <c r="B1530" t="str">
        <f>HYPERLINK("https://digitalcommons.unl.edu/cgi/viewcontent.cgi?article=2653&amp;context=tractormuseumlit","Click for test report")</f>
        <v>Click for test report</v>
      </c>
      <c r="C1530">
        <v>1978</v>
      </c>
      <c r="D1530" t="s">
        <v>5104</v>
      </c>
      <c r="F1530" t="s">
        <v>62</v>
      </c>
      <c r="G1530" t="s">
        <v>62</v>
      </c>
      <c r="H1530" t="s">
        <v>5105</v>
      </c>
      <c r="I1530" t="s">
        <v>50</v>
      </c>
      <c r="J1530" t="s">
        <v>20</v>
      </c>
      <c r="K1530" t="s">
        <v>21</v>
      </c>
      <c r="L1530" t="s">
        <v>4444</v>
      </c>
      <c r="N1530" t="s">
        <v>4449</v>
      </c>
      <c r="O1530" t="s">
        <v>4694</v>
      </c>
    </row>
    <row r="1531" spans="1:15" x14ac:dyDescent="0.25">
      <c r="A1531">
        <v>1530</v>
      </c>
      <c r="B1531" t="str">
        <f>HYPERLINK("https://digitalcommons.unl.edu/cgi/viewcontent.cgi?article=2654&amp;context=tractormuseumlit","Click for test report")</f>
        <v>Click for test report</v>
      </c>
      <c r="C1531">
        <v>1978</v>
      </c>
      <c r="D1531" t="s">
        <v>5102</v>
      </c>
      <c r="F1531" t="s">
        <v>62</v>
      </c>
      <c r="G1531" t="s">
        <v>62</v>
      </c>
      <c r="H1531" t="s">
        <v>5103</v>
      </c>
      <c r="I1531" t="s">
        <v>50</v>
      </c>
      <c r="J1531" t="s">
        <v>348</v>
      </c>
      <c r="K1531" t="s">
        <v>21</v>
      </c>
      <c r="L1531" t="s">
        <v>4621</v>
      </c>
      <c r="N1531" t="s">
        <v>4935</v>
      </c>
      <c r="O1531" t="s">
        <v>24</v>
      </c>
    </row>
    <row r="1532" spans="1:15" x14ac:dyDescent="0.25">
      <c r="A1532">
        <v>1531</v>
      </c>
      <c r="B1532" t="str">
        <f>HYPERLINK("https://digitalcommons.unl.edu/cgi/viewcontent.cgi?article=2655&amp;context=tractormuseumlit","Click for test report")</f>
        <v>Click for test report</v>
      </c>
      <c r="C1532">
        <v>1978</v>
      </c>
      <c r="D1532" t="s">
        <v>5100</v>
      </c>
      <c r="F1532" t="s">
        <v>62</v>
      </c>
      <c r="G1532" t="s">
        <v>62</v>
      </c>
      <c r="H1532" t="s">
        <v>5101</v>
      </c>
      <c r="I1532" t="s">
        <v>50</v>
      </c>
      <c r="J1532" t="s">
        <v>348</v>
      </c>
      <c r="K1532" t="s">
        <v>21</v>
      </c>
      <c r="L1532" t="s">
        <v>4621</v>
      </c>
      <c r="N1532" t="s">
        <v>4930</v>
      </c>
      <c r="O1532" t="s">
        <v>4695</v>
      </c>
    </row>
    <row r="1533" spans="1:15" x14ac:dyDescent="0.25">
      <c r="A1533">
        <v>1532</v>
      </c>
      <c r="B1533" t="str">
        <f>HYPERLINK("https://digitalcommons.unl.edu/cgi/viewcontent.cgi?article=2655&amp;context=tractormuseumlit","Click for test report")</f>
        <v>Click for test report</v>
      </c>
      <c r="C1533">
        <v>1978</v>
      </c>
      <c r="D1533" t="s">
        <v>5100</v>
      </c>
      <c r="F1533" t="s">
        <v>62</v>
      </c>
      <c r="G1533" t="s">
        <v>62</v>
      </c>
      <c r="H1533" t="s">
        <v>5101</v>
      </c>
      <c r="I1533" t="s">
        <v>50</v>
      </c>
      <c r="J1533" t="s">
        <v>20</v>
      </c>
      <c r="K1533" t="s">
        <v>21</v>
      </c>
      <c r="L1533" t="s">
        <v>4621</v>
      </c>
      <c r="N1533" t="s">
        <v>4930</v>
      </c>
      <c r="O1533" t="s">
        <v>4694</v>
      </c>
    </row>
    <row r="1534" spans="1:15" x14ac:dyDescent="0.25">
      <c r="A1534">
        <v>1533</v>
      </c>
      <c r="B1534" t="str">
        <f>HYPERLINK("https://digitalcommons.unl.edu/cgi/viewcontent.cgi?article=2656&amp;context=tractormuseumlit","Click for test report")</f>
        <v>Click for test report</v>
      </c>
      <c r="C1534">
        <v>1978</v>
      </c>
      <c r="D1534" t="s">
        <v>5098</v>
      </c>
      <c r="F1534" t="s">
        <v>4426</v>
      </c>
      <c r="G1534" t="s">
        <v>3166</v>
      </c>
      <c r="H1534" t="s">
        <v>5099</v>
      </c>
      <c r="I1534" t="s">
        <v>3474</v>
      </c>
      <c r="J1534" t="s">
        <v>348</v>
      </c>
      <c r="K1534" t="s">
        <v>21</v>
      </c>
      <c r="L1534" t="s">
        <v>469</v>
      </c>
      <c r="N1534" t="s">
        <v>319</v>
      </c>
      <c r="O1534" t="s">
        <v>24</v>
      </c>
    </row>
    <row r="1535" spans="1:15" x14ac:dyDescent="0.25">
      <c r="A1535">
        <v>1534</v>
      </c>
      <c r="B1535" t="str">
        <f>HYPERLINK("https://digitalcommons.unl.edu/cgi/viewcontent.cgi?article=2657&amp;context=tractormuseumlit","Click for test report")</f>
        <v>Click for test report</v>
      </c>
      <c r="C1535">
        <v>1978</v>
      </c>
      <c r="D1535" t="s">
        <v>5095</v>
      </c>
      <c r="F1535" t="s">
        <v>3652</v>
      </c>
      <c r="G1535" t="s">
        <v>3708</v>
      </c>
      <c r="H1535" t="s">
        <v>5096</v>
      </c>
      <c r="I1535" t="s">
        <v>50</v>
      </c>
      <c r="J1535" t="s">
        <v>29</v>
      </c>
      <c r="K1535" t="s">
        <v>21</v>
      </c>
      <c r="L1535" t="s">
        <v>130</v>
      </c>
      <c r="N1535" t="s">
        <v>1879</v>
      </c>
      <c r="O1535" t="s">
        <v>5097</v>
      </c>
    </row>
    <row r="1536" spans="1:15" x14ac:dyDescent="0.25">
      <c r="A1536">
        <v>1535</v>
      </c>
      <c r="B1536" t="str">
        <f>HYPERLINK("https://digitalcommons.unl.edu/cgi/viewcontent.cgi?article=2658&amp;context=tractormuseumlit","Click for test report")</f>
        <v>Click for test report</v>
      </c>
      <c r="C1536">
        <v>1978</v>
      </c>
      <c r="D1536" t="s">
        <v>5093</v>
      </c>
      <c r="F1536" t="s">
        <v>3652</v>
      </c>
      <c r="G1536" t="s">
        <v>3708</v>
      </c>
      <c r="H1536" t="s">
        <v>5094</v>
      </c>
      <c r="I1536" t="s">
        <v>50</v>
      </c>
      <c r="J1536" t="s">
        <v>29</v>
      </c>
      <c r="K1536" t="s">
        <v>21</v>
      </c>
      <c r="N1536" t="s">
        <v>421</v>
      </c>
      <c r="O1536" t="s">
        <v>2163</v>
      </c>
    </row>
    <row r="1537" spans="1:15" x14ac:dyDescent="0.25">
      <c r="A1537">
        <v>1536</v>
      </c>
      <c r="B1537" t="str">
        <f>HYPERLINK("https://digitalcommons.unl.edu/cgi/viewcontent.cgi?article=2659&amp;context=tractormuseumlit","Click for test report")</f>
        <v>Click for test report</v>
      </c>
      <c r="C1537">
        <v>1978</v>
      </c>
      <c r="D1537" t="s">
        <v>4895</v>
      </c>
      <c r="F1537" t="s">
        <v>3652</v>
      </c>
      <c r="G1537" t="s">
        <v>3708</v>
      </c>
      <c r="H1537" t="s">
        <v>5092</v>
      </c>
      <c r="I1537" t="s">
        <v>50</v>
      </c>
      <c r="J1537" t="s">
        <v>29</v>
      </c>
      <c r="K1537" t="s">
        <v>21</v>
      </c>
      <c r="N1537" t="s">
        <v>1182</v>
      </c>
      <c r="O1537" t="s">
        <v>2163</v>
      </c>
    </row>
    <row r="1538" spans="1:15" x14ac:dyDescent="0.25">
      <c r="A1538">
        <v>1537</v>
      </c>
      <c r="B1538" t="str">
        <f>HYPERLINK("https://digitalcommons.unl.edu/cgi/viewcontent.cgi?article=2660&amp;context=tractormuseumlit","Click for test report")</f>
        <v>Click for test report</v>
      </c>
      <c r="C1538">
        <v>1978</v>
      </c>
      <c r="D1538" t="s">
        <v>5090</v>
      </c>
      <c r="F1538" t="s">
        <v>3652</v>
      </c>
      <c r="G1538" t="s">
        <v>3708</v>
      </c>
      <c r="H1538" t="s">
        <v>5091</v>
      </c>
      <c r="I1538" t="s">
        <v>50</v>
      </c>
      <c r="J1538" t="s">
        <v>29</v>
      </c>
      <c r="K1538" t="s">
        <v>21</v>
      </c>
      <c r="N1538" t="s">
        <v>818</v>
      </c>
      <c r="O1538" t="s">
        <v>2163</v>
      </c>
    </row>
    <row r="1539" spans="1:15" x14ac:dyDescent="0.25">
      <c r="A1539">
        <v>1538</v>
      </c>
      <c r="B1539" t="str">
        <f>HYPERLINK("https://digitalcommons.unl.edu/cgi/viewcontent.cgi?article=2661&amp;context=tractormuseumlit","Click for test report")</f>
        <v>Click for test report</v>
      </c>
      <c r="C1539">
        <v>1978</v>
      </c>
      <c r="D1539" t="s">
        <v>4900</v>
      </c>
      <c r="F1539" t="s">
        <v>4290</v>
      </c>
      <c r="G1539" t="s">
        <v>5087</v>
      </c>
      <c r="H1539" t="s">
        <v>4901</v>
      </c>
      <c r="I1539" t="s">
        <v>50</v>
      </c>
      <c r="J1539" t="s">
        <v>348</v>
      </c>
      <c r="K1539" t="s">
        <v>21</v>
      </c>
      <c r="L1539" t="s">
        <v>750</v>
      </c>
      <c r="N1539" t="s">
        <v>2627</v>
      </c>
      <c r="O1539" t="s">
        <v>4695</v>
      </c>
    </row>
    <row r="1540" spans="1:15" x14ac:dyDescent="0.25">
      <c r="A1540">
        <v>1539</v>
      </c>
      <c r="B1540" t="str">
        <f>HYPERLINK("https://digitalcommons.unl.edu/cgi/viewcontent.cgi?article=2661&amp;context=tractormuseumlit","Click for test report")</f>
        <v>Click for test report</v>
      </c>
      <c r="C1540">
        <v>1978</v>
      </c>
      <c r="D1540" t="s">
        <v>4900</v>
      </c>
      <c r="F1540" t="s">
        <v>4290</v>
      </c>
      <c r="G1540" t="s">
        <v>5087</v>
      </c>
      <c r="H1540" t="s">
        <v>4901</v>
      </c>
      <c r="I1540" t="s">
        <v>50</v>
      </c>
      <c r="J1540" t="s">
        <v>20</v>
      </c>
      <c r="K1540" t="s">
        <v>21</v>
      </c>
      <c r="L1540" t="s">
        <v>750</v>
      </c>
      <c r="N1540" t="s">
        <v>3152</v>
      </c>
      <c r="O1540" t="s">
        <v>4694</v>
      </c>
    </row>
    <row r="1541" spans="1:15" x14ac:dyDescent="0.25">
      <c r="A1541">
        <v>1540</v>
      </c>
      <c r="B1541" t="str">
        <f>HYPERLINK("https://digitalcommons.unl.edu/cgi/viewcontent.cgi?article=2662&amp;context=tractormuseumlit","Click for test report")</f>
        <v>Click for test report</v>
      </c>
      <c r="C1541">
        <v>1978</v>
      </c>
      <c r="D1541" t="s">
        <v>5088</v>
      </c>
      <c r="F1541" t="s">
        <v>5089</v>
      </c>
      <c r="G1541" t="s">
        <v>5087</v>
      </c>
      <c r="H1541" t="s">
        <v>1206</v>
      </c>
      <c r="I1541" t="s">
        <v>50</v>
      </c>
      <c r="J1541" t="s">
        <v>348</v>
      </c>
      <c r="K1541" t="s">
        <v>21</v>
      </c>
      <c r="L1541" t="s">
        <v>2627</v>
      </c>
      <c r="N1541" t="s">
        <v>1893</v>
      </c>
      <c r="O1541" t="s">
        <v>24</v>
      </c>
    </row>
    <row r="1542" spans="1:15" x14ac:dyDescent="0.25">
      <c r="A1542">
        <v>1541</v>
      </c>
      <c r="B1542" t="str">
        <f>HYPERLINK("https://digitalcommons.unl.edu/cgi/viewcontent.cgi?article=2663&amp;context=tractormuseumlit","Click for test report")</f>
        <v>Click for test report</v>
      </c>
      <c r="C1542">
        <v>1978</v>
      </c>
      <c r="D1542" t="s">
        <v>4897</v>
      </c>
      <c r="F1542" t="s">
        <v>4290</v>
      </c>
      <c r="G1542" t="s">
        <v>5087</v>
      </c>
      <c r="H1542" t="s">
        <v>4898</v>
      </c>
      <c r="I1542" t="s">
        <v>50</v>
      </c>
      <c r="J1542" t="s">
        <v>348</v>
      </c>
      <c r="K1542" t="s">
        <v>21</v>
      </c>
      <c r="L1542" t="s">
        <v>1347</v>
      </c>
      <c r="N1542" t="s">
        <v>349</v>
      </c>
      <c r="O1542" t="s">
        <v>24</v>
      </c>
    </row>
    <row r="1543" spans="1:15" x14ac:dyDescent="0.25">
      <c r="A1543">
        <v>1542</v>
      </c>
      <c r="B1543" t="str">
        <f>HYPERLINK("https://digitalcommons.unl.edu/cgi/viewcontent.cgi?article=2664&amp;context=tractormuseumlit","Click for test report")</f>
        <v>Click for test report</v>
      </c>
      <c r="C1543">
        <v>1978</v>
      </c>
      <c r="D1543" t="s">
        <v>5086</v>
      </c>
      <c r="F1543" t="s">
        <v>3800</v>
      </c>
      <c r="G1543" t="s">
        <v>4473</v>
      </c>
      <c r="H1543" t="s">
        <v>1214</v>
      </c>
      <c r="I1543" t="s">
        <v>3474</v>
      </c>
      <c r="J1543" t="s">
        <v>348</v>
      </c>
      <c r="K1543" t="s">
        <v>21</v>
      </c>
      <c r="L1543" t="s">
        <v>364</v>
      </c>
      <c r="N1543" t="s">
        <v>131</v>
      </c>
      <c r="O1543" t="s">
        <v>24</v>
      </c>
    </row>
    <row r="1544" spans="1:15" x14ac:dyDescent="0.25">
      <c r="A1544">
        <v>1543</v>
      </c>
      <c r="B1544" t="str">
        <f>HYPERLINK("https://digitalcommons.unl.edu/cgi/viewcontent.cgi?article=2665&amp;context=tractormuseumlit","Click for test report")</f>
        <v>Click for test report</v>
      </c>
      <c r="C1544">
        <v>1978</v>
      </c>
      <c r="D1544" t="s">
        <v>5085</v>
      </c>
      <c r="F1544" t="s">
        <v>3800</v>
      </c>
      <c r="G1544" t="s">
        <v>4473</v>
      </c>
      <c r="H1544" t="s">
        <v>5084</v>
      </c>
      <c r="I1544" t="s">
        <v>50</v>
      </c>
      <c r="J1544" t="s">
        <v>348</v>
      </c>
      <c r="K1544" t="s">
        <v>21</v>
      </c>
      <c r="L1544" t="s">
        <v>1397</v>
      </c>
      <c r="N1544" t="s">
        <v>45</v>
      </c>
      <c r="O1544" t="s">
        <v>24</v>
      </c>
    </row>
    <row r="1545" spans="1:15" x14ac:dyDescent="0.25">
      <c r="A1545">
        <v>1544</v>
      </c>
      <c r="B1545" t="str">
        <f>HYPERLINK("https://digitalcommons.unl.edu/cgi/viewcontent.cgi?article=2666&amp;context=tractormuseumlit","Click for test report")</f>
        <v>Click for test report</v>
      </c>
      <c r="C1545">
        <v>1978</v>
      </c>
      <c r="D1545" t="s">
        <v>5083</v>
      </c>
      <c r="F1545" t="s">
        <v>3800</v>
      </c>
      <c r="G1545" t="s">
        <v>4473</v>
      </c>
      <c r="H1545" t="s">
        <v>5084</v>
      </c>
      <c r="I1545" t="s">
        <v>3474</v>
      </c>
      <c r="J1545" t="s">
        <v>348</v>
      </c>
      <c r="K1545" t="s">
        <v>21</v>
      </c>
      <c r="L1545" t="s">
        <v>842</v>
      </c>
      <c r="N1545" t="s">
        <v>558</v>
      </c>
      <c r="O1545" t="s">
        <v>24</v>
      </c>
    </row>
    <row r="1546" spans="1:15" x14ac:dyDescent="0.25">
      <c r="A1546">
        <v>1545</v>
      </c>
      <c r="B1546" t="str">
        <f>HYPERLINK("https://digitalcommons.unl.edu/cgi/viewcontent.cgi?article=3297&amp;context=tractormuseumlit","Click for test report")</f>
        <v>Click for test report</v>
      </c>
      <c r="C1546">
        <v>1979</v>
      </c>
      <c r="E1546" t="s">
        <v>5082</v>
      </c>
      <c r="F1546" t="s">
        <v>778</v>
      </c>
      <c r="G1546" t="s">
        <v>778</v>
      </c>
      <c r="H1546" t="s">
        <v>4563</v>
      </c>
      <c r="I1546" t="s">
        <v>50</v>
      </c>
      <c r="J1546" t="s">
        <v>348</v>
      </c>
      <c r="K1546" t="s">
        <v>21</v>
      </c>
      <c r="L1546" t="s">
        <v>3152</v>
      </c>
      <c r="N1546" t="s">
        <v>2699</v>
      </c>
      <c r="O1546" t="s">
        <v>24</v>
      </c>
    </row>
    <row r="1547" spans="1:15" x14ac:dyDescent="0.25">
      <c r="A1547">
        <v>1546</v>
      </c>
      <c r="B1547" t="str">
        <f>HYPERLINK("https://digitalcommons.unl.edu/cgi/viewcontent.cgi?article=3324&amp;context=tractormuseumlit","Click for test report")</f>
        <v>Click for test report</v>
      </c>
      <c r="C1547">
        <v>1979</v>
      </c>
      <c r="E1547" t="s">
        <v>3963</v>
      </c>
      <c r="F1547" t="s">
        <v>5081</v>
      </c>
      <c r="G1547" t="s">
        <v>4504</v>
      </c>
      <c r="H1547" t="s">
        <v>5052</v>
      </c>
      <c r="I1547" t="s">
        <v>50</v>
      </c>
      <c r="J1547" t="s">
        <v>348</v>
      </c>
      <c r="K1547" t="s">
        <v>21</v>
      </c>
      <c r="L1547" t="s">
        <v>1650</v>
      </c>
      <c r="N1547" t="s">
        <v>2188</v>
      </c>
      <c r="O1547" t="s">
        <v>24</v>
      </c>
    </row>
    <row r="1548" spans="1:15" x14ac:dyDescent="0.25">
      <c r="A1548">
        <v>1547</v>
      </c>
      <c r="B1548" t="str">
        <f>HYPERLINK("https://digitalcommons.unl.edu/cgi/viewcontent.cgi?article=2667&amp;context=tractormuseumlit","Click for test report")</f>
        <v>Click for test report</v>
      </c>
      <c r="C1548">
        <v>1979</v>
      </c>
      <c r="D1548" t="s">
        <v>5079</v>
      </c>
      <c r="F1548" t="s">
        <v>4827</v>
      </c>
      <c r="G1548" t="s">
        <v>4828</v>
      </c>
      <c r="H1548" t="s">
        <v>4220</v>
      </c>
      <c r="I1548" t="s">
        <v>50</v>
      </c>
      <c r="J1548" t="s">
        <v>348</v>
      </c>
      <c r="K1548" t="s">
        <v>21</v>
      </c>
      <c r="L1548" t="s">
        <v>3973</v>
      </c>
      <c r="N1548" t="s">
        <v>4008</v>
      </c>
      <c r="O1548" t="s">
        <v>5080</v>
      </c>
    </row>
    <row r="1549" spans="1:15" x14ac:dyDescent="0.25">
      <c r="A1549">
        <v>1548</v>
      </c>
      <c r="B1549" t="str">
        <f>HYPERLINK("https://digitalcommons.unl.edu/cgi/viewcontent.cgi?article=2668&amp;context=tractormuseumlit","Click for test report")</f>
        <v>Click for test report</v>
      </c>
      <c r="C1549">
        <v>1979</v>
      </c>
      <c r="D1549" t="s">
        <v>5077</v>
      </c>
      <c r="F1549" t="s">
        <v>4395</v>
      </c>
      <c r="G1549" t="s">
        <v>3708</v>
      </c>
      <c r="H1549" t="s">
        <v>5078</v>
      </c>
      <c r="I1549" t="s">
        <v>1961</v>
      </c>
      <c r="J1549" t="s">
        <v>348</v>
      </c>
      <c r="K1549" t="s">
        <v>21</v>
      </c>
      <c r="L1549" t="s">
        <v>319</v>
      </c>
      <c r="N1549" t="s">
        <v>1262</v>
      </c>
      <c r="O1549" t="s">
        <v>3371</v>
      </c>
    </row>
    <row r="1550" spans="1:15" x14ac:dyDescent="0.25">
      <c r="A1550">
        <v>1549</v>
      </c>
      <c r="B1550" t="str">
        <f>HYPERLINK("https://digitalcommons.unl.edu/cgi/viewcontent.cgi?article=2669&amp;context=tractormuseumlit","Click for test report")</f>
        <v>Click for test report</v>
      </c>
      <c r="C1550">
        <v>1979</v>
      </c>
      <c r="D1550" t="s">
        <v>5075</v>
      </c>
      <c r="F1550" t="s">
        <v>4395</v>
      </c>
      <c r="G1550" t="s">
        <v>3708</v>
      </c>
      <c r="H1550" t="s">
        <v>5076</v>
      </c>
      <c r="I1550" t="s">
        <v>1961</v>
      </c>
      <c r="J1550" t="s">
        <v>348</v>
      </c>
      <c r="K1550" t="s">
        <v>21</v>
      </c>
      <c r="L1550" t="s">
        <v>1514</v>
      </c>
      <c r="N1550" t="s">
        <v>794</v>
      </c>
      <c r="O1550" t="s">
        <v>3371</v>
      </c>
    </row>
    <row r="1551" spans="1:15" x14ac:dyDescent="0.25">
      <c r="A1551">
        <v>1550</v>
      </c>
      <c r="B1551" t="str">
        <f>HYPERLINK("https://digitalcommons.unl.edu/cgi/viewcontent.cgi?article=2670&amp;context=tractormuseumlit","Click for test report")</f>
        <v>Click for test report</v>
      </c>
      <c r="C1551">
        <v>1979</v>
      </c>
      <c r="D1551" t="s">
        <v>5073</v>
      </c>
      <c r="F1551" t="s">
        <v>4395</v>
      </c>
      <c r="G1551" t="s">
        <v>3708</v>
      </c>
      <c r="H1551" t="s">
        <v>5074</v>
      </c>
      <c r="I1551" t="s">
        <v>1961</v>
      </c>
      <c r="J1551" t="s">
        <v>348</v>
      </c>
      <c r="K1551" t="s">
        <v>21</v>
      </c>
      <c r="L1551" t="s">
        <v>23</v>
      </c>
      <c r="N1551" t="s">
        <v>375</v>
      </c>
      <c r="O1551" t="s">
        <v>3371</v>
      </c>
    </row>
    <row r="1552" spans="1:15" x14ac:dyDescent="0.25">
      <c r="A1552">
        <v>1551</v>
      </c>
      <c r="B1552" t="str">
        <f>HYPERLINK("https://digitalcommons.unl.edu/cgi/viewcontent.cgi?article=2671&amp;context=tractormuseumlit","Click for test report")</f>
        <v>Click for test report</v>
      </c>
      <c r="C1552">
        <v>1979</v>
      </c>
      <c r="D1552" t="s">
        <v>5071</v>
      </c>
      <c r="F1552" t="s">
        <v>3800</v>
      </c>
      <c r="G1552" t="s">
        <v>4473</v>
      </c>
      <c r="H1552" t="s">
        <v>5072</v>
      </c>
      <c r="I1552" t="s">
        <v>3474</v>
      </c>
      <c r="J1552" t="s">
        <v>348</v>
      </c>
      <c r="K1552" t="s">
        <v>21</v>
      </c>
      <c r="L1552" t="s">
        <v>1041</v>
      </c>
      <c r="N1552" t="s">
        <v>328</v>
      </c>
      <c r="O1552" t="s">
        <v>3320</v>
      </c>
    </row>
    <row r="1553" spans="1:15" x14ac:dyDescent="0.25">
      <c r="A1553">
        <v>1552</v>
      </c>
      <c r="B1553" t="str">
        <f>HYPERLINK("https://digitalcommons.unl.edu/cgi/viewcontent.cgi?article=2672&amp;context=tractormuseumlit","Click for test report")</f>
        <v>Click for test report</v>
      </c>
      <c r="C1553">
        <v>1979</v>
      </c>
      <c r="D1553" t="s">
        <v>5069</v>
      </c>
      <c r="F1553" t="s">
        <v>3800</v>
      </c>
      <c r="G1553" t="s">
        <v>4473</v>
      </c>
      <c r="H1553" t="s">
        <v>5070</v>
      </c>
      <c r="I1553" t="s">
        <v>3474</v>
      </c>
      <c r="J1553" t="s">
        <v>348</v>
      </c>
      <c r="K1553" t="s">
        <v>21</v>
      </c>
      <c r="L1553" t="s">
        <v>1430</v>
      </c>
      <c r="N1553" t="s">
        <v>824</v>
      </c>
      <c r="O1553" t="s">
        <v>3320</v>
      </c>
    </row>
    <row r="1554" spans="1:15" x14ac:dyDescent="0.25">
      <c r="A1554">
        <v>1553</v>
      </c>
      <c r="B1554" t="str">
        <f>HYPERLINK("https://digitalcommons.unl.edu/cgi/viewcontent.cgi?article=2673&amp;context=tractormuseumlit","Click for test report")</f>
        <v>Click for test report</v>
      </c>
      <c r="C1554">
        <v>1979</v>
      </c>
      <c r="D1554" t="s">
        <v>5068</v>
      </c>
      <c r="F1554" t="s">
        <v>3800</v>
      </c>
      <c r="G1554" t="s">
        <v>4473</v>
      </c>
      <c r="H1554" t="s">
        <v>1214</v>
      </c>
      <c r="I1554" t="s">
        <v>50</v>
      </c>
      <c r="J1554" t="s">
        <v>348</v>
      </c>
      <c r="K1554" t="s">
        <v>21</v>
      </c>
      <c r="L1554" t="s">
        <v>364</v>
      </c>
      <c r="N1554" t="s">
        <v>339</v>
      </c>
      <c r="O1554" t="s">
        <v>3468</v>
      </c>
    </row>
    <row r="1555" spans="1:15" x14ac:dyDescent="0.25">
      <c r="A1555">
        <v>1554</v>
      </c>
      <c r="B1555" t="str">
        <f>HYPERLINK("https://digitalcommons.unl.edu/cgi/viewcontent.cgi?article=2674&amp;context=tractormuseumlit","Click for test report")</f>
        <v>Click for test report</v>
      </c>
      <c r="C1555">
        <v>1979</v>
      </c>
      <c r="D1555" t="s">
        <v>5066</v>
      </c>
      <c r="F1555" t="s">
        <v>4344</v>
      </c>
      <c r="G1555" t="s">
        <v>4383</v>
      </c>
      <c r="H1555" t="s">
        <v>5067</v>
      </c>
      <c r="I1555" t="s">
        <v>50</v>
      </c>
      <c r="J1555" t="s">
        <v>348</v>
      </c>
      <c r="K1555" t="s">
        <v>21</v>
      </c>
      <c r="L1555" t="s">
        <v>343</v>
      </c>
      <c r="N1555" t="s">
        <v>1867</v>
      </c>
      <c r="O1555" t="s">
        <v>4374</v>
      </c>
    </row>
    <row r="1556" spans="1:15" x14ac:dyDescent="0.25">
      <c r="A1556">
        <v>1555</v>
      </c>
      <c r="B1556" t="str">
        <f>HYPERLINK("https://digitalcommons.unl.edu/cgi/viewcontent.cgi?article=2674&amp;context=tractormuseumlit","Click for test report")</f>
        <v>Click for test report</v>
      </c>
      <c r="C1556">
        <v>1979</v>
      </c>
      <c r="D1556" t="s">
        <v>5066</v>
      </c>
      <c r="F1556" t="s">
        <v>4344</v>
      </c>
      <c r="G1556" t="s">
        <v>4850</v>
      </c>
      <c r="H1556" t="s">
        <v>5067</v>
      </c>
      <c r="I1556" t="s">
        <v>50</v>
      </c>
      <c r="J1556" t="s">
        <v>348</v>
      </c>
      <c r="K1556" t="s">
        <v>21</v>
      </c>
      <c r="L1556" t="s">
        <v>343</v>
      </c>
      <c r="N1556" t="s">
        <v>1867</v>
      </c>
      <c r="O1556" t="s">
        <v>4374</v>
      </c>
    </row>
    <row r="1557" spans="1:15" x14ac:dyDescent="0.25">
      <c r="A1557">
        <v>1556</v>
      </c>
      <c r="B1557" t="str">
        <f>HYPERLINK("https://digitalcommons.unl.edu/cgi/viewcontent.cgi?article=2675&amp;context=tractormuseumlit","Click for test report")</f>
        <v>Click for test report</v>
      </c>
      <c r="C1557">
        <v>1979</v>
      </c>
      <c r="D1557" t="s">
        <v>5064</v>
      </c>
      <c r="F1557" t="s">
        <v>4344</v>
      </c>
      <c r="G1557" t="s">
        <v>4850</v>
      </c>
      <c r="H1557" t="s">
        <v>5065</v>
      </c>
      <c r="I1557" t="s">
        <v>50</v>
      </c>
      <c r="J1557" t="s">
        <v>348</v>
      </c>
      <c r="K1557" t="s">
        <v>21</v>
      </c>
      <c r="L1557" t="s">
        <v>46</v>
      </c>
      <c r="N1557" t="s">
        <v>562</v>
      </c>
      <c r="O1557" t="s">
        <v>4374</v>
      </c>
    </row>
    <row r="1558" spans="1:15" x14ac:dyDescent="0.25">
      <c r="A1558">
        <v>1557</v>
      </c>
      <c r="B1558" t="str">
        <f>HYPERLINK("https://digitalcommons.unl.edu/cgi/viewcontent.cgi?article=2676&amp;context=tractormuseumlit","Click for test report")</f>
        <v>Click for test report</v>
      </c>
      <c r="C1558">
        <v>1979</v>
      </c>
      <c r="D1558" t="s">
        <v>5062</v>
      </c>
      <c r="F1558" t="s">
        <v>4344</v>
      </c>
      <c r="G1558" t="s">
        <v>4383</v>
      </c>
      <c r="H1558" t="s">
        <v>5063</v>
      </c>
      <c r="I1558" t="s">
        <v>1961</v>
      </c>
      <c r="J1558" t="s">
        <v>348</v>
      </c>
      <c r="K1558" t="s">
        <v>21</v>
      </c>
      <c r="L1558" t="s">
        <v>527</v>
      </c>
      <c r="N1558" t="s">
        <v>1266</v>
      </c>
      <c r="O1558" t="s">
        <v>3413</v>
      </c>
    </row>
    <row r="1559" spans="1:15" x14ac:dyDescent="0.25">
      <c r="A1559">
        <v>1558</v>
      </c>
      <c r="B1559" t="str">
        <f>HYPERLINK("https://digitalcommons.unl.edu/cgi/viewcontent.cgi?article=2676&amp;context=tractormuseumlit","Click for test report")</f>
        <v>Click for test report</v>
      </c>
      <c r="C1559">
        <v>1979</v>
      </c>
      <c r="D1559" t="s">
        <v>5062</v>
      </c>
      <c r="F1559" t="s">
        <v>4344</v>
      </c>
      <c r="G1559" t="s">
        <v>4850</v>
      </c>
      <c r="H1559" t="s">
        <v>5063</v>
      </c>
      <c r="I1559" t="s">
        <v>1961</v>
      </c>
      <c r="J1559" t="s">
        <v>348</v>
      </c>
      <c r="K1559" t="s">
        <v>21</v>
      </c>
      <c r="L1559" t="s">
        <v>527</v>
      </c>
      <c r="N1559" t="s">
        <v>1266</v>
      </c>
      <c r="O1559" t="s">
        <v>3413</v>
      </c>
    </row>
    <row r="1560" spans="1:15" x14ac:dyDescent="0.25">
      <c r="A1560">
        <v>1559</v>
      </c>
      <c r="B1560" t="str">
        <f>HYPERLINK("https://digitalcommons.unl.edu/cgi/viewcontent.cgi?article=2677&amp;context=tractormuseumlit","Click for test report")</f>
        <v>Click for test report</v>
      </c>
      <c r="C1560">
        <v>1979</v>
      </c>
      <c r="D1560" t="s">
        <v>5060</v>
      </c>
      <c r="F1560" t="s">
        <v>4325</v>
      </c>
      <c r="G1560" t="s">
        <v>4325</v>
      </c>
      <c r="H1560" t="s">
        <v>5061</v>
      </c>
      <c r="I1560" t="s">
        <v>1808</v>
      </c>
      <c r="J1560" t="s">
        <v>348</v>
      </c>
      <c r="K1560" t="s">
        <v>21</v>
      </c>
      <c r="L1560" t="s">
        <v>328</v>
      </c>
      <c r="N1560" t="s">
        <v>1386</v>
      </c>
      <c r="O1560" t="s">
        <v>3320</v>
      </c>
    </row>
    <row r="1561" spans="1:15" x14ac:dyDescent="0.25">
      <c r="A1561">
        <v>1560</v>
      </c>
      <c r="B1561" t="str">
        <f>HYPERLINK("https://digitalcommons.unl.edu/cgi/viewcontent.cgi?article=2678&amp;context=tractormuseumlit","Click for test report")</f>
        <v>Click for test report</v>
      </c>
      <c r="C1561">
        <v>1979</v>
      </c>
      <c r="D1561" t="s">
        <v>5059</v>
      </c>
      <c r="F1561" t="s">
        <v>2062</v>
      </c>
      <c r="G1561" t="s">
        <v>778</v>
      </c>
      <c r="H1561" t="s">
        <v>5038</v>
      </c>
      <c r="I1561" t="s">
        <v>3474</v>
      </c>
      <c r="J1561" t="s">
        <v>348</v>
      </c>
      <c r="K1561" t="s">
        <v>21</v>
      </c>
      <c r="L1561" t="s">
        <v>571</v>
      </c>
      <c r="N1561" t="s">
        <v>340</v>
      </c>
      <c r="O1561" t="s">
        <v>3413</v>
      </c>
    </row>
    <row r="1562" spans="1:15" x14ac:dyDescent="0.25">
      <c r="A1562">
        <v>1561</v>
      </c>
      <c r="B1562" t="str">
        <f>HYPERLINK("https://digitalcommons.unl.edu/cgi/viewcontent.cgi?article=2679&amp;context=tractormuseumlit","Click for test report")</f>
        <v>Click for test report</v>
      </c>
      <c r="C1562">
        <v>1979</v>
      </c>
      <c r="D1562" t="s">
        <v>5058</v>
      </c>
      <c r="F1562" t="s">
        <v>2062</v>
      </c>
      <c r="G1562" t="s">
        <v>778</v>
      </c>
      <c r="H1562" t="s">
        <v>5036</v>
      </c>
      <c r="I1562" t="s">
        <v>3474</v>
      </c>
      <c r="J1562" t="s">
        <v>348</v>
      </c>
      <c r="K1562" t="s">
        <v>21</v>
      </c>
      <c r="L1562" t="s">
        <v>475</v>
      </c>
      <c r="N1562" t="s">
        <v>368</v>
      </c>
      <c r="O1562" t="s">
        <v>3413</v>
      </c>
    </row>
    <row r="1563" spans="1:15" x14ac:dyDescent="0.25">
      <c r="A1563">
        <v>1562</v>
      </c>
      <c r="B1563" t="str">
        <f>HYPERLINK("https://digitalcommons.unl.edu/cgi/viewcontent.cgi?article=2680&amp;context=tractormuseumlit","Click for test report")</f>
        <v>Click for test report</v>
      </c>
      <c r="C1563">
        <v>1979</v>
      </c>
      <c r="D1563" t="s">
        <v>5055</v>
      </c>
      <c r="F1563" t="s">
        <v>2062</v>
      </c>
      <c r="G1563" t="s">
        <v>778</v>
      </c>
      <c r="H1563" t="s">
        <v>5056</v>
      </c>
      <c r="I1563" t="s">
        <v>3474</v>
      </c>
      <c r="J1563" t="s">
        <v>348</v>
      </c>
      <c r="K1563" t="s">
        <v>21</v>
      </c>
      <c r="L1563" t="s">
        <v>839</v>
      </c>
      <c r="N1563" t="s">
        <v>363</v>
      </c>
      <c r="O1563" t="s">
        <v>5057</v>
      </c>
    </row>
    <row r="1564" spans="1:15" x14ac:dyDescent="0.25">
      <c r="A1564">
        <v>1563</v>
      </c>
      <c r="B1564" t="str">
        <f>HYPERLINK("https://digitalcommons.unl.edu/cgi/viewcontent.cgi?article=2681&amp;context=tractormuseumlit","Click for test report")</f>
        <v>Click for test report</v>
      </c>
      <c r="C1564">
        <v>1979</v>
      </c>
      <c r="D1564" t="s">
        <v>5053</v>
      </c>
      <c r="F1564" t="s">
        <v>4503</v>
      </c>
      <c r="G1564" t="s">
        <v>4504</v>
      </c>
      <c r="H1564" t="s">
        <v>5054</v>
      </c>
      <c r="I1564" t="s">
        <v>50</v>
      </c>
      <c r="J1564" t="s">
        <v>348</v>
      </c>
      <c r="K1564" t="s">
        <v>21</v>
      </c>
      <c r="L1564" t="s">
        <v>3152</v>
      </c>
      <c r="N1564" t="s">
        <v>1802</v>
      </c>
      <c r="O1564" t="s">
        <v>24</v>
      </c>
    </row>
    <row r="1565" spans="1:15" x14ac:dyDescent="0.25">
      <c r="A1565">
        <v>1564</v>
      </c>
      <c r="B1565" t="str">
        <f>HYPERLINK("https://digitalcommons.unl.edu/cgi/viewcontent.cgi?article=2682&amp;context=tractormuseumlit","Click for test report")</f>
        <v>Click for test report</v>
      </c>
      <c r="C1565">
        <v>1979</v>
      </c>
      <c r="D1565" t="s">
        <v>5051</v>
      </c>
      <c r="F1565" t="s">
        <v>4503</v>
      </c>
      <c r="G1565" t="s">
        <v>4504</v>
      </c>
      <c r="H1565" t="s">
        <v>5052</v>
      </c>
      <c r="I1565" t="s">
        <v>50</v>
      </c>
      <c r="J1565" t="s">
        <v>348</v>
      </c>
      <c r="K1565" t="s">
        <v>21</v>
      </c>
      <c r="L1565" t="s">
        <v>3319</v>
      </c>
      <c r="N1565" t="s">
        <v>407</v>
      </c>
      <c r="O1565" t="s">
        <v>3468</v>
      </c>
    </row>
    <row r="1566" spans="1:15" x14ac:dyDescent="0.25">
      <c r="A1566">
        <v>1565</v>
      </c>
      <c r="B1566" t="str">
        <f>HYPERLINK("https://digitalcommons.unl.edu/cgi/viewcontent.cgi?article=2683&amp;context=tractormuseumlit","Click for test report")</f>
        <v>Click for test report</v>
      </c>
      <c r="C1566">
        <v>1979</v>
      </c>
      <c r="D1566" t="s">
        <v>5049</v>
      </c>
      <c r="F1566" t="s">
        <v>4503</v>
      </c>
      <c r="G1566" t="s">
        <v>4504</v>
      </c>
      <c r="H1566" t="s">
        <v>5050</v>
      </c>
      <c r="I1566" t="s">
        <v>50</v>
      </c>
      <c r="J1566" t="s">
        <v>348</v>
      </c>
      <c r="K1566" t="s">
        <v>21</v>
      </c>
      <c r="L1566" t="s">
        <v>1864</v>
      </c>
      <c r="N1566" t="s">
        <v>1970</v>
      </c>
      <c r="O1566" t="s">
        <v>3468</v>
      </c>
    </row>
    <row r="1567" spans="1:15" x14ac:dyDescent="0.25">
      <c r="A1567">
        <v>1566</v>
      </c>
      <c r="B1567" t="str">
        <f>HYPERLINK("https://digitalcommons.unl.edu/cgi/viewcontent.cgi?article=2684&amp;context=tractormuseumlit","Click for test report")</f>
        <v>Click for test report</v>
      </c>
      <c r="C1567">
        <v>1979</v>
      </c>
      <c r="D1567" t="s">
        <v>5047</v>
      </c>
      <c r="F1567" t="s">
        <v>4503</v>
      </c>
      <c r="G1567" t="s">
        <v>4504</v>
      </c>
      <c r="H1567" t="s">
        <v>5048</v>
      </c>
      <c r="I1567" t="s">
        <v>50</v>
      </c>
      <c r="J1567" t="s">
        <v>348</v>
      </c>
      <c r="K1567" t="s">
        <v>21</v>
      </c>
      <c r="L1567" t="s">
        <v>1350</v>
      </c>
      <c r="N1567" t="s">
        <v>353</v>
      </c>
      <c r="O1567" t="s">
        <v>3468</v>
      </c>
    </row>
    <row r="1568" spans="1:15" x14ac:dyDescent="0.25">
      <c r="A1568">
        <v>1567</v>
      </c>
      <c r="B1568" t="str">
        <f>HYPERLINK("https://digitalcommons.unl.edu/cgi/viewcontent.cgi?article=2685&amp;context=tractormuseumlit","Click for test report")</f>
        <v>Click for test report</v>
      </c>
      <c r="C1568">
        <v>1979</v>
      </c>
      <c r="D1568" t="s">
        <v>5045</v>
      </c>
      <c r="F1568" t="s">
        <v>4503</v>
      </c>
      <c r="G1568" t="s">
        <v>4504</v>
      </c>
      <c r="H1568" t="s">
        <v>5046</v>
      </c>
      <c r="I1568" t="s">
        <v>2964</v>
      </c>
      <c r="J1568" t="s">
        <v>348</v>
      </c>
      <c r="K1568" t="s">
        <v>21</v>
      </c>
      <c r="L1568" t="s">
        <v>353</v>
      </c>
      <c r="N1568" t="s">
        <v>2090</v>
      </c>
      <c r="O1568" t="s">
        <v>24</v>
      </c>
    </row>
    <row r="1569" spans="1:15" x14ac:dyDescent="0.25">
      <c r="A1569">
        <v>1568</v>
      </c>
      <c r="B1569" t="str">
        <f>HYPERLINK("https://digitalcommons.unl.edu/cgi/viewcontent.cgi?article=2686&amp;context=tractormuseumlit","Click for test report")</f>
        <v>Click for test report</v>
      </c>
      <c r="C1569">
        <v>1979</v>
      </c>
      <c r="D1569" t="s">
        <v>5043</v>
      </c>
      <c r="F1569" t="s">
        <v>4503</v>
      </c>
      <c r="G1569" t="s">
        <v>4504</v>
      </c>
      <c r="H1569" t="s">
        <v>5044</v>
      </c>
      <c r="I1569" t="s">
        <v>50</v>
      </c>
      <c r="J1569" t="s">
        <v>29</v>
      </c>
      <c r="K1569" t="s">
        <v>21</v>
      </c>
      <c r="N1569" t="s">
        <v>1947</v>
      </c>
      <c r="O1569" t="s">
        <v>4836</v>
      </c>
    </row>
    <row r="1570" spans="1:15" x14ac:dyDescent="0.25">
      <c r="A1570">
        <v>1569</v>
      </c>
      <c r="B1570" t="str">
        <f>HYPERLINK("https://digitalcommons.unl.edu/cgi/viewcontent.cgi?article=2687&amp;context=tractormuseumlit","Click for test report")</f>
        <v>Click for test report</v>
      </c>
      <c r="C1570">
        <v>1979</v>
      </c>
      <c r="D1570" t="s">
        <v>5041</v>
      </c>
      <c r="F1570" t="s">
        <v>4426</v>
      </c>
      <c r="G1570" t="s">
        <v>3166</v>
      </c>
      <c r="H1570" t="s">
        <v>5042</v>
      </c>
      <c r="I1570" t="s">
        <v>3474</v>
      </c>
      <c r="J1570" t="s">
        <v>29</v>
      </c>
      <c r="K1570" t="s">
        <v>21</v>
      </c>
      <c r="L1570" t="s">
        <v>149</v>
      </c>
      <c r="N1570" t="s">
        <v>1425</v>
      </c>
      <c r="O1570" t="s">
        <v>3617</v>
      </c>
    </row>
    <row r="1571" spans="1:15" x14ac:dyDescent="0.25">
      <c r="A1571">
        <v>1570</v>
      </c>
      <c r="B1571" t="str">
        <f>HYPERLINK("https://digitalcommons.unl.edu/cgi/viewcontent.cgi?article=2688&amp;context=tractormuseumlit","Click for test report")</f>
        <v>Click for test report</v>
      </c>
      <c r="C1571">
        <v>1979</v>
      </c>
      <c r="D1571" t="s">
        <v>4804</v>
      </c>
      <c r="F1571" t="s">
        <v>4503</v>
      </c>
      <c r="G1571" t="s">
        <v>4504</v>
      </c>
      <c r="H1571" t="s">
        <v>5040</v>
      </c>
      <c r="I1571" t="s">
        <v>1961</v>
      </c>
      <c r="J1571" t="s">
        <v>29</v>
      </c>
      <c r="K1571" t="s">
        <v>21</v>
      </c>
      <c r="L1571" t="s">
        <v>332</v>
      </c>
      <c r="N1571" t="s">
        <v>446</v>
      </c>
      <c r="O1571" t="s">
        <v>3371</v>
      </c>
    </row>
    <row r="1572" spans="1:15" x14ac:dyDescent="0.25">
      <c r="A1572">
        <v>1571</v>
      </c>
      <c r="B1572" t="str">
        <f>HYPERLINK("https://digitalcommons.unl.edu/cgi/viewcontent.cgi?article=2689&amp;context=tractormuseumlit","Click for test report")</f>
        <v>Click for test report</v>
      </c>
      <c r="C1572">
        <v>1979</v>
      </c>
      <c r="D1572" t="s">
        <v>4801</v>
      </c>
      <c r="F1572" t="s">
        <v>4503</v>
      </c>
      <c r="G1572" t="s">
        <v>4504</v>
      </c>
      <c r="H1572" t="s">
        <v>5039</v>
      </c>
      <c r="I1572" t="s">
        <v>1961</v>
      </c>
      <c r="J1572" t="s">
        <v>29</v>
      </c>
      <c r="K1572" t="s">
        <v>21</v>
      </c>
      <c r="L1572" t="s">
        <v>1830</v>
      </c>
      <c r="N1572" t="s">
        <v>332</v>
      </c>
      <c r="O1572" t="s">
        <v>3371</v>
      </c>
    </row>
    <row r="1573" spans="1:15" x14ac:dyDescent="0.25">
      <c r="A1573">
        <v>1572</v>
      </c>
      <c r="B1573" t="str">
        <f>HYPERLINK("https://digitalcommons.unl.edu/cgi/viewcontent.cgi?article=2690&amp;context=tractormuseumlit","Click for test report")</f>
        <v>Click for test report</v>
      </c>
      <c r="C1573">
        <v>1979</v>
      </c>
      <c r="D1573" t="s">
        <v>5037</v>
      </c>
      <c r="F1573" t="s">
        <v>2062</v>
      </c>
      <c r="G1573" t="s">
        <v>778</v>
      </c>
      <c r="H1573" t="s">
        <v>5038</v>
      </c>
      <c r="I1573" t="s">
        <v>50</v>
      </c>
      <c r="J1573" t="s">
        <v>348</v>
      </c>
      <c r="K1573" t="s">
        <v>21</v>
      </c>
      <c r="L1573" t="s">
        <v>46</v>
      </c>
      <c r="N1573" t="s">
        <v>55</v>
      </c>
      <c r="O1573" t="s">
        <v>3468</v>
      </c>
    </row>
    <row r="1574" spans="1:15" x14ac:dyDescent="0.25">
      <c r="A1574">
        <v>1573</v>
      </c>
      <c r="B1574" t="str">
        <f>HYPERLINK("https://digitalcommons.unl.edu/cgi/viewcontent.cgi?article=2691&amp;context=tractormuseumlit","Click for test report")</f>
        <v>Click for test report</v>
      </c>
      <c r="C1574">
        <v>1979</v>
      </c>
      <c r="D1574" t="s">
        <v>5035</v>
      </c>
      <c r="F1574" t="s">
        <v>2062</v>
      </c>
      <c r="G1574" t="s">
        <v>778</v>
      </c>
      <c r="H1574" t="s">
        <v>5036</v>
      </c>
      <c r="I1574" t="s">
        <v>50</v>
      </c>
      <c r="J1574" t="s">
        <v>348</v>
      </c>
      <c r="K1574" t="s">
        <v>21</v>
      </c>
      <c r="L1574" t="s">
        <v>794</v>
      </c>
      <c r="N1574" t="s">
        <v>51</v>
      </c>
      <c r="O1574" t="s">
        <v>3468</v>
      </c>
    </row>
    <row r="1575" spans="1:15" x14ac:dyDescent="0.25">
      <c r="A1575">
        <v>1574</v>
      </c>
      <c r="B1575" t="str">
        <f>HYPERLINK("https://digitalcommons.unl.edu/cgi/viewcontent.cgi?article=2692&amp;context=tractormuseumlit","Click for test report")</f>
        <v>Click for test report</v>
      </c>
      <c r="C1575">
        <v>1979</v>
      </c>
      <c r="D1575" t="s">
        <v>5033</v>
      </c>
      <c r="F1575" t="s">
        <v>17</v>
      </c>
      <c r="G1575" t="s">
        <v>17</v>
      </c>
      <c r="H1575" t="s">
        <v>5034</v>
      </c>
      <c r="I1575" t="s">
        <v>1961</v>
      </c>
      <c r="J1575" t="s">
        <v>29</v>
      </c>
      <c r="K1575" t="s">
        <v>21</v>
      </c>
      <c r="L1575" t="s">
        <v>155</v>
      </c>
      <c r="N1575" t="s">
        <v>319</v>
      </c>
      <c r="O1575" t="s">
        <v>3371</v>
      </c>
    </row>
    <row r="1576" spans="1:15" x14ac:dyDescent="0.25">
      <c r="A1576">
        <v>1575</v>
      </c>
      <c r="B1576" t="str">
        <f>HYPERLINK("https://digitalcommons.unl.edu/cgi/viewcontent.cgi?article=2693&amp;context=tractormuseumlit","Click for test report")</f>
        <v>Click for test report</v>
      </c>
      <c r="C1576">
        <v>1979</v>
      </c>
      <c r="D1576" t="s">
        <v>5031</v>
      </c>
      <c r="F1576" t="s">
        <v>17</v>
      </c>
      <c r="G1576" t="s">
        <v>17</v>
      </c>
      <c r="H1576" t="s">
        <v>5032</v>
      </c>
      <c r="I1576" t="s">
        <v>1961</v>
      </c>
      <c r="J1576" t="s">
        <v>29</v>
      </c>
      <c r="K1576" t="s">
        <v>21</v>
      </c>
      <c r="L1576" t="s">
        <v>504</v>
      </c>
      <c r="N1576" t="s">
        <v>1124</v>
      </c>
      <c r="O1576" t="s">
        <v>3371</v>
      </c>
    </row>
    <row r="1577" spans="1:15" x14ac:dyDescent="0.25">
      <c r="A1577">
        <v>1576</v>
      </c>
      <c r="B1577" t="str">
        <f>HYPERLINK("https://digitalcommons.unl.edu/cgi/viewcontent.cgi?article=2694&amp;context=tractormuseumlit","Click for test report")</f>
        <v>Click for test report</v>
      </c>
      <c r="C1577">
        <v>1979</v>
      </c>
      <c r="D1577" t="s">
        <v>5030</v>
      </c>
      <c r="F1577" t="s">
        <v>4583</v>
      </c>
      <c r="G1577" t="s">
        <v>3708</v>
      </c>
      <c r="H1577" t="s">
        <v>3720</v>
      </c>
      <c r="I1577" t="s">
        <v>50</v>
      </c>
      <c r="J1577" t="s">
        <v>348</v>
      </c>
      <c r="K1577" t="s">
        <v>21</v>
      </c>
      <c r="L1577" t="s">
        <v>4358</v>
      </c>
      <c r="N1577" t="s">
        <v>4359</v>
      </c>
      <c r="O1577" t="s">
        <v>3320</v>
      </c>
    </row>
    <row r="1578" spans="1:15" x14ac:dyDescent="0.25">
      <c r="A1578">
        <v>1577</v>
      </c>
      <c r="B1578" t="str">
        <f>HYPERLINK("https://digitalcommons.unl.edu/cgi/viewcontent.cgi?article=2695&amp;context=tractormuseumlit","Click for test report")</f>
        <v>Click for test report</v>
      </c>
      <c r="C1578">
        <v>1979</v>
      </c>
      <c r="D1578" t="s">
        <v>5029</v>
      </c>
      <c r="F1578" t="s">
        <v>4583</v>
      </c>
      <c r="G1578" t="s">
        <v>3708</v>
      </c>
      <c r="H1578" t="s">
        <v>2397</v>
      </c>
      <c r="I1578" t="s">
        <v>50</v>
      </c>
      <c r="J1578" t="s">
        <v>348</v>
      </c>
      <c r="K1578" t="s">
        <v>21</v>
      </c>
      <c r="L1578" t="s">
        <v>4013</v>
      </c>
      <c r="N1578" t="s">
        <v>4358</v>
      </c>
      <c r="O1578" t="s">
        <v>3320</v>
      </c>
    </row>
    <row r="1579" spans="1:15" x14ac:dyDescent="0.25">
      <c r="A1579">
        <v>1578</v>
      </c>
      <c r="B1579" t="str">
        <f>HYPERLINK("https://digitalcommons.unl.edu/cgi/viewcontent.cgi?article=2696&amp;context=tractormuseumlit","Click for test report")</f>
        <v>Click for test report</v>
      </c>
      <c r="C1579">
        <v>1979</v>
      </c>
      <c r="D1579" t="s">
        <v>5028</v>
      </c>
      <c r="F1579" t="s">
        <v>4615</v>
      </c>
      <c r="G1579" t="s">
        <v>17</v>
      </c>
      <c r="H1579" t="s">
        <v>250</v>
      </c>
      <c r="I1579" t="s">
        <v>50</v>
      </c>
      <c r="J1579" t="s">
        <v>348</v>
      </c>
      <c r="K1579" t="s">
        <v>21</v>
      </c>
      <c r="L1579" t="s">
        <v>4745</v>
      </c>
      <c r="N1579" t="s">
        <v>4352</v>
      </c>
      <c r="O1579" t="s">
        <v>4695</v>
      </c>
    </row>
    <row r="1580" spans="1:15" x14ac:dyDescent="0.25">
      <c r="A1580">
        <v>1579</v>
      </c>
      <c r="B1580" t="str">
        <f>HYPERLINK("https://digitalcommons.unl.edu/cgi/viewcontent.cgi?article=2696&amp;context=tractormuseumlit","Click for test report")</f>
        <v>Click for test report</v>
      </c>
      <c r="C1580">
        <v>1979</v>
      </c>
      <c r="D1580" t="s">
        <v>5028</v>
      </c>
      <c r="F1580" t="s">
        <v>4615</v>
      </c>
      <c r="G1580" t="s">
        <v>17</v>
      </c>
      <c r="H1580" t="s">
        <v>250</v>
      </c>
      <c r="I1580" t="s">
        <v>50</v>
      </c>
      <c r="J1580" t="s">
        <v>20</v>
      </c>
      <c r="K1580" t="s">
        <v>21</v>
      </c>
      <c r="L1580" t="s">
        <v>4745</v>
      </c>
      <c r="N1580" t="s">
        <v>4352</v>
      </c>
      <c r="O1580" t="s">
        <v>4694</v>
      </c>
    </row>
    <row r="1581" spans="1:15" x14ac:dyDescent="0.25">
      <c r="A1581">
        <v>1580</v>
      </c>
      <c r="B1581" t="str">
        <f>HYPERLINK("https://digitalcommons.unl.edu/cgi/viewcontent.cgi?article=2697&amp;context=tractormuseumlit","Click for test report")</f>
        <v>Click for test report</v>
      </c>
      <c r="C1581">
        <v>1979</v>
      </c>
      <c r="D1581" t="s">
        <v>4468</v>
      </c>
      <c r="F1581" t="s">
        <v>3800</v>
      </c>
      <c r="G1581" t="s">
        <v>4473</v>
      </c>
      <c r="H1581" t="s">
        <v>5027</v>
      </c>
      <c r="I1581" t="s">
        <v>3474</v>
      </c>
      <c r="J1581" t="s">
        <v>29</v>
      </c>
      <c r="K1581" t="s">
        <v>21</v>
      </c>
      <c r="L1581" t="s">
        <v>115</v>
      </c>
      <c r="N1581" t="s">
        <v>2422</v>
      </c>
      <c r="O1581" t="s">
        <v>24</v>
      </c>
    </row>
    <row r="1582" spans="1:15" x14ac:dyDescent="0.25">
      <c r="A1582">
        <v>1581</v>
      </c>
      <c r="B1582" t="str">
        <f>HYPERLINK("https://digitalcommons.unl.edu/cgi/viewcontent.cgi?article=2698&amp;context=tractormuseumlit","Click for test report")</f>
        <v>Click for test report</v>
      </c>
      <c r="C1582">
        <v>1979</v>
      </c>
      <c r="D1582" t="s">
        <v>4465</v>
      </c>
      <c r="F1582" t="s">
        <v>3800</v>
      </c>
      <c r="G1582" t="s">
        <v>4473</v>
      </c>
      <c r="H1582" t="s">
        <v>5026</v>
      </c>
      <c r="I1582" t="s">
        <v>3474</v>
      </c>
      <c r="J1582" t="s">
        <v>29</v>
      </c>
      <c r="K1582" t="s">
        <v>21</v>
      </c>
      <c r="L1582" t="s">
        <v>1444</v>
      </c>
      <c r="N1582" t="s">
        <v>510</v>
      </c>
      <c r="O1582" t="s">
        <v>24</v>
      </c>
    </row>
    <row r="1583" spans="1:15" x14ac:dyDescent="0.25">
      <c r="A1583">
        <v>1582</v>
      </c>
      <c r="B1583" t="str">
        <f>HYPERLINK("https://digitalcommons.unl.edu/cgi/viewcontent.cgi?article=2699&amp;context=tractormuseumlit","Click for test report")</f>
        <v>Click for test report</v>
      </c>
      <c r="C1583">
        <v>1979</v>
      </c>
      <c r="D1583" t="s">
        <v>4462</v>
      </c>
      <c r="F1583" t="s">
        <v>3800</v>
      </c>
      <c r="G1583" t="s">
        <v>4473</v>
      </c>
      <c r="H1583" t="s">
        <v>5025</v>
      </c>
      <c r="I1583" t="s">
        <v>3474</v>
      </c>
      <c r="J1583" t="s">
        <v>29</v>
      </c>
      <c r="K1583" t="s">
        <v>21</v>
      </c>
      <c r="L1583" t="s">
        <v>231</v>
      </c>
      <c r="N1583" t="s">
        <v>65</v>
      </c>
      <c r="O1583" t="s">
        <v>24</v>
      </c>
    </row>
    <row r="1584" spans="1:15" x14ac:dyDescent="0.25">
      <c r="A1584">
        <v>1583</v>
      </c>
      <c r="B1584" t="str">
        <f>HYPERLINK("https://digitalcommons.unl.edu/cgi/viewcontent.cgi?article=2700&amp;context=tractormuseumlit","Click for test report")</f>
        <v>Click for test report</v>
      </c>
      <c r="C1584">
        <v>1979</v>
      </c>
      <c r="D1584" t="s">
        <v>5023</v>
      </c>
      <c r="F1584" t="s">
        <v>61</v>
      </c>
      <c r="G1584" t="s">
        <v>61</v>
      </c>
      <c r="H1584" t="s">
        <v>5024</v>
      </c>
      <c r="I1584" t="s">
        <v>50</v>
      </c>
      <c r="J1584" t="s">
        <v>29</v>
      </c>
      <c r="K1584" t="s">
        <v>21</v>
      </c>
      <c r="L1584" t="s">
        <v>149</v>
      </c>
      <c r="N1584" t="s">
        <v>439</v>
      </c>
      <c r="O1584" t="s">
        <v>4374</v>
      </c>
    </row>
    <row r="1585" spans="1:15" x14ac:dyDescent="0.25">
      <c r="A1585">
        <v>1584</v>
      </c>
      <c r="B1585" t="str">
        <f>HYPERLINK("https://digitalcommons.unl.edu/cgi/viewcontent.cgi?article=2701&amp;context=tractormuseumlit","Click for test report")</f>
        <v>Click for test report</v>
      </c>
      <c r="C1585">
        <v>1979</v>
      </c>
      <c r="D1585" t="s">
        <v>5019</v>
      </c>
      <c r="F1585" t="s">
        <v>61</v>
      </c>
      <c r="G1585" t="s">
        <v>61</v>
      </c>
      <c r="H1585" t="s">
        <v>5020</v>
      </c>
      <c r="I1585" t="s">
        <v>50</v>
      </c>
      <c r="J1585" t="s">
        <v>29</v>
      </c>
      <c r="K1585" t="s">
        <v>21</v>
      </c>
      <c r="L1585" t="s">
        <v>5021</v>
      </c>
      <c r="N1585" t="s">
        <v>3009</v>
      </c>
      <c r="O1585" t="s">
        <v>5022</v>
      </c>
    </row>
    <row r="1586" spans="1:15" x14ac:dyDescent="0.25">
      <c r="A1586">
        <v>1585</v>
      </c>
      <c r="B1586" t="str">
        <f>HYPERLINK("https://digitalcommons.unl.edu/cgi/viewcontent.cgi?article=2702&amp;context=tractormuseumlit","Click for test report")</f>
        <v>Click for test report</v>
      </c>
      <c r="C1586">
        <v>1979</v>
      </c>
      <c r="D1586" t="s">
        <v>5018</v>
      </c>
      <c r="F1586" t="s">
        <v>4098</v>
      </c>
      <c r="G1586" t="s">
        <v>3514</v>
      </c>
      <c r="H1586" t="s">
        <v>4629</v>
      </c>
      <c r="I1586" t="s">
        <v>19</v>
      </c>
      <c r="J1586" t="s">
        <v>29</v>
      </c>
      <c r="K1586" t="s">
        <v>21</v>
      </c>
      <c r="L1586" t="s">
        <v>520</v>
      </c>
      <c r="N1586" t="s">
        <v>939</v>
      </c>
      <c r="O1586" t="s">
        <v>3320</v>
      </c>
    </row>
    <row r="1587" spans="1:15" x14ac:dyDescent="0.25">
      <c r="A1587">
        <v>1586</v>
      </c>
      <c r="B1587" t="str">
        <f>HYPERLINK("https://digitalcommons.unl.edu/cgi/viewcontent.cgi?article=2703&amp;context=tractormuseumlit","Click for test report")</f>
        <v>Click for test report</v>
      </c>
      <c r="C1587">
        <v>1979</v>
      </c>
      <c r="D1587" t="s">
        <v>5015</v>
      </c>
      <c r="F1587" t="s">
        <v>5016</v>
      </c>
      <c r="G1587" t="s">
        <v>3514</v>
      </c>
      <c r="H1587" t="s">
        <v>5017</v>
      </c>
      <c r="I1587" t="s">
        <v>19</v>
      </c>
      <c r="J1587" t="s">
        <v>29</v>
      </c>
      <c r="K1587" t="s">
        <v>21</v>
      </c>
      <c r="L1587" t="s">
        <v>3187</v>
      </c>
      <c r="N1587" t="s">
        <v>955</v>
      </c>
      <c r="O1587" t="s">
        <v>24</v>
      </c>
    </row>
    <row r="1588" spans="1:15" x14ac:dyDescent="0.25">
      <c r="A1588">
        <v>1587</v>
      </c>
      <c r="B1588" t="str">
        <f>HYPERLINK("https://digitalcommons.unl.edu/cgi/viewcontent.cgi?article=2500&amp;context=tractormuseumlit","Click for test report")</f>
        <v>Click for test report</v>
      </c>
      <c r="C1588">
        <v>1980</v>
      </c>
      <c r="D1588" t="s">
        <v>5012</v>
      </c>
      <c r="F1588" t="s">
        <v>4344</v>
      </c>
      <c r="G1588" t="s">
        <v>4850</v>
      </c>
      <c r="H1588" t="s">
        <v>5013</v>
      </c>
      <c r="I1588" t="s">
        <v>50</v>
      </c>
      <c r="J1588" t="s">
        <v>348</v>
      </c>
      <c r="K1588" t="s">
        <v>21</v>
      </c>
      <c r="L1588" t="s">
        <v>2090</v>
      </c>
      <c r="N1588" t="s">
        <v>1893</v>
      </c>
      <c r="O1588" t="s">
        <v>5014</v>
      </c>
    </row>
    <row r="1589" spans="1:15" x14ac:dyDescent="0.25">
      <c r="A1589">
        <v>1588</v>
      </c>
      <c r="B1589" t="str">
        <f>HYPERLINK("https://digitalcommons.unl.edu/cgi/viewcontent.cgi?article=2500&amp;context=tractormuseumlit","Click for test report")</f>
        <v>Click for test report</v>
      </c>
      <c r="C1589">
        <v>1980</v>
      </c>
      <c r="D1589" t="s">
        <v>5012</v>
      </c>
      <c r="F1589" t="s">
        <v>4344</v>
      </c>
      <c r="G1589" t="s">
        <v>4383</v>
      </c>
      <c r="H1589" t="s">
        <v>5013</v>
      </c>
      <c r="I1589" t="s">
        <v>50</v>
      </c>
      <c r="J1589" t="s">
        <v>348</v>
      </c>
      <c r="K1589" t="s">
        <v>21</v>
      </c>
      <c r="L1589" t="s">
        <v>2090</v>
      </c>
      <c r="N1589" t="s">
        <v>1893</v>
      </c>
      <c r="O1589" t="s">
        <v>5014</v>
      </c>
    </row>
    <row r="1590" spans="1:15" x14ac:dyDescent="0.25">
      <c r="A1590">
        <v>1589</v>
      </c>
      <c r="B1590" t="str">
        <f>HYPERLINK("https://digitalcommons.unl.edu/cgi/viewcontent.cgi?article=2589&amp;context=tractormuseumlit","Click for test report")</f>
        <v>Click for test report</v>
      </c>
      <c r="C1590">
        <v>1980</v>
      </c>
      <c r="D1590" t="s">
        <v>5009</v>
      </c>
      <c r="F1590" t="s">
        <v>4344</v>
      </c>
      <c r="G1590" t="s">
        <v>4850</v>
      </c>
      <c r="H1590" t="s">
        <v>5010</v>
      </c>
      <c r="I1590" t="s">
        <v>50</v>
      </c>
      <c r="J1590" t="s">
        <v>348</v>
      </c>
      <c r="K1590" t="s">
        <v>21</v>
      </c>
      <c r="L1590" t="s">
        <v>1051</v>
      </c>
      <c r="N1590" t="s">
        <v>3319</v>
      </c>
      <c r="O1590" t="s">
        <v>5011</v>
      </c>
    </row>
    <row r="1591" spans="1:15" x14ac:dyDescent="0.25">
      <c r="A1591">
        <v>1590</v>
      </c>
      <c r="B1591" t="str">
        <f>HYPERLINK("https://digitalcommons.unl.edu/cgi/viewcontent.cgi?article=2589&amp;context=tractormuseumlit","Click for test report")</f>
        <v>Click for test report</v>
      </c>
      <c r="C1591">
        <v>1980</v>
      </c>
      <c r="D1591" t="s">
        <v>5009</v>
      </c>
      <c r="F1591" t="s">
        <v>4344</v>
      </c>
      <c r="G1591" t="s">
        <v>4383</v>
      </c>
      <c r="H1591" t="s">
        <v>5010</v>
      </c>
      <c r="I1591" t="s">
        <v>50</v>
      </c>
      <c r="J1591" t="s">
        <v>348</v>
      </c>
      <c r="K1591" t="s">
        <v>21</v>
      </c>
      <c r="L1591" t="s">
        <v>1051</v>
      </c>
      <c r="N1591" t="s">
        <v>3319</v>
      </c>
      <c r="O1591" t="s">
        <v>5011</v>
      </c>
    </row>
    <row r="1592" spans="1:15" x14ac:dyDescent="0.25">
      <c r="A1592">
        <v>1591</v>
      </c>
      <c r="B1592" t="str">
        <f>HYPERLINK("https://digitalcommons.unl.edu/cgi/viewcontent.cgi?article=2590&amp;context=tractormuseumlit","Click for test report")</f>
        <v>Click for test report</v>
      </c>
      <c r="C1592">
        <v>1980</v>
      </c>
      <c r="D1592" t="s">
        <v>5006</v>
      </c>
      <c r="F1592" t="s">
        <v>4344</v>
      </c>
      <c r="G1592" t="s">
        <v>4850</v>
      </c>
      <c r="H1592" t="s">
        <v>5007</v>
      </c>
      <c r="I1592" t="s">
        <v>50</v>
      </c>
      <c r="J1592" t="s">
        <v>348</v>
      </c>
      <c r="K1592" t="s">
        <v>21</v>
      </c>
      <c r="L1592" t="s">
        <v>2030</v>
      </c>
      <c r="N1592" t="s">
        <v>725</v>
      </c>
      <c r="O1592" t="s">
        <v>5008</v>
      </c>
    </row>
    <row r="1593" spans="1:15" x14ac:dyDescent="0.25">
      <c r="A1593">
        <v>1592</v>
      </c>
      <c r="B1593" t="str">
        <f>HYPERLINK("https://digitalcommons.unl.edu/cgi/viewcontent.cgi?article=2704&amp;context=tractormuseumlit","Click for test report")</f>
        <v>Click for test report</v>
      </c>
      <c r="C1593">
        <v>1980</v>
      </c>
      <c r="D1593" t="s">
        <v>5005</v>
      </c>
      <c r="F1593" t="s">
        <v>61</v>
      </c>
      <c r="G1593" t="s">
        <v>61</v>
      </c>
      <c r="H1593" t="s">
        <v>4093</v>
      </c>
      <c r="I1593" t="s">
        <v>50</v>
      </c>
      <c r="J1593" t="s">
        <v>29</v>
      </c>
      <c r="K1593" t="s">
        <v>21</v>
      </c>
      <c r="N1593" t="s">
        <v>206</v>
      </c>
      <c r="O1593" t="s">
        <v>4406</v>
      </c>
    </row>
    <row r="1594" spans="1:15" x14ac:dyDescent="0.25">
      <c r="A1594">
        <v>1593</v>
      </c>
      <c r="B1594" t="str">
        <f>HYPERLINK("https://digitalcommons.unl.edu/cgi/viewcontent.cgi?article=2705&amp;context=tractormuseumlit","Click for test report")</f>
        <v>Click for test report</v>
      </c>
      <c r="C1594">
        <v>1980</v>
      </c>
      <c r="D1594" t="s">
        <v>5003</v>
      </c>
      <c r="F1594" t="s">
        <v>4503</v>
      </c>
      <c r="G1594" t="s">
        <v>4504</v>
      </c>
      <c r="H1594" t="s">
        <v>5004</v>
      </c>
      <c r="I1594" t="s">
        <v>1961</v>
      </c>
      <c r="J1594" t="s">
        <v>348</v>
      </c>
      <c r="K1594" t="s">
        <v>21</v>
      </c>
      <c r="L1594" t="s">
        <v>747</v>
      </c>
      <c r="N1594" t="s">
        <v>353</v>
      </c>
      <c r="O1594" t="s">
        <v>5002</v>
      </c>
    </row>
    <row r="1595" spans="1:15" x14ac:dyDescent="0.25">
      <c r="A1595">
        <v>1594</v>
      </c>
      <c r="B1595" t="str">
        <f>HYPERLINK("https://digitalcommons.unl.edu/cgi/viewcontent.cgi?article=2706&amp;context=tractormuseumlit","Click for test report")</f>
        <v>Click for test report</v>
      </c>
      <c r="C1595">
        <v>1980</v>
      </c>
      <c r="D1595" t="s">
        <v>5000</v>
      </c>
      <c r="F1595" t="s">
        <v>4503</v>
      </c>
      <c r="G1595" t="s">
        <v>4504</v>
      </c>
      <c r="H1595" t="s">
        <v>5001</v>
      </c>
      <c r="I1595" t="s">
        <v>2964</v>
      </c>
      <c r="J1595" t="s">
        <v>348</v>
      </c>
      <c r="K1595" t="s">
        <v>21</v>
      </c>
      <c r="L1595" t="s">
        <v>1347</v>
      </c>
      <c r="N1595" t="s">
        <v>1994</v>
      </c>
      <c r="O1595" t="s">
        <v>5002</v>
      </c>
    </row>
    <row r="1596" spans="1:15" x14ac:dyDescent="0.25">
      <c r="A1596">
        <v>1595</v>
      </c>
      <c r="B1596" t="str">
        <f>HYPERLINK("https://digitalcommons.unl.edu/cgi/viewcontent.cgi?article=2707&amp;context=tractormuseumlit","Click for test report")</f>
        <v>Click for test report</v>
      </c>
      <c r="C1596">
        <v>1980</v>
      </c>
      <c r="D1596" t="s">
        <v>4998</v>
      </c>
      <c r="F1596" t="s">
        <v>4503</v>
      </c>
      <c r="G1596" t="s">
        <v>4504</v>
      </c>
      <c r="H1596" t="s">
        <v>4996</v>
      </c>
      <c r="I1596" t="s">
        <v>1961</v>
      </c>
      <c r="J1596" t="s">
        <v>348</v>
      </c>
      <c r="K1596" t="s">
        <v>21</v>
      </c>
      <c r="L1596" t="s">
        <v>55</v>
      </c>
      <c r="N1596" t="s">
        <v>740</v>
      </c>
      <c r="O1596" t="s">
        <v>4999</v>
      </c>
    </row>
    <row r="1597" spans="1:15" x14ac:dyDescent="0.25">
      <c r="A1597">
        <v>1596</v>
      </c>
      <c r="B1597" t="str">
        <f>HYPERLINK("https://digitalcommons.unl.edu/cgi/viewcontent.cgi?article=2708&amp;context=tractormuseumlit","Click for test report")</f>
        <v>Click for test report</v>
      </c>
      <c r="C1597">
        <v>1980</v>
      </c>
      <c r="D1597" t="s">
        <v>4995</v>
      </c>
      <c r="F1597" t="s">
        <v>4503</v>
      </c>
      <c r="G1597" t="s">
        <v>4504</v>
      </c>
      <c r="H1597" t="s">
        <v>4996</v>
      </c>
      <c r="I1597" t="s">
        <v>1961</v>
      </c>
      <c r="J1597" t="s">
        <v>348</v>
      </c>
      <c r="K1597" t="s">
        <v>21</v>
      </c>
      <c r="L1597" t="s">
        <v>562</v>
      </c>
      <c r="N1597" t="s">
        <v>344</v>
      </c>
      <c r="O1597" t="s">
        <v>4997</v>
      </c>
    </row>
    <row r="1598" spans="1:15" x14ac:dyDescent="0.25">
      <c r="A1598">
        <v>1597</v>
      </c>
      <c r="B1598" t="str">
        <f>HYPERLINK("https://digitalcommons.unl.edu/cgi/viewcontent.cgi?article=2709&amp;context=tractormuseumlit","Click for test report")</f>
        <v>Click for test report</v>
      </c>
      <c r="C1598">
        <v>1980</v>
      </c>
      <c r="D1598" t="s">
        <v>4990</v>
      </c>
      <c r="F1598" t="s">
        <v>4985</v>
      </c>
      <c r="G1598" t="s">
        <v>4986</v>
      </c>
      <c r="H1598" t="s">
        <v>4993</v>
      </c>
      <c r="I1598" t="s">
        <v>50</v>
      </c>
      <c r="J1598" t="s">
        <v>20</v>
      </c>
      <c r="K1598" t="s">
        <v>21</v>
      </c>
      <c r="L1598" t="s">
        <v>1867</v>
      </c>
      <c r="N1598" t="s">
        <v>725</v>
      </c>
      <c r="O1598" t="s">
        <v>4994</v>
      </c>
    </row>
    <row r="1599" spans="1:15" x14ac:dyDescent="0.25">
      <c r="A1599">
        <v>1598</v>
      </c>
      <c r="B1599" t="str">
        <f>HYPERLINK("https://digitalcommons.unl.edu/cgi/viewcontent.cgi?article=2709&amp;context=tractormuseumlit","Click for test report")</f>
        <v>Click for test report</v>
      </c>
      <c r="C1599">
        <v>1980</v>
      </c>
      <c r="D1599" t="s">
        <v>4990</v>
      </c>
      <c r="F1599" t="s">
        <v>4985</v>
      </c>
      <c r="G1599" t="s">
        <v>4986</v>
      </c>
      <c r="H1599" t="s">
        <v>4991</v>
      </c>
      <c r="I1599" t="s">
        <v>50</v>
      </c>
      <c r="J1599" t="s">
        <v>348</v>
      </c>
      <c r="K1599" t="s">
        <v>21</v>
      </c>
      <c r="L1599" t="s">
        <v>1867</v>
      </c>
      <c r="N1599" t="s">
        <v>353</v>
      </c>
      <c r="O1599" t="s">
        <v>4763</v>
      </c>
    </row>
    <row r="1600" spans="1:15" x14ac:dyDescent="0.25">
      <c r="A1600">
        <v>1599</v>
      </c>
      <c r="B1600" t="str">
        <f>HYPERLINK("https://digitalcommons.unl.edu/cgi/viewcontent.cgi?article=2709&amp;context=tractormuseumlit","Click for test report")</f>
        <v>Click for test report</v>
      </c>
      <c r="C1600">
        <v>1980</v>
      </c>
      <c r="D1600" t="s">
        <v>4990</v>
      </c>
      <c r="F1600" t="s">
        <v>4985</v>
      </c>
      <c r="G1600" t="s">
        <v>4986</v>
      </c>
      <c r="H1600" t="s">
        <v>4991</v>
      </c>
      <c r="I1600" t="s">
        <v>50</v>
      </c>
      <c r="J1600" t="s">
        <v>20</v>
      </c>
      <c r="K1600" t="s">
        <v>21</v>
      </c>
      <c r="L1600" t="s">
        <v>1867</v>
      </c>
      <c r="N1600" t="s">
        <v>404</v>
      </c>
      <c r="O1600" t="s">
        <v>4992</v>
      </c>
    </row>
    <row r="1601" spans="1:15" x14ac:dyDescent="0.25">
      <c r="A1601">
        <v>1600</v>
      </c>
      <c r="B1601" t="str">
        <f>HYPERLINK("https://digitalcommons.unl.edu/cgi/viewcontent.cgi?article=2710&amp;context=tractormuseumlit","Click for test report")</f>
        <v>Click for test report</v>
      </c>
      <c r="C1601">
        <v>1980</v>
      </c>
      <c r="D1601" t="s">
        <v>4984</v>
      </c>
      <c r="F1601" t="s">
        <v>4985</v>
      </c>
      <c r="G1601" t="s">
        <v>4986</v>
      </c>
      <c r="H1601" t="s">
        <v>4988</v>
      </c>
      <c r="I1601" t="s">
        <v>50</v>
      </c>
      <c r="J1601" t="s">
        <v>20</v>
      </c>
      <c r="K1601" t="s">
        <v>21</v>
      </c>
      <c r="L1601" t="s">
        <v>728</v>
      </c>
      <c r="N1601" t="s">
        <v>3123</v>
      </c>
      <c r="O1601" t="s">
        <v>4989</v>
      </c>
    </row>
    <row r="1602" spans="1:15" x14ac:dyDescent="0.25">
      <c r="A1602">
        <v>1601</v>
      </c>
      <c r="B1602" t="str">
        <f>HYPERLINK("https://digitalcommons.unl.edu/cgi/viewcontent.cgi?article=2710&amp;context=tractormuseumlit","Click for test report")</f>
        <v>Click for test report</v>
      </c>
      <c r="C1602">
        <v>1980</v>
      </c>
      <c r="D1602" t="s">
        <v>4984</v>
      </c>
      <c r="F1602" t="s">
        <v>4985</v>
      </c>
      <c r="G1602" t="s">
        <v>4986</v>
      </c>
      <c r="H1602" t="s">
        <v>4987</v>
      </c>
      <c r="I1602" t="s">
        <v>50</v>
      </c>
      <c r="J1602" t="s">
        <v>348</v>
      </c>
      <c r="K1602" t="s">
        <v>21</v>
      </c>
      <c r="L1602" t="s">
        <v>728</v>
      </c>
      <c r="N1602" t="s">
        <v>750</v>
      </c>
      <c r="O1602" t="s">
        <v>4763</v>
      </c>
    </row>
    <row r="1603" spans="1:15" x14ac:dyDescent="0.25">
      <c r="A1603">
        <v>1602</v>
      </c>
      <c r="B1603" t="str">
        <f>HYPERLINK("https://digitalcommons.unl.edu/cgi/viewcontent.cgi?article=2710&amp;context=tractormuseumlit","Click for test report")</f>
        <v>Click for test report</v>
      </c>
      <c r="C1603">
        <v>1980</v>
      </c>
      <c r="D1603" t="s">
        <v>4984</v>
      </c>
      <c r="F1603" t="s">
        <v>4985</v>
      </c>
      <c r="G1603" t="s">
        <v>4986</v>
      </c>
      <c r="H1603" t="s">
        <v>4987</v>
      </c>
      <c r="I1603" t="s">
        <v>50</v>
      </c>
      <c r="J1603" t="s">
        <v>20</v>
      </c>
      <c r="K1603" t="s">
        <v>21</v>
      </c>
      <c r="L1603" t="s">
        <v>728</v>
      </c>
      <c r="N1603" t="s">
        <v>750</v>
      </c>
      <c r="O1603" t="s">
        <v>4762</v>
      </c>
    </row>
    <row r="1604" spans="1:15" x14ac:dyDescent="0.25">
      <c r="A1604">
        <v>1603</v>
      </c>
      <c r="B1604" t="str">
        <f>HYPERLINK("https://digitalcommons.unl.edu/cgi/viewcontent.cgi?article=2711&amp;context=tractormuseumlit","Click for test report")</f>
        <v>Click for test report</v>
      </c>
      <c r="C1604">
        <v>1980</v>
      </c>
      <c r="D1604" t="s">
        <v>4982</v>
      </c>
      <c r="F1604" t="s">
        <v>778</v>
      </c>
      <c r="G1604" t="s">
        <v>778</v>
      </c>
      <c r="H1604" t="s">
        <v>4983</v>
      </c>
      <c r="I1604" t="s">
        <v>3474</v>
      </c>
      <c r="J1604" t="s">
        <v>29</v>
      </c>
      <c r="K1604" t="s">
        <v>21</v>
      </c>
      <c r="L1604" t="s">
        <v>155</v>
      </c>
      <c r="N1604" t="s">
        <v>824</v>
      </c>
      <c r="O1604" t="s">
        <v>4979</v>
      </c>
    </row>
    <row r="1605" spans="1:15" x14ac:dyDescent="0.25">
      <c r="A1605">
        <v>1604</v>
      </c>
      <c r="B1605" t="str">
        <f>HYPERLINK("https://digitalcommons.unl.edu/cgi/viewcontent.cgi?article=2712&amp;context=tractormuseumlit","Click for test report")</f>
        <v>Click for test report</v>
      </c>
      <c r="C1605">
        <v>1980</v>
      </c>
      <c r="D1605" t="s">
        <v>4980</v>
      </c>
      <c r="F1605" t="s">
        <v>778</v>
      </c>
      <c r="G1605" t="s">
        <v>778</v>
      </c>
      <c r="H1605" t="s">
        <v>4981</v>
      </c>
      <c r="I1605" t="s">
        <v>3474</v>
      </c>
      <c r="J1605" t="s">
        <v>29</v>
      </c>
      <c r="K1605" t="s">
        <v>21</v>
      </c>
      <c r="L1605" t="s">
        <v>552</v>
      </c>
      <c r="N1605" t="s">
        <v>1029</v>
      </c>
      <c r="O1605" t="s">
        <v>4979</v>
      </c>
    </row>
    <row r="1606" spans="1:15" x14ac:dyDescent="0.25">
      <c r="A1606">
        <v>1605</v>
      </c>
      <c r="B1606" t="str">
        <f>HYPERLINK("https://digitalcommons.unl.edu/cgi/viewcontent.cgi?article=2713&amp;context=tractormuseumlit","Click for test report")</f>
        <v>Click for test report</v>
      </c>
      <c r="C1606">
        <v>1980</v>
      </c>
      <c r="D1606" t="s">
        <v>4977</v>
      </c>
      <c r="F1606" t="s">
        <v>778</v>
      </c>
      <c r="G1606" t="s">
        <v>778</v>
      </c>
      <c r="H1606" t="s">
        <v>4978</v>
      </c>
      <c r="I1606" t="s">
        <v>3474</v>
      </c>
      <c r="J1606" t="s">
        <v>29</v>
      </c>
      <c r="K1606" t="s">
        <v>21</v>
      </c>
      <c r="L1606" t="s">
        <v>1055</v>
      </c>
      <c r="N1606" t="s">
        <v>3019</v>
      </c>
      <c r="O1606" t="s">
        <v>4979</v>
      </c>
    </row>
    <row r="1607" spans="1:15" x14ac:dyDescent="0.25">
      <c r="A1607">
        <v>1606</v>
      </c>
      <c r="B1607" t="str">
        <f>HYPERLINK("https://digitalcommons.unl.edu/cgi/viewcontent.cgi?article=2714&amp;context=tractormuseumlit","Click for test report")</f>
        <v>Click for test report</v>
      </c>
      <c r="C1607">
        <v>1980</v>
      </c>
      <c r="D1607" t="s">
        <v>4976</v>
      </c>
      <c r="F1607" t="s">
        <v>4325</v>
      </c>
      <c r="G1607" t="s">
        <v>4325</v>
      </c>
      <c r="H1607" t="s">
        <v>4975</v>
      </c>
      <c r="I1607" t="s">
        <v>1961</v>
      </c>
      <c r="J1607" t="s">
        <v>348</v>
      </c>
      <c r="K1607" t="s">
        <v>21</v>
      </c>
      <c r="L1607" t="s">
        <v>677</v>
      </c>
      <c r="N1607" t="s">
        <v>457</v>
      </c>
      <c r="O1607" t="s">
        <v>4379</v>
      </c>
    </row>
    <row r="1608" spans="1:15" x14ac:dyDescent="0.25">
      <c r="A1608">
        <v>1607</v>
      </c>
      <c r="B1608" t="str">
        <f>HYPERLINK("https://digitalcommons.unl.edu/cgi/viewcontent.cgi?article=2715&amp;context=tractormuseumlit","Click for test report")</f>
        <v>Click for test report</v>
      </c>
      <c r="C1608">
        <v>1980</v>
      </c>
      <c r="D1608" t="s">
        <v>4974</v>
      </c>
      <c r="F1608" t="s">
        <v>4325</v>
      </c>
      <c r="G1608" t="s">
        <v>4325</v>
      </c>
      <c r="H1608" t="s">
        <v>4975</v>
      </c>
      <c r="I1608" t="s">
        <v>1808</v>
      </c>
      <c r="J1608" t="s">
        <v>348</v>
      </c>
      <c r="K1608" t="s">
        <v>21</v>
      </c>
      <c r="L1608" t="s">
        <v>677</v>
      </c>
      <c r="N1608" t="s">
        <v>457</v>
      </c>
      <c r="O1608" t="s">
        <v>3320</v>
      </c>
    </row>
    <row r="1609" spans="1:15" x14ac:dyDescent="0.25">
      <c r="A1609">
        <v>1608</v>
      </c>
      <c r="B1609" t="str">
        <f>HYPERLINK("https://digitalcommons.unl.edu/cgi/viewcontent.cgi?article=2716&amp;context=tractormuseumlit","Click for test report")</f>
        <v>Click for test report</v>
      </c>
      <c r="C1609">
        <v>1980</v>
      </c>
      <c r="D1609" t="s">
        <v>4968</v>
      </c>
      <c r="F1609" t="s">
        <v>4969</v>
      </c>
      <c r="G1609" t="s">
        <v>4970</v>
      </c>
      <c r="H1609" t="s">
        <v>4971</v>
      </c>
      <c r="I1609" t="s">
        <v>50</v>
      </c>
      <c r="J1609" t="s">
        <v>348</v>
      </c>
      <c r="K1609" t="s">
        <v>21</v>
      </c>
      <c r="L1609" t="s">
        <v>4745</v>
      </c>
      <c r="N1609" t="s">
        <v>4013</v>
      </c>
      <c r="O1609" t="s">
        <v>4973</v>
      </c>
    </row>
    <row r="1610" spans="1:15" x14ac:dyDescent="0.25">
      <c r="A1610">
        <v>1609</v>
      </c>
      <c r="B1610" t="str">
        <f>HYPERLINK("https://digitalcommons.unl.edu/cgi/viewcontent.cgi?article=2716&amp;context=tractormuseumlit","Click for test report")</f>
        <v>Click for test report</v>
      </c>
      <c r="C1610">
        <v>1980</v>
      </c>
      <c r="D1610" t="s">
        <v>4968</v>
      </c>
      <c r="F1610" t="s">
        <v>4969</v>
      </c>
      <c r="G1610" t="s">
        <v>4970</v>
      </c>
      <c r="H1610" t="s">
        <v>4971</v>
      </c>
      <c r="I1610" t="s">
        <v>50</v>
      </c>
      <c r="J1610" t="s">
        <v>20</v>
      </c>
      <c r="K1610" t="s">
        <v>21</v>
      </c>
      <c r="L1610" t="s">
        <v>4745</v>
      </c>
      <c r="N1610" t="s">
        <v>4013</v>
      </c>
      <c r="O1610" t="s">
        <v>4972</v>
      </c>
    </row>
    <row r="1611" spans="1:15" x14ac:dyDescent="0.25">
      <c r="A1611">
        <v>1610</v>
      </c>
      <c r="B1611" t="str">
        <f>HYPERLINK("https://digitalcommons.unl.edu/cgi/viewcontent.cgi?article=2717&amp;context=tractormuseumlit","Click for test report")</f>
        <v>Click for test report</v>
      </c>
      <c r="C1611">
        <v>1980</v>
      </c>
      <c r="D1611" t="s">
        <v>4964</v>
      </c>
      <c r="F1611" t="s">
        <v>62</v>
      </c>
      <c r="G1611" t="s">
        <v>62</v>
      </c>
      <c r="H1611" t="s">
        <v>4965</v>
      </c>
      <c r="I1611" t="s">
        <v>50</v>
      </c>
      <c r="J1611" t="s">
        <v>348</v>
      </c>
      <c r="K1611" t="s">
        <v>21</v>
      </c>
      <c r="L1611" t="s">
        <v>1650</v>
      </c>
      <c r="N1611" t="s">
        <v>2699</v>
      </c>
      <c r="O1611" t="s">
        <v>4967</v>
      </c>
    </row>
    <row r="1612" spans="1:15" x14ac:dyDescent="0.25">
      <c r="A1612">
        <v>1611</v>
      </c>
      <c r="B1612" t="str">
        <f>HYPERLINK("https://digitalcommons.unl.edu/cgi/viewcontent.cgi?article=2717&amp;context=tractormuseumlit","Click for test report")</f>
        <v>Click for test report</v>
      </c>
      <c r="C1612">
        <v>1980</v>
      </c>
      <c r="D1612" t="s">
        <v>4964</v>
      </c>
      <c r="F1612" t="s">
        <v>62</v>
      </c>
      <c r="G1612" t="s">
        <v>62</v>
      </c>
      <c r="H1612" t="s">
        <v>4965</v>
      </c>
      <c r="I1612" t="s">
        <v>50</v>
      </c>
      <c r="J1612" t="s">
        <v>20</v>
      </c>
      <c r="K1612" t="s">
        <v>21</v>
      </c>
      <c r="L1612" t="s">
        <v>1650</v>
      </c>
      <c r="N1612" t="s">
        <v>2627</v>
      </c>
      <c r="O1612" t="s">
        <v>4966</v>
      </c>
    </row>
    <row r="1613" spans="1:15" x14ac:dyDescent="0.25">
      <c r="A1613">
        <v>1612</v>
      </c>
      <c r="B1613" t="str">
        <f>HYPERLINK("https://digitalcommons.unl.edu/cgi/viewcontent.cgi?article=2718&amp;context=tractormuseumlit","Click for test report")</f>
        <v>Click for test report</v>
      </c>
      <c r="C1613">
        <v>1980</v>
      </c>
      <c r="D1613" t="s">
        <v>4960</v>
      </c>
      <c r="F1613" t="s">
        <v>62</v>
      </c>
      <c r="G1613" t="s">
        <v>62</v>
      </c>
      <c r="H1613" t="s">
        <v>4961</v>
      </c>
      <c r="I1613" t="s">
        <v>50</v>
      </c>
      <c r="J1613" t="s">
        <v>348</v>
      </c>
      <c r="K1613" t="s">
        <v>21</v>
      </c>
      <c r="L1613" t="s">
        <v>722</v>
      </c>
      <c r="N1613" t="s">
        <v>353</v>
      </c>
      <c r="O1613" t="s">
        <v>4963</v>
      </c>
    </row>
    <row r="1614" spans="1:15" x14ac:dyDescent="0.25">
      <c r="A1614">
        <v>1613</v>
      </c>
      <c r="B1614" t="str">
        <f>HYPERLINK("https://digitalcommons.unl.edu/cgi/viewcontent.cgi?article=2718&amp;context=tractormuseumlit","Click for test report")</f>
        <v>Click for test report</v>
      </c>
      <c r="C1614">
        <v>1980</v>
      </c>
      <c r="D1614" t="s">
        <v>4960</v>
      </c>
      <c r="F1614" t="s">
        <v>62</v>
      </c>
      <c r="G1614" t="s">
        <v>62</v>
      </c>
      <c r="H1614" t="s">
        <v>4961</v>
      </c>
      <c r="I1614" t="s">
        <v>50</v>
      </c>
      <c r="J1614" t="s">
        <v>20</v>
      </c>
      <c r="K1614" t="s">
        <v>21</v>
      </c>
      <c r="L1614" t="s">
        <v>722</v>
      </c>
      <c r="N1614" t="s">
        <v>731</v>
      </c>
      <c r="O1614" t="s">
        <v>4962</v>
      </c>
    </row>
    <row r="1615" spans="1:15" x14ac:dyDescent="0.25">
      <c r="A1615">
        <v>1614</v>
      </c>
      <c r="B1615" t="str">
        <f>HYPERLINK("https://digitalcommons.unl.edu/cgi/viewcontent.cgi?article=2719&amp;context=tractormuseumlit","Click for test report")</f>
        <v>Click for test report</v>
      </c>
      <c r="C1615">
        <v>1980</v>
      </c>
      <c r="D1615" t="s">
        <v>4959</v>
      </c>
      <c r="F1615" t="s">
        <v>17</v>
      </c>
      <c r="G1615" t="s">
        <v>17</v>
      </c>
      <c r="H1615" t="s">
        <v>1495</v>
      </c>
      <c r="I1615" t="s">
        <v>50</v>
      </c>
      <c r="J1615" t="s">
        <v>348</v>
      </c>
      <c r="K1615" t="s">
        <v>21</v>
      </c>
      <c r="L1615" t="s">
        <v>2627</v>
      </c>
      <c r="N1615" t="s">
        <v>4745</v>
      </c>
      <c r="O1615" t="s">
        <v>4267</v>
      </c>
    </row>
    <row r="1616" spans="1:15" x14ac:dyDescent="0.25">
      <c r="A1616">
        <v>1615</v>
      </c>
      <c r="B1616" t="str">
        <f>HYPERLINK("https://digitalcommons.unl.edu/cgi/viewcontent.cgi?article=2720&amp;context=tractormuseumlit","Click for test report")</f>
        <v>Click for test report</v>
      </c>
      <c r="C1616">
        <v>1980</v>
      </c>
      <c r="D1616" t="s">
        <v>4957</v>
      </c>
      <c r="F1616" t="s">
        <v>17</v>
      </c>
      <c r="G1616" t="s">
        <v>17</v>
      </c>
      <c r="H1616" t="s">
        <v>4958</v>
      </c>
      <c r="I1616" t="s">
        <v>1961</v>
      </c>
      <c r="J1616" t="s">
        <v>348</v>
      </c>
      <c r="K1616" t="s">
        <v>21</v>
      </c>
      <c r="L1616" t="s">
        <v>574</v>
      </c>
      <c r="N1616" t="s">
        <v>349</v>
      </c>
      <c r="O1616" t="s">
        <v>4577</v>
      </c>
    </row>
    <row r="1617" spans="1:15" x14ac:dyDescent="0.25">
      <c r="A1617">
        <v>1616</v>
      </c>
      <c r="B1617" t="str">
        <f>HYPERLINK("https://digitalcommons.unl.edu/cgi/viewcontent.cgi?article=2720&amp;context=tractormuseumlit","Click for test report")</f>
        <v>Click for test report</v>
      </c>
      <c r="C1617">
        <v>1980</v>
      </c>
      <c r="D1617" t="s">
        <v>4957</v>
      </c>
      <c r="F1617" t="s">
        <v>17</v>
      </c>
      <c r="G1617" t="s">
        <v>17</v>
      </c>
      <c r="H1617" t="s">
        <v>4958</v>
      </c>
      <c r="I1617" t="s">
        <v>1961</v>
      </c>
      <c r="J1617" t="s">
        <v>20</v>
      </c>
      <c r="K1617" t="s">
        <v>21</v>
      </c>
      <c r="L1617" t="s">
        <v>574</v>
      </c>
      <c r="N1617" t="s">
        <v>1350</v>
      </c>
      <c r="O1617" t="s">
        <v>4576</v>
      </c>
    </row>
    <row r="1618" spans="1:15" x14ac:dyDescent="0.25">
      <c r="A1618">
        <v>1617</v>
      </c>
      <c r="B1618" t="str">
        <f>HYPERLINK("https://digitalcommons.unl.edu/cgi/viewcontent.cgi?article=2721&amp;context=tractormuseumlit","Click for test report")</f>
        <v>Click for test report</v>
      </c>
      <c r="C1618">
        <v>1980</v>
      </c>
      <c r="D1618" t="s">
        <v>4955</v>
      </c>
      <c r="F1618" t="s">
        <v>4290</v>
      </c>
      <c r="G1618" t="s">
        <v>4291</v>
      </c>
      <c r="H1618" t="s">
        <v>4956</v>
      </c>
      <c r="I1618" t="s">
        <v>50</v>
      </c>
      <c r="J1618" t="s">
        <v>348</v>
      </c>
      <c r="K1618" t="s">
        <v>21</v>
      </c>
      <c r="L1618" t="s">
        <v>1864</v>
      </c>
      <c r="N1618" t="s">
        <v>3319</v>
      </c>
      <c r="O1618" t="s">
        <v>4437</v>
      </c>
    </row>
    <row r="1619" spans="1:15" x14ac:dyDescent="0.25">
      <c r="A1619">
        <v>1618</v>
      </c>
      <c r="B1619" t="str">
        <f>HYPERLINK("https://digitalcommons.unl.edu/cgi/viewcontent.cgi?article=2721&amp;context=tractormuseumlit","Click for test report")</f>
        <v>Click for test report</v>
      </c>
      <c r="C1619">
        <v>1980</v>
      </c>
      <c r="D1619" t="s">
        <v>4955</v>
      </c>
      <c r="F1619" t="s">
        <v>4290</v>
      </c>
      <c r="G1619" t="s">
        <v>4291</v>
      </c>
      <c r="H1619" t="s">
        <v>4956</v>
      </c>
      <c r="I1619" t="s">
        <v>50</v>
      </c>
      <c r="J1619" t="s">
        <v>20</v>
      </c>
      <c r="K1619" t="s">
        <v>21</v>
      </c>
      <c r="L1619" t="s">
        <v>1864</v>
      </c>
      <c r="N1619" t="s">
        <v>3123</v>
      </c>
      <c r="O1619" t="s">
        <v>4436</v>
      </c>
    </row>
    <row r="1620" spans="1:15" x14ac:dyDescent="0.25">
      <c r="A1620">
        <v>1619</v>
      </c>
      <c r="B1620" t="str">
        <f>HYPERLINK("https://digitalcommons.unl.edu/cgi/viewcontent.cgi?article=2722&amp;context=tractormuseumlit","Click for test report")</f>
        <v>Click for test report</v>
      </c>
      <c r="C1620">
        <v>1980</v>
      </c>
      <c r="D1620" t="s">
        <v>4953</v>
      </c>
      <c r="F1620" t="s">
        <v>4290</v>
      </c>
      <c r="G1620" t="s">
        <v>4291</v>
      </c>
      <c r="H1620" t="s">
        <v>4954</v>
      </c>
      <c r="I1620" t="s">
        <v>50</v>
      </c>
      <c r="J1620" t="s">
        <v>348</v>
      </c>
      <c r="K1620" t="s">
        <v>21</v>
      </c>
      <c r="L1620" t="s">
        <v>574</v>
      </c>
      <c r="N1620" t="s">
        <v>1257</v>
      </c>
      <c r="O1620" t="s">
        <v>4437</v>
      </c>
    </row>
    <row r="1621" spans="1:15" x14ac:dyDescent="0.25">
      <c r="A1621">
        <v>1620</v>
      </c>
      <c r="B1621" t="str">
        <f>HYPERLINK("https://digitalcommons.unl.edu/cgi/viewcontent.cgi?article=2722&amp;context=tractormuseumlit","Click for test report")</f>
        <v>Click for test report</v>
      </c>
      <c r="C1621">
        <v>1980</v>
      </c>
      <c r="D1621" t="s">
        <v>4953</v>
      </c>
      <c r="F1621" t="s">
        <v>4290</v>
      </c>
      <c r="G1621" t="s">
        <v>4291</v>
      </c>
      <c r="H1621" t="s">
        <v>4954</v>
      </c>
      <c r="I1621" t="s">
        <v>50</v>
      </c>
      <c r="J1621" t="s">
        <v>20</v>
      </c>
      <c r="K1621" t="s">
        <v>21</v>
      </c>
      <c r="L1621" t="s">
        <v>574</v>
      </c>
      <c r="N1621" t="s">
        <v>1257</v>
      </c>
      <c r="O1621" t="s">
        <v>4436</v>
      </c>
    </row>
    <row r="1622" spans="1:15" x14ac:dyDescent="0.25">
      <c r="A1622">
        <v>1621</v>
      </c>
      <c r="B1622" t="str">
        <f>HYPERLINK("https://digitalcommons.unl.edu/cgi/viewcontent.cgi?article=2723&amp;context=tractormuseumlit","Click for test report")</f>
        <v>Click for test report</v>
      </c>
      <c r="C1622">
        <v>1980</v>
      </c>
      <c r="D1622" t="s">
        <v>4951</v>
      </c>
      <c r="F1622" t="s">
        <v>4290</v>
      </c>
      <c r="G1622" t="s">
        <v>4291</v>
      </c>
      <c r="H1622" t="s">
        <v>4952</v>
      </c>
      <c r="I1622" t="s">
        <v>50</v>
      </c>
      <c r="J1622" t="s">
        <v>348</v>
      </c>
      <c r="K1622" t="s">
        <v>21</v>
      </c>
      <c r="L1622" t="s">
        <v>457</v>
      </c>
      <c r="N1622" t="s">
        <v>1867</v>
      </c>
      <c r="O1622" t="s">
        <v>4577</v>
      </c>
    </row>
    <row r="1623" spans="1:15" x14ac:dyDescent="0.25">
      <c r="A1623">
        <v>1622</v>
      </c>
      <c r="B1623" t="str">
        <f>HYPERLINK("https://digitalcommons.unl.edu/cgi/viewcontent.cgi?article=2723&amp;context=tractormuseumlit","Click for test report")</f>
        <v>Click for test report</v>
      </c>
      <c r="C1623">
        <v>1980</v>
      </c>
      <c r="D1623" t="s">
        <v>4951</v>
      </c>
      <c r="F1623" t="s">
        <v>4290</v>
      </c>
      <c r="G1623" t="s">
        <v>4291</v>
      </c>
      <c r="H1623" t="s">
        <v>4952</v>
      </c>
      <c r="I1623" t="s">
        <v>50</v>
      </c>
      <c r="J1623" t="s">
        <v>20</v>
      </c>
      <c r="K1623" t="s">
        <v>21</v>
      </c>
      <c r="L1623" t="s">
        <v>457</v>
      </c>
      <c r="N1623" t="s">
        <v>740</v>
      </c>
      <c r="O1623" t="s">
        <v>4576</v>
      </c>
    </row>
    <row r="1624" spans="1:15" x14ac:dyDescent="0.25">
      <c r="A1624">
        <v>1623</v>
      </c>
      <c r="B1624" t="str">
        <f>HYPERLINK("https://digitalcommons.unl.edu/cgi/viewcontent.cgi?article=2725&amp;context=tractormuseumlit","Click for test report")</f>
        <v>Click for test report</v>
      </c>
      <c r="C1624">
        <v>1980</v>
      </c>
      <c r="D1624" t="s">
        <v>4595</v>
      </c>
      <c r="F1624" t="s">
        <v>3652</v>
      </c>
      <c r="G1624" t="s">
        <v>3652</v>
      </c>
      <c r="H1624" t="s">
        <v>4950</v>
      </c>
      <c r="I1624" t="s">
        <v>4597</v>
      </c>
      <c r="J1624" t="s">
        <v>29</v>
      </c>
      <c r="K1624" t="s">
        <v>21</v>
      </c>
      <c r="N1624" t="s">
        <v>950</v>
      </c>
      <c r="O1624" t="s">
        <v>2163</v>
      </c>
    </row>
    <row r="1625" spans="1:15" x14ac:dyDescent="0.25">
      <c r="A1625">
        <v>1624</v>
      </c>
      <c r="B1625" t="str">
        <f>HYPERLINK("https://digitalcommons.unl.edu/cgi/viewcontent.cgi?article=2726&amp;context=tractormuseumlit","Click for test report")</f>
        <v>Click for test report</v>
      </c>
      <c r="C1625">
        <v>1980</v>
      </c>
      <c r="D1625" t="s">
        <v>4948</v>
      </c>
      <c r="F1625" t="s">
        <v>61</v>
      </c>
      <c r="G1625" t="s">
        <v>61</v>
      </c>
      <c r="H1625" t="s">
        <v>4949</v>
      </c>
      <c r="I1625" t="s">
        <v>50</v>
      </c>
      <c r="J1625" t="s">
        <v>29</v>
      </c>
      <c r="K1625" t="s">
        <v>21</v>
      </c>
      <c r="L1625" t="s">
        <v>66</v>
      </c>
      <c r="N1625" t="s">
        <v>155</v>
      </c>
      <c r="O1625" t="s">
        <v>3320</v>
      </c>
    </row>
    <row r="1626" spans="1:15" x14ac:dyDescent="0.25">
      <c r="A1626">
        <v>1625</v>
      </c>
      <c r="B1626" t="str">
        <f>HYPERLINK("https://digitalcommons.unl.edu/cgi/viewcontent.cgi?article=2727&amp;context=tractormuseumlit","Click for test report")</f>
        <v>Click for test report</v>
      </c>
      <c r="C1626">
        <v>1980</v>
      </c>
      <c r="D1626" t="s">
        <v>4946</v>
      </c>
      <c r="F1626" t="s">
        <v>17</v>
      </c>
      <c r="G1626" t="s">
        <v>17</v>
      </c>
      <c r="H1626" t="s">
        <v>4947</v>
      </c>
      <c r="I1626" t="s">
        <v>28</v>
      </c>
      <c r="J1626" t="s">
        <v>348</v>
      </c>
      <c r="K1626" t="s">
        <v>21</v>
      </c>
      <c r="L1626" t="s">
        <v>332</v>
      </c>
      <c r="N1626" t="s">
        <v>446</v>
      </c>
      <c r="O1626" t="s">
        <v>3468</v>
      </c>
    </row>
    <row r="1627" spans="1:15" x14ac:dyDescent="0.25">
      <c r="A1627">
        <v>1626</v>
      </c>
      <c r="B1627" t="str">
        <f>HYPERLINK("https://digitalcommons.unl.edu/cgi/viewcontent.cgi?article=2728&amp;context=tractormuseumlit","Click for test report")</f>
        <v>Click for test report</v>
      </c>
      <c r="C1627">
        <v>1980</v>
      </c>
      <c r="D1627" t="s">
        <v>4944</v>
      </c>
      <c r="F1627" t="s">
        <v>17</v>
      </c>
      <c r="G1627" t="s">
        <v>17</v>
      </c>
      <c r="H1627" t="s">
        <v>4945</v>
      </c>
      <c r="I1627" t="s">
        <v>28</v>
      </c>
      <c r="J1627" t="s">
        <v>348</v>
      </c>
      <c r="K1627" t="s">
        <v>21</v>
      </c>
      <c r="L1627" t="s">
        <v>1037</v>
      </c>
      <c r="N1627" t="s">
        <v>528</v>
      </c>
      <c r="O1627" t="s">
        <v>3468</v>
      </c>
    </row>
    <row r="1628" spans="1:15" x14ac:dyDescent="0.25">
      <c r="A1628">
        <v>1627</v>
      </c>
      <c r="B1628" t="str">
        <f>HYPERLINK("https://digitalcommons.unl.edu/cgi/viewcontent.cgi?article=2729&amp;context=tractormuseumlit","Click for test report")</f>
        <v>Click for test report</v>
      </c>
      <c r="C1628">
        <v>1980</v>
      </c>
      <c r="D1628" t="s">
        <v>4943</v>
      </c>
      <c r="F1628" t="s">
        <v>17</v>
      </c>
      <c r="G1628" t="s">
        <v>17</v>
      </c>
      <c r="H1628" t="s">
        <v>4942</v>
      </c>
      <c r="I1628" t="s">
        <v>50</v>
      </c>
      <c r="J1628" t="s">
        <v>348</v>
      </c>
      <c r="K1628" t="s">
        <v>21</v>
      </c>
      <c r="L1628" t="s">
        <v>562</v>
      </c>
      <c r="N1628" t="s">
        <v>378</v>
      </c>
      <c r="O1628" t="s">
        <v>4940</v>
      </c>
    </row>
    <row r="1629" spans="1:15" x14ac:dyDescent="0.25">
      <c r="A1629">
        <v>1628</v>
      </c>
      <c r="B1629" t="str">
        <f>HYPERLINK("https://digitalcommons.unl.edu/cgi/viewcontent.cgi?article=2730&amp;context=tractormuseumlit","Click for test report")</f>
        <v>Click for test report</v>
      </c>
      <c r="C1629">
        <v>1980</v>
      </c>
      <c r="D1629" t="s">
        <v>4941</v>
      </c>
      <c r="F1629" t="s">
        <v>17</v>
      </c>
      <c r="G1629" t="s">
        <v>17</v>
      </c>
      <c r="H1629" t="s">
        <v>4942</v>
      </c>
      <c r="I1629" t="s">
        <v>28</v>
      </c>
      <c r="J1629" t="s">
        <v>348</v>
      </c>
      <c r="K1629" t="s">
        <v>21</v>
      </c>
      <c r="L1629" t="s">
        <v>562</v>
      </c>
      <c r="N1629" t="s">
        <v>1371</v>
      </c>
      <c r="O1629" t="s">
        <v>3468</v>
      </c>
    </row>
    <row r="1630" spans="1:15" x14ac:dyDescent="0.25">
      <c r="A1630">
        <v>1629</v>
      </c>
      <c r="B1630" t="str">
        <f>HYPERLINK("https://digitalcommons.unl.edu/cgi/viewcontent.cgi?article=2731&amp;context=tractormuseumlit","Click for test report")</f>
        <v>Click for test report</v>
      </c>
      <c r="C1630">
        <v>1980</v>
      </c>
      <c r="D1630" t="s">
        <v>4939</v>
      </c>
      <c r="F1630" t="s">
        <v>17</v>
      </c>
      <c r="G1630" t="s">
        <v>17</v>
      </c>
      <c r="H1630" t="s">
        <v>4938</v>
      </c>
      <c r="I1630" t="s">
        <v>50</v>
      </c>
      <c r="J1630" t="s">
        <v>348</v>
      </c>
      <c r="K1630" t="s">
        <v>21</v>
      </c>
      <c r="L1630" t="s">
        <v>23</v>
      </c>
      <c r="N1630" t="s">
        <v>339</v>
      </c>
      <c r="O1630" t="s">
        <v>4940</v>
      </c>
    </row>
    <row r="1631" spans="1:15" x14ac:dyDescent="0.25">
      <c r="A1631">
        <v>1630</v>
      </c>
      <c r="B1631" t="str">
        <f>HYPERLINK("https://digitalcommons.unl.edu/cgi/viewcontent.cgi?article=2732&amp;context=tractormuseumlit","Click for test report")</f>
        <v>Click for test report</v>
      </c>
      <c r="C1631">
        <v>1980</v>
      </c>
      <c r="D1631" t="s">
        <v>4937</v>
      </c>
      <c r="F1631" t="s">
        <v>17</v>
      </c>
      <c r="G1631" t="s">
        <v>17</v>
      </c>
      <c r="H1631" t="s">
        <v>4938</v>
      </c>
      <c r="I1631" t="s">
        <v>28</v>
      </c>
      <c r="J1631" t="s">
        <v>348</v>
      </c>
      <c r="K1631" t="s">
        <v>21</v>
      </c>
      <c r="L1631" t="s">
        <v>558</v>
      </c>
      <c r="N1631" t="s">
        <v>339</v>
      </c>
      <c r="O1631" t="s">
        <v>3468</v>
      </c>
    </row>
    <row r="1632" spans="1:15" x14ac:dyDescent="0.25">
      <c r="A1632">
        <v>1631</v>
      </c>
      <c r="B1632" t="str">
        <f>HYPERLINK("https://digitalcommons.unl.edu/cgi/viewcontent.cgi?article=2733&amp;context=tractormuseumlit","Click for test report")</f>
        <v>Click for test report</v>
      </c>
      <c r="C1632">
        <v>1980</v>
      </c>
      <c r="D1632" t="s">
        <v>4933</v>
      </c>
      <c r="F1632" t="s">
        <v>4442</v>
      </c>
      <c r="G1632" t="s">
        <v>778</v>
      </c>
      <c r="H1632" t="s">
        <v>4934</v>
      </c>
      <c r="I1632" t="s">
        <v>50</v>
      </c>
      <c r="J1632" t="s">
        <v>348</v>
      </c>
      <c r="K1632" t="s">
        <v>21</v>
      </c>
      <c r="L1632" t="s">
        <v>4628</v>
      </c>
      <c r="N1632" t="s">
        <v>4935</v>
      </c>
      <c r="O1632" t="s">
        <v>4936</v>
      </c>
    </row>
    <row r="1633" spans="1:15" x14ac:dyDescent="0.25">
      <c r="A1633">
        <v>1632</v>
      </c>
      <c r="B1633" t="str">
        <f>HYPERLINK("https://digitalcommons.unl.edu/cgi/viewcontent.cgi?article=2734&amp;context=tractormuseumlit","Click for test report")</f>
        <v>Click for test report</v>
      </c>
      <c r="C1633">
        <v>1980</v>
      </c>
      <c r="D1633" t="s">
        <v>4928</v>
      </c>
      <c r="F1633" t="s">
        <v>4442</v>
      </c>
      <c r="G1633" t="s">
        <v>778</v>
      </c>
      <c r="H1633" t="s">
        <v>4929</v>
      </c>
      <c r="I1633" t="s">
        <v>50</v>
      </c>
      <c r="J1633" t="s">
        <v>348</v>
      </c>
      <c r="K1633" t="s">
        <v>21</v>
      </c>
      <c r="L1633" t="s">
        <v>4628</v>
      </c>
      <c r="N1633" t="s">
        <v>4930</v>
      </c>
      <c r="O1633" t="s">
        <v>4932</v>
      </c>
    </row>
    <row r="1634" spans="1:15" x14ac:dyDescent="0.25">
      <c r="A1634">
        <v>1633</v>
      </c>
      <c r="B1634" t="str">
        <f>HYPERLINK("https://digitalcommons.unl.edu/cgi/viewcontent.cgi?article=2734&amp;context=tractormuseumlit","Click for test report")</f>
        <v>Click for test report</v>
      </c>
      <c r="C1634">
        <v>1980</v>
      </c>
      <c r="D1634" t="s">
        <v>4928</v>
      </c>
      <c r="F1634" t="s">
        <v>4442</v>
      </c>
      <c r="G1634" t="s">
        <v>778</v>
      </c>
      <c r="H1634" t="s">
        <v>4929</v>
      </c>
      <c r="I1634" t="s">
        <v>50</v>
      </c>
      <c r="J1634" t="s">
        <v>20</v>
      </c>
      <c r="K1634" t="s">
        <v>21</v>
      </c>
      <c r="L1634" t="s">
        <v>4628</v>
      </c>
      <c r="N1634" t="s">
        <v>4930</v>
      </c>
      <c r="O1634" t="s">
        <v>4931</v>
      </c>
    </row>
    <row r="1635" spans="1:15" x14ac:dyDescent="0.25">
      <c r="A1635">
        <v>1634</v>
      </c>
      <c r="B1635" t="str">
        <f>HYPERLINK("https://digitalcommons.unl.edu/cgi/viewcontent.cgi?article=2735&amp;context=tractormuseumlit","Click for test report")</f>
        <v>Click for test report</v>
      </c>
      <c r="C1635">
        <v>1980</v>
      </c>
      <c r="D1635" t="s">
        <v>4926</v>
      </c>
      <c r="F1635" t="s">
        <v>4442</v>
      </c>
      <c r="G1635" t="s">
        <v>778</v>
      </c>
      <c r="H1635" t="s">
        <v>4927</v>
      </c>
      <c r="I1635" t="s">
        <v>50</v>
      </c>
      <c r="J1635" t="s">
        <v>348</v>
      </c>
      <c r="K1635" t="s">
        <v>21</v>
      </c>
      <c r="L1635" t="s">
        <v>4362</v>
      </c>
      <c r="N1635" t="s">
        <v>4449</v>
      </c>
      <c r="O1635" t="s">
        <v>3320</v>
      </c>
    </row>
    <row r="1636" spans="1:15" x14ac:dyDescent="0.25">
      <c r="A1636">
        <v>1635</v>
      </c>
      <c r="B1636" t="str">
        <f>HYPERLINK("https://digitalcommons.unl.edu/cgi/viewcontent.cgi?article=2736&amp;context=tractormuseumlit","Click for test report")</f>
        <v>Click for test report</v>
      </c>
      <c r="C1636">
        <v>1980</v>
      </c>
      <c r="D1636" t="s">
        <v>4924</v>
      </c>
      <c r="F1636" t="s">
        <v>4442</v>
      </c>
      <c r="G1636" t="s">
        <v>778</v>
      </c>
      <c r="H1636" t="s">
        <v>4925</v>
      </c>
      <c r="I1636" t="s">
        <v>50</v>
      </c>
      <c r="J1636" t="s">
        <v>348</v>
      </c>
      <c r="K1636" t="s">
        <v>21</v>
      </c>
      <c r="L1636" t="s">
        <v>4362</v>
      </c>
      <c r="N1636" t="s">
        <v>4628</v>
      </c>
      <c r="O1636" t="s">
        <v>4446</v>
      </c>
    </row>
    <row r="1637" spans="1:15" x14ac:dyDescent="0.25">
      <c r="A1637">
        <v>1636</v>
      </c>
      <c r="B1637" t="str">
        <f>HYPERLINK("https://digitalcommons.unl.edu/cgi/viewcontent.cgi?article=2736&amp;context=tractormuseumlit","Click for test report")</f>
        <v>Click for test report</v>
      </c>
      <c r="C1637">
        <v>1980</v>
      </c>
      <c r="D1637" t="s">
        <v>4924</v>
      </c>
      <c r="F1637" t="s">
        <v>4442</v>
      </c>
      <c r="G1637" t="s">
        <v>778</v>
      </c>
      <c r="H1637" t="s">
        <v>4925</v>
      </c>
      <c r="I1637" t="s">
        <v>50</v>
      </c>
      <c r="J1637" t="s">
        <v>20</v>
      </c>
      <c r="K1637" t="s">
        <v>21</v>
      </c>
      <c r="L1637" t="s">
        <v>4362</v>
      </c>
      <c r="N1637" t="s">
        <v>4363</v>
      </c>
      <c r="O1637" t="s">
        <v>4445</v>
      </c>
    </row>
    <row r="1638" spans="1:15" x14ac:dyDescent="0.25">
      <c r="A1638">
        <v>1637</v>
      </c>
      <c r="B1638" t="str">
        <f>HYPERLINK("https://digitalcommons.unl.edu/cgi/viewcontent.cgi?article=2737&amp;context=tractormuseumlit","Click for test report")</f>
        <v>Click for test report</v>
      </c>
      <c r="C1638">
        <v>1980</v>
      </c>
      <c r="D1638" t="s">
        <v>4922</v>
      </c>
      <c r="F1638" t="s">
        <v>4442</v>
      </c>
      <c r="G1638" t="s">
        <v>778</v>
      </c>
      <c r="H1638" t="s">
        <v>4923</v>
      </c>
      <c r="I1638" t="s">
        <v>50</v>
      </c>
      <c r="J1638" t="s">
        <v>348</v>
      </c>
      <c r="K1638" t="s">
        <v>21</v>
      </c>
      <c r="L1638" t="s">
        <v>4013</v>
      </c>
      <c r="N1638" t="s">
        <v>4358</v>
      </c>
      <c r="O1638" t="s">
        <v>3320</v>
      </c>
    </row>
    <row r="1639" spans="1:15" x14ac:dyDescent="0.25">
      <c r="A1639">
        <v>1638</v>
      </c>
      <c r="B1639" t="str">
        <f>HYPERLINK("https://digitalcommons.unl.edu/cgi/viewcontent.cgi?article=2738&amp;context=tractormuseumlit","Click for test report")</f>
        <v>Click for test report</v>
      </c>
      <c r="C1639">
        <v>1980</v>
      </c>
      <c r="D1639" t="s">
        <v>4920</v>
      </c>
      <c r="F1639" t="s">
        <v>4442</v>
      </c>
      <c r="G1639" t="s">
        <v>778</v>
      </c>
      <c r="H1639" t="s">
        <v>4921</v>
      </c>
      <c r="I1639" t="s">
        <v>50</v>
      </c>
      <c r="J1639" t="s">
        <v>348</v>
      </c>
      <c r="K1639" t="s">
        <v>21</v>
      </c>
      <c r="L1639" t="s">
        <v>4013</v>
      </c>
      <c r="N1639" t="s">
        <v>4359</v>
      </c>
      <c r="O1639" t="s">
        <v>4446</v>
      </c>
    </row>
    <row r="1640" spans="1:15" x14ac:dyDescent="0.25">
      <c r="A1640">
        <v>1639</v>
      </c>
      <c r="B1640" t="str">
        <f>HYPERLINK("https://digitalcommons.unl.edu/cgi/viewcontent.cgi?article=2738&amp;context=tractormuseumlit","Click for test report")</f>
        <v>Click for test report</v>
      </c>
      <c r="C1640">
        <v>1980</v>
      </c>
      <c r="D1640" t="s">
        <v>4920</v>
      </c>
      <c r="F1640" t="s">
        <v>4442</v>
      </c>
      <c r="G1640" t="s">
        <v>778</v>
      </c>
      <c r="H1640" t="s">
        <v>4921</v>
      </c>
      <c r="I1640" t="s">
        <v>50</v>
      </c>
      <c r="J1640" t="s">
        <v>20</v>
      </c>
      <c r="K1640" t="s">
        <v>21</v>
      </c>
      <c r="L1640" t="s">
        <v>4013</v>
      </c>
      <c r="N1640" t="s">
        <v>4362</v>
      </c>
      <c r="O1640" t="s">
        <v>4445</v>
      </c>
    </row>
    <row r="1641" spans="1:15" x14ac:dyDescent="0.25">
      <c r="A1641">
        <v>1640</v>
      </c>
      <c r="B1641" t="str">
        <f>HYPERLINK("https://digitalcommons.unl.edu/cgi/viewcontent.cgi?article=2739&amp;context=tractormuseumlit","Click for test report")</f>
        <v>Click for test report</v>
      </c>
      <c r="C1641">
        <v>1980</v>
      </c>
      <c r="D1641" t="s">
        <v>4918</v>
      </c>
      <c r="F1641" t="s">
        <v>62</v>
      </c>
      <c r="G1641" t="s">
        <v>62</v>
      </c>
      <c r="H1641" t="s">
        <v>4919</v>
      </c>
      <c r="I1641" t="s">
        <v>50</v>
      </c>
      <c r="J1641" t="s">
        <v>348</v>
      </c>
      <c r="K1641" t="s">
        <v>21</v>
      </c>
      <c r="L1641" t="s">
        <v>3123</v>
      </c>
      <c r="N1641" t="s">
        <v>2511</v>
      </c>
      <c r="O1641" t="s">
        <v>4577</v>
      </c>
    </row>
    <row r="1642" spans="1:15" x14ac:dyDescent="0.25">
      <c r="A1642">
        <v>1641</v>
      </c>
      <c r="B1642" t="str">
        <f>HYPERLINK("https://digitalcommons.unl.edu/cgi/viewcontent.cgi?article=2739&amp;context=tractormuseumlit","Click for test report")</f>
        <v>Click for test report</v>
      </c>
      <c r="C1642">
        <v>1980</v>
      </c>
      <c r="D1642" t="s">
        <v>4918</v>
      </c>
      <c r="F1642" t="s">
        <v>62</v>
      </c>
      <c r="G1642" t="s">
        <v>62</v>
      </c>
      <c r="H1642" t="s">
        <v>4919</v>
      </c>
      <c r="I1642" t="s">
        <v>50</v>
      </c>
      <c r="J1642" t="s">
        <v>20</v>
      </c>
      <c r="K1642" t="s">
        <v>21</v>
      </c>
      <c r="L1642" t="s">
        <v>3123</v>
      </c>
      <c r="N1642" t="s">
        <v>1009</v>
      </c>
      <c r="O1642" t="s">
        <v>4576</v>
      </c>
    </row>
    <row r="1643" spans="1:15" x14ac:dyDescent="0.25">
      <c r="A1643">
        <v>1642</v>
      </c>
      <c r="B1643" t="str">
        <f>HYPERLINK("https://digitalcommons.unl.edu/cgi/viewcontent.cgi?article=2740&amp;context=tractormuseumlit","Click for test report")</f>
        <v>Click for test report</v>
      </c>
      <c r="C1643">
        <v>1980</v>
      </c>
      <c r="D1643" t="s">
        <v>4916</v>
      </c>
      <c r="F1643" t="s">
        <v>62</v>
      </c>
      <c r="G1643" t="s">
        <v>62</v>
      </c>
      <c r="H1643" t="s">
        <v>4917</v>
      </c>
      <c r="I1643" t="s">
        <v>50</v>
      </c>
      <c r="J1643" t="s">
        <v>348</v>
      </c>
      <c r="K1643" t="s">
        <v>21</v>
      </c>
      <c r="L1643" t="s">
        <v>4013</v>
      </c>
      <c r="N1643" t="s">
        <v>4362</v>
      </c>
      <c r="O1643" t="s">
        <v>4437</v>
      </c>
    </row>
    <row r="1644" spans="1:15" x14ac:dyDescent="0.25">
      <c r="A1644">
        <v>1643</v>
      </c>
      <c r="B1644" t="str">
        <f>HYPERLINK("https://digitalcommons.unl.edu/cgi/viewcontent.cgi?article=2740&amp;context=tractormuseumlit","Click for test report")</f>
        <v>Click for test report</v>
      </c>
      <c r="C1644">
        <v>1980</v>
      </c>
      <c r="D1644" t="s">
        <v>4916</v>
      </c>
      <c r="F1644" t="s">
        <v>62</v>
      </c>
      <c r="G1644" t="s">
        <v>62</v>
      </c>
      <c r="H1644" t="s">
        <v>4917</v>
      </c>
      <c r="I1644" t="s">
        <v>50</v>
      </c>
      <c r="J1644" t="s">
        <v>20</v>
      </c>
      <c r="K1644" t="s">
        <v>21</v>
      </c>
      <c r="L1644" t="s">
        <v>4013</v>
      </c>
      <c r="N1644" t="s">
        <v>4362</v>
      </c>
      <c r="O1644" t="s">
        <v>4436</v>
      </c>
    </row>
    <row r="1645" spans="1:15" x14ac:dyDescent="0.25">
      <c r="A1645">
        <v>1644</v>
      </c>
      <c r="B1645" t="str">
        <f>HYPERLINK("https://digitalcommons.unl.edu/cgi/viewcontent.cgi?article=2741&amp;context=tractormuseumlit","Click for test report")</f>
        <v>Click for test report</v>
      </c>
      <c r="C1645">
        <v>1980</v>
      </c>
      <c r="D1645" t="s">
        <v>4914</v>
      </c>
      <c r="F1645" t="s">
        <v>62</v>
      </c>
      <c r="G1645" t="s">
        <v>62</v>
      </c>
      <c r="H1645" t="s">
        <v>4915</v>
      </c>
      <c r="I1645" t="s">
        <v>50</v>
      </c>
      <c r="J1645" t="s">
        <v>348</v>
      </c>
      <c r="K1645" t="s">
        <v>21</v>
      </c>
      <c r="L1645" t="s">
        <v>4013</v>
      </c>
      <c r="N1645" t="s">
        <v>4444</v>
      </c>
      <c r="O1645" t="s">
        <v>4437</v>
      </c>
    </row>
    <row r="1646" spans="1:15" x14ac:dyDescent="0.25">
      <c r="A1646">
        <v>1645</v>
      </c>
      <c r="B1646" t="str">
        <f>HYPERLINK("https://digitalcommons.unl.edu/cgi/viewcontent.cgi?article=2741&amp;context=tractormuseumlit","Click for test report")</f>
        <v>Click for test report</v>
      </c>
      <c r="C1646">
        <v>1980</v>
      </c>
      <c r="D1646" t="s">
        <v>4914</v>
      </c>
      <c r="F1646" t="s">
        <v>62</v>
      </c>
      <c r="G1646" t="s">
        <v>62</v>
      </c>
      <c r="H1646" t="s">
        <v>4915</v>
      </c>
      <c r="I1646" t="s">
        <v>50</v>
      </c>
      <c r="J1646" t="s">
        <v>20</v>
      </c>
      <c r="K1646" t="s">
        <v>21</v>
      </c>
      <c r="L1646" t="s">
        <v>4013</v>
      </c>
      <c r="N1646" t="s">
        <v>4444</v>
      </c>
      <c r="O1646" t="s">
        <v>4436</v>
      </c>
    </row>
    <row r="1647" spans="1:15" x14ac:dyDescent="0.25">
      <c r="A1647">
        <v>1646</v>
      </c>
      <c r="B1647" t="str">
        <f>HYPERLINK("https://digitalcommons.unl.edu/cgi/viewcontent.cgi?article=2742&amp;context=tractormuseumlit","Click for test report")</f>
        <v>Click for test report</v>
      </c>
      <c r="C1647">
        <v>1980</v>
      </c>
      <c r="D1647" t="s">
        <v>4912</v>
      </c>
      <c r="F1647" t="s">
        <v>62</v>
      </c>
      <c r="G1647" t="s">
        <v>62</v>
      </c>
      <c r="H1647" t="s">
        <v>4913</v>
      </c>
      <c r="I1647" t="s">
        <v>50</v>
      </c>
      <c r="J1647" t="s">
        <v>348</v>
      </c>
      <c r="K1647" t="s">
        <v>21</v>
      </c>
      <c r="L1647" t="s">
        <v>4397</v>
      </c>
      <c r="N1647" t="s">
        <v>4590</v>
      </c>
      <c r="O1647" t="s">
        <v>4437</v>
      </c>
    </row>
    <row r="1648" spans="1:15" x14ac:dyDescent="0.25">
      <c r="A1648">
        <v>1647</v>
      </c>
      <c r="B1648" t="str">
        <f>HYPERLINK("https://digitalcommons.unl.edu/cgi/viewcontent.cgi?article=2742&amp;context=tractormuseumlit","Click for test report")</f>
        <v>Click for test report</v>
      </c>
      <c r="C1648">
        <v>1980</v>
      </c>
      <c r="D1648" t="s">
        <v>4912</v>
      </c>
      <c r="F1648" t="s">
        <v>62</v>
      </c>
      <c r="G1648" t="s">
        <v>62</v>
      </c>
      <c r="H1648" t="s">
        <v>4913</v>
      </c>
      <c r="I1648" t="s">
        <v>50</v>
      </c>
      <c r="J1648" t="s">
        <v>20</v>
      </c>
      <c r="K1648" t="s">
        <v>21</v>
      </c>
      <c r="L1648" t="s">
        <v>4397</v>
      </c>
      <c r="N1648" t="s">
        <v>4590</v>
      </c>
      <c r="O1648" t="s">
        <v>4436</v>
      </c>
    </row>
    <row r="1649" spans="1:15" x14ac:dyDescent="0.25">
      <c r="A1649">
        <v>1648</v>
      </c>
      <c r="B1649" t="str">
        <f>HYPERLINK("https://digitalcommons.unl.edu/cgi/viewcontent.cgi?article=2743&amp;context=tractormuseumlit","Click for test report")</f>
        <v>Click for test report</v>
      </c>
      <c r="C1649">
        <v>1980</v>
      </c>
      <c r="D1649" t="s">
        <v>4910</v>
      </c>
      <c r="F1649" t="s">
        <v>4656</v>
      </c>
      <c r="G1649" t="s">
        <v>4657</v>
      </c>
      <c r="H1649" t="s">
        <v>4911</v>
      </c>
      <c r="I1649" t="s">
        <v>50</v>
      </c>
      <c r="J1649" t="s">
        <v>348</v>
      </c>
      <c r="K1649" t="s">
        <v>21</v>
      </c>
      <c r="L1649" t="s">
        <v>4589</v>
      </c>
      <c r="N1649" t="s">
        <v>4590</v>
      </c>
      <c r="O1649" t="s">
        <v>3468</v>
      </c>
    </row>
    <row r="1650" spans="1:15" x14ac:dyDescent="0.25">
      <c r="A1650">
        <v>1649</v>
      </c>
      <c r="B1650" t="str">
        <f>HYPERLINK("https://digitalcommons.unl.edu/cgi/viewcontent.cgi?article=2744&amp;context=tractormuseumlit","Click for test report")</f>
        <v>Click for test report</v>
      </c>
      <c r="C1650">
        <v>1980</v>
      </c>
      <c r="D1650" t="s">
        <v>4908</v>
      </c>
      <c r="F1650" t="s">
        <v>4656</v>
      </c>
      <c r="G1650" t="s">
        <v>4657</v>
      </c>
      <c r="H1650" t="s">
        <v>4909</v>
      </c>
      <c r="I1650" t="s">
        <v>50</v>
      </c>
      <c r="J1650" t="s">
        <v>348</v>
      </c>
      <c r="K1650" t="s">
        <v>21</v>
      </c>
      <c r="L1650" t="s">
        <v>4012</v>
      </c>
      <c r="N1650" t="s">
        <v>4440</v>
      </c>
      <c r="O1650" t="s">
        <v>3468</v>
      </c>
    </row>
    <row r="1651" spans="1:15" x14ac:dyDescent="0.25">
      <c r="A1651">
        <v>1650</v>
      </c>
      <c r="B1651" t="str">
        <f>HYPERLINK("https://digitalcommons.unl.edu/cgi/viewcontent.cgi?article=2745&amp;context=tractormuseumlit","Click for test report")</f>
        <v>Click for test report</v>
      </c>
      <c r="C1651">
        <v>1980</v>
      </c>
      <c r="D1651" t="s">
        <v>4906</v>
      </c>
      <c r="F1651" t="s">
        <v>4426</v>
      </c>
      <c r="G1651" t="s">
        <v>3166</v>
      </c>
      <c r="H1651" t="s">
        <v>4907</v>
      </c>
      <c r="I1651" t="s">
        <v>3474</v>
      </c>
      <c r="J1651" t="s">
        <v>29</v>
      </c>
      <c r="K1651" t="s">
        <v>21</v>
      </c>
      <c r="L1651" t="s">
        <v>939</v>
      </c>
      <c r="N1651" t="s">
        <v>2676</v>
      </c>
      <c r="O1651" t="s">
        <v>3617</v>
      </c>
    </row>
    <row r="1652" spans="1:15" x14ac:dyDescent="0.25">
      <c r="A1652">
        <v>1651</v>
      </c>
      <c r="B1652" t="str">
        <f>HYPERLINK("https://digitalcommons.unl.edu/cgi/viewcontent.cgi?article=2746&amp;context=tractormuseumlit","Click for test report")</f>
        <v>Click for test report</v>
      </c>
      <c r="C1652">
        <v>1980</v>
      </c>
      <c r="D1652" t="s">
        <v>4904</v>
      </c>
      <c r="F1652" t="s">
        <v>4503</v>
      </c>
      <c r="G1652" t="s">
        <v>4504</v>
      </c>
      <c r="H1652" t="s">
        <v>4905</v>
      </c>
      <c r="I1652" t="s">
        <v>1961</v>
      </c>
      <c r="J1652" t="s">
        <v>348</v>
      </c>
      <c r="K1652" t="s">
        <v>21</v>
      </c>
      <c r="L1652" t="s">
        <v>722</v>
      </c>
      <c r="N1652" t="s">
        <v>1350</v>
      </c>
      <c r="O1652" t="s">
        <v>3371</v>
      </c>
    </row>
    <row r="1653" spans="1:15" x14ac:dyDescent="0.25">
      <c r="A1653">
        <v>1652</v>
      </c>
      <c r="B1653" t="str">
        <f>HYPERLINK("https://digitalcommons.unl.edu/cgi/viewcontent.cgi?article=2748&amp;context=tractormuseumlit","Click for test report")</f>
        <v>Click for test report</v>
      </c>
      <c r="C1653">
        <v>1980</v>
      </c>
      <c r="D1653" t="s">
        <v>4798</v>
      </c>
      <c r="F1653" t="s">
        <v>4503</v>
      </c>
      <c r="G1653" t="s">
        <v>4504</v>
      </c>
      <c r="H1653" t="s">
        <v>4903</v>
      </c>
      <c r="I1653" t="s">
        <v>1961</v>
      </c>
      <c r="J1653" t="s">
        <v>29</v>
      </c>
      <c r="K1653" t="s">
        <v>21</v>
      </c>
      <c r="L1653" t="s">
        <v>150</v>
      </c>
      <c r="N1653" t="s">
        <v>328</v>
      </c>
      <c r="O1653" t="s">
        <v>3320</v>
      </c>
    </row>
    <row r="1654" spans="1:15" x14ac:dyDescent="0.25">
      <c r="A1654">
        <v>1653</v>
      </c>
      <c r="B1654" t="str">
        <f>HYPERLINK("https://digitalcommons.unl.edu/cgi/viewcontent.cgi?article=2661&amp;context=tractormuseumlit","Click for test report")</f>
        <v>Click for test report</v>
      </c>
      <c r="C1654">
        <v>1981</v>
      </c>
      <c r="D1654" t="s">
        <v>4900</v>
      </c>
      <c r="F1654" t="s">
        <v>4290</v>
      </c>
      <c r="G1654" t="s">
        <v>4291</v>
      </c>
      <c r="H1654" t="s">
        <v>4901</v>
      </c>
      <c r="I1654" t="s">
        <v>50</v>
      </c>
      <c r="J1654" t="s">
        <v>20</v>
      </c>
      <c r="K1654" t="s">
        <v>21</v>
      </c>
      <c r="L1654" t="s">
        <v>750</v>
      </c>
      <c r="N1654" t="s">
        <v>2090</v>
      </c>
      <c r="O1654" t="s">
        <v>4902</v>
      </c>
    </row>
    <row r="1655" spans="1:15" x14ac:dyDescent="0.25">
      <c r="A1655">
        <v>1654</v>
      </c>
      <c r="B1655" t="str">
        <f>HYPERLINK("https://digitalcommons.unl.edu/cgi/viewcontent.cgi?article=2663&amp;context=tractormuseumlit","Click for test report")</f>
        <v>Click for test report</v>
      </c>
      <c r="C1655">
        <v>1981</v>
      </c>
      <c r="D1655" t="s">
        <v>4897</v>
      </c>
      <c r="F1655" t="s">
        <v>4290</v>
      </c>
      <c r="G1655" t="s">
        <v>4291</v>
      </c>
      <c r="H1655" t="s">
        <v>4898</v>
      </c>
      <c r="I1655" t="s">
        <v>50</v>
      </c>
      <c r="J1655" t="s">
        <v>348</v>
      </c>
      <c r="K1655" t="s">
        <v>21</v>
      </c>
      <c r="L1655" t="s">
        <v>1347</v>
      </c>
      <c r="N1655" t="s">
        <v>349</v>
      </c>
      <c r="O1655" t="s">
        <v>4899</v>
      </c>
    </row>
    <row r="1656" spans="1:15" x14ac:dyDescent="0.25">
      <c r="A1656">
        <v>1655</v>
      </c>
      <c r="B1656" t="str">
        <f>HYPERLINK("https://digitalcommons.unl.edu/cgi/viewcontent.cgi?article=2749&amp;context=tractormuseumlit","Click for test report")</f>
        <v>Click for test report</v>
      </c>
      <c r="C1656">
        <v>1981</v>
      </c>
      <c r="D1656" t="s">
        <v>4592</v>
      </c>
      <c r="F1656" t="s">
        <v>3800</v>
      </c>
      <c r="G1656" t="s">
        <v>4473</v>
      </c>
      <c r="H1656" t="s">
        <v>4896</v>
      </c>
      <c r="I1656" t="s">
        <v>50</v>
      </c>
      <c r="J1656" t="s">
        <v>348</v>
      </c>
      <c r="K1656" t="s">
        <v>21</v>
      </c>
      <c r="L1656" t="s">
        <v>2090</v>
      </c>
      <c r="N1656" t="s">
        <v>3973</v>
      </c>
      <c r="O1656" t="s">
        <v>3320</v>
      </c>
    </row>
    <row r="1657" spans="1:15" x14ac:dyDescent="0.25">
      <c r="A1657">
        <v>1656</v>
      </c>
      <c r="B1657" t="str">
        <f>HYPERLINK("https://digitalcommons.unl.edu/cgi/viewcontent.cgi?article=2750&amp;context=tractormuseumlit","Click for test report")</f>
        <v>Click for test report</v>
      </c>
      <c r="C1657">
        <v>1981</v>
      </c>
      <c r="D1657" t="s">
        <v>4894</v>
      </c>
      <c r="F1657" t="s">
        <v>3800</v>
      </c>
      <c r="G1657" t="s">
        <v>4473</v>
      </c>
      <c r="H1657" t="s">
        <v>4895</v>
      </c>
      <c r="I1657" t="s">
        <v>50</v>
      </c>
      <c r="J1657" t="s">
        <v>348</v>
      </c>
      <c r="K1657" t="s">
        <v>21</v>
      </c>
      <c r="L1657" t="s">
        <v>3123</v>
      </c>
      <c r="N1657" t="s">
        <v>1009</v>
      </c>
      <c r="O1657" t="s">
        <v>4446</v>
      </c>
    </row>
    <row r="1658" spans="1:15" x14ac:dyDescent="0.25">
      <c r="A1658">
        <v>1657</v>
      </c>
      <c r="B1658" t="str">
        <f>HYPERLINK("https://digitalcommons.unl.edu/cgi/viewcontent.cgi?article=2750&amp;context=tractormuseumlit","Click for test report")</f>
        <v>Click for test report</v>
      </c>
      <c r="C1658">
        <v>1981</v>
      </c>
      <c r="D1658" t="s">
        <v>4894</v>
      </c>
      <c r="F1658" t="s">
        <v>3800</v>
      </c>
      <c r="G1658" t="s">
        <v>4473</v>
      </c>
      <c r="H1658" t="s">
        <v>4895</v>
      </c>
      <c r="I1658" t="s">
        <v>50</v>
      </c>
      <c r="J1658" t="s">
        <v>20</v>
      </c>
      <c r="K1658" t="s">
        <v>21</v>
      </c>
      <c r="L1658" t="s">
        <v>3123</v>
      </c>
      <c r="N1658" t="s">
        <v>1009</v>
      </c>
      <c r="O1658" t="s">
        <v>4445</v>
      </c>
    </row>
    <row r="1659" spans="1:15" x14ac:dyDescent="0.25">
      <c r="A1659">
        <v>1658</v>
      </c>
      <c r="B1659" t="str">
        <f>HYPERLINK("https://digitalcommons.unl.edu/cgi/viewcontent.cgi?article=2751&amp;context=tractormuseumlit","Click for test report")</f>
        <v>Click for test report</v>
      </c>
      <c r="C1659">
        <v>1981</v>
      </c>
      <c r="D1659" t="s">
        <v>4893</v>
      </c>
      <c r="F1659" t="s">
        <v>3800</v>
      </c>
      <c r="G1659" t="s">
        <v>4473</v>
      </c>
      <c r="H1659" t="s">
        <v>4878</v>
      </c>
      <c r="I1659" t="s">
        <v>50</v>
      </c>
      <c r="J1659" t="s">
        <v>348</v>
      </c>
      <c r="K1659" t="s">
        <v>21</v>
      </c>
      <c r="L1659" t="s">
        <v>1051</v>
      </c>
      <c r="N1659" t="s">
        <v>735</v>
      </c>
      <c r="O1659" t="s">
        <v>4446</v>
      </c>
    </row>
    <row r="1660" spans="1:15" x14ac:dyDescent="0.25">
      <c r="A1660">
        <v>1659</v>
      </c>
      <c r="B1660" t="str">
        <f>HYPERLINK("https://digitalcommons.unl.edu/cgi/viewcontent.cgi?article=2751&amp;context=tractormuseumlit","Click for test report")</f>
        <v>Click for test report</v>
      </c>
      <c r="C1660">
        <v>1981</v>
      </c>
      <c r="D1660" t="s">
        <v>4893</v>
      </c>
      <c r="F1660" t="s">
        <v>3800</v>
      </c>
      <c r="G1660" t="s">
        <v>4473</v>
      </c>
      <c r="H1660" t="s">
        <v>4878</v>
      </c>
      <c r="I1660" t="s">
        <v>50</v>
      </c>
      <c r="J1660" t="s">
        <v>20</v>
      </c>
      <c r="K1660" t="s">
        <v>21</v>
      </c>
      <c r="L1660" t="s">
        <v>1051</v>
      </c>
      <c r="N1660" t="s">
        <v>735</v>
      </c>
      <c r="O1660" t="s">
        <v>4445</v>
      </c>
    </row>
    <row r="1661" spans="1:15" x14ac:dyDescent="0.25">
      <c r="A1661">
        <v>1660</v>
      </c>
      <c r="B1661" t="str">
        <f>HYPERLINK("https://digitalcommons.unl.edu/cgi/viewcontent.cgi?article=2752&amp;context=tractormuseumlit","Click for test report")</f>
        <v>Click for test report</v>
      </c>
      <c r="C1661">
        <v>1981</v>
      </c>
      <c r="D1661" t="s">
        <v>4892</v>
      </c>
      <c r="F1661" t="s">
        <v>3800</v>
      </c>
      <c r="G1661" t="s">
        <v>4473</v>
      </c>
      <c r="H1661" t="s">
        <v>4648</v>
      </c>
      <c r="I1661" t="s">
        <v>50</v>
      </c>
      <c r="J1661" t="s">
        <v>348</v>
      </c>
      <c r="K1661" t="s">
        <v>21</v>
      </c>
      <c r="L1661" t="s">
        <v>1347</v>
      </c>
      <c r="N1661" t="s">
        <v>731</v>
      </c>
      <c r="O1661" t="s">
        <v>4446</v>
      </c>
    </row>
    <row r="1662" spans="1:15" x14ac:dyDescent="0.25">
      <c r="A1662">
        <v>1661</v>
      </c>
      <c r="B1662" t="str">
        <f>HYPERLINK("https://digitalcommons.unl.edu/cgi/viewcontent.cgi?article=2752&amp;context=tractormuseumlit","Click for test report")</f>
        <v>Click for test report</v>
      </c>
      <c r="C1662">
        <v>1981</v>
      </c>
      <c r="D1662" t="s">
        <v>4892</v>
      </c>
      <c r="F1662" t="s">
        <v>3800</v>
      </c>
      <c r="G1662" t="s">
        <v>4473</v>
      </c>
      <c r="H1662" t="s">
        <v>4648</v>
      </c>
      <c r="I1662" t="s">
        <v>50</v>
      </c>
      <c r="J1662" t="s">
        <v>20</v>
      </c>
      <c r="K1662" t="s">
        <v>21</v>
      </c>
      <c r="L1662" t="s">
        <v>1347</v>
      </c>
      <c r="N1662" t="s">
        <v>1051</v>
      </c>
      <c r="O1662" t="s">
        <v>4445</v>
      </c>
    </row>
    <row r="1663" spans="1:15" x14ac:dyDescent="0.25">
      <c r="A1663">
        <v>1662</v>
      </c>
      <c r="B1663" t="str">
        <f>HYPERLINK("https://digitalcommons.unl.edu/cgi/viewcontent.cgi?article=2753&amp;context=tractormuseumlit","Click for test report")</f>
        <v>Click for test report</v>
      </c>
      <c r="C1663">
        <v>1981</v>
      </c>
      <c r="D1663" t="s">
        <v>4891</v>
      </c>
      <c r="F1663" t="s">
        <v>3800</v>
      </c>
      <c r="G1663" t="s">
        <v>4473</v>
      </c>
      <c r="H1663" t="s">
        <v>4648</v>
      </c>
      <c r="I1663" t="s">
        <v>19</v>
      </c>
      <c r="J1663" t="s">
        <v>348</v>
      </c>
      <c r="K1663" t="s">
        <v>21</v>
      </c>
      <c r="L1663" t="s">
        <v>1347</v>
      </c>
      <c r="N1663" t="s">
        <v>725</v>
      </c>
      <c r="O1663" t="s">
        <v>3320</v>
      </c>
    </row>
    <row r="1664" spans="1:15" x14ac:dyDescent="0.25">
      <c r="A1664">
        <v>1663</v>
      </c>
      <c r="B1664" t="str">
        <f>HYPERLINK("https://digitalcommons.unl.edu/cgi/viewcontent.cgi?article=2754&amp;context=tractormuseumlit","Click for test report")</f>
        <v>Click for test report</v>
      </c>
      <c r="C1664">
        <v>1981</v>
      </c>
      <c r="D1664" t="s">
        <v>4890</v>
      </c>
      <c r="F1664" t="s">
        <v>3800</v>
      </c>
      <c r="G1664" t="s">
        <v>4473</v>
      </c>
      <c r="H1664" t="s">
        <v>3751</v>
      </c>
      <c r="I1664" t="s">
        <v>50</v>
      </c>
      <c r="J1664" t="s">
        <v>20</v>
      </c>
      <c r="K1664" t="s">
        <v>21</v>
      </c>
      <c r="L1664" t="s">
        <v>562</v>
      </c>
      <c r="N1664" t="s">
        <v>740</v>
      </c>
      <c r="O1664" t="s">
        <v>24</v>
      </c>
    </row>
    <row r="1665" spans="1:15" x14ac:dyDescent="0.25">
      <c r="A1665">
        <v>1664</v>
      </c>
      <c r="B1665" t="str">
        <f>HYPERLINK("https://digitalcommons.unl.edu/cgi/viewcontent.cgi?article=3688&amp;context=tractormuseumlit","Click for test report")</f>
        <v>Click for test report</v>
      </c>
      <c r="C1665">
        <v>1981</v>
      </c>
      <c r="D1665" t="s">
        <v>4889</v>
      </c>
      <c r="G1665" t="s">
        <v>322</v>
      </c>
      <c r="O1665" t="s">
        <v>24</v>
      </c>
    </row>
    <row r="1666" spans="1:15" x14ac:dyDescent="0.25">
      <c r="A1666">
        <v>1665</v>
      </c>
      <c r="B1666" t="str">
        <f>HYPERLINK("https://digitalcommons.unl.edu/cgi/viewcontent.cgi?article=2755&amp;context=tractormuseumlit","Click for test report")</f>
        <v>Click for test report</v>
      </c>
      <c r="C1666">
        <v>1981</v>
      </c>
      <c r="D1666" t="s">
        <v>4887</v>
      </c>
      <c r="F1666" t="s">
        <v>4290</v>
      </c>
      <c r="G1666" t="s">
        <v>4291</v>
      </c>
      <c r="H1666" t="s">
        <v>4888</v>
      </c>
      <c r="I1666" t="s">
        <v>50</v>
      </c>
      <c r="J1666" t="s">
        <v>348</v>
      </c>
      <c r="K1666" t="s">
        <v>21</v>
      </c>
      <c r="L1666" t="s">
        <v>3152</v>
      </c>
      <c r="N1666" t="s">
        <v>2825</v>
      </c>
      <c r="O1666" t="s">
        <v>4446</v>
      </c>
    </row>
    <row r="1667" spans="1:15" x14ac:dyDescent="0.25">
      <c r="A1667">
        <v>1666</v>
      </c>
      <c r="B1667" t="str">
        <f>HYPERLINK("https://digitalcommons.unl.edu/cgi/viewcontent.cgi?article=2755&amp;context=tractormuseumlit","Click for test report")</f>
        <v>Click for test report</v>
      </c>
      <c r="C1667">
        <v>1981</v>
      </c>
      <c r="D1667" t="s">
        <v>4887</v>
      </c>
      <c r="F1667" t="s">
        <v>4290</v>
      </c>
      <c r="G1667" t="s">
        <v>4291</v>
      </c>
      <c r="H1667" t="s">
        <v>4888</v>
      </c>
      <c r="I1667" t="s">
        <v>50</v>
      </c>
      <c r="J1667" t="s">
        <v>20</v>
      </c>
      <c r="K1667" t="s">
        <v>21</v>
      </c>
      <c r="L1667" t="s">
        <v>3152</v>
      </c>
      <c r="N1667" t="s">
        <v>3973</v>
      </c>
      <c r="O1667" t="s">
        <v>4445</v>
      </c>
    </row>
    <row r="1668" spans="1:15" x14ac:dyDescent="0.25">
      <c r="A1668">
        <v>1667</v>
      </c>
      <c r="B1668" t="str">
        <f>HYPERLINK("https://digitalcommons.unl.edu/cgi/viewcontent.cgi?article=2756&amp;context=tractormuseumlit","Click for test report")</f>
        <v>Click for test report</v>
      </c>
      <c r="C1668">
        <v>1981</v>
      </c>
      <c r="D1668" t="s">
        <v>4885</v>
      </c>
      <c r="F1668" t="s">
        <v>4290</v>
      </c>
      <c r="G1668" t="s">
        <v>4291</v>
      </c>
      <c r="H1668" t="s">
        <v>4886</v>
      </c>
      <c r="I1668" t="s">
        <v>50</v>
      </c>
      <c r="J1668" t="s">
        <v>348</v>
      </c>
      <c r="K1668" t="s">
        <v>21</v>
      </c>
      <c r="L1668" t="s">
        <v>1347</v>
      </c>
      <c r="N1668" t="s">
        <v>731</v>
      </c>
      <c r="O1668" t="s">
        <v>4437</v>
      </c>
    </row>
    <row r="1669" spans="1:15" x14ac:dyDescent="0.25">
      <c r="A1669">
        <v>1668</v>
      </c>
      <c r="B1669" t="str">
        <f>HYPERLINK("https://digitalcommons.unl.edu/cgi/viewcontent.cgi?article=2756&amp;context=tractormuseumlit","Click for test report")</f>
        <v>Click for test report</v>
      </c>
      <c r="C1669">
        <v>1981</v>
      </c>
      <c r="D1669" t="s">
        <v>4885</v>
      </c>
      <c r="F1669" t="s">
        <v>4290</v>
      </c>
      <c r="G1669" t="s">
        <v>4291</v>
      </c>
      <c r="H1669" t="s">
        <v>4886</v>
      </c>
      <c r="I1669" t="s">
        <v>50</v>
      </c>
      <c r="J1669" t="s">
        <v>20</v>
      </c>
      <c r="K1669" t="s">
        <v>21</v>
      </c>
      <c r="L1669" t="s">
        <v>1347</v>
      </c>
      <c r="N1669" t="s">
        <v>731</v>
      </c>
      <c r="O1669" t="s">
        <v>4436</v>
      </c>
    </row>
    <row r="1670" spans="1:15" x14ac:dyDescent="0.25">
      <c r="A1670">
        <v>1669</v>
      </c>
      <c r="B1670" t="str">
        <f>HYPERLINK("https://digitalcommons.unl.edu/cgi/viewcontent.cgi?article=2757&amp;context=tractormuseumlit","Click for test report")</f>
        <v>Click for test report</v>
      </c>
      <c r="C1670">
        <v>1981</v>
      </c>
      <c r="D1670" t="s">
        <v>4883</v>
      </c>
      <c r="F1670" t="s">
        <v>4503</v>
      </c>
      <c r="G1670" t="s">
        <v>4504</v>
      </c>
      <c r="H1670" t="s">
        <v>4884</v>
      </c>
      <c r="I1670" t="s">
        <v>50</v>
      </c>
      <c r="J1670" t="s">
        <v>348</v>
      </c>
      <c r="K1670" t="s">
        <v>21</v>
      </c>
      <c r="L1670" t="s">
        <v>4352</v>
      </c>
      <c r="N1670" t="s">
        <v>4358</v>
      </c>
      <c r="O1670" t="s">
        <v>3468</v>
      </c>
    </row>
    <row r="1671" spans="1:15" x14ac:dyDescent="0.25">
      <c r="A1671">
        <v>1670</v>
      </c>
      <c r="B1671" t="str">
        <f>HYPERLINK("https://digitalcommons.unl.edu/cgi/viewcontent.cgi?article=2758&amp;context=tractormuseumlit","Click for test report")</f>
        <v>Click for test report</v>
      </c>
      <c r="C1671">
        <v>1981</v>
      </c>
      <c r="D1671" t="s">
        <v>4881</v>
      </c>
      <c r="F1671" t="s">
        <v>4503</v>
      </c>
      <c r="G1671" t="s">
        <v>4504</v>
      </c>
      <c r="H1671" t="s">
        <v>4882</v>
      </c>
      <c r="I1671" t="s">
        <v>1961</v>
      </c>
      <c r="J1671" t="s">
        <v>348</v>
      </c>
      <c r="K1671" t="s">
        <v>21</v>
      </c>
      <c r="L1671" t="s">
        <v>344</v>
      </c>
      <c r="N1671" t="s">
        <v>1347</v>
      </c>
      <c r="O1671" t="s">
        <v>3371</v>
      </c>
    </row>
    <row r="1672" spans="1:15" x14ac:dyDescent="0.25">
      <c r="A1672">
        <v>1671</v>
      </c>
      <c r="B1672" t="str">
        <f>HYPERLINK("https://digitalcommons.unl.edu/cgi/viewcontent.cgi?article=2759&amp;context=tractormuseumlit","Click for test report")</f>
        <v>Click for test report</v>
      </c>
      <c r="C1672">
        <v>1981</v>
      </c>
      <c r="D1672" t="s">
        <v>4879</v>
      </c>
      <c r="F1672" t="s">
        <v>778</v>
      </c>
      <c r="G1672" t="s">
        <v>778</v>
      </c>
      <c r="H1672" t="s">
        <v>4880</v>
      </c>
      <c r="I1672" t="s">
        <v>50</v>
      </c>
      <c r="J1672" t="s">
        <v>348</v>
      </c>
      <c r="K1672" t="s">
        <v>21</v>
      </c>
      <c r="L1672" t="s">
        <v>1425</v>
      </c>
      <c r="N1672" t="s">
        <v>1042</v>
      </c>
      <c r="O1672" t="s">
        <v>3468</v>
      </c>
    </row>
    <row r="1673" spans="1:15" x14ac:dyDescent="0.25">
      <c r="A1673">
        <v>1672</v>
      </c>
      <c r="B1673" t="str">
        <f>HYPERLINK("https://digitalcommons.unl.edu/cgi/viewcontent.cgi?article=3688&amp;context=tractormuseumlit","Click for test report")</f>
        <v>Click for test report</v>
      </c>
      <c r="C1673">
        <v>1981</v>
      </c>
      <c r="D1673" t="s">
        <v>4878</v>
      </c>
      <c r="G1673" t="s">
        <v>322</v>
      </c>
      <c r="O1673" t="s">
        <v>24</v>
      </c>
    </row>
    <row r="1674" spans="1:15" x14ac:dyDescent="0.25">
      <c r="A1674">
        <v>1673</v>
      </c>
      <c r="B1674" t="str">
        <f>HYPERLINK("https://digitalcommons.unl.edu/cgi/viewcontent.cgi?article=2760&amp;context=tractormuseumlit","Click for test report")</f>
        <v>Click for test report</v>
      </c>
      <c r="C1674">
        <v>1981</v>
      </c>
      <c r="D1674" t="s">
        <v>4876</v>
      </c>
      <c r="F1674" t="s">
        <v>778</v>
      </c>
      <c r="G1674" t="s">
        <v>778</v>
      </c>
      <c r="H1674" t="s">
        <v>4877</v>
      </c>
      <c r="I1674" t="s">
        <v>3474</v>
      </c>
      <c r="J1674" t="s">
        <v>29</v>
      </c>
      <c r="K1674" t="s">
        <v>21</v>
      </c>
      <c r="L1674" t="s">
        <v>81</v>
      </c>
      <c r="N1674" t="s">
        <v>999</v>
      </c>
      <c r="O1674" t="s">
        <v>3617</v>
      </c>
    </row>
    <row r="1675" spans="1:15" x14ac:dyDescent="0.25">
      <c r="A1675">
        <v>1674</v>
      </c>
      <c r="B1675" t="str">
        <f>HYPERLINK("https://digitalcommons.unl.edu/cgi/viewcontent.cgi?article=2761&amp;context=tractormuseumlit","Click for test report")</f>
        <v>Click for test report</v>
      </c>
      <c r="C1675">
        <v>1981</v>
      </c>
      <c r="D1675" t="s">
        <v>4874</v>
      </c>
      <c r="F1675" t="s">
        <v>4671</v>
      </c>
      <c r="G1675" t="s">
        <v>778</v>
      </c>
      <c r="H1675" t="s">
        <v>4875</v>
      </c>
      <c r="I1675" t="s">
        <v>50</v>
      </c>
      <c r="J1675" t="s">
        <v>348</v>
      </c>
      <c r="K1675" t="s">
        <v>21</v>
      </c>
      <c r="L1675" t="s">
        <v>1864</v>
      </c>
      <c r="N1675" t="s">
        <v>735</v>
      </c>
      <c r="O1675" t="s">
        <v>4695</v>
      </c>
    </row>
    <row r="1676" spans="1:15" x14ac:dyDescent="0.25">
      <c r="A1676">
        <v>1675</v>
      </c>
      <c r="B1676" t="str">
        <f>HYPERLINK("https://digitalcommons.unl.edu/cgi/viewcontent.cgi?article=2761&amp;context=tractormuseumlit","Click for test report")</f>
        <v>Click for test report</v>
      </c>
      <c r="C1676">
        <v>1981</v>
      </c>
      <c r="D1676" t="s">
        <v>4874</v>
      </c>
      <c r="F1676" t="s">
        <v>4671</v>
      </c>
      <c r="G1676" t="s">
        <v>778</v>
      </c>
      <c r="H1676" t="s">
        <v>4875</v>
      </c>
      <c r="I1676" t="s">
        <v>50</v>
      </c>
      <c r="J1676" t="s">
        <v>20</v>
      </c>
      <c r="K1676" t="s">
        <v>21</v>
      </c>
      <c r="L1676" t="s">
        <v>1864</v>
      </c>
      <c r="N1676" t="s">
        <v>750</v>
      </c>
      <c r="O1676" t="s">
        <v>4694</v>
      </c>
    </row>
    <row r="1677" spans="1:15" x14ac:dyDescent="0.25">
      <c r="A1677">
        <v>1676</v>
      </c>
      <c r="B1677" t="str">
        <f>HYPERLINK("https://digitalcommons.unl.edu/cgi/viewcontent.cgi?article=2762&amp;context=tractormuseumlit","Click for test report")</f>
        <v>Click for test report</v>
      </c>
      <c r="C1677">
        <v>1981</v>
      </c>
      <c r="D1677" t="s">
        <v>4872</v>
      </c>
      <c r="F1677" t="s">
        <v>17</v>
      </c>
      <c r="G1677" t="s">
        <v>17</v>
      </c>
      <c r="H1677" t="s">
        <v>1495</v>
      </c>
      <c r="I1677" t="s">
        <v>50</v>
      </c>
      <c r="J1677" t="s">
        <v>20</v>
      </c>
      <c r="K1677" t="s">
        <v>21</v>
      </c>
      <c r="L1677" t="s">
        <v>2699</v>
      </c>
      <c r="N1677" t="s">
        <v>4745</v>
      </c>
      <c r="O1677" t="s">
        <v>4873</v>
      </c>
    </row>
    <row r="1678" spans="1:15" x14ac:dyDescent="0.25">
      <c r="A1678">
        <v>1677</v>
      </c>
      <c r="B1678" t="str">
        <f>HYPERLINK("https://digitalcommons.unl.edu/cgi/viewcontent.cgi?article=2763&amp;context=tractormuseumlit","Click for test report")</f>
        <v>Click for test report</v>
      </c>
      <c r="C1678">
        <v>1981</v>
      </c>
      <c r="D1678" t="s">
        <v>4870</v>
      </c>
      <c r="F1678" t="s">
        <v>17</v>
      </c>
      <c r="G1678" t="s">
        <v>17</v>
      </c>
      <c r="H1678" t="s">
        <v>67</v>
      </c>
      <c r="I1678" t="s">
        <v>50</v>
      </c>
      <c r="J1678" t="s">
        <v>20</v>
      </c>
      <c r="K1678" t="s">
        <v>21</v>
      </c>
      <c r="L1678" t="s">
        <v>735</v>
      </c>
      <c r="N1678" t="s">
        <v>3152</v>
      </c>
      <c r="O1678" t="s">
        <v>4871</v>
      </c>
    </row>
    <row r="1679" spans="1:15" x14ac:dyDescent="0.25">
      <c r="A1679">
        <v>1678</v>
      </c>
      <c r="B1679" t="str">
        <f>HYPERLINK("https://digitalcommons.unl.edu/cgi/viewcontent.cgi?article=2764&amp;context=tractormuseumlit","Click for test report")</f>
        <v>Click for test report</v>
      </c>
      <c r="C1679">
        <v>1981</v>
      </c>
      <c r="D1679" t="s">
        <v>4868</v>
      </c>
      <c r="F1679" t="s">
        <v>4656</v>
      </c>
      <c r="G1679" t="s">
        <v>4657</v>
      </c>
      <c r="H1679" t="s">
        <v>4869</v>
      </c>
      <c r="I1679" t="s">
        <v>50</v>
      </c>
      <c r="J1679" t="s">
        <v>348</v>
      </c>
      <c r="K1679" t="s">
        <v>21</v>
      </c>
      <c r="L1679" t="s">
        <v>2090</v>
      </c>
      <c r="N1679" t="s">
        <v>3973</v>
      </c>
      <c r="O1679" t="s">
        <v>4867</v>
      </c>
    </row>
    <row r="1680" spans="1:15" x14ac:dyDescent="0.25">
      <c r="A1680">
        <v>1679</v>
      </c>
      <c r="B1680" t="str">
        <f>HYPERLINK("https://digitalcommons.unl.edu/cgi/viewcontent.cgi?article=2764&amp;context=tractormuseumlit","Click for test report")</f>
        <v>Click for test report</v>
      </c>
      <c r="C1680">
        <v>1981</v>
      </c>
      <c r="D1680" t="s">
        <v>4868</v>
      </c>
      <c r="F1680" t="s">
        <v>4656</v>
      </c>
      <c r="G1680" t="s">
        <v>4657</v>
      </c>
      <c r="H1680" t="s">
        <v>4869</v>
      </c>
      <c r="I1680" t="s">
        <v>50</v>
      </c>
      <c r="J1680" t="s">
        <v>20</v>
      </c>
      <c r="K1680" t="s">
        <v>21</v>
      </c>
      <c r="L1680" t="s">
        <v>2090</v>
      </c>
      <c r="N1680" t="s">
        <v>2825</v>
      </c>
      <c r="O1680" t="s">
        <v>4866</v>
      </c>
    </row>
    <row r="1681" spans="1:15" x14ac:dyDescent="0.25">
      <c r="A1681">
        <v>1680</v>
      </c>
      <c r="B1681" t="str">
        <f>HYPERLINK("https://digitalcommons.unl.edu/cgi/viewcontent.cgi?article=2765&amp;context=tractormuseumlit","Click for test report")</f>
        <v>Click for test report</v>
      </c>
      <c r="C1681">
        <v>1981</v>
      </c>
      <c r="D1681" t="s">
        <v>4864</v>
      </c>
      <c r="F1681" t="s">
        <v>4656</v>
      </c>
      <c r="G1681" t="s">
        <v>4657</v>
      </c>
      <c r="H1681" t="s">
        <v>4865</v>
      </c>
      <c r="I1681" t="s">
        <v>50</v>
      </c>
      <c r="J1681" t="s">
        <v>348</v>
      </c>
      <c r="K1681" t="s">
        <v>21</v>
      </c>
      <c r="L1681" t="s">
        <v>725</v>
      </c>
      <c r="N1681" t="s">
        <v>750</v>
      </c>
      <c r="O1681" t="s">
        <v>4867</v>
      </c>
    </row>
    <row r="1682" spans="1:15" x14ac:dyDescent="0.25">
      <c r="A1682">
        <v>1681</v>
      </c>
      <c r="B1682" t="str">
        <f>HYPERLINK("https://digitalcommons.unl.edu/cgi/viewcontent.cgi?article=2765&amp;context=tractormuseumlit","Click for test report")</f>
        <v>Click for test report</v>
      </c>
      <c r="C1682">
        <v>1981</v>
      </c>
      <c r="D1682" t="s">
        <v>4864</v>
      </c>
      <c r="F1682" t="s">
        <v>4656</v>
      </c>
      <c r="G1682" t="s">
        <v>4657</v>
      </c>
      <c r="H1682" t="s">
        <v>4865</v>
      </c>
      <c r="I1682" t="s">
        <v>50</v>
      </c>
      <c r="J1682" t="s">
        <v>20</v>
      </c>
      <c r="K1682" t="s">
        <v>21</v>
      </c>
      <c r="L1682" t="s">
        <v>725</v>
      </c>
      <c r="N1682" t="s">
        <v>735</v>
      </c>
      <c r="O1682" t="s">
        <v>4866</v>
      </c>
    </row>
    <row r="1683" spans="1:15" x14ac:dyDescent="0.25">
      <c r="A1683">
        <v>1682</v>
      </c>
      <c r="B1683" t="str">
        <f>HYPERLINK("https://digitalcommons.unl.edu/cgi/viewcontent.cgi?article=2766&amp;context=tractormuseumlit","Click for test report")</f>
        <v>Click for test report</v>
      </c>
      <c r="C1683">
        <v>1981</v>
      </c>
      <c r="D1683" t="s">
        <v>4459</v>
      </c>
      <c r="F1683" t="s">
        <v>4325</v>
      </c>
      <c r="G1683" t="s">
        <v>4325</v>
      </c>
      <c r="H1683" t="s">
        <v>4460</v>
      </c>
      <c r="I1683" t="s">
        <v>50</v>
      </c>
      <c r="J1683" t="s">
        <v>348</v>
      </c>
      <c r="K1683" t="s">
        <v>21</v>
      </c>
      <c r="L1683" t="s">
        <v>728</v>
      </c>
      <c r="N1683" t="s">
        <v>3319</v>
      </c>
      <c r="O1683" t="s">
        <v>3468</v>
      </c>
    </row>
    <row r="1684" spans="1:15" x14ac:dyDescent="0.25">
      <c r="A1684">
        <v>1683</v>
      </c>
      <c r="B1684" t="str">
        <f>HYPERLINK("https://digitalcommons.unl.edu/cgi/viewcontent.cgi?article=2767&amp;context=tractormuseumlit","Click for test report")</f>
        <v>Click for test report</v>
      </c>
      <c r="C1684">
        <v>1981</v>
      </c>
      <c r="D1684" t="s">
        <v>4456</v>
      </c>
      <c r="F1684" t="s">
        <v>4325</v>
      </c>
      <c r="G1684" t="s">
        <v>4325</v>
      </c>
      <c r="H1684" t="s">
        <v>4457</v>
      </c>
      <c r="I1684" t="s">
        <v>50</v>
      </c>
      <c r="J1684" t="s">
        <v>348</v>
      </c>
      <c r="K1684" t="s">
        <v>21</v>
      </c>
      <c r="L1684" t="s">
        <v>716</v>
      </c>
      <c r="N1684" t="s">
        <v>722</v>
      </c>
      <c r="O1684" t="s">
        <v>3320</v>
      </c>
    </row>
    <row r="1685" spans="1:15" x14ac:dyDescent="0.25">
      <c r="A1685">
        <v>1684</v>
      </c>
      <c r="B1685" t="str">
        <f>HYPERLINK("https://digitalcommons.unl.edu/cgi/viewcontent.cgi?article=2768&amp;context=tractormuseumlit","Click for test report")</f>
        <v>Click for test report</v>
      </c>
      <c r="C1685">
        <v>1981</v>
      </c>
      <c r="D1685" t="s">
        <v>4862</v>
      </c>
      <c r="F1685" t="s">
        <v>778</v>
      </c>
      <c r="G1685" t="s">
        <v>778</v>
      </c>
      <c r="H1685" t="s">
        <v>4863</v>
      </c>
      <c r="I1685" t="s">
        <v>50</v>
      </c>
      <c r="J1685" t="s">
        <v>348</v>
      </c>
      <c r="K1685" t="s">
        <v>21</v>
      </c>
      <c r="L1685" t="s">
        <v>1739</v>
      </c>
      <c r="N1685" t="s">
        <v>315</v>
      </c>
      <c r="O1685" t="s">
        <v>3468</v>
      </c>
    </row>
    <row r="1686" spans="1:15" x14ac:dyDescent="0.25">
      <c r="A1686">
        <v>1685</v>
      </c>
      <c r="B1686" t="str">
        <f>HYPERLINK("https://digitalcommons.unl.edu/cgi/viewcontent.cgi?article=2769&amp;context=tractormuseumlit","Click for test report")</f>
        <v>Click for test report</v>
      </c>
      <c r="C1686">
        <v>1981</v>
      </c>
      <c r="D1686" t="s">
        <v>4856</v>
      </c>
      <c r="F1686" t="s">
        <v>4857</v>
      </c>
      <c r="G1686" t="s">
        <v>4857</v>
      </c>
      <c r="H1686" t="s">
        <v>4858</v>
      </c>
      <c r="I1686" t="s">
        <v>4859</v>
      </c>
      <c r="J1686" t="s">
        <v>29</v>
      </c>
      <c r="K1686" t="s">
        <v>21</v>
      </c>
      <c r="N1686" t="s">
        <v>4860</v>
      </c>
      <c r="O1686" t="s">
        <v>4861</v>
      </c>
    </row>
    <row r="1687" spans="1:15" x14ac:dyDescent="0.25">
      <c r="A1687">
        <v>1686</v>
      </c>
      <c r="B1687" t="str">
        <f>HYPERLINK("https://digitalcommons.unl.edu/cgi/viewcontent.cgi?article=2770&amp;context=tractormuseumlit","Click for test report")</f>
        <v>Click for test report</v>
      </c>
      <c r="C1687">
        <v>1981</v>
      </c>
      <c r="D1687" t="s">
        <v>4855</v>
      </c>
      <c r="F1687" t="s">
        <v>3652</v>
      </c>
      <c r="G1687" t="s">
        <v>3652</v>
      </c>
      <c r="H1687" t="s">
        <v>4837</v>
      </c>
      <c r="I1687" t="s">
        <v>50</v>
      </c>
      <c r="J1687" t="s">
        <v>29</v>
      </c>
      <c r="K1687" t="s">
        <v>21</v>
      </c>
      <c r="N1687" t="s">
        <v>1590</v>
      </c>
      <c r="O1687" t="s">
        <v>4508</v>
      </c>
    </row>
    <row r="1688" spans="1:15" x14ac:dyDescent="0.25">
      <c r="A1688">
        <v>1687</v>
      </c>
      <c r="B1688" t="str">
        <f>HYPERLINK("https://digitalcommons.unl.edu/cgi/viewcontent.cgi?article=2771&amp;context=tractormuseumlit","Click for test report")</f>
        <v>Click for test report</v>
      </c>
      <c r="C1688">
        <v>1981</v>
      </c>
      <c r="D1688" t="s">
        <v>4854</v>
      </c>
      <c r="F1688" t="s">
        <v>3652</v>
      </c>
      <c r="G1688" t="s">
        <v>3652</v>
      </c>
      <c r="H1688" t="s">
        <v>4835</v>
      </c>
      <c r="I1688" t="s">
        <v>4597</v>
      </c>
      <c r="J1688" t="s">
        <v>29</v>
      </c>
      <c r="K1688" t="s">
        <v>21</v>
      </c>
      <c r="N1688" t="s">
        <v>65</v>
      </c>
      <c r="O1688" t="s">
        <v>4836</v>
      </c>
    </row>
    <row r="1689" spans="1:15" x14ac:dyDescent="0.25">
      <c r="A1689">
        <v>1688</v>
      </c>
      <c r="B1689" t="str">
        <f>HYPERLINK("https://digitalcommons.unl.edu/cgi/viewcontent.cgi?article=3688&amp;context=tractormuseumlit","Click for test report")</f>
        <v>Click for test report</v>
      </c>
      <c r="C1689">
        <v>1981</v>
      </c>
      <c r="D1689" t="s">
        <v>4853</v>
      </c>
      <c r="G1689" t="s">
        <v>322</v>
      </c>
      <c r="O1689" t="s">
        <v>24</v>
      </c>
    </row>
    <row r="1690" spans="1:15" x14ac:dyDescent="0.25">
      <c r="A1690">
        <v>1689</v>
      </c>
      <c r="B1690" t="str">
        <f>HYPERLINK("https://digitalcommons.unl.edu/cgi/viewcontent.cgi?article=2772&amp;context=tractormuseumlit","Click for test report")</f>
        <v>Click for test report</v>
      </c>
      <c r="C1690">
        <v>1981</v>
      </c>
      <c r="D1690" t="s">
        <v>4851</v>
      </c>
      <c r="F1690" t="s">
        <v>4344</v>
      </c>
      <c r="G1690" t="s">
        <v>4850</v>
      </c>
      <c r="H1690" t="s">
        <v>4852</v>
      </c>
      <c r="I1690" t="s">
        <v>1961</v>
      </c>
      <c r="J1690" t="s">
        <v>348</v>
      </c>
      <c r="K1690" t="s">
        <v>21</v>
      </c>
      <c r="L1690" t="s">
        <v>794</v>
      </c>
      <c r="N1690" t="s">
        <v>130</v>
      </c>
      <c r="O1690" t="s">
        <v>3413</v>
      </c>
    </row>
    <row r="1691" spans="1:15" x14ac:dyDescent="0.25">
      <c r="A1691">
        <v>1690</v>
      </c>
      <c r="B1691" t="str">
        <f>HYPERLINK("https://digitalcommons.unl.edu/cgi/viewcontent.cgi?article=2772&amp;context=tractormuseumlit","Click for test report")</f>
        <v>Click for test report</v>
      </c>
      <c r="C1691">
        <v>1981</v>
      </c>
      <c r="D1691" t="s">
        <v>4851</v>
      </c>
      <c r="F1691" t="s">
        <v>4344</v>
      </c>
      <c r="G1691" t="s">
        <v>4383</v>
      </c>
      <c r="H1691" t="s">
        <v>4852</v>
      </c>
      <c r="I1691" t="s">
        <v>1961</v>
      </c>
      <c r="J1691" t="s">
        <v>348</v>
      </c>
      <c r="K1691" t="s">
        <v>21</v>
      </c>
      <c r="L1691" t="s">
        <v>794</v>
      </c>
      <c r="N1691" t="s">
        <v>130</v>
      </c>
      <c r="O1691" t="s">
        <v>3413</v>
      </c>
    </row>
    <row r="1692" spans="1:15" x14ac:dyDescent="0.25">
      <c r="A1692">
        <v>1691</v>
      </c>
      <c r="B1692" t="str">
        <f>HYPERLINK("https://digitalcommons.unl.edu/cgi/viewcontent.cgi?article=2773&amp;context=tractormuseumlit","Click for test report")</f>
        <v>Click for test report</v>
      </c>
      <c r="C1692">
        <v>1981</v>
      </c>
      <c r="D1692" t="s">
        <v>4848</v>
      </c>
      <c r="F1692" t="s">
        <v>4344</v>
      </c>
      <c r="G1692" t="s">
        <v>4850</v>
      </c>
      <c r="H1692" t="s">
        <v>4849</v>
      </c>
      <c r="I1692" t="s">
        <v>50</v>
      </c>
      <c r="J1692" t="s">
        <v>348</v>
      </c>
      <c r="K1692" t="s">
        <v>21</v>
      </c>
      <c r="L1692" t="s">
        <v>558</v>
      </c>
      <c r="N1692" t="s">
        <v>375</v>
      </c>
      <c r="O1692" t="s">
        <v>4374</v>
      </c>
    </row>
    <row r="1693" spans="1:15" x14ac:dyDescent="0.25">
      <c r="A1693">
        <v>1692</v>
      </c>
      <c r="B1693" t="str">
        <f>HYPERLINK("https://digitalcommons.unl.edu/cgi/viewcontent.cgi?article=2773&amp;context=tractormuseumlit","Click for test report")</f>
        <v>Click for test report</v>
      </c>
      <c r="C1693">
        <v>1981</v>
      </c>
      <c r="D1693" t="s">
        <v>4848</v>
      </c>
      <c r="F1693" t="s">
        <v>4344</v>
      </c>
      <c r="G1693" t="s">
        <v>4383</v>
      </c>
      <c r="H1693" t="s">
        <v>4849</v>
      </c>
      <c r="I1693" t="s">
        <v>50</v>
      </c>
      <c r="J1693" t="s">
        <v>348</v>
      </c>
      <c r="K1693" t="s">
        <v>21</v>
      </c>
      <c r="L1693" t="s">
        <v>558</v>
      </c>
      <c r="N1693" t="s">
        <v>375</v>
      </c>
      <c r="O1693" t="s">
        <v>4374</v>
      </c>
    </row>
    <row r="1694" spans="1:15" x14ac:dyDescent="0.25">
      <c r="A1694">
        <v>1693</v>
      </c>
      <c r="B1694" t="str">
        <f>HYPERLINK("https://digitalcommons.unl.edu/cgi/viewcontent.cgi?article=2774&amp;context=tractormuseumlit","Click for test report")</f>
        <v>Click for test report</v>
      </c>
      <c r="C1694">
        <v>1981</v>
      </c>
      <c r="D1694" t="s">
        <v>4846</v>
      </c>
      <c r="F1694" t="s">
        <v>62</v>
      </c>
      <c r="G1694" t="s">
        <v>62</v>
      </c>
      <c r="H1694" t="s">
        <v>4847</v>
      </c>
      <c r="I1694" t="s">
        <v>50</v>
      </c>
      <c r="J1694" t="s">
        <v>20</v>
      </c>
      <c r="K1694" t="s">
        <v>21</v>
      </c>
      <c r="L1694" t="s">
        <v>4627</v>
      </c>
      <c r="N1694" t="s">
        <v>4628</v>
      </c>
      <c r="O1694" t="s">
        <v>3468</v>
      </c>
    </row>
    <row r="1695" spans="1:15" x14ac:dyDescent="0.25">
      <c r="A1695">
        <v>1694</v>
      </c>
      <c r="B1695" t="str">
        <f>HYPERLINK("https://digitalcommons.unl.edu/cgi/viewcontent.cgi?article=2775&amp;context=tractormuseumlit","Click for test report")</f>
        <v>Click for test report</v>
      </c>
      <c r="C1695">
        <v>1981</v>
      </c>
      <c r="D1695" t="s">
        <v>4844</v>
      </c>
      <c r="F1695" t="s">
        <v>62</v>
      </c>
      <c r="G1695" t="s">
        <v>62</v>
      </c>
      <c r="H1695" t="s">
        <v>4845</v>
      </c>
      <c r="I1695" t="s">
        <v>50</v>
      </c>
      <c r="J1695" t="s">
        <v>20</v>
      </c>
      <c r="K1695" t="s">
        <v>21</v>
      </c>
      <c r="L1695" t="s">
        <v>4358</v>
      </c>
      <c r="N1695" t="s">
        <v>4627</v>
      </c>
      <c r="O1695" t="s">
        <v>3468</v>
      </c>
    </row>
    <row r="1696" spans="1:15" x14ac:dyDescent="0.25">
      <c r="A1696">
        <v>1695</v>
      </c>
      <c r="B1696" t="str">
        <f>HYPERLINK("https://digitalcommons.unl.edu/cgi/viewcontent.cgi?article=3688&amp;context=tractormuseumlit","Click for test report")</f>
        <v>Click for test report</v>
      </c>
      <c r="C1696">
        <v>1981</v>
      </c>
      <c r="D1696" t="s">
        <v>4843</v>
      </c>
      <c r="G1696" t="s">
        <v>322</v>
      </c>
      <c r="O1696" t="s">
        <v>24</v>
      </c>
    </row>
    <row r="1697" spans="1:15" x14ac:dyDescent="0.25">
      <c r="A1697">
        <v>1696</v>
      </c>
      <c r="B1697" t="str">
        <f>HYPERLINK("https://digitalcommons.unl.edu/cgi/viewcontent.cgi?article=2776&amp;context=tractormuseumlit","Click for test report")</f>
        <v>Click for test report</v>
      </c>
      <c r="C1697">
        <v>1981</v>
      </c>
      <c r="D1697" t="s">
        <v>4841</v>
      </c>
      <c r="F1697" t="s">
        <v>4290</v>
      </c>
      <c r="G1697" t="s">
        <v>4291</v>
      </c>
      <c r="H1697" t="s">
        <v>4842</v>
      </c>
      <c r="I1697" t="s">
        <v>50</v>
      </c>
      <c r="J1697" t="s">
        <v>20</v>
      </c>
      <c r="K1697" t="s">
        <v>21</v>
      </c>
      <c r="L1697" t="s">
        <v>126</v>
      </c>
      <c r="N1697" t="s">
        <v>130</v>
      </c>
      <c r="O1697" t="s">
        <v>24</v>
      </c>
    </row>
    <row r="1698" spans="1:15" x14ac:dyDescent="0.25">
      <c r="A1698">
        <v>1697</v>
      </c>
      <c r="B1698" t="str">
        <f>HYPERLINK("https://digitalcommons.unl.edu/cgi/viewcontent.cgi?article=2777&amp;context=tractormuseumlit","Click for test report")</f>
        <v>Click for test report</v>
      </c>
      <c r="C1698">
        <v>1981</v>
      </c>
      <c r="D1698" t="s">
        <v>4474</v>
      </c>
      <c r="F1698" t="s">
        <v>4290</v>
      </c>
      <c r="G1698" t="s">
        <v>4291</v>
      </c>
      <c r="H1698" t="s">
        <v>4840</v>
      </c>
      <c r="I1698" t="s">
        <v>50</v>
      </c>
      <c r="J1698" t="s">
        <v>20</v>
      </c>
      <c r="K1698" t="s">
        <v>21</v>
      </c>
      <c r="L1698" t="s">
        <v>1425</v>
      </c>
      <c r="N1698" t="s">
        <v>474</v>
      </c>
      <c r="O1698" t="s">
        <v>24</v>
      </c>
    </row>
    <row r="1699" spans="1:15" x14ac:dyDescent="0.25">
      <c r="A1699">
        <v>1698</v>
      </c>
      <c r="B1699" t="str">
        <f>HYPERLINK("https://digitalcommons.unl.edu/cgi/viewcontent.cgi?article=2778&amp;context=tractormuseumlit","Click for test report")</f>
        <v>Click for test report</v>
      </c>
      <c r="C1699">
        <v>1981</v>
      </c>
      <c r="D1699" t="s">
        <v>4838</v>
      </c>
      <c r="F1699" t="s">
        <v>4671</v>
      </c>
      <c r="G1699" t="s">
        <v>778</v>
      </c>
      <c r="H1699" t="s">
        <v>4839</v>
      </c>
      <c r="I1699" t="s">
        <v>50</v>
      </c>
      <c r="J1699" t="s">
        <v>348</v>
      </c>
      <c r="K1699" t="s">
        <v>21</v>
      </c>
      <c r="L1699" t="s">
        <v>3152</v>
      </c>
      <c r="N1699" t="s">
        <v>3388</v>
      </c>
      <c r="O1699" t="s">
        <v>4695</v>
      </c>
    </row>
    <row r="1700" spans="1:15" x14ac:dyDescent="0.25">
      <c r="A1700">
        <v>1699</v>
      </c>
      <c r="B1700" t="str">
        <f>HYPERLINK("https://digitalcommons.unl.edu/cgi/viewcontent.cgi?article=2778&amp;context=tractormuseumlit","Click for test report")</f>
        <v>Click for test report</v>
      </c>
      <c r="C1700">
        <v>1981</v>
      </c>
      <c r="D1700" t="s">
        <v>4838</v>
      </c>
      <c r="F1700" t="s">
        <v>4671</v>
      </c>
      <c r="G1700" t="s">
        <v>778</v>
      </c>
      <c r="H1700" t="s">
        <v>4839</v>
      </c>
      <c r="I1700" t="s">
        <v>50</v>
      </c>
      <c r="J1700" t="s">
        <v>20</v>
      </c>
      <c r="K1700" t="s">
        <v>21</v>
      </c>
      <c r="L1700" t="s">
        <v>3152</v>
      </c>
      <c r="N1700" t="s">
        <v>2825</v>
      </c>
      <c r="O1700" t="s">
        <v>4694</v>
      </c>
    </row>
    <row r="1701" spans="1:15" x14ac:dyDescent="0.25">
      <c r="A1701">
        <v>1700</v>
      </c>
      <c r="B1701" t="str">
        <f>HYPERLINK("https://digitalcommons.unl.edu/cgi/viewcontent.cgi?article=2779&amp;context=tractormuseumlit","Click for test report")</f>
        <v>Click for test report</v>
      </c>
      <c r="C1701">
        <v>1981</v>
      </c>
      <c r="D1701" t="s">
        <v>4709</v>
      </c>
      <c r="F1701" t="s">
        <v>3652</v>
      </c>
      <c r="G1701" t="s">
        <v>3652</v>
      </c>
      <c r="H1701" t="s">
        <v>4837</v>
      </c>
      <c r="I1701" t="s">
        <v>50</v>
      </c>
      <c r="J1701" t="s">
        <v>29</v>
      </c>
      <c r="K1701" t="s">
        <v>21</v>
      </c>
      <c r="N1701" t="s">
        <v>306</v>
      </c>
      <c r="O1701" t="s">
        <v>4508</v>
      </c>
    </row>
    <row r="1702" spans="1:15" x14ac:dyDescent="0.25">
      <c r="A1702">
        <v>1701</v>
      </c>
      <c r="B1702" t="str">
        <f>HYPERLINK("https://digitalcommons.unl.edu/cgi/viewcontent.cgi?article=2780&amp;context=tractormuseumlit","Click for test report")</f>
        <v>Click for test report</v>
      </c>
      <c r="C1702">
        <v>1981</v>
      </c>
      <c r="D1702" t="s">
        <v>4706</v>
      </c>
      <c r="F1702" t="s">
        <v>3652</v>
      </c>
      <c r="G1702" t="s">
        <v>3652</v>
      </c>
      <c r="H1702" t="s">
        <v>4835</v>
      </c>
      <c r="I1702" t="s">
        <v>4597</v>
      </c>
      <c r="J1702" t="s">
        <v>29</v>
      </c>
      <c r="K1702" t="s">
        <v>21</v>
      </c>
      <c r="N1702" t="s">
        <v>1590</v>
      </c>
      <c r="O1702" t="s">
        <v>4836</v>
      </c>
    </row>
    <row r="1703" spans="1:15" x14ac:dyDescent="0.25">
      <c r="A1703">
        <v>1702</v>
      </c>
      <c r="B1703" t="str">
        <f>HYPERLINK("https://digitalcommons.unl.edu/cgi/viewcontent.cgi?article=2781&amp;context=tractormuseumlit","Click for test report")</f>
        <v>Click for test report</v>
      </c>
      <c r="C1703">
        <v>1981</v>
      </c>
      <c r="D1703" t="s">
        <v>4703</v>
      </c>
      <c r="F1703" t="s">
        <v>3652</v>
      </c>
      <c r="G1703" t="s">
        <v>3652</v>
      </c>
      <c r="H1703" t="s">
        <v>4834</v>
      </c>
      <c r="I1703" t="s">
        <v>50</v>
      </c>
      <c r="J1703" t="s">
        <v>29</v>
      </c>
      <c r="K1703" t="s">
        <v>21</v>
      </c>
      <c r="N1703" t="s">
        <v>1098</v>
      </c>
      <c r="O1703" t="s">
        <v>4508</v>
      </c>
    </row>
    <row r="1704" spans="1:15" x14ac:dyDescent="0.25">
      <c r="A1704">
        <v>1703</v>
      </c>
      <c r="B1704" t="str">
        <f>HYPERLINK("https://digitalcommons.unl.edu/cgi/viewcontent.cgi?article=2782&amp;context=tractormuseumlit","Click for test report")</f>
        <v>Click for test report</v>
      </c>
      <c r="C1704">
        <v>1981</v>
      </c>
      <c r="D1704" t="s">
        <v>4832</v>
      </c>
      <c r="F1704" t="s">
        <v>4827</v>
      </c>
      <c r="G1704" t="s">
        <v>4828</v>
      </c>
      <c r="H1704" t="s">
        <v>4833</v>
      </c>
      <c r="I1704" t="s">
        <v>50</v>
      </c>
      <c r="J1704" t="s">
        <v>348</v>
      </c>
      <c r="K1704" t="s">
        <v>21</v>
      </c>
      <c r="L1704" t="s">
        <v>1650</v>
      </c>
      <c r="N1704" t="s">
        <v>2090</v>
      </c>
      <c r="O1704" t="s">
        <v>3468</v>
      </c>
    </row>
    <row r="1705" spans="1:15" x14ac:dyDescent="0.25">
      <c r="A1705">
        <v>1704</v>
      </c>
      <c r="B1705" t="str">
        <f>HYPERLINK("https://digitalcommons.unl.edu/cgi/viewcontent.cgi?article=2783&amp;context=tractormuseumlit","Click for test report")</f>
        <v>Click for test report</v>
      </c>
      <c r="C1705">
        <v>1981</v>
      </c>
      <c r="D1705" t="s">
        <v>4830</v>
      </c>
      <c r="F1705" t="s">
        <v>4827</v>
      </c>
      <c r="G1705" t="s">
        <v>4828</v>
      </c>
      <c r="H1705" t="s">
        <v>4831</v>
      </c>
      <c r="I1705" t="s">
        <v>50</v>
      </c>
      <c r="J1705" t="s">
        <v>20</v>
      </c>
      <c r="K1705" t="s">
        <v>21</v>
      </c>
      <c r="L1705" t="s">
        <v>1650</v>
      </c>
      <c r="N1705" t="s">
        <v>2627</v>
      </c>
      <c r="O1705" t="s">
        <v>3468</v>
      </c>
    </row>
    <row r="1706" spans="1:15" x14ac:dyDescent="0.25">
      <c r="A1706">
        <v>1705</v>
      </c>
      <c r="B1706" t="str">
        <f>HYPERLINK("https://digitalcommons.unl.edu/cgi/viewcontent.cgi?article=2784&amp;context=tractormuseumlit","Click for test report")</f>
        <v>Click for test report</v>
      </c>
      <c r="C1706">
        <v>1981</v>
      </c>
      <c r="D1706" t="s">
        <v>4826</v>
      </c>
      <c r="F1706" t="s">
        <v>4827</v>
      </c>
      <c r="G1706" t="s">
        <v>4828</v>
      </c>
      <c r="H1706" t="s">
        <v>4829</v>
      </c>
      <c r="I1706" t="s">
        <v>50</v>
      </c>
      <c r="J1706" t="s">
        <v>348</v>
      </c>
      <c r="K1706" t="s">
        <v>21</v>
      </c>
      <c r="L1706" t="s">
        <v>349</v>
      </c>
      <c r="N1706" t="s">
        <v>2029</v>
      </c>
      <c r="O1706" t="s">
        <v>3468</v>
      </c>
    </row>
    <row r="1707" spans="1:15" x14ac:dyDescent="0.25">
      <c r="A1707">
        <v>1706</v>
      </c>
      <c r="B1707" t="str">
        <f>HYPERLINK("https://digitalcommons.unl.edu/cgi/viewcontent.cgi?article=3688&amp;context=tractormuseumlit","Click for test report")</f>
        <v>Click for test report</v>
      </c>
      <c r="C1707">
        <v>1981</v>
      </c>
      <c r="D1707" t="s">
        <v>4825</v>
      </c>
      <c r="G1707" t="s">
        <v>322</v>
      </c>
      <c r="O1707" t="s">
        <v>24</v>
      </c>
    </row>
    <row r="1708" spans="1:15" x14ac:dyDescent="0.25">
      <c r="A1708">
        <v>1707</v>
      </c>
      <c r="B1708" t="str">
        <f>HYPERLINK("https://digitalcommons.unl.edu/cgi/viewcontent.cgi?article=2785&amp;context=tractormuseumlit","Click for test report")</f>
        <v>Click for test report</v>
      </c>
      <c r="C1708">
        <v>1981</v>
      </c>
      <c r="D1708" t="s">
        <v>4821</v>
      </c>
      <c r="F1708" t="s">
        <v>4503</v>
      </c>
      <c r="G1708" t="s">
        <v>4504</v>
      </c>
      <c r="H1708" t="s">
        <v>4822</v>
      </c>
      <c r="I1708" t="s">
        <v>1961</v>
      </c>
      <c r="J1708" t="s">
        <v>348</v>
      </c>
      <c r="K1708" t="s">
        <v>21</v>
      </c>
      <c r="L1708" t="s">
        <v>858</v>
      </c>
      <c r="N1708" t="s">
        <v>446</v>
      </c>
      <c r="O1708" t="s">
        <v>4824</v>
      </c>
    </row>
    <row r="1709" spans="1:15" x14ac:dyDescent="0.25">
      <c r="A1709">
        <v>1708</v>
      </c>
      <c r="B1709" t="str">
        <f>HYPERLINK("https://digitalcommons.unl.edu/cgi/viewcontent.cgi?article=2785&amp;context=tractormuseumlit","Click for test report")</f>
        <v>Click for test report</v>
      </c>
      <c r="C1709">
        <v>1981</v>
      </c>
      <c r="D1709" t="s">
        <v>4821</v>
      </c>
      <c r="F1709" t="s">
        <v>4503</v>
      </c>
      <c r="G1709" t="s">
        <v>4504</v>
      </c>
      <c r="H1709" t="s">
        <v>4822</v>
      </c>
      <c r="I1709" t="s">
        <v>1961</v>
      </c>
      <c r="J1709" t="s">
        <v>348</v>
      </c>
      <c r="K1709" t="s">
        <v>21</v>
      </c>
      <c r="L1709" t="s">
        <v>858</v>
      </c>
      <c r="N1709" t="s">
        <v>122</v>
      </c>
      <c r="O1709" t="s">
        <v>4823</v>
      </c>
    </row>
    <row r="1710" spans="1:15" x14ac:dyDescent="0.25">
      <c r="A1710">
        <v>1709</v>
      </c>
      <c r="B1710" t="str">
        <f>HYPERLINK("https://digitalcommons.unl.edu/cgi/viewcontent.cgi?article=2786&amp;context=tractormuseumlit","Click for test report")</f>
        <v>Click for test report</v>
      </c>
      <c r="C1710">
        <v>1981</v>
      </c>
      <c r="D1710" t="s">
        <v>4819</v>
      </c>
      <c r="F1710" t="s">
        <v>4503</v>
      </c>
      <c r="G1710" t="s">
        <v>4504</v>
      </c>
      <c r="H1710" t="s">
        <v>4820</v>
      </c>
      <c r="I1710" t="s">
        <v>1961</v>
      </c>
      <c r="J1710" t="s">
        <v>348</v>
      </c>
      <c r="K1710" t="s">
        <v>21</v>
      </c>
      <c r="L1710" t="s">
        <v>1425</v>
      </c>
      <c r="N1710" t="s">
        <v>909</v>
      </c>
      <c r="O1710" t="s">
        <v>3617</v>
      </c>
    </row>
    <row r="1711" spans="1:15" x14ac:dyDescent="0.25">
      <c r="A1711">
        <v>1710</v>
      </c>
      <c r="B1711" t="str">
        <f>HYPERLINK("https://digitalcommons.unl.edu/cgi/viewcontent.cgi?article=2398&amp;context=tractormuseumlit","Click for test report")</f>
        <v>Click for test report</v>
      </c>
      <c r="C1711">
        <v>1982</v>
      </c>
      <c r="D1711" t="s">
        <v>4816</v>
      </c>
      <c r="F1711" t="s">
        <v>4395</v>
      </c>
      <c r="G1711" t="s">
        <v>3708</v>
      </c>
      <c r="H1711" t="s">
        <v>4817</v>
      </c>
      <c r="I1711" t="s">
        <v>50</v>
      </c>
      <c r="J1711" t="s">
        <v>348</v>
      </c>
      <c r="K1711" t="s">
        <v>4809</v>
      </c>
      <c r="L1711" t="s">
        <v>3319</v>
      </c>
      <c r="N1711" t="s">
        <v>1009</v>
      </c>
      <c r="O1711" t="s">
        <v>4818</v>
      </c>
    </row>
    <row r="1712" spans="1:15" x14ac:dyDescent="0.25">
      <c r="A1712">
        <v>1711</v>
      </c>
      <c r="B1712" t="str">
        <f>HYPERLINK("https://digitalcommons.unl.edu/cgi/viewcontent.cgi?article=2577&amp;context=tractormuseumlit","Click for test report")</f>
        <v>Click for test report</v>
      </c>
      <c r="C1712">
        <v>1982</v>
      </c>
      <c r="D1712" t="s">
        <v>4814</v>
      </c>
      <c r="F1712" t="s">
        <v>4395</v>
      </c>
      <c r="G1712" t="s">
        <v>3708</v>
      </c>
      <c r="H1712" t="s">
        <v>4815</v>
      </c>
      <c r="I1712" t="s">
        <v>50</v>
      </c>
      <c r="J1712" t="s">
        <v>348</v>
      </c>
      <c r="K1712" t="s">
        <v>4809</v>
      </c>
      <c r="L1712" t="s">
        <v>3388</v>
      </c>
      <c r="N1712" t="s">
        <v>4440</v>
      </c>
      <c r="O1712" t="s">
        <v>4813</v>
      </c>
    </row>
    <row r="1713" spans="1:15" x14ac:dyDescent="0.25">
      <c r="A1713">
        <v>1712</v>
      </c>
      <c r="B1713" t="str">
        <f>HYPERLINK("https://digitalcommons.unl.edu/cgi/viewcontent.cgi?article=2592&amp;context=tractormuseumlit","Click for test report")</f>
        <v>Click for test report</v>
      </c>
      <c r="C1713">
        <v>1982</v>
      </c>
      <c r="D1713" t="s">
        <v>4811</v>
      </c>
      <c r="F1713" t="s">
        <v>4395</v>
      </c>
      <c r="G1713" t="s">
        <v>3708</v>
      </c>
      <c r="H1713" t="s">
        <v>4812</v>
      </c>
      <c r="I1713" t="s">
        <v>50</v>
      </c>
      <c r="J1713" t="s">
        <v>348</v>
      </c>
      <c r="K1713" t="s">
        <v>21</v>
      </c>
      <c r="L1713" t="s">
        <v>4012</v>
      </c>
      <c r="N1713" t="s">
        <v>4589</v>
      </c>
      <c r="O1713" t="s">
        <v>4813</v>
      </c>
    </row>
    <row r="1714" spans="1:15" x14ac:dyDescent="0.25">
      <c r="A1714">
        <v>1713</v>
      </c>
      <c r="B1714" t="str">
        <f>HYPERLINK("https://digitalcommons.unl.edu/cgi/viewcontent.cgi?article=2596&amp;context=tractormuseumlit","Click for test report")</f>
        <v>Click for test report</v>
      </c>
      <c r="C1714">
        <v>1982</v>
      </c>
      <c r="D1714" t="s">
        <v>4807</v>
      </c>
      <c r="F1714" t="s">
        <v>4395</v>
      </c>
      <c r="G1714" t="s">
        <v>3708</v>
      </c>
      <c r="H1714" t="s">
        <v>4808</v>
      </c>
      <c r="I1714" t="s">
        <v>50</v>
      </c>
      <c r="J1714" t="s">
        <v>348</v>
      </c>
      <c r="K1714" t="s">
        <v>4809</v>
      </c>
      <c r="L1714" t="s">
        <v>2699</v>
      </c>
      <c r="N1714" t="s">
        <v>2825</v>
      </c>
      <c r="O1714" t="s">
        <v>4810</v>
      </c>
    </row>
    <row r="1715" spans="1:15" x14ac:dyDescent="0.25">
      <c r="A1715">
        <v>1714</v>
      </c>
      <c r="B1715" t="str">
        <f>HYPERLINK("https://digitalcommons.unl.edu/cgi/viewcontent.cgi?article=2688&amp;context=tractormuseumlit","Click for test report")</f>
        <v>Click for test report</v>
      </c>
      <c r="C1715">
        <v>1982</v>
      </c>
      <c r="D1715" t="s">
        <v>4804</v>
      </c>
      <c r="F1715" t="s">
        <v>4503</v>
      </c>
      <c r="G1715" t="s">
        <v>4504</v>
      </c>
      <c r="H1715" t="s">
        <v>4805</v>
      </c>
      <c r="I1715" t="s">
        <v>1961</v>
      </c>
      <c r="J1715" t="s">
        <v>29</v>
      </c>
      <c r="K1715" t="s">
        <v>21</v>
      </c>
      <c r="L1715" t="s">
        <v>332</v>
      </c>
      <c r="N1715" t="s">
        <v>446</v>
      </c>
      <c r="O1715" t="s">
        <v>4806</v>
      </c>
    </row>
    <row r="1716" spans="1:15" x14ac:dyDescent="0.25">
      <c r="A1716">
        <v>1715</v>
      </c>
      <c r="B1716" t="str">
        <f>HYPERLINK("https://digitalcommons.unl.edu/cgi/viewcontent.cgi?article=2689&amp;context=tractormuseumlit","Click for test report")</f>
        <v>Click for test report</v>
      </c>
      <c r="C1716">
        <v>1982</v>
      </c>
      <c r="D1716" t="s">
        <v>4801</v>
      </c>
      <c r="F1716" t="s">
        <v>4503</v>
      </c>
      <c r="G1716" t="s">
        <v>4504</v>
      </c>
      <c r="H1716" t="s">
        <v>4802</v>
      </c>
      <c r="I1716" t="s">
        <v>1961</v>
      </c>
      <c r="J1716" t="s">
        <v>29</v>
      </c>
      <c r="K1716" t="s">
        <v>21</v>
      </c>
      <c r="L1716" t="s">
        <v>1830</v>
      </c>
      <c r="N1716" t="s">
        <v>332</v>
      </c>
      <c r="O1716" t="s">
        <v>4803</v>
      </c>
    </row>
    <row r="1717" spans="1:15" x14ac:dyDescent="0.25">
      <c r="A1717">
        <v>1716</v>
      </c>
      <c r="B1717" t="str">
        <f>HYPERLINK("https://digitalcommons.unl.edu/cgi/viewcontent.cgi?article=2748&amp;context=tractormuseumlit","Click for test report")</f>
        <v>Click for test report</v>
      </c>
      <c r="C1717">
        <v>1982</v>
      </c>
      <c r="D1717" t="s">
        <v>4798</v>
      </c>
      <c r="F1717" t="s">
        <v>4503</v>
      </c>
      <c r="G1717" t="s">
        <v>4504</v>
      </c>
      <c r="H1717" t="s">
        <v>4799</v>
      </c>
      <c r="I1717" t="s">
        <v>1961</v>
      </c>
      <c r="J1717" t="s">
        <v>29</v>
      </c>
      <c r="K1717" t="s">
        <v>21</v>
      </c>
      <c r="L1717" t="s">
        <v>150</v>
      </c>
      <c r="N1717" t="s">
        <v>328</v>
      </c>
      <c r="O1717" t="s">
        <v>4800</v>
      </c>
    </row>
    <row r="1718" spans="1:15" x14ac:dyDescent="0.25">
      <c r="A1718">
        <v>1717</v>
      </c>
      <c r="B1718" t="str">
        <f>HYPERLINK("https://digitalcommons.unl.edu/cgi/viewcontent.cgi?article=2787&amp;context=tractormuseumlit","Click for test report")</f>
        <v>Click for test report</v>
      </c>
      <c r="C1718">
        <v>1982</v>
      </c>
      <c r="D1718" t="s">
        <v>4796</v>
      </c>
      <c r="F1718" t="s">
        <v>4395</v>
      </c>
      <c r="G1718" t="s">
        <v>3708</v>
      </c>
      <c r="H1718" t="s">
        <v>4797</v>
      </c>
      <c r="I1718" t="s">
        <v>50</v>
      </c>
      <c r="J1718" t="s">
        <v>348</v>
      </c>
      <c r="K1718" t="s">
        <v>21</v>
      </c>
      <c r="L1718" t="s">
        <v>3973</v>
      </c>
      <c r="N1718" t="s">
        <v>4008</v>
      </c>
      <c r="O1718" t="s">
        <v>3468</v>
      </c>
    </row>
    <row r="1719" spans="1:15" x14ac:dyDescent="0.25">
      <c r="A1719">
        <v>1718</v>
      </c>
      <c r="B1719" t="str">
        <f>HYPERLINK("https://digitalcommons.unl.edu/cgi/viewcontent.cgi?article=2788&amp;context=tractormuseumlit","Click for test report")</f>
        <v>Click for test report</v>
      </c>
      <c r="C1719">
        <v>1982</v>
      </c>
      <c r="D1719" t="s">
        <v>4794</v>
      </c>
      <c r="F1719" t="s">
        <v>4395</v>
      </c>
      <c r="G1719" t="s">
        <v>3708</v>
      </c>
      <c r="H1719" t="s">
        <v>4795</v>
      </c>
      <c r="I1719" t="s">
        <v>50</v>
      </c>
      <c r="J1719" t="s">
        <v>348</v>
      </c>
      <c r="K1719" t="s">
        <v>21</v>
      </c>
      <c r="L1719" t="s">
        <v>3152</v>
      </c>
      <c r="N1719" t="s">
        <v>3973</v>
      </c>
      <c r="O1719" t="s">
        <v>3468</v>
      </c>
    </row>
    <row r="1720" spans="1:15" x14ac:dyDescent="0.25">
      <c r="A1720">
        <v>1719</v>
      </c>
      <c r="B1720" t="str">
        <f>HYPERLINK("https://digitalcommons.unl.edu/cgi/viewcontent.cgi?article=2789&amp;context=tractormuseumlit","Click for test report")</f>
        <v>Click for test report</v>
      </c>
      <c r="C1720">
        <v>1982</v>
      </c>
      <c r="D1720" t="s">
        <v>4792</v>
      </c>
      <c r="F1720" t="s">
        <v>4395</v>
      </c>
      <c r="G1720" t="s">
        <v>3708</v>
      </c>
      <c r="H1720" t="s">
        <v>4793</v>
      </c>
      <c r="I1720" t="s">
        <v>50</v>
      </c>
      <c r="J1720" t="s">
        <v>348</v>
      </c>
      <c r="K1720" t="s">
        <v>21</v>
      </c>
      <c r="L1720" t="s">
        <v>3152</v>
      </c>
      <c r="N1720" t="s">
        <v>2825</v>
      </c>
      <c r="O1720" t="s">
        <v>3468</v>
      </c>
    </row>
    <row r="1721" spans="1:15" x14ac:dyDescent="0.25">
      <c r="A1721">
        <v>1720</v>
      </c>
      <c r="B1721" t="str">
        <f>HYPERLINK("https://digitalcommons.unl.edu/cgi/viewcontent.cgi?article=2790&amp;context=tractormuseumlit","Click for test report")</f>
        <v>Click for test report</v>
      </c>
      <c r="C1721">
        <v>1982</v>
      </c>
      <c r="D1721" t="s">
        <v>4790</v>
      </c>
      <c r="F1721" t="s">
        <v>4395</v>
      </c>
      <c r="G1721" t="s">
        <v>3708</v>
      </c>
      <c r="H1721" t="s">
        <v>4791</v>
      </c>
      <c r="I1721" t="s">
        <v>50</v>
      </c>
      <c r="J1721" t="s">
        <v>348</v>
      </c>
      <c r="K1721" t="s">
        <v>21</v>
      </c>
      <c r="L1721" t="s">
        <v>2188</v>
      </c>
      <c r="N1721" t="s">
        <v>2627</v>
      </c>
      <c r="O1721" t="s">
        <v>3468</v>
      </c>
    </row>
    <row r="1722" spans="1:15" x14ac:dyDescent="0.25">
      <c r="A1722">
        <v>1721</v>
      </c>
      <c r="B1722" t="str">
        <f>HYPERLINK("https://digitalcommons.unl.edu/cgi/viewcontent.cgi?article=2791&amp;context=tractormuseumlit","Click for test report")</f>
        <v>Click for test report</v>
      </c>
      <c r="C1722">
        <v>1982</v>
      </c>
      <c r="D1722" t="s">
        <v>4788</v>
      </c>
      <c r="F1722" t="s">
        <v>4395</v>
      </c>
      <c r="G1722" t="s">
        <v>3708</v>
      </c>
      <c r="H1722" t="s">
        <v>4789</v>
      </c>
      <c r="I1722" t="s">
        <v>50</v>
      </c>
      <c r="J1722" t="s">
        <v>348</v>
      </c>
      <c r="K1722" t="s">
        <v>21</v>
      </c>
      <c r="L1722" t="s">
        <v>1650</v>
      </c>
      <c r="N1722" t="s">
        <v>2699</v>
      </c>
      <c r="O1722" t="s">
        <v>3468</v>
      </c>
    </row>
    <row r="1723" spans="1:15" x14ac:dyDescent="0.25">
      <c r="A1723">
        <v>1722</v>
      </c>
      <c r="B1723" t="str">
        <f>HYPERLINK("https://digitalcommons.unl.edu/cgi/viewcontent.cgi?article=2792&amp;context=tractormuseumlit","Click for test report")</f>
        <v>Click for test report</v>
      </c>
      <c r="C1723">
        <v>1982</v>
      </c>
      <c r="D1723" t="s">
        <v>4786</v>
      </c>
      <c r="F1723" t="s">
        <v>4395</v>
      </c>
      <c r="G1723" t="s">
        <v>3708</v>
      </c>
      <c r="H1723" t="s">
        <v>4787</v>
      </c>
      <c r="I1723" t="s">
        <v>50</v>
      </c>
      <c r="J1723" t="s">
        <v>348</v>
      </c>
      <c r="K1723" t="s">
        <v>21</v>
      </c>
      <c r="L1723" t="s">
        <v>3319</v>
      </c>
      <c r="N1723" t="s">
        <v>1009</v>
      </c>
      <c r="O1723" t="s">
        <v>3468</v>
      </c>
    </row>
    <row r="1724" spans="1:15" x14ac:dyDescent="0.25">
      <c r="A1724">
        <v>1723</v>
      </c>
      <c r="B1724" t="str">
        <f>HYPERLINK("https://digitalcommons.unl.edu/cgi/viewcontent.cgi?article=2793&amp;context=tractormuseumlit","Click for test report")</f>
        <v>Click for test report</v>
      </c>
      <c r="C1724">
        <v>1982</v>
      </c>
      <c r="D1724" t="s">
        <v>4784</v>
      </c>
      <c r="F1724" t="s">
        <v>4395</v>
      </c>
      <c r="G1724" t="s">
        <v>3708</v>
      </c>
      <c r="H1724" t="s">
        <v>4785</v>
      </c>
      <c r="I1724" t="s">
        <v>50</v>
      </c>
      <c r="J1724" t="s">
        <v>348</v>
      </c>
      <c r="K1724" t="s">
        <v>21</v>
      </c>
      <c r="L1724" t="s">
        <v>3319</v>
      </c>
      <c r="N1724" t="s">
        <v>2090</v>
      </c>
      <c r="O1724" t="s">
        <v>3468</v>
      </c>
    </row>
    <row r="1725" spans="1:15" x14ac:dyDescent="0.25">
      <c r="A1725">
        <v>1724</v>
      </c>
      <c r="B1725" t="str">
        <f>HYPERLINK("https://digitalcommons.unl.edu/cgi/viewcontent.cgi?article=2794&amp;context=tractormuseumlit","Click for test report")</f>
        <v>Click for test report</v>
      </c>
      <c r="C1725">
        <v>1982</v>
      </c>
      <c r="D1725" t="s">
        <v>4782</v>
      </c>
      <c r="F1725" t="s">
        <v>4395</v>
      </c>
      <c r="G1725" t="s">
        <v>3708</v>
      </c>
      <c r="H1725" t="s">
        <v>4783</v>
      </c>
      <c r="I1725" t="s">
        <v>1961</v>
      </c>
      <c r="J1725" t="s">
        <v>348</v>
      </c>
      <c r="K1725" t="s">
        <v>21</v>
      </c>
      <c r="L1725" t="s">
        <v>1864</v>
      </c>
      <c r="N1725" t="s">
        <v>1994</v>
      </c>
      <c r="O1725" t="s">
        <v>4577</v>
      </c>
    </row>
    <row r="1726" spans="1:15" x14ac:dyDescent="0.25">
      <c r="A1726">
        <v>1725</v>
      </c>
      <c r="B1726" t="str">
        <f>HYPERLINK("https://digitalcommons.unl.edu/cgi/viewcontent.cgi?article=2794&amp;context=tractormuseumlit","Click for test report")</f>
        <v>Click for test report</v>
      </c>
      <c r="C1726">
        <v>1982</v>
      </c>
      <c r="D1726" t="s">
        <v>4782</v>
      </c>
      <c r="F1726" t="s">
        <v>4395</v>
      </c>
      <c r="G1726" t="s">
        <v>3708</v>
      </c>
      <c r="H1726" t="s">
        <v>4783</v>
      </c>
      <c r="I1726" t="s">
        <v>1961</v>
      </c>
      <c r="J1726" t="s">
        <v>20</v>
      </c>
      <c r="K1726" t="s">
        <v>21</v>
      </c>
      <c r="L1726" t="s">
        <v>1864</v>
      </c>
      <c r="N1726" t="s">
        <v>1994</v>
      </c>
      <c r="O1726" t="s">
        <v>4576</v>
      </c>
    </row>
    <row r="1727" spans="1:15" x14ac:dyDescent="0.25">
      <c r="A1727">
        <v>1726</v>
      </c>
      <c r="B1727" t="str">
        <f>HYPERLINK("https://digitalcommons.unl.edu/cgi/viewcontent.cgi?article=2795&amp;context=tractormuseumlit","Click for test report")</f>
        <v>Click for test report</v>
      </c>
      <c r="C1727">
        <v>1982</v>
      </c>
      <c r="D1727" t="s">
        <v>4780</v>
      </c>
      <c r="F1727" t="s">
        <v>4395</v>
      </c>
      <c r="G1727" t="s">
        <v>3708</v>
      </c>
      <c r="H1727" t="s">
        <v>4781</v>
      </c>
      <c r="I1727" t="s">
        <v>1961</v>
      </c>
      <c r="J1727" t="s">
        <v>348</v>
      </c>
      <c r="K1727" t="s">
        <v>21</v>
      </c>
      <c r="L1727" t="s">
        <v>1864</v>
      </c>
      <c r="N1727" t="s">
        <v>3123</v>
      </c>
      <c r="O1727" t="s">
        <v>3371</v>
      </c>
    </row>
    <row r="1728" spans="1:15" x14ac:dyDescent="0.25">
      <c r="A1728">
        <v>1727</v>
      </c>
      <c r="B1728" t="str">
        <f>HYPERLINK("https://digitalcommons.unl.edu/cgi/viewcontent.cgi?article=2796&amp;context=tractormuseumlit","Click for test report")</f>
        <v>Click for test report</v>
      </c>
      <c r="C1728">
        <v>1982</v>
      </c>
      <c r="D1728" t="s">
        <v>4777</v>
      </c>
      <c r="F1728" t="s">
        <v>4395</v>
      </c>
      <c r="G1728" t="s">
        <v>3708</v>
      </c>
      <c r="H1728" t="s">
        <v>4779</v>
      </c>
      <c r="I1728" t="s">
        <v>1961</v>
      </c>
      <c r="J1728" t="s">
        <v>348</v>
      </c>
      <c r="K1728" t="s">
        <v>21</v>
      </c>
      <c r="L1728" t="s">
        <v>722</v>
      </c>
      <c r="N1728" t="s">
        <v>1864</v>
      </c>
      <c r="O1728" t="s">
        <v>4577</v>
      </c>
    </row>
    <row r="1729" spans="1:15" x14ac:dyDescent="0.25">
      <c r="A1729">
        <v>1728</v>
      </c>
      <c r="B1729" t="str">
        <f>HYPERLINK("https://digitalcommons.unl.edu/cgi/viewcontent.cgi?article=2796&amp;context=tractormuseumlit","Click for test report")</f>
        <v>Click for test report</v>
      </c>
      <c r="C1729">
        <v>1982</v>
      </c>
      <c r="D1729" t="s">
        <v>4777</v>
      </c>
      <c r="F1729" t="s">
        <v>4395</v>
      </c>
      <c r="G1729" t="s">
        <v>3708</v>
      </c>
      <c r="H1729" t="s">
        <v>4778</v>
      </c>
      <c r="I1729" t="s">
        <v>1961</v>
      </c>
      <c r="J1729" t="s">
        <v>348</v>
      </c>
      <c r="K1729" t="s">
        <v>21</v>
      </c>
      <c r="L1729" t="s">
        <v>722</v>
      </c>
      <c r="N1729" t="s">
        <v>1051</v>
      </c>
      <c r="O1729" t="s">
        <v>4577</v>
      </c>
    </row>
    <row r="1730" spans="1:15" x14ac:dyDescent="0.25">
      <c r="A1730">
        <v>1729</v>
      </c>
      <c r="B1730" t="str">
        <f>HYPERLINK("https://digitalcommons.unl.edu/cgi/viewcontent.cgi?article=2796&amp;context=tractormuseumlit","Click for test report")</f>
        <v>Click for test report</v>
      </c>
      <c r="C1730">
        <v>1982</v>
      </c>
      <c r="D1730" t="s">
        <v>4777</v>
      </c>
      <c r="F1730" t="s">
        <v>4395</v>
      </c>
      <c r="G1730" t="s">
        <v>3708</v>
      </c>
      <c r="H1730" t="s">
        <v>4778</v>
      </c>
      <c r="I1730" t="s">
        <v>1961</v>
      </c>
      <c r="J1730" t="s">
        <v>20</v>
      </c>
      <c r="K1730" t="s">
        <v>21</v>
      </c>
      <c r="L1730" t="s">
        <v>722</v>
      </c>
      <c r="N1730" t="s">
        <v>1051</v>
      </c>
      <c r="O1730" t="s">
        <v>4576</v>
      </c>
    </row>
    <row r="1731" spans="1:15" x14ac:dyDescent="0.25">
      <c r="A1731">
        <v>1730</v>
      </c>
      <c r="B1731" t="str">
        <f>HYPERLINK("https://digitalcommons.unl.edu/cgi/viewcontent.cgi?article=2797&amp;context=tractormuseumlit","Click for test report")</f>
        <v>Click for test report</v>
      </c>
      <c r="C1731">
        <v>1982</v>
      </c>
      <c r="D1731" t="s">
        <v>4774</v>
      </c>
      <c r="F1731" t="s">
        <v>4395</v>
      </c>
      <c r="G1731" t="s">
        <v>3708</v>
      </c>
      <c r="H1731" t="s">
        <v>4776</v>
      </c>
      <c r="I1731" t="s">
        <v>1961</v>
      </c>
      <c r="J1731" t="s">
        <v>348</v>
      </c>
      <c r="K1731" t="s">
        <v>21</v>
      </c>
      <c r="L1731" t="s">
        <v>722</v>
      </c>
      <c r="N1731" t="s">
        <v>1864</v>
      </c>
      <c r="O1731" t="s">
        <v>24</v>
      </c>
    </row>
    <row r="1732" spans="1:15" x14ac:dyDescent="0.25">
      <c r="A1732">
        <v>1731</v>
      </c>
      <c r="B1732" t="str">
        <f>HYPERLINK("https://digitalcommons.unl.edu/cgi/viewcontent.cgi?article=2797&amp;context=tractormuseumlit","Click for test report")</f>
        <v>Click for test report</v>
      </c>
      <c r="C1732">
        <v>1982</v>
      </c>
      <c r="D1732" t="s">
        <v>4774</v>
      </c>
      <c r="F1732" t="s">
        <v>4395</v>
      </c>
      <c r="G1732" t="s">
        <v>3708</v>
      </c>
      <c r="H1732" t="s">
        <v>4775</v>
      </c>
      <c r="I1732" t="s">
        <v>1961</v>
      </c>
      <c r="J1732" t="s">
        <v>348</v>
      </c>
      <c r="K1732" t="s">
        <v>21</v>
      </c>
      <c r="L1732" t="s">
        <v>722</v>
      </c>
      <c r="N1732" t="s">
        <v>1864</v>
      </c>
      <c r="O1732" t="s">
        <v>3371</v>
      </c>
    </row>
    <row r="1733" spans="1:15" x14ac:dyDescent="0.25">
      <c r="A1733">
        <v>1732</v>
      </c>
      <c r="B1733" t="str">
        <f>HYPERLINK("https://digitalcommons.unl.edu/cgi/viewcontent.cgi?article=2798&amp;context=tractormuseumlit","Click for test report")</f>
        <v>Click for test report</v>
      </c>
      <c r="C1733">
        <v>1982</v>
      </c>
      <c r="D1733" t="s">
        <v>4771</v>
      </c>
      <c r="F1733" t="s">
        <v>4395</v>
      </c>
      <c r="G1733" t="s">
        <v>3708</v>
      </c>
      <c r="H1733" t="s">
        <v>4773</v>
      </c>
      <c r="I1733" t="s">
        <v>1961</v>
      </c>
      <c r="J1733" t="s">
        <v>348</v>
      </c>
      <c r="K1733" t="s">
        <v>21</v>
      </c>
      <c r="L1733" t="s">
        <v>55</v>
      </c>
      <c r="N1733" t="s">
        <v>1867</v>
      </c>
      <c r="O1733" t="s">
        <v>4577</v>
      </c>
    </row>
    <row r="1734" spans="1:15" x14ac:dyDescent="0.25">
      <c r="A1734">
        <v>1733</v>
      </c>
      <c r="B1734" t="str">
        <f>HYPERLINK("https://digitalcommons.unl.edu/cgi/viewcontent.cgi?article=2798&amp;context=tractormuseumlit","Click for test report")</f>
        <v>Click for test report</v>
      </c>
      <c r="C1734">
        <v>1982</v>
      </c>
      <c r="D1734" t="s">
        <v>4771</v>
      </c>
      <c r="F1734" t="s">
        <v>4395</v>
      </c>
      <c r="G1734" t="s">
        <v>3708</v>
      </c>
      <c r="H1734" t="s">
        <v>4772</v>
      </c>
      <c r="I1734" t="s">
        <v>1961</v>
      </c>
      <c r="J1734" t="s">
        <v>348</v>
      </c>
      <c r="K1734" t="s">
        <v>21</v>
      </c>
      <c r="L1734" t="s">
        <v>55</v>
      </c>
      <c r="N1734" t="s">
        <v>1867</v>
      </c>
      <c r="O1734" t="s">
        <v>4695</v>
      </c>
    </row>
    <row r="1735" spans="1:15" x14ac:dyDescent="0.25">
      <c r="A1735">
        <v>1734</v>
      </c>
      <c r="B1735" t="str">
        <f>HYPERLINK("https://digitalcommons.unl.edu/cgi/viewcontent.cgi?article=2798&amp;context=tractormuseumlit","Click for test report")</f>
        <v>Click for test report</v>
      </c>
      <c r="C1735">
        <v>1982</v>
      </c>
      <c r="D1735" t="s">
        <v>4771</v>
      </c>
      <c r="F1735" t="s">
        <v>4395</v>
      </c>
      <c r="G1735" t="s">
        <v>3708</v>
      </c>
      <c r="H1735" t="s">
        <v>4772</v>
      </c>
      <c r="I1735" t="s">
        <v>1961</v>
      </c>
      <c r="J1735" t="s">
        <v>20</v>
      </c>
      <c r="K1735" t="s">
        <v>21</v>
      </c>
      <c r="L1735" t="s">
        <v>55</v>
      </c>
      <c r="N1735" t="s">
        <v>1867</v>
      </c>
      <c r="O1735" t="s">
        <v>4694</v>
      </c>
    </row>
    <row r="1736" spans="1:15" x14ac:dyDescent="0.25">
      <c r="A1736">
        <v>1735</v>
      </c>
      <c r="B1736" t="str">
        <f>HYPERLINK("https://digitalcommons.unl.edu/cgi/viewcontent.cgi?article=2799&amp;context=tractormuseumlit","Click for test report")</f>
        <v>Click for test report</v>
      </c>
      <c r="C1736">
        <v>1982</v>
      </c>
      <c r="D1736" t="s">
        <v>4768</v>
      </c>
      <c r="F1736" t="s">
        <v>4395</v>
      </c>
      <c r="G1736" t="s">
        <v>3708</v>
      </c>
      <c r="H1736" t="s">
        <v>4770</v>
      </c>
      <c r="I1736" t="s">
        <v>1961</v>
      </c>
      <c r="J1736" t="s">
        <v>348</v>
      </c>
      <c r="K1736" t="s">
        <v>21</v>
      </c>
      <c r="L1736" t="s">
        <v>55</v>
      </c>
      <c r="N1736" t="s">
        <v>743</v>
      </c>
      <c r="O1736" t="s">
        <v>24</v>
      </c>
    </row>
    <row r="1737" spans="1:15" x14ac:dyDescent="0.25">
      <c r="A1737">
        <v>1736</v>
      </c>
      <c r="B1737" t="str">
        <f>HYPERLINK("https://digitalcommons.unl.edu/cgi/viewcontent.cgi?article=2799&amp;context=tractormuseumlit","Click for test report")</f>
        <v>Click for test report</v>
      </c>
      <c r="C1737">
        <v>1982</v>
      </c>
      <c r="D1737" t="s">
        <v>4768</v>
      </c>
      <c r="F1737" t="s">
        <v>4395</v>
      </c>
      <c r="G1737" t="s">
        <v>3708</v>
      </c>
      <c r="H1737" t="s">
        <v>4769</v>
      </c>
      <c r="I1737" t="s">
        <v>1961</v>
      </c>
      <c r="J1737" t="s">
        <v>348</v>
      </c>
      <c r="K1737" t="s">
        <v>21</v>
      </c>
      <c r="L1737" t="s">
        <v>55</v>
      </c>
      <c r="N1737" t="s">
        <v>743</v>
      </c>
      <c r="O1737" t="s">
        <v>3371</v>
      </c>
    </row>
    <row r="1738" spans="1:15" x14ac:dyDescent="0.25">
      <c r="A1738">
        <v>1737</v>
      </c>
      <c r="B1738" t="str">
        <f>HYPERLINK("https://digitalcommons.unl.edu/cgi/viewcontent.cgi?article=2800&amp;context=tractormuseumlit","Click for test report")</f>
        <v>Click for test report</v>
      </c>
      <c r="C1738">
        <v>1982</v>
      </c>
      <c r="D1738" t="s">
        <v>4766</v>
      </c>
      <c r="F1738" t="s">
        <v>17</v>
      </c>
      <c r="G1738" t="s">
        <v>17</v>
      </c>
      <c r="H1738" t="s">
        <v>4767</v>
      </c>
      <c r="I1738" t="s">
        <v>1961</v>
      </c>
      <c r="J1738" t="s">
        <v>29</v>
      </c>
      <c r="K1738" t="s">
        <v>21</v>
      </c>
      <c r="L1738" t="s">
        <v>295</v>
      </c>
      <c r="N1738" t="s">
        <v>950</v>
      </c>
      <c r="O1738" t="s">
        <v>3371</v>
      </c>
    </row>
    <row r="1739" spans="1:15" x14ac:dyDescent="0.25">
      <c r="A1739">
        <v>1738</v>
      </c>
      <c r="B1739" t="str">
        <f>HYPERLINK("https://digitalcommons.unl.edu/cgi/viewcontent.cgi?article=2801&amp;context=tractormuseumlit","Click for test report")</f>
        <v>Click for test report</v>
      </c>
      <c r="C1739">
        <v>1982</v>
      </c>
      <c r="D1739" t="s">
        <v>4765</v>
      </c>
      <c r="F1739" t="s">
        <v>17</v>
      </c>
      <c r="G1739" t="s">
        <v>17</v>
      </c>
      <c r="H1739" t="s">
        <v>1607</v>
      </c>
      <c r="I1739" t="s">
        <v>1961</v>
      </c>
      <c r="J1739" t="s">
        <v>29</v>
      </c>
      <c r="K1739" t="s">
        <v>21</v>
      </c>
      <c r="L1739" t="s">
        <v>1182</v>
      </c>
      <c r="N1739" t="s">
        <v>3009</v>
      </c>
      <c r="O1739" t="s">
        <v>3371</v>
      </c>
    </row>
    <row r="1740" spans="1:15" x14ac:dyDescent="0.25">
      <c r="A1740">
        <v>1739</v>
      </c>
      <c r="B1740" t="str">
        <f>HYPERLINK("https://digitalcommons.unl.edu/cgi/viewcontent.cgi?article=2802&amp;context=tractormuseumlit","Click for test report")</f>
        <v>Click for test report</v>
      </c>
      <c r="C1740">
        <v>1982</v>
      </c>
      <c r="D1740" t="s">
        <v>4764</v>
      </c>
      <c r="F1740" t="s">
        <v>17</v>
      </c>
      <c r="G1740" t="s">
        <v>17</v>
      </c>
      <c r="H1740" t="s">
        <v>2662</v>
      </c>
      <c r="I1740" t="s">
        <v>1961</v>
      </c>
      <c r="J1740" t="s">
        <v>29</v>
      </c>
      <c r="K1740" t="s">
        <v>21</v>
      </c>
      <c r="L1740" t="s">
        <v>1029</v>
      </c>
      <c r="N1740" t="s">
        <v>115</v>
      </c>
      <c r="O1740" t="s">
        <v>3371</v>
      </c>
    </row>
    <row r="1741" spans="1:15" x14ac:dyDescent="0.25">
      <c r="A1741">
        <v>1740</v>
      </c>
      <c r="B1741" t="str">
        <f>HYPERLINK("https://digitalcommons.unl.edu/cgi/viewcontent.cgi?article=2803&amp;context=tractormuseumlit","Click for test report")</f>
        <v>Click for test report</v>
      </c>
      <c r="C1741">
        <v>1982</v>
      </c>
      <c r="D1741" t="s">
        <v>4760</v>
      </c>
      <c r="F1741" t="s">
        <v>4615</v>
      </c>
      <c r="G1741" t="s">
        <v>17</v>
      </c>
      <c r="H1741" t="s">
        <v>4761</v>
      </c>
      <c r="I1741" t="s">
        <v>50</v>
      </c>
      <c r="J1741" t="s">
        <v>348</v>
      </c>
      <c r="K1741" t="s">
        <v>21</v>
      </c>
      <c r="L1741" t="s">
        <v>2699</v>
      </c>
      <c r="N1741" t="s">
        <v>4745</v>
      </c>
      <c r="O1741" t="s">
        <v>4763</v>
      </c>
    </row>
    <row r="1742" spans="1:15" x14ac:dyDescent="0.25">
      <c r="A1742">
        <v>1741</v>
      </c>
      <c r="B1742" t="str">
        <f>HYPERLINK("https://digitalcommons.unl.edu/cgi/viewcontent.cgi?article=2803&amp;context=tractormuseumlit","Click for test report")</f>
        <v>Click for test report</v>
      </c>
      <c r="C1742">
        <v>1982</v>
      </c>
      <c r="D1742" t="s">
        <v>4760</v>
      </c>
      <c r="F1742" t="s">
        <v>4615</v>
      </c>
      <c r="G1742" t="s">
        <v>17</v>
      </c>
      <c r="H1742" t="s">
        <v>4761</v>
      </c>
      <c r="I1742" t="s">
        <v>50</v>
      </c>
      <c r="J1742" t="s">
        <v>20</v>
      </c>
      <c r="K1742" t="s">
        <v>21</v>
      </c>
      <c r="L1742" t="s">
        <v>2699</v>
      </c>
      <c r="N1742" t="s">
        <v>4745</v>
      </c>
      <c r="O1742" t="s">
        <v>4762</v>
      </c>
    </row>
    <row r="1743" spans="1:15" x14ac:dyDescent="0.25">
      <c r="A1743">
        <v>1742</v>
      </c>
      <c r="B1743" t="str">
        <f>HYPERLINK("https://digitalcommons.unl.edu/cgi/viewcontent.cgi?article=2804&amp;context=tractormuseumlit","Click for test report")</f>
        <v>Click for test report</v>
      </c>
      <c r="C1743">
        <v>1982</v>
      </c>
      <c r="D1743" t="s">
        <v>4758</v>
      </c>
      <c r="F1743" t="s">
        <v>4503</v>
      </c>
      <c r="G1743" t="s">
        <v>4504</v>
      </c>
      <c r="H1743" t="s">
        <v>4759</v>
      </c>
      <c r="I1743" t="s">
        <v>1961</v>
      </c>
      <c r="J1743" t="s">
        <v>348</v>
      </c>
      <c r="K1743" t="s">
        <v>21</v>
      </c>
      <c r="L1743" t="s">
        <v>562</v>
      </c>
      <c r="N1743" t="s">
        <v>344</v>
      </c>
      <c r="O1743" t="s">
        <v>3371</v>
      </c>
    </row>
    <row r="1744" spans="1:15" x14ac:dyDescent="0.25">
      <c r="A1744">
        <v>1743</v>
      </c>
      <c r="B1744" t="str">
        <f>HYPERLINK("https://digitalcommons.unl.edu/cgi/viewcontent.cgi?article=2805&amp;context=tractormuseumlit","Click for test report")</f>
        <v>Click for test report</v>
      </c>
      <c r="C1744">
        <v>1982</v>
      </c>
      <c r="D1744" t="s">
        <v>4756</v>
      </c>
      <c r="F1744" t="s">
        <v>4503</v>
      </c>
      <c r="G1744" t="s">
        <v>4504</v>
      </c>
      <c r="H1744" t="s">
        <v>4757</v>
      </c>
      <c r="I1744" t="s">
        <v>2964</v>
      </c>
      <c r="J1744" t="s">
        <v>348</v>
      </c>
      <c r="K1744" t="s">
        <v>21</v>
      </c>
      <c r="L1744" t="s">
        <v>22</v>
      </c>
      <c r="N1744" t="s">
        <v>716</v>
      </c>
      <c r="O1744" t="s">
        <v>24</v>
      </c>
    </row>
    <row r="1745" spans="1:15" x14ac:dyDescent="0.25">
      <c r="A1745">
        <v>1744</v>
      </c>
      <c r="B1745" t="str">
        <f>HYPERLINK("https://digitalcommons.unl.edu/cgi/viewcontent.cgi?article=2806&amp;context=tractormuseumlit","Click for test report")</f>
        <v>Click for test report</v>
      </c>
      <c r="C1745">
        <v>1982</v>
      </c>
      <c r="D1745" t="s">
        <v>4754</v>
      </c>
      <c r="F1745" t="s">
        <v>4503</v>
      </c>
      <c r="G1745" t="s">
        <v>4504</v>
      </c>
      <c r="H1745" t="s">
        <v>4755</v>
      </c>
      <c r="I1745" t="s">
        <v>1961</v>
      </c>
      <c r="J1745" t="s">
        <v>348</v>
      </c>
      <c r="K1745" t="s">
        <v>21</v>
      </c>
      <c r="L1745" t="s">
        <v>374</v>
      </c>
      <c r="N1745" t="s">
        <v>46</v>
      </c>
      <c r="O1745" t="s">
        <v>3371</v>
      </c>
    </row>
    <row r="1746" spans="1:15" x14ac:dyDescent="0.25">
      <c r="A1746">
        <v>1745</v>
      </c>
      <c r="B1746" t="str">
        <f>HYPERLINK("https://digitalcommons.unl.edu/cgi/viewcontent.cgi?article=2807&amp;context=tractormuseumlit","Click for test report")</f>
        <v>Click for test report</v>
      </c>
      <c r="C1746">
        <v>1982</v>
      </c>
      <c r="D1746" t="s">
        <v>4752</v>
      </c>
      <c r="F1746" t="s">
        <v>4503</v>
      </c>
      <c r="G1746" t="s">
        <v>4504</v>
      </c>
      <c r="H1746" t="s">
        <v>4753</v>
      </c>
      <c r="I1746" t="s">
        <v>1961</v>
      </c>
      <c r="J1746" t="s">
        <v>348</v>
      </c>
      <c r="K1746" t="s">
        <v>21</v>
      </c>
      <c r="L1746" t="s">
        <v>2880</v>
      </c>
      <c r="N1746" t="s">
        <v>315</v>
      </c>
      <c r="O1746" t="s">
        <v>3617</v>
      </c>
    </row>
    <row r="1747" spans="1:15" x14ac:dyDescent="0.25">
      <c r="A1747">
        <v>1746</v>
      </c>
      <c r="B1747" t="str">
        <f>HYPERLINK("https://digitalcommons.unl.edu/cgi/viewcontent.cgi?article=2808&amp;context=tractormuseumlit","Click for test report")</f>
        <v>Click for test report</v>
      </c>
      <c r="C1747">
        <v>1982</v>
      </c>
      <c r="D1747" t="s">
        <v>4750</v>
      </c>
      <c r="F1747" t="s">
        <v>4615</v>
      </c>
      <c r="G1747" t="s">
        <v>4615</v>
      </c>
      <c r="H1747" t="s">
        <v>4751</v>
      </c>
      <c r="I1747" t="s">
        <v>3474</v>
      </c>
      <c r="J1747" t="s">
        <v>348</v>
      </c>
      <c r="K1747" t="s">
        <v>21</v>
      </c>
      <c r="L1747" t="s">
        <v>4627</v>
      </c>
      <c r="N1747" t="s">
        <v>4621</v>
      </c>
      <c r="O1747" t="s">
        <v>4695</v>
      </c>
    </row>
    <row r="1748" spans="1:15" x14ac:dyDescent="0.25">
      <c r="A1748">
        <v>1747</v>
      </c>
      <c r="B1748" t="str">
        <f>HYPERLINK("https://digitalcommons.unl.edu/cgi/viewcontent.cgi?article=2808&amp;context=tractormuseumlit","Click for test report")</f>
        <v>Click for test report</v>
      </c>
      <c r="C1748">
        <v>1982</v>
      </c>
      <c r="D1748" t="s">
        <v>4750</v>
      </c>
      <c r="F1748" t="s">
        <v>4615</v>
      </c>
      <c r="G1748" t="s">
        <v>4615</v>
      </c>
      <c r="H1748" t="s">
        <v>4751</v>
      </c>
      <c r="I1748" t="s">
        <v>3474</v>
      </c>
      <c r="J1748" t="s">
        <v>20</v>
      </c>
      <c r="K1748" t="s">
        <v>21</v>
      </c>
      <c r="L1748" t="s">
        <v>4627</v>
      </c>
      <c r="N1748" t="s">
        <v>4621</v>
      </c>
      <c r="O1748" t="s">
        <v>4694</v>
      </c>
    </row>
    <row r="1749" spans="1:15" x14ac:dyDescent="0.25">
      <c r="A1749">
        <v>1748</v>
      </c>
      <c r="B1749" t="str">
        <f>HYPERLINK("https://digitalcommons.unl.edu/cgi/viewcontent.cgi?article=2809&amp;context=tractormuseumlit","Click for test report")</f>
        <v>Click for test report</v>
      </c>
      <c r="C1749">
        <v>1982</v>
      </c>
      <c r="D1749" t="s">
        <v>4748</v>
      </c>
      <c r="F1749" t="s">
        <v>4615</v>
      </c>
      <c r="G1749" t="s">
        <v>4615</v>
      </c>
      <c r="H1749" t="s">
        <v>4749</v>
      </c>
      <c r="I1749" t="s">
        <v>3474</v>
      </c>
      <c r="J1749" t="s">
        <v>348</v>
      </c>
      <c r="K1749" t="s">
        <v>21</v>
      </c>
      <c r="L1749" t="s">
        <v>4358</v>
      </c>
      <c r="N1749" t="s">
        <v>4363</v>
      </c>
      <c r="O1749" t="s">
        <v>4695</v>
      </c>
    </row>
    <row r="1750" spans="1:15" x14ac:dyDescent="0.25">
      <c r="A1750">
        <v>1749</v>
      </c>
      <c r="B1750" t="str">
        <f>HYPERLINK("https://digitalcommons.unl.edu/cgi/viewcontent.cgi?article=2809&amp;context=tractormuseumlit","Click for test report")</f>
        <v>Click for test report</v>
      </c>
      <c r="C1750">
        <v>1982</v>
      </c>
      <c r="D1750" t="s">
        <v>4748</v>
      </c>
      <c r="F1750" t="s">
        <v>4615</v>
      </c>
      <c r="G1750" t="s">
        <v>4615</v>
      </c>
      <c r="H1750" t="s">
        <v>4749</v>
      </c>
      <c r="I1750" t="s">
        <v>3474</v>
      </c>
      <c r="J1750" t="s">
        <v>20</v>
      </c>
      <c r="K1750" t="s">
        <v>21</v>
      </c>
      <c r="L1750" t="s">
        <v>4358</v>
      </c>
      <c r="N1750" t="s">
        <v>4628</v>
      </c>
      <c r="O1750" t="s">
        <v>4694</v>
      </c>
    </row>
    <row r="1751" spans="1:15" x14ac:dyDescent="0.25">
      <c r="A1751">
        <v>1750</v>
      </c>
      <c r="B1751" t="str">
        <f>HYPERLINK("https://digitalcommons.unl.edu/cgi/viewcontent.cgi?article=2810&amp;context=tractormuseumlit","Click for test report")</f>
        <v>Click for test report</v>
      </c>
      <c r="C1751">
        <v>1982</v>
      </c>
      <c r="D1751" t="s">
        <v>4746</v>
      </c>
      <c r="F1751" t="s">
        <v>4615</v>
      </c>
      <c r="G1751" t="s">
        <v>4615</v>
      </c>
      <c r="H1751" t="s">
        <v>4747</v>
      </c>
      <c r="I1751" t="s">
        <v>3474</v>
      </c>
      <c r="J1751" t="s">
        <v>348</v>
      </c>
      <c r="K1751" t="s">
        <v>21</v>
      </c>
      <c r="L1751" t="s">
        <v>4013</v>
      </c>
      <c r="N1751" t="s">
        <v>4444</v>
      </c>
      <c r="O1751" t="s">
        <v>4695</v>
      </c>
    </row>
    <row r="1752" spans="1:15" x14ac:dyDescent="0.25">
      <c r="A1752">
        <v>1751</v>
      </c>
      <c r="B1752" t="str">
        <f>HYPERLINK("https://digitalcommons.unl.edu/cgi/viewcontent.cgi?article=2810&amp;context=tractormuseumlit","Click for test report")</f>
        <v>Click for test report</v>
      </c>
      <c r="C1752">
        <v>1982</v>
      </c>
      <c r="D1752" t="s">
        <v>4746</v>
      </c>
      <c r="F1752" t="s">
        <v>4615</v>
      </c>
      <c r="G1752" t="s">
        <v>4615</v>
      </c>
      <c r="H1752" t="s">
        <v>4747</v>
      </c>
      <c r="I1752" t="s">
        <v>3474</v>
      </c>
      <c r="J1752" t="s">
        <v>20</v>
      </c>
      <c r="K1752" t="s">
        <v>21</v>
      </c>
      <c r="L1752" t="s">
        <v>4013</v>
      </c>
      <c r="N1752" t="s">
        <v>4362</v>
      </c>
      <c r="O1752" t="s">
        <v>4694</v>
      </c>
    </row>
    <row r="1753" spans="1:15" x14ac:dyDescent="0.25">
      <c r="A1753">
        <v>1752</v>
      </c>
      <c r="B1753" t="str">
        <f>HYPERLINK("https://digitalcommons.unl.edu/cgi/viewcontent.cgi?article=2811&amp;context=tractormuseumlit","Click for test report")</f>
        <v>Click for test report</v>
      </c>
      <c r="C1753">
        <v>1982</v>
      </c>
      <c r="D1753" t="s">
        <v>4743</v>
      </c>
      <c r="F1753" t="s">
        <v>4442</v>
      </c>
      <c r="G1753" t="s">
        <v>4325</v>
      </c>
      <c r="H1753" t="s">
        <v>4744</v>
      </c>
      <c r="I1753" t="s">
        <v>50</v>
      </c>
      <c r="J1753" t="s">
        <v>348</v>
      </c>
      <c r="K1753" t="s">
        <v>21</v>
      </c>
      <c r="L1753" t="s">
        <v>2627</v>
      </c>
      <c r="N1753" t="s">
        <v>4745</v>
      </c>
      <c r="O1753" t="s">
        <v>3444</v>
      </c>
    </row>
    <row r="1754" spans="1:15" x14ac:dyDescent="0.25">
      <c r="A1754">
        <v>1753</v>
      </c>
      <c r="B1754" t="str">
        <f>HYPERLINK("https://digitalcommons.unl.edu/cgi/viewcontent.cgi?article=2812&amp;context=tractormuseumlit","Click for test report")</f>
        <v>Click for test report</v>
      </c>
      <c r="C1754">
        <v>1982</v>
      </c>
      <c r="D1754" t="s">
        <v>4334</v>
      </c>
      <c r="F1754" t="s">
        <v>4325</v>
      </c>
      <c r="G1754" t="s">
        <v>4325</v>
      </c>
      <c r="H1754" t="s">
        <v>4335</v>
      </c>
      <c r="I1754" t="s">
        <v>1808</v>
      </c>
      <c r="J1754" t="s">
        <v>348</v>
      </c>
      <c r="K1754" t="s">
        <v>21</v>
      </c>
      <c r="L1754" t="s">
        <v>705</v>
      </c>
      <c r="N1754" t="s">
        <v>131</v>
      </c>
      <c r="O1754" t="s">
        <v>3320</v>
      </c>
    </row>
    <row r="1755" spans="1:15" x14ac:dyDescent="0.25">
      <c r="A1755">
        <v>1754</v>
      </c>
      <c r="B1755" t="str">
        <f>HYPERLINK("https://digitalcommons.unl.edu/cgi/viewcontent.cgi?article=2813&amp;context=tractormuseumlit","Click for test report")</f>
        <v>Click for test report</v>
      </c>
      <c r="C1755">
        <v>1982</v>
      </c>
      <c r="D1755" t="s">
        <v>4331</v>
      </c>
      <c r="F1755" t="s">
        <v>4325</v>
      </c>
      <c r="G1755" t="s">
        <v>4325</v>
      </c>
      <c r="H1755" t="s">
        <v>4332</v>
      </c>
      <c r="I1755" t="s">
        <v>1808</v>
      </c>
      <c r="J1755" t="s">
        <v>348</v>
      </c>
      <c r="K1755" t="s">
        <v>21</v>
      </c>
      <c r="L1755" t="s">
        <v>2676</v>
      </c>
      <c r="N1755" t="s">
        <v>122</v>
      </c>
      <c r="O1755" t="s">
        <v>3320</v>
      </c>
    </row>
    <row r="1756" spans="1:15" x14ac:dyDescent="0.25">
      <c r="A1756">
        <v>1755</v>
      </c>
      <c r="B1756" t="str">
        <f>HYPERLINK("https://digitalcommons.unl.edu/cgi/viewcontent.cgi?article=2814&amp;context=tractormuseumlit","Click for test report")</f>
        <v>Click for test report</v>
      </c>
      <c r="C1756">
        <v>1982</v>
      </c>
      <c r="D1756" t="s">
        <v>4328</v>
      </c>
      <c r="F1756" t="s">
        <v>4325</v>
      </c>
      <c r="G1756" t="s">
        <v>4325</v>
      </c>
      <c r="H1756" t="s">
        <v>4329</v>
      </c>
      <c r="I1756" t="s">
        <v>1808</v>
      </c>
      <c r="J1756" t="s">
        <v>348</v>
      </c>
      <c r="K1756" t="s">
        <v>21</v>
      </c>
      <c r="L1756" t="s">
        <v>118</v>
      </c>
      <c r="N1756" t="s">
        <v>329</v>
      </c>
      <c r="O1756" t="s">
        <v>3320</v>
      </c>
    </row>
    <row r="1757" spans="1:15" x14ac:dyDescent="0.25">
      <c r="A1757">
        <v>1756</v>
      </c>
      <c r="B1757" t="str">
        <f>HYPERLINK("https://digitalcommons.unl.edu/cgi/viewcontent.cgi?article=2815&amp;context=tractormuseumlit","Click for test report")</f>
        <v>Click for test report</v>
      </c>
      <c r="C1757">
        <v>1982</v>
      </c>
      <c r="D1757" t="s">
        <v>4324</v>
      </c>
      <c r="F1757" t="s">
        <v>4325</v>
      </c>
      <c r="G1757" t="s">
        <v>4325</v>
      </c>
      <c r="H1757" t="s">
        <v>4326</v>
      </c>
      <c r="I1757" t="s">
        <v>1808</v>
      </c>
      <c r="J1757" t="s">
        <v>348</v>
      </c>
      <c r="K1757" t="s">
        <v>21</v>
      </c>
      <c r="L1757" t="s">
        <v>150</v>
      </c>
      <c r="N1757" t="s">
        <v>325</v>
      </c>
      <c r="O1757" t="s">
        <v>3320</v>
      </c>
    </row>
    <row r="1758" spans="1:15" x14ac:dyDescent="0.25">
      <c r="A1758">
        <v>1757</v>
      </c>
      <c r="B1758" t="str">
        <f>HYPERLINK("https://digitalcommons.unl.edu/cgi/viewcontent.cgi?article=2816&amp;context=tractormuseumlit","Click for test report")</f>
        <v>Click for test report</v>
      </c>
      <c r="C1758">
        <v>1982</v>
      </c>
      <c r="D1758" t="s">
        <v>4618</v>
      </c>
      <c r="F1758" t="s">
        <v>4290</v>
      </c>
      <c r="G1758" t="s">
        <v>4291</v>
      </c>
      <c r="H1758" t="s">
        <v>4742</v>
      </c>
      <c r="I1758" t="s">
        <v>50</v>
      </c>
      <c r="J1758" t="s">
        <v>20</v>
      </c>
      <c r="K1758" t="s">
        <v>21</v>
      </c>
      <c r="L1758" t="s">
        <v>705</v>
      </c>
      <c r="N1758" t="s">
        <v>131</v>
      </c>
      <c r="O1758" t="s">
        <v>3320</v>
      </c>
    </row>
    <row r="1759" spans="1:15" x14ac:dyDescent="0.25">
      <c r="A1759">
        <v>1758</v>
      </c>
      <c r="B1759" t="str">
        <f>HYPERLINK("https://digitalcommons.unl.edu/cgi/viewcontent.cgi?article=2817&amp;context=tractormuseumlit","Click for test report")</f>
        <v>Click for test report</v>
      </c>
      <c r="C1759">
        <v>1982</v>
      </c>
      <c r="D1759" t="s">
        <v>4740</v>
      </c>
      <c r="F1759" t="s">
        <v>4290</v>
      </c>
      <c r="G1759" t="s">
        <v>4291</v>
      </c>
      <c r="H1759" t="s">
        <v>4741</v>
      </c>
      <c r="I1759" t="s">
        <v>50</v>
      </c>
      <c r="J1759" t="s">
        <v>20</v>
      </c>
      <c r="K1759" t="s">
        <v>21</v>
      </c>
      <c r="L1759" t="s">
        <v>853</v>
      </c>
      <c r="N1759" t="s">
        <v>1266</v>
      </c>
      <c r="O1759" t="s">
        <v>3320</v>
      </c>
    </row>
    <row r="1760" spans="1:15" x14ac:dyDescent="0.25">
      <c r="A1760">
        <v>1759</v>
      </c>
      <c r="B1760" t="str">
        <f>HYPERLINK("https://digitalcommons.unl.edu/cgi/viewcontent.cgi?article=2818&amp;context=tractormuseumlit","Click for test report")</f>
        <v>Click for test report</v>
      </c>
      <c r="C1760">
        <v>1982</v>
      </c>
      <c r="D1760" t="s">
        <v>4700</v>
      </c>
      <c r="F1760" t="s">
        <v>3652</v>
      </c>
      <c r="G1760" t="s">
        <v>3652</v>
      </c>
      <c r="H1760" t="s">
        <v>4739</v>
      </c>
      <c r="I1760" t="s">
        <v>50</v>
      </c>
      <c r="J1760" t="s">
        <v>29</v>
      </c>
      <c r="K1760" t="s">
        <v>21</v>
      </c>
      <c r="N1760" t="s">
        <v>900</v>
      </c>
      <c r="O1760" t="s">
        <v>4508</v>
      </c>
    </row>
    <row r="1761" spans="1:15" x14ac:dyDescent="0.25">
      <c r="A1761">
        <v>1760</v>
      </c>
      <c r="B1761" t="str">
        <f>HYPERLINK("https://digitalcommons.unl.edu/cgi/viewcontent.cgi?article=2819&amp;context=tractormuseumlit","Click for test report")</f>
        <v>Click for test report</v>
      </c>
      <c r="C1761">
        <v>1982</v>
      </c>
      <c r="D1761" t="s">
        <v>4737</v>
      </c>
      <c r="F1761" t="s">
        <v>3652</v>
      </c>
      <c r="G1761" t="s">
        <v>3652</v>
      </c>
      <c r="H1761" t="s">
        <v>4738</v>
      </c>
      <c r="I1761" t="s">
        <v>28</v>
      </c>
      <c r="J1761" t="s">
        <v>29</v>
      </c>
      <c r="K1761" t="s">
        <v>21</v>
      </c>
      <c r="L1761" t="s">
        <v>3059</v>
      </c>
      <c r="N1761" t="s">
        <v>3987</v>
      </c>
      <c r="O1761" t="s">
        <v>3320</v>
      </c>
    </row>
    <row r="1762" spans="1:15" x14ac:dyDescent="0.25">
      <c r="A1762">
        <v>1761</v>
      </c>
      <c r="B1762" t="str">
        <f>HYPERLINK("https://digitalcommons.unl.edu/cgi/viewcontent.cgi?article=3688&amp;context=tractormuseumlit","Click for test report")</f>
        <v>Click for test report</v>
      </c>
      <c r="C1762">
        <v>1982</v>
      </c>
      <c r="D1762" t="s">
        <v>4736</v>
      </c>
      <c r="G1762" t="s">
        <v>322</v>
      </c>
      <c r="O1762" t="s">
        <v>24</v>
      </c>
    </row>
    <row r="1763" spans="1:15" x14ac:dyDescent="0.25">
      <c r="A1763">
        <v>1762</v>
      </c>
      <c r="B1763" t="str">
        <f>HYPERLINK("https://digitalcommons.unl.edu/cgi/viewcontent.cgi?article=2820&amp;context=tractormuseumlit","Click for test report")</f>
        <v>Click for test report</v>
      </c>
      <c r="C1763">
        <v>1982</v>
      </c>
      <c r="D1763" t="s">
        <v>4734</v>
      </c>
      <c r="F1763" t="s">
        <v>3652</v>
      </c>
      <c r="G1763" t="s">
        <v>3652</v>
      </c>
      <c r="H1763" t="s">
        <v>4735</v>
      </c>
      <c r="I1763" t="s">
        <v>28</v>
      </c>
      <c r="J1763" t="s">
        <v>29</v>
      </c>
      <c r="K1763" t="s">
        <v>21</v>
      </c>
      <c r="L1763" t="s">
        <v>1073</v>
      </c>
      <c r="N1763" t="s">
        <v>139</v>
      </c>
      <c r="O1763" t="s">
        <v>3320</v>
      </c>
    </row>
    <row r="1764" spans="1:15" x14ac:dyDescent="0.25">
      <c r="A1764">
        <v>1763</v>
      </c>
      <c r="B1764" t="str">
        <f>HYPERLINK("https://digitalcommons.unl.edu/cgi/viewcontent.cgi?article=2821&amp;context=tractormuseumlit","Click for test report")</f>
        <v>Click for test report</v>
      </c>
      <c r="C1764">
        <v>1982</v>
      </c>
      <c r="D1764" t="s">
        <v>4732</v>
      </c>
      <c r="F1764" t="s">
        <v>3652</v>
      </c>
      <c r="G1764" t="s">
        <v>3652</v>
      </c>
      <c r="H1764" t="s">
        <v>4733</v>
      </c>
      <c r="I1764" t="s">
        <v>28</v>
      </c>
      <c r="J1764" t="s">
        <v>29</v>
      </c>
      <c r="K1764" t="s">
        <v>21</v>
      </c>
      <c r="L1764" t="s">
        <v>1064</v>
      </c>
      <c r="N1764" t="s">
        <v>1309</v>
      </c>
      <c r="O1764" t="s">
        <v>3320</v>
      </c>
    </row>
    <row r="1765" spans="1:15" x14ac:dyDescent="0.25">
      <c r="A1765">
        <v>1764</v>
      </c>
      <c r="B1765" t="str">
        <f>HYPERLINK("https://digitalcommons.unl.edu/cgi/viewcontent.cgi?article=2822&amp;context=tractormuseumlit","Click for test report")</f>
        <v>Click for test report</v>
      </c>
      <c r="C1765">
        <v>1982</v>
      </c>
      <c r="D1765" t="s">
        <v>4731</v>
      </c>
      <c r="F1765" t="s">
        <v>17</v>
      </c>
      <c r="G1765" t="s">
        <v>17</v>
      </c>
      <c r="H1765" t="s">
        <v>4319</v>
      </c>
      <c r="I1765" t="s">
        <v>28</v>
      </c>
      <c r="J1765" t="s">
        <v>348</v>
      </c>
      <c r="K1765" t="s">
        <v>21</v>
      </c>
      <c r="L1765" t="s">
        <v>46</v>
      </c>
      <c r="N1765" t="s">
        <v>461</v>
      </c>
      <c r="O1765" t="s">
        <v>24</v>
      </c>
    </row>
    <row r="1766" spans="1:15" x14ac:dyDescent="0.25">
      <c r="A1766">
        <v>1765</v>
      </c>
      <c r="B1766" t="str">
        <f>HYPERLINK("https://digitalcommons.unl.edu/cgi/viewcontent.cgi?article=2823&amp;context=tractormuseumlit","Click for test report")</f>
        <v>Click for test report</v>
      </c>
      <c r="C1766">
        <v>1982</v>
      </c>
      <c r="D1766" t="s">
        <v>4730</v>
      </c>
      <c r="F1766" t="s">
        <v>17</v>
      </c>
      <c r="G1766" t="s">
        <v>17</v>
      </c>
      <c r="H1766" t="s">
        <v>4681</v>
      </c>
      <c r="I1766" t="s">
        <v>28</v>
      </c>
      <c r="J1766" t="s">
        <v>348</v>
      </c>
      <c r="K1766" t="s">
        <v>21</v>
      </c>
      <c r="L1766" t="s">
        <v>2652</v>
      </c>
      <c r="N1766" t="s">
        <v>130</v>
      </c>
      <c r="O1766" t="s">
        <v>4374</v>
      </c>
    </row>
    <row r="1767" spans="1:15" x14ac:dyDescent="0.25">
      <c r="A1767">
        <v>1766</v>
      </c>
      <c r="B1767" t="str">
        <f>HYPERLINK("https://digitalcommons.unl.edu/cgi/viewcontent.cgi?article=2844&amp;context=tractormuseumlit","Click for test report")</f>
        <v>Click for test report</v>
      </c>
      <c r="C1767">
        <v>1982</v>
      </c>
      <c r="D1767" t="s">
        <v>4729</v>
      </c>
      <c r="F1767" t="s">
        <v>17</v>
      </c>
      <c r="G1767" t="s">
        <v>17</v>
      </c>
      <c r="H1767" t="s">
        <v>4679</v>
      </c>
      <c r="I1767" t="s">
        <v>28</v>
      </c>
      <c r="J1767" t="s">
        <v>348</v>
      </c>
      <c r="K1767" t="s">
        <v>21</v>
      </c>
      <c r="L1767" t="s">
        <v>474</v>
      </c>
      <c r="N1767" t="s">
        <v>794</v>
      </c>
      <c r="O1767" t="s">
        <v>4727</v>
      </c>
    </row>
    <row r="1768" spans="1:15" x14ac:dyDescent="0.25">
      <c r="A1768">
        <v>1767</v>
      </c>
      <c r="B1768" t="str">
        <f>HYPERLINK("https://digitalcommons.unl.edu/cgi/viewcontent.cgi?article=2844&amp;context=tractormuseumlit","Click for test report")</f>
        <v>Click for test report</v>
      </c>
      <c r="C1768">
        <v>1982</v>
      </c>
      <c r="D1768" t="s">
        <v>4729</v>
      </c>
      <c r="F1768" t="s">
        <v>17</v>
      </c>
      <c r="G1768" t="s">
        <v>17</v>
      </c>
      <c r="H1768" t="s">
        <v>4679</v>
      </c>
      <c r="I1768" t="s">
        <v>28</v>
      </c>
      <c r="J1768" t="s">
        <v>348</v>
      </c>
      <c r="K1768" t="s">
        <v>21</v>
      </c>
      <c r="L1768" t="s">
        <v>474</v>
      </c>
      <c r="N1768" t="s">
        <v>475</v>
      </c>
      <c r="O1768" t="s">
        <v>4726</v>
      </c>
    </row>
    <row r="1769" spans="1:15" x14ac:dyDescent="0.25">
      <c r="A1769">
        <v>1768</v>
      </c>
      <c r="B1769" t="str">
        <f>HYPERLINK("https://digitalcommons.unl.edu/cgi/viewcontent.cgi?article=2845&amp;context=tractormuseumlit","Click for test report")</f>
        <v>Click for test report</v>
      </c>
      <c r="C1769">
        <v>1982</v>
      </c>
      <c r="D1769" t="s">
        <v>4728</v>
      </c>
      <c r="F1769" t="s">
        <v>17</v>
      </c>
      <c r="G1769" t="s">
        <v>17</v>
      </c>
      <c r="H1769" t="s">
        <v>4083</v>
      </c>
      <c r="I1769" t="s">
        <v>28</v>
      </c>
      <c r="J1769" t="s">
        <v>348</v>
      </c>
      <c r="K1769" t="s">
        <v>21</v>
      </c>
      <c r="L1769" t="s">
        <v>1821</v>
      </c>
      <c r="N1769" t="s">
        <v>839</v>
      </c>
      <c r="O1769" t="s">
        <v>4727</v>
      </c>
    </row>
    <row r="1770" spans="1:15" x14ac:dyDescent="0.25">
      <c r="A1770">
        <v>1769</v>
      </c>
      <c r="B1770" t="str">
        <f>HYPERLINK("https://digitalcommons.unl.edu/cgi/viewcontent.cgi?article=2845&amp;context=tractormuseumlit","Click for test report")</f>
        <v>Click for test report</v>
      </c>
      <c r="C1770">
        <v>1982</v>
      </c>
      <c r="D1770" t="s">
        <v>4728</v>
      </c>
      <c r="F1770" t="s">
        <v>17</v>
      </c>
      <c r="G1770" t="s">
        <v>17</v>
      </c>
      <c r="H1770" t="s">
        <v>4083</v>
      </c>
      <c r="I1770" t="s">
        <v>28</v>
      </c>
      <c r="J1770" t="s">
        <v>348</v>
      </c>
      <c r="K1770" t="s">
        <v>21</v>
      </c>
      <c r="L1770" t="s">
        <v>1821</v>
      </c>
      <c r="N1770" t="s">
        <v>328</v>
      </c>
      <c r="O1770" t="s">
        <v>4726</v>
      </c>
    </row>
    <row r="1771" spans="1:15" x14ac:dyDescent="0.25">
      <c r="A1771">
        <v>1770</v>
      </c>
      <c r="B1771" t="str">
        <f>HYPERLINK("https://digitalcommons.unl.edu/cgi/viewcontent.cgi?article=2846&amp;context=tractormuseumlit","Click for test report")</f>
        <v>Click for test report</v>
      </c>
      <c r="C1771">
        <v>1982</v>
      </c>
      <c r="D1771" t="s">
        <v>4724</v>
      </c>
      <c r="F1771" t="s">
        <v>17</v>
      </c>
      <c r="G1771" t="s">
        <v>17</v>
      </c>
      <c r="H1771" t="s">
        <v>4725</v>
      </c>
      <c r="I1771" t="s">
        <v>28</v>
      </c>
      <c r="J1771" t="s">
        <v>348</v>
      </c>
      <c r="K1771" t="s">
        <v>21</v>
      </c>
      <c r="L1771" t="s">
        <v>505</v>
      </c>
      <c r="N1771" t="s">
        <v>76</v>
      </c>
      <c r="O1771" t="s">
        <v>4727</v>
      </c>
    </row>
    <row r="1772" spans="1:15" x14ac:dyDescent="0.25">
      <c r="A1772">
        <v>1771</v>
      </c>
      <c r="B1772" t="str">
        <f>HYPERLINK("https://digitalcommons.unl.edu/cgi/viewcontent.cgi?article=2846&amp;context=tractormuseumlit","Click for test report")</f>
        <v>Click for test report</v>
      </c>
      <c r="C1772">
        <v>1982</v>
      </c>
      <c r="D1772" t="s">
        <v>4724</v>
      </c>
      <c r="F1772" t="s">
        <v>17</v>
      </c>
      <c r="G1772" t="s">
        <v>17</v>
      </c>
      <c r="H1772" t="s">
        <v>4725</v>
      </c>
      <c r="I1772" t="s">
        <v>28</v>
      </c>
      <c r="J1772" t="s">
        <v>348</v>
      </c>
      <c r="K1772" t="s">
        <v>21</v>
      </c>
      <c r="L1772" t="s">
        <v>505</v>
      </c>
      <c r="N1772" t="s">
        <v>1449</v>
      </c>
      <c r="O1772" t="s">
        <v>4726</v>
      </c>
    </row>
    <row r="1773" spans="1:15" x14ac:dyDescent="0.25">
      <c r="A1773">
        <v>1772</v>
      </c>
      <c r="B1773" t="str">
        <f>HYPERLINK("https://digitalcommons.unl.edu/cgi/viewcontent.cgi?article=2824&amp;context=tractormuseumlit","Click for test report")</f>
        <v>Click for test report</v>
      </c>
      <c r="C1773">
        <v>1982</v>
      </c>
      <c r="D1773" t="s">
        <v>4721</v>
      </c>
      <c r="F1773" t="s">
        <v>61</v>
      </c>
      <c r="G1773" t="s">
        <v>61</v>
      </c>
      <c r="H1773" t="s">
        <v>4722</v>
      </c>
      <c r="I1773" t="s">
        <v>50</v>
      </c>
      <c r="J1773" t="s">
        <v>29</v>
      </c>
      <c r="K1773" t="s">
        <v>21</v>
      </c>
      <c r="N1773" t="s">
        <v>2096</v>
      </c>
      <c r="O1773" t="s">
        <v>4723</v>
      </c>
    </row>
    <row r="1774" spans="1:15" x14ac:dyDescent="0.25">
      <c r="A1774">
        <v>1773</v>
      </c>
      <c r="B1774" t="str">
        <f>HYPERLINK("https://digitalcommons.unl.edu/cgi/viewcontent.cgi?article=2825&amp;context=tractormuseumlit","Click for test report")</f>
        <v>Click for test report</v>
      </c>
      <c r="C1774">
        <v>1982</v>
      </c>
      <c r="D1774" t="s">
        <v>4719</v>
      </c>
      <c r="F1774" t="s">
        <v>3652</v>
      </c>
      <c r="G1774" t="s">
        <v>3652</v>
      </c>
      <c r="H1774" t="s">
        <v>4720</v>
      </c>
      <c r="I1774" t="s">
        <v>28</v>
      </c>
      <c r="J1774" t="s">
        <v>29</v>
      </c>
      <c r="K1774" t="s">
        <v>21</v>
      </c>
      <c r="N1774" t="s">
        <v>990</v>
      </c>
      <c r="O1774" t="s">
        <v>4406</v>
      </c>
    </row>
    <row r="1775" spans="1:15" x14ac:dyDescent="0.25">
      <c r="A1775">
        <v>1774</v>
      </c>
      <c r="B1775" t="str">
        <f>HYPERLINK("https://digitalcommons.unl.edu/cgi/viewcontent.cgi?article=2826&amp;context=tractormuseumlit","Click for test report")</f>
        <v>Click for test report</v>
      </c>
      <c r="C1775">
        <v>1982</v>
      </c>
      <c r="D1775" t="s">
        <v>4717</v>
      </c>
      <c r="F1775" t="s">
        <v>3652</v>
      </c>
      <c r="G1775" t="s">
        <v>3652</v>
      </c>
      <c r="H1775" t="s">
        <v>4718</v>
      </c>
      <c r="I1775" t="s">
        <v>28</v>
      </c>
      <c r="J1775" t="s">
        <v>29</v>
      </c>
      <c r="K1775" t="s">
        <v>21</v>
      </c>
      <c r="N1775" t="s">
        <v>1073</v>
      </c>
      <c r="O1775" t="s">
        <v>4406</v>
      </c>
    </row>
    <row r="1776" spans="1:15" x14ac:dyDescent="0.25">
      <c r="A1776">
        <v>1775</v>
      </c>
      <c r="B1776" t="str">
        <f>HYPERLINK("https://digitalcommons.unl.edu/cgi/viewcontent.cgi?article=2827&amp;context=tractormuseumlit","Click for test report")</f>
        <v>Click for test report</v>
      </c>
      <c r="C1776">
        <v>1982</v>
      </c>
      <c r="D1776" t="s">
        <v>4715</v>
      </c>
      <c r="F1776" t="s">
        <v>3652</v>
      </c>
      <c r="G1776" t="s">
        <v>3652</v>
      </c>
      <c r="H1776" t="s">
        <v>4716</v>
      </c>
      <c r="I1776" t="s">
        <v>28</v>
      </c>
      <c r="J1776" t="s">
        <v>29</v>
      </c>
      <c r="K1776" t="s">
        <v>21</v>
      </c>
      <c r="L1776" t="s">
        <v>954</v>
      </c>
      <c r="N1776" t="s">
        <v>296</v>
      </c>
      <c r="O1776" t="s">
        <v>3320</v>
      </c>
    </row>
    <row r="1777" spans="1:15" x14ac:dyDescent="0.25">
      <c r="A1777">
        <v>1776</v>
      </c>
      <c r="B1777" t="str">
        <f>HYPERLINK("https://digitalcommons.unl.edu/cgi/viewcontent.cgi?article=2605&amp;context=tractormuseumlit","Click for test report")</f>
        <v>Click for test report</v>
      </c>
      <c r="C1777">
        <v>1983</v>
      </c>
      <c r="D1777" t="s">
        <v>4712</v>
      </c>
      <c r="F1777" t="s">
        <v>3652</v>
      </c>
      <c r="G1777" t="s">
        <v>3652</v>
      </c>
      <c r="H1777" t="s">
        <v>4713</v>
      </c>
      <c r="I1777" t="s">
        <v>50</v>
      </c>
      <c r="J1777" t="s">
        <v>29</v>
      </c>
      <c r="K1777" t="s">
        <v>21</v>
      </c>
      <c r="N1777" t="s">
        <v>1176</v>
      </c>
      <c r="O1777" t="s">
        <v>4714</v>
      </c>
    </row>
    <row r="1778" spans="1:15" x14ac:dyDescent="0.25">
      <c r="A1778">
        <v>1777</v>
      </c>
      <c r="B1778" t="str">
        <f>HYPERLINK("https://digitalcommons.unl.edu/cgi/viewcontent.cgi?article=2779&amp;context=tractormuseumlit","Click for test report")</f>
        <v>Click for test report</v>
      </c>
      <c r="C1778">
        <v>1983</v>
      </c>
      <c r="D1778" t="s">
        <v>4709</v>
      </c>
      <c r="F1778" t="s">
        <v>3652</v>
      </c>
      <c r="G1778" t="s">
        <v>3652</v>
      </c>
      <c r="H1778" t="s">
        <v>4710</v>
      </c>
      <c r="I1778" t="s">
        <v>50</v>
      </c>
      <c r="J1778" t="s">
        <v>29</v>
      </c>
      <c r="K1778" t="s">
        <v>21</v>
      </c>
      <c r="N1778" t="s">
        <v>306</v>
      </c>
      <c r="O1778" t="s">
        <v>4711</v>
      </c>
    </row>
    <row r="1779" spans="1:15" x14ac:dyDescent="0.25">
      <c r="A1779">
        <v>1778</v>
      </c>
      <c r="B1779" t="str">
        <f>HYPERLINK("https://digitalcommons.unl.edu/cgi/viewcontent.cgi?article=2780&amp;context=tractormuseumlit","Click for test report")</f>
        <v>Click for test report</v>
      </c>
      <c r="C1779">
        <v>1983</v>
      </c>
      <c r="D1779" t="s">
        <v>4706</v>
      </c>
      <c r="F1779" t="s">
        <v>3652</v>
      </c>
      <c r="G1779" t="s">
        <v>3652</v>
      </c>
      <c r="H1779" t="s">
        <v>4707</v>
      </c>
      <c r="I1779" t="s">
        <v>4597</v>
      </c>
      <c r="J1779" t="s">
        <v>29</v>
      </c>
      <c r="K1779" t="s">
        <v>21</v>
      </c>
      <c r="N1779" t="s">
        <v>1590</v>
      </c>
      <c r="O1779" t="s">
        <v>4708</v>
      </c>
    </row>
    <row r="1780" spans="1:15" x14ac:dyDescent="0.25">
      <c r="A1780">
        <v>1779</v>
      </c>
      <c r="B1780" t="str">
        <f>HYPERLINK("https://digitalcommons.unl.edu/cgi/viewcontent.cgi?article=2781&amp;context=tractormuseumlit","Click for test report")</f>
        <v>Click for test report</v>
      </c>
      <c r="C1780">
        <v>1983</v>
      </c>
      <c r="D1780" t="s">
        <v>4703</v>
      </c>
      <c r="F1780" t="s">
        <v>3652</v>
      </c>
      <c r="G1780" t="s">
        <v>3652</v>
      </c>
      <c r="H1780" t="s">
        <v>4704</v>
      </c>
      <c r="I1780" t="s">
        <v>50</v>
      </c>
      <c r="J1780" t="s">
        <v>29</v>
      </c>
      <c r="K1780" t="s">
        <v>21</v>
      </c>
      <c r="N1780" t="s">
        <v>1098</v>
      </c>
      <c r="O1780" t="s">
        <v>4705</v>
      </c>
    </row>
    <row r="1781" spans="1:15" x14ac:dyDescent="0.25">
      <c r="A1781">
        <v>1780</v>
      </c>
      <c r="B1781" t="str">
        <f>HYPERLINK("https://digitalcommons.unl.edu/cgi/viewcontent.cgi?article=2818&amp;context=tractormuseumlit","Click for test report")</f>
        <v>Click for test report</v>
      </c>
      <c r="C1781">
        <v>1983</v>
      </c>
      <c r="D1781" t="s">
        <v>4700</v>
      </c>
      <c r="F1781" t="s">
        <v>3652</v>
      </c>
      <c r="G1781" t="s">
        <v>3652</v>
      </c>
      <c r="H1781" t="s">
        <v>4701</v>
      </c>
      <c r="I1781" t="s">
        <v>50</v>
      </c>
      <c r="J1781" t="s">
        <v>29</v>
      </c>
      <c r="K1781" t="s">
        <v>21</v>
      </c>
      <c r="N1781" t="s">
        <v>900</v>
      </c>
      <c r="O1781" t="s">
        <v>4702</v>
      </c>
    </row>
    <row r="1782" spans="1:15" x14ac:dyDescent="0.25">
      <c r="A1782">
        <v>1781</v>
      </c>
      <c r="B1782" t="str">
        <f>HYPERLINK("https://digitalcommons.unl.edu/cgi/viewcontent.cgi?article=2828&amp;context=tractormuseumlit","Click for test report")</f>
        <v>Click for test report</v>
      </c>
      <c r="C1782">
        <v>1983</v>
      </c>
      <c r="D1782" t="s">
        <v>4698</v>
      </c>
      <c r="F1782" t="s">
        <v>4656</v>
      </c>
      <c r="G1782" t="s">
        <v>4657</v>
      </c>
      <c r="H1782" t="s">
        <v>4699</v>
      </c>
      <c r="I1782" t="s">
        <v>50</v>
      </c>
      <c r="J1782" t="s">
        <v>348</v>
      </c>
      <c r="K1782" t="s">
        <v>21</v>
      </c>
      <c r="L1782" t="s">
        <v>3123</v>
      </c>
      <c r="N1782" t="s">
        <v>2188</v>
      </c>
      <c r="O1782" t="s">
        <v>4577</v>
      </c>
    </row>
    <row r="1783" spans="1:15" x14ac:dyDescent="0.25">
      <c r="A1783">
        <v>1782</v>
      </c>
      <c r="B1783" t="str">
        <f>HYPERLINK("https://digitalcommons.unl.edu/cgi/viewcontent.cgi?article=2828&amp;context=tractormuseumlit","Click for test report")</f>
        <v>Click for test report</v>
      </c>
      <c r="C1783">
        <v>1983</v>
      </c>
      <c r="D1783" t="s">
        <v>4698</v>
      </c>
      <c r="F1783" t="s">
        <v>4656</v>
      </c>
      <c r="G1783" t="s">
        <v>4657</v>
      </c>
      <c r="H1783" t="s">
        <v>4699</v>
      </c>
      <c r="I1783" t="s">
        <v>50</v>
      </c>
      <c r="J1783" t="s">
        <v>20</v>
      </c>
      <c r="K1783" t="s">
        <v>21</v>
      </c>
      <c r="L1783" t="s">
        <v>3123</v>
      </c>
      <c r="N1783" t="s">
        <v>2188</v>
      </c>
      <c r="O1783" t="s">
        <v>4576</v>
      </c>
    </row>
    <row r="1784" spans="1:15" x14ac:dyDescent="0.25">
      <c r="A1784">
        <v>1783</v>
      </c>
      <c r="B1784" t="str">
        <f>HYPERLINK("https://digitalcommons.unl.edu/cgi/viewcontent.cgi?article=2829&amp;context=tractormuseumlit","Click for test report")</f>
        <v>Click for test report</v>
      </c>
      <c r="C1784">
        <v>1983</v>
      </c>
      <c r="D1784" t="s">
        <v>4696</v>
      </c>
      <c r="F1784" t="s">
        <v>4656</v>
      </c>
      <c r="G1784" t="s">
        <v>4657</v>
      </c>
      <c r="H1784" t="s">
        <v>4697</v>
      </c>
      <c r="I1784" t="s">
        <v>50</v>
      </c>
      <c r="J1784" t="s">
        <v>348</v>
      </c>
      <c r="K1784" t="s">
        <v>21</v>
      </c>
      <c r="L1784" t="s">
        <v>1864</v>
      </c>
      <c r="N1784" t="s">
        <v>404</v>
      </c>
      <c r="O1784" t="s">
        <v>4577</v>
      </c>
    </row>
    <row r="1785" spans="1:15" x14ac:dyDescent="0.25">
      <c r="A1785">
        <v>1784</v>
      </c>
      <c r="B1785" t="str">
        <f>HYPERLINK("https://digitalcommons.unl.edu/cgi/viewcontent.cgi?article=2829&amp;context=tractormuseumlit","Click for test report")</f>
        <v>Click for test report</v>
      </c>
      <c r="C1785">
        <v>1983</v>
      </c>
      <c r="D1785" t="s">
        <v>4696</v>
      </c>
      <c r="F1785" t="s">
        <v>4656</v>
      </c>
      <c r="G1785" t="s">
        <v>4657</v>
      </c>
      <c r="H1785" t="s">
        <v>4697</v>
      </c>
      <c r="I1785" t="s">
        <v>50</v>
      </c>
      <c r="J1785" t="s">
        <v>20</v>
      </c>
      <c r="K1785" t="s">
        <v>21</v>
      </c>
      <c r="L1785" t="s">
        <v>1864</v>
      </c>
      <c r="N1785" t="s">
        <v>404</v>
      </c>
      <c r="O1785" t="s">
        <v>4576</v>
      </c>
    </row>
    <row r="1786" spans="1:15" x14ac:dyDescent="0.25">
      <c r="A1786">
        <v>1785</v>
      </c>
      <c r="B1786" t="str">
        <f>HYPERLINK("https://digitalcommons.unl.edu/cgi/viewcontent.cgi?article=2830&amp;context=tractormuseumlit","Click for test report")</f>
        <v>Click for test report</v>
      </c>
      <c r="C1786">
        <v>1983</v>
      </c>
      <c r="D1786" t="s">
        <v>4692</v>
      </c>
      <c r="F1786" t="s">
        <v>4426</v>
      </c>
      <c r="G1786" t="s">
        <v>3166</v>
      </c>
      <c r="H1786" t="s">
        <v>4693</v>
      </c>
      <c r="I1786" t="s">
        <v>3474</v>
      </c>
      <c r="J1786" t="s">
        <v>348</v>
      </c>
      <c r="K1786" t="s">
        <v>21</v>
      </c>
      <c r="L1786" t="s">
        <v>23</v>
      </c>
      <c r="N1786" t="s">
        <v>247</v>
      </c>
      <c r="O1786" t="s">
        <v>4695</v>
      </c>
    </row>
    <row r="1787" spans="1:15" x14ac:dyDescent="0.25">
      <c r="A1787">
        <v>1786</v>
      </c>
      <c r="B1787" t="str">
        <f>HYPERLINK("https://digitalcommons.unl.edu/cgi/viewcontent.cgi?article=2830&amp;context=tractormuseumlit","Click for test report")</f>
        <v>Click for test report</v>
      </c>
      <c r="C1787">
        <v>1983</v>
      </c>
      <c r="D1787" t="s">
        <v>4692</v>
      </c>
      <c r="F1787" t="s">
        <v>4426</v>
      </c>
      <c r="G1787" t="s">
        <v>3166</v>
      </c>
      <c r="H1787" t="s">
        <v>4693</v>
      </c>
      <c r="I1787" t="s">
        <v>3474</v>
      </c>
      <c r="J1787" t="s">
        <v>20</v>
      </c>
      <c r="K1787" t="s">
        <v>21</v>
      </c>
      <c r="L1787" t="s">
        <v>23</v>
      </c>
      <c r="N1787" t="s">
        <v>247</v>
      </c>
      <c r="O1787" t="s">
        <v>4694</v>
      </c>
    </row>
    <row r="1788" spans="1:15" x14ac:dyDescent="0.25">
      <c r="A1788">
        <v>1787</v>
      </c>
      <c r="B1788" t="str">
        <f>HYPERLINK("https://digitalcommons.unl.edu/cgi/viewcontent.cgi?article=2831&amp;context=tractormuseumlit","Click for test report")</f>
        <v>Click for test report</v>
      </c>
      <c r="C1788">
        <v>1983</v>
      </c>
      <c r="D1788" t="s">
        <v>4691</v>
      </c>
      <c r="F1788" t="s">
        <v>17</v>
      </c>
      <c r="G1788" t="s">
        <v>17</v>
      </c>
      <c r="H1788" t="s">
        <v>690</v>
      </c>
      <c r="I1788" t="s">
        <v>1961</v>
      </c>
      <c r="J1788" t="s">
        <v>348</v>
      </c>
      <c r="K1788" t="s">
        <v>21</v>
      </c>
      <c r="L1788" t="s">
        <v>410</v>
      </c>
      <c r="N1788" t="s">
        <v>1802</v>
      </c>
      <c r="O1788" t="s">
        <v>3371</v>
      </c>
    </row>
    <row r="1789" spans="1:15" x14ac:dyDescent="0.25">
      <c r="A1789">
        <v>1788</v>
      </c>
      <c r="B1789" t="str">
        <f>HYPERLINK("https://digitalcommons.unl.edu/cgi/viewcontent.cgi?article=2832&amp;context=tractormuseumlit","Click for test report")</f>
        <v>Click for test report</v>
      </c>
      <c r="C1789">
        <v>1983</v>
      </c>
      <c r="D1789" t="s">
        <v>4689</v>
      </c>
      <c r="F1789" t="s">
        <v>17</v>
      </c>
      <c r="G1789" t="s">
        <v>17</v>
      </c>
      <c r="H1789" t="s">
        <v>4690</v>
      </c>
      <c r="I1789" t="s">
        <v>1961</v>
      </c>
      <c r="J1789" t="s">
        <v>348</v>
      </c>
      <c r="K1789" t="s">
        <v>21</v>
      </c>
      <c r="L1789" t="s">
        <v>404</v>
      </c>
      <c r="N1789" t="s">
        <v>407</v>
      </c>
      <c r="O1789" t="s">
        <v>3371</v>
      </c>
    </row>
    <row r="1790" spans="1:15" x14ac:dyDescent="0.25">
      <c r="A1790">
        <v>1789</v>
      </c>
      <c r="B1790" t="str">
        <f>HYPERLINK("https://digitalcommons.unl.edu/cgi/viewcontent.cgi?article=2833&amp;context=tractormuseumlit","Click for test report")</f>
        <v>Click for test report</v>
      </c>
      <c r="C1790">
        <v>1983</v>
      </c>
      <c r="D1790" t="s">
        <v>4687</v>
      </c>
      <c r="F1790" t="s">
        <v>17</v>
      </c>
      <c r="G1790" t="s">
        <v>17</v>
      </c>
      <c r="H1790" t="s">
        <v>4688</v>
      </c>
      <c r="I1790" t="s">
        <v>1961</v>
      </c>
      <c r="J1790" t="s">
        <v>348</v>
      </c>
      <c r="K1790" t="s">
        <v>21</v>
      </c>
      <c r="L1790" t="s">
        <v>1350</v>
      </c>
      <c r="N1790" t="s">
        <v>404</v>
      </c>
      <c r="O1790" t="s">
        <v>3371</v>
      </c>
    </row>
    <row r="1791" spans="1:15" x14ac:dyDescent="0.25">
      <c r="A1791">
        <v>1790</v>
      </c>
      <c r="B1791" t="str">
        <f>HYPERLINK("https://digitalcommons.unl.edu/cgi/viewcontent.cgi?article=2834&amp;context=tractormuseumlit","Click for test report")</f>
        <v>Click for test report</v>
      </c>
      <c r="C1791">
        <v>1983</v>
      </c>
      <c r="D1791" t="s">
        <v>4685</v>
      </c>
      <c r="F1791" t="s">
        <v>17</v>
      </c>
      <c r="G1791" t="s">
        <v>17</v>
      </c>
      <c r="H1791" t="s">
        <v>4686</v>
      </c>
      <c r="I1791" t="s">
        <v>1961</v>
      </c>
      <c r="J1791" t="s">
        <v>348</v>
      </c>
      <c r="K1791" t="s">
        <v>21</v>
      </c>
      <c r="L1791" t="s">
        <v>58</v>
      </c>
      <c r="N1791" t="s">
        <v>728</v>
      </c>
      <c r="O1791" t="s">
        <v>3371</v>
      </c>
    </row>
    <row r="1792" spans="1:15" x14ac:dyDescent="0.25">
      <c r="A1792">
        <v>1791</v>
      </c>
      <c r="B1792" t="str">
        <f>HYPERLINK("https://digitalcommons.unl.edu/cgi/viewcontent.cgi?article=2835&amp;context=tractormuseumlit","Click for test report")</f>
        <v>Click for test report</v>
      </c>
      <c r="C1792">
        <v>1983</v>
      </c>
      <c r="D1792" t="s">
        <v>4683</v>
      </c>
      <c r="F1792" t="s">
        <v>17</v>
      </c>
      <c r="G1792" t="s">
        <v>17</v>
      </c>
      <c r="H1792" t="s">
        <v>4684</v>
      </c>
      <c r="I1792" t="s">
        <v>1961</v>
      </c>
      <c r="J1792" t="s">
        <v>348</v>
      </c>
      <c r="K1792" t="s">
        <v>21</v>
      </c>
      <c r="L1792" t="s">
        <v>1796</v>
      </c>
      <c r="N1792" t="s">
        <v>743</v>
      </c>
      <c r="O1792" t="s">
        <v>3371</v>
      </c>
    </row>
    <row r="1793" spans="1:15" x14ac:dyDescent="0.25">
      <c r="A1793">
        <v>1792</v>
      </c>
      <c r="B1793" t="str">
        <f>HYPERLINK("https://digitalcommons.unl.edu/cgi/viewcontent.cgi?article=2836&amp;context=tractormuseumlit","Click for test report")</f>
        <v>Click for test report</v>
      </c>
      <c r="C1793">
        <v>1983</v>
      </c>
      <c r="D1793" t="s">
        <v>4682</v>
      </c>
      <c r="F1793" t="s">
        <v>17</v>
      </c>
      <c r="G1793" t="s">
        <v>17</v>
      </c>
      <c r="H1793" t="s">
        <v>4319</v>
      </c>
      <c r="I1793" t="s">
        <v>1961</v>
      </c>
      <c r="J1793" t="s">
        <v>348</v>
      </c>
      <c r="K1793" t="s">
        <v>21</v>
      </c>
      <c r="L1793" t="s">
        <v>51</v>
      </c>
      <c r="N1793" t="s">
        <v>454</v>
      </c>
      <c r="O1793" t="s">
        <v>24</v>
      </c>
    </row>
    <row r="1794" spans="1:15" x14ac:dyDescent="0.25">
      <c r="A1794">
        <v>1793</v>
      </c>
      <c r="B1794" t="str">
        <f>HYPERLINK("https://digitalcommons.unl.edu/cgi/viewcontent.cgi?article=2837&amp;context=tractormuseumlit","Click for test report")</f>
        <v>Click for test report</v>
      </c>
      <c r="C1794">
        <v>1983</v>
      </c>
      <c r="D1794" t="s">
        <v>4680</v>
      </c>
      <c r="F1794" t="s">
        <v>17</v>
      </c>
      <c r="G1794" t="s">
        <v>17</v>
      </c>
      <c r="H1794" t="s">
        <v>4681</v>
      </c>
      <c r="I1794" t="s">
        <v>1961</v>
      </c>
      <c r="J1794" t="s">
        <v>348</v>
      </c>
      <c r="K1794" t="s">
        <v>21</v>
      </c>
      <c r="L1794" t="s">
        <v>2652</v>
      </c>
      <c r="N1794" t="s">
        <v>364</v>
      </c>
      <c r="O1794" t="s">
        <v>3371</v>
      </c>
    </row>
    <row r="1795" spans="1:15" x14ac:dyDescent="0.25">
      <c r="A1795">
        <v>1794</v>
      </c>
      <c r="B1795" t="str">
        <f>HYPERLINK("https://digitalcommons.unl.edu/cgi/viewcontent.cgi?article=2838&amp;context=tractormuseumlit","Click for test report")</f>
        <v>Click for test report</v>
      </c>
      <c r="C1795">
        <v>1983</v>
      </c>
      <c r="D1795" t="s">
        <v>4678</v>
      </c>
      <c r="F1795" t="s">
        <v>17</v>
      </c>
      <c r="G1795" t="s">
        <v>17</v>
      </c>
      <c r="H1795" t="s">
        <v>4679</v>
      </c>
      <c r="I1795" t="s">
        <v>1961</v>
      </c>
      <c r="J1795" t="s">
        <v>348</v>
      </c>
      <c r="K1795" t="s">
        <v>21</v>
      </c>
      <c r="L1795" t="s">
        <v>474</v>
      </c>
      <c r="N1795" t="s">
        <v>363</v>
      </c>
      <c r="O1795" t="s">
        <v>4568</v>
      </c>
    </row>
    <row r="1796" spans="1:15" x14ac:dyDescent="0.25">
      <c r="A1796">
        <v>1795</v>
      </c>
      <c r="B1796" t="str">
        <f>HYPERLINK("https://digitalcommons.unl.edu/cgi/viewcontent.cgi?article=2838&amp;context=tractormuseumlit","Click for test report")</f>
        <v>Click for test report</v>
      </c>
      <c r="C1796">
        <v>1983</v>
      </c>
      <c r="D1796" t="s">
        <v>4678</v>
      </c>
      <c r="F1796" t="s">
        <v>17</v>
      </c>
      <c r="G1796" t="s">
        <v>17</v>
      </c>
      <c r="H1796" t="s">
        <v>4679</v>
      </c>
      <c r="I1796" t="s">
        <v>1961</v>
      </c>
      <c r="J1796" t="s">
        <v>348</v>
      </c>
      <c r="K1796" t="s">
        <v>21</v>
      </c>
      <c r="L1796" t="s">
        <v>474</v>
      </c>
      <c r="N1796" t="s">
        <v>359</v>
      </c>
      <c r="O1796" t="s">
        <v>4567</v>
      </c>
    </row>
    <row r="1797" spans="1:15" x14ac:dyDescent="0.25">
      <c r="A1797">
        <v>1796</v>
      </c>
      <c r="B1797" t="str">
        <f>HYPERLINK("https://digitalcommons.unl.edu/cgi/viewcontent.cgi?article=2839&amp;context=tractormuseumlit","Click for test report")</f>
        <v>Click for test report</v>
      </c>
      <c r="C1797">
        <v>1983</v>
      </c>
      <c r="D1797" t="s">
        <v>4677</v>
      </c>
      <c r="F1797" t="s">
        <v>17</v>
      </c>
      <c r="G1797" t="s">
        <v>17</v>
      </c>
      <c r="H1797" t="s">
        <v>4083</v>
      </c>
      <c r="I1797" t="s">
        <v>1961</v>
      </c>
      <c r="J1797" t="s">
        <v>348</v>
      </c>
      <c r="K1797" t="s">
        <v>21</v>
      </c>
      <c r="L1797" t="s">
        <v>1821</v>
      </c>
      <c r="N1797" t="s">
        <v>527</v>
      </c>
      <c r="O1797" t="s">
        <v>4568</v>
      </c>
    </row>
    <row r="1798" spans="1:15" x14ac:dyDescent="0.25">
      <c r="A1798">
        <v>1797</v>
      </c>
      <c r="B1798" t="str">
        <f>HYPERLINK("https://digitalcommons.unl.edu/cgi/viewcontent.cgi?article=2839&amp;context=tractormuseumlit","Click for test report")</f>
        <v>Click for test report</v>
      </c>
      <c r="C1798">
        <v>1983</v>
      </c>
      <c r="D1798" t="s">
        <v>4677</v>
      </c>
      <c r="F1798" t="s">
        <v>17</v>
      </c>
      <c r="G1798" t="s">
        <v>17</v>
      </c>
      <c r="H1798" t="s">
        <v>4083</v>
      </c>
      <c r="I1798" t="s">
        <v>1961</v>
      </c>
      <c r="J1798" t="s">
        <v>348</v>
      </c>
      <c r="K1798" t="s">
        <v>21</v>
      </c>
      <c r="L1798" t="s">
        <v>1821</v>
      </c>
      <c r="N1798" t="s">
        <v>325</v>
      </c>
      <c r="O1798" t="s">
        <v>4567</v>
      </c>
    </row>
    <row r="1799" spans="1:15" x14ac:dyDescent="0.25">
      <c r="A1799">
        <v>1798</v>
      </c>
      <c r="B1799" t="str">
        <f>HYPERLINK("https://digitalcommons.unl.edu/cgi/viewcontent.cgi?article=2840&amp;context=tractormuseumlit","Click for test report")</f>
        <v>Click for test report</v>
      </c>
      <c r="C1799">
        <v>1983</v>
      </c>
      <c r="D1799" t="s">
        <v>4675</v>
      </c>
      <c r="F1799" t="s">
        <v>4671</v>
      </c>
      <c r="G1799" t="s">
        <v>778</v>
      </c>
      <c r="H1799" t="s">
        <v>4676</v>
      </c>
      <c r="I1799" t="s">
        <v>50</v>
      </c>
      <c r="J1799" t="s">
        <v>348</v>
      </c>
      <c r="K1799" t="s">
        <v>21</v>
      </c>
      <c r="L1799" t="s">
        <v>2090</v>
      </c>
      <c r="N1799" t="s">
        <v>2825</v>
      </c>
      <c r="O1799" t="s">
        <v>4446</v>
      </c>
    </row>
    <row r="1800" spans="1:15" x14ac:dyDescent="0.25">
      <c r="A1800">
        <v>1799</v>
      </c>
      <c r="B1800" t="str">
        <f>HYPERLINK("https://digitalcommons.unl.edu/cgi/viewcontent.cgi?article=2840&amp;context=tractormuseumlit","Click for test report")</f>
        <v>Click for test report</v>
      </c>
      <c r="C1800">
        <v>1983</v>
      </c>
      <c r="D1800" t="s">
        <v>4675</v>
      </c>
      <c r="F1800" t="s">
        <v>4671</v>
      </c>
      <c r="G1800" t="s">
        <v>778</v>
      </c>
      <c r="H1800" t="s">
        <v>4676</v>
      </c>
      <c r="I1800" t="s">
        <v>50</v>
      </c>
      <c r="J1800" t="s">
        <v>20</v>
      </c>
      <c r="K1800" t="s">
        <v>21</v>
      </c>
      <c r="L1800" t="s">
        <v>2090</v>
      </c>
      <c r="N1800" t="s">
        <v>2825</v>
      </c>
      <c r="O1800" t="s">
        <v>4445</v>
      </c>
    </row>
    <row r="1801" spans="1:15" x14ac:dyDescent="0.25">
      <c r="A1801">
        <v>1800</v>
      </c>
      <c r="B1801" t="str">
        <f>HYPERLINK("https://digitalcommons.unl.edu/cgi/viewcontent.cgi?article=2841&amp;context=tractormuseumlit","Click for test report")</f>
        <v>Click for test report</v>
      </c>
      <c r="C1801">
        <v>1983</v>
      </c>
      <c r="D1801" t="s">
        <v>4673</v>
      </c>
      <c r="F1801" t="s">
        <v>4671</v>
      </c>
      <c r="G1801" t="s">
        <v>778</v>
      </c>
      <c r="H1801" t="s">
        <v>4674</v>
      </c>
      <c r="I1801" t="s">
        <v>50</v>
      </c>
      <c r="J1801" t="s">
        <v>348</v>
      </c>
      <c r="K1801" t="s">
        <v>21</v>
      </c>
      <c r="L1801" t="s">
        <v>1970</v>
      </c>
      <c r="N1801" t="s">
        <v>410</v>
      </c>
      <c r="O1801" t="s">
        <v>4446</v>
      </c>
    </row>
    <row r="1802" spans="1:15" x14ac:dyDescent="0.25">
      <c r="A1802">
        <v>1801</v>
      </c>
      <c r="B1802" t="str">
        <f>HYPERLINK("https://digitalcommons.unl.edu/cgi/viewcontent.cgi?article=2841&amp;context=tractormuseumlit","Click for test report")</f>
        <v>Click for test report</v>
      </c>
      <c r="C1802">
        <v>1983</v>
      </c>
      <c r="D1802" t="s">
        <v>4673</v>
      </c>
      <c r="F1802" t="s">
        <v>4671</v>
      </c>
      <c r="G1802" t="s">
        <v>778</v>
      </c>
      <c r="H1802" t="s">
        <v>4674</v>
      </c>
      <c r="I1802" t="s">
        <v>50</v>
      </c>
      <c r="J1802" t="s">
        <v>20</v>
      </c>
      <c r="K1802" t="s">
        <v>21</v>
      </c>
      <c r="L1802" t="s">
        <v>1970</v>
      </c>
      <c r="N1802" t="s">
        <v>410</v>
      </c>
      <c r="O1802" t="s">
        <v>4445</v>
      </c>
    </row>
    <row r="1803" spans="1:15" x14ac:dyDescent="0.25">
      <c r="A1803">
        <v>1802</v>
      </c>
      <c r="B1803" t="str">
        <f>HYPERLINK("https://digitalcommons.unl.edu/cgi/viewcontent.cgi?article=2842&amp;context=tractormuseumlit","Click for test report")</f>
        <v>Click for test report</v>
      </c>
      <c r="C1803">
        <v>1983</v>
      </c>
      <c r="D1803" t="s">
        <v>4670</v>
      </c>
      <c r="F1803" t="s">
        <v>4671</v>
      </c>
      <c r="G1803" t="s">
        <v>778</v>
      </c>
      <c r="H1803" t="s">
        <v>4672</v>
      </c>
      <c r="I1803" t="s">
        <v>50</v>
      </c>
      <c r="J1803" t="s">
        <v>348</v>
      </c>
      <c r="K1803" t="s">
        <v>21</v>
      </c>
      <c r="L1803" t="s">
        <v>1257</v>
      </c>
      <c r="N1803" t="s">
        <v>404</v>
      </c>
      <c r="O1803" t="s">
        <v>4446</v>
      </c>
    </row>
    <row r="1804" spans="1:15" x14ac:dyDescent="0.25">
      <c r="A1804">
        <v>1803</v>
      </c>
      <c r="B1804" t="str">
        <f>HYPERLINK("https://digitalcommons.unl.edu/cgi/viewcontent.cgi?article=2842&amp;context=tractormuseumlit","Click for test report")</f>
        <v>Click for test report</v>
      </c>
      <c r="C1804">
        <v>1983</v>
      </c>
      <c r="D1804" t="s">
        <v>4670</v>
      </c>
      <c r="F1804" t="s">
        <v>4671</v>
      </c>
      <c r="G1804" t="s">
        <v>778</v>
      </c>
      <c r="H1804" t="s">
        <v>4672</v>
      </c>
      <c r="I1804" t="s">
        <v>50</v>
      </c>
      <c r="J1804" t="s">
        <v>20</v>
      </c>
      <c r="K1804" t="s">
        <v>21</v>
      </c>
      <c r="L1804" t="s">
        <v>1257</v>
      </c>
      <c r="N1804" t="s">
        <v>404</v>
      </c>
      <c r="O1804" t="s">
        <v>4445</v>
      </c>
    </row>
    <row r="1805" spans="1:15" x14ac:dyDescent="0.25">
      <c r="A1805">
        <v>1804</v>
      </c>
      <c r="B1805" t="str">
        <f>HYPERLINK("https://digitalcommons.unl.edu/cgi/viewcontent.cgi?article=2843&amp;context=tractormuseumlit","Click for test report")</f>
        <v>Click for test report</v>
      </c>
      <c r="C1805">
        <v>1983</v>
      </c>
      <c r="D1805" t="s">
        <v>4668</v>
      </c>
      <c r="F1805" t="s">
        <v>778</v>
      </c>
      <c r="G1805" t="s">
        <v>778</v>
      </c>
      <c r="H1805" t="s">
        <v>4669</v>
      </c>
      <c r="I1805" t="s">
        <v>1961</v>
      </c>
      <c r="J1805" t="s">
        <v>348</v>
      </c>
      <c r="K1805" t="s">
        <v>21</v>
      </c>
      <c r="L1805" t="s">
        <v>562</v>
      </c>
      <c r="N1805" t="s">
        <v>1867</v>
      </c>
      <c r="O1805" t="s">
        <v>4577</v>
      </c>
    </row>
    <row r="1806" spans="1:15" x14ac:dyDescent="0.25">
      <c r="A1806">
        <v>1805</v>
      </c>
      <c r="B1806" t="str">
        <f>HYPERLINK("https://digitalcommons.unl.edu/cgi/viewcontent.cgi?article=2843&amp;context=tractormuseumlit","Click for test report")</f>
        <v>Click for test report</v>
      </c>
      <c r="C1806">
        <v>1983</v>
      </c>
      <c r="D1806" t="s">
        <v>4668</v>
      </c>
      <c r="F1806" t="s">
        <v>778</v>
      </c>
      <c r="G1806" t="s">
        <v>778</v>
      </c>
      <c r="H1806" t="s">
        <v>4669</v>
      </c>
      <c r="I1806" t="s">
        <v>1961</v>
      </c>
      <c r="J1806" t="s">
        <v>20</v>
      </c>
      <c r="K1806" t="s">
        <v>21</v>
      </c>
      <c r="L1806" t="s">
        <v>562</v>
      </c>
      <c r="N1806" t="s">
        <v>1867</v>
      </c>
      <c r="O1806" t="s">
        <v>4576</v>
      </c>
    </row>
    <row r="1807" spans="1:15" x14ac:dyDescent="0.25">
      <c r="A1807">
        <v>1806</v>
      </c>
      <c r="B1807" t="str">
        <f>HYPERLINK("https://digitalcommons.unl.edu/cgi/viewcontent.cgi?article=2847&amp;context=tractormuseumlit","Click for test report")</f>
        <v>Click for test report</v>
      </c>
      <c r="C1807">
        <v>1983</v>
      </c>
      <c r="D1807" t="s">
        <v>4666</v>
      </c>
      <c r="F1807" t="s">
        <v>61</v>
      </c>
      <c r="G1807" t="s">
        <v>61</v>
      </c>
      <c r="H1807" t="s">
        <v>4667</v>
      </c>
      <c r="I1807" t="s">
        <v>50</v>
      </c>
      <c r="J1807" t="s">
        <v>29</v>
      </c>
      <c r="K1807" t="s">
        <v>21</v>
      </c>
      <c r="L1807" t="s">
        <v>75</v>
      </c>
      <c r="N1807" t="s">
        <v>469</v>
      </c>
      <c r="O1807" t="s">
        <v>3320</v>
      </c>
    </row>
    <row r="1808" spans="1:15" x14ac:dyDescent="0.25">
      <c r="A1808">
        <v>1807</v>
      </c>
      <c r="B1808" t="str">
        <f>HYPERLINK("https://digitalcommons.unl.edu/cgi/viewcontent.cgi?article=2848&amp;context=tractormuseumlit","Click for test report")</f>
        <v>Click for test report</v>
      </c>
      <c r="C1808">
        <v>1983</v>
      </c>
      <c r="D1808" t="s">
        <v>4663</v>
      </c>
      <c r="F1808" t="s">
        <v>61</v>
      </c>
      <c r="G1808" t="s">
        <v>61</v>
      </c>
      <c r="H1808" t="s">
        <v>4664</v>
      </c>
      <c r="I1808" t="s">
        <v>50</v>
      </c>
      <c r="J1808" t="s">
        <v>29</v>
      </c>
      <c r="K1808" t="s">
        <v>21</v>
      </c>
      <c r="L1808" t="s">
        <v>605</v>
      </c>
      <c r="N1808" t="s">
        <v>166</v>
      </c>
      <c r="O1808" t="s">
        <v>4665</v>
      </c>
    </row>
    <row r="1809" spans="1:15" x14ac:dyDescent="0.25">
      <c r="A1809">
        <v>1808</v>
      </c>
      <c r="B1809" t="str">
        <f>HYPERLINK("https://digitalcommons.unl.edu/cgi/viewcontent.cgi?article=2849&amp;context=tractormuseumlit","Click for test report")</f>
        <v>Click for test report</v>
      </c>
      <c r="C1809">
        <v>1983</v>
      </c>
      <c r="D1809" t="s">
        <v>4661</v>
      </c>
      <c r="F1809" t="s">
        <v>4290</v>
      </c>
      <c r="G1809" t="s">
        <v>4291</v>
      </c>
      <c r="H1809" t="s">
        <v>4662</v>
      </c>
      <c r="I1809" t="s">
        <v>50</v>
      </c>
      <c r="J1809" t="s">
        <v>348</v>
      </c>
      <c r="K1809" t="s">
        <v>21</v>
      </c>
      <c r="L1809" t="s">
        <v>2511</v>
      </c>
      <c r="N1809" t="s">
        <v>2699</v>
      </c>
      <c r="O1809" t="s">
        <v>4446</v>
      </c>
    </row>
    <row r="1810" spans="1:15" x14ac:dyDescent="0.25">
      <c r="A1810">
        <v>1809</v>
      </c>
      <c r="B1810" t="str">
        <f>HYPERLINK("https://digitalcommons.unl.edu/cgi/viewcontent.cgi?article=2849&amp;context=tractormuseumlit","Click for test report")</f>
        <v>Click for test report</v>
      </c>
      <c r="C1810">
        <v>1983</v>
      </c>
      <c r="D1810" t="s">
        <v>4661</v>
      </c>
      <c r="F1810" t="s">
        <v>4290</v>
      </c>
      <c r="G1810" t="s">
        <v>4291</v>
      </c>
      <c r="H1810" t="s">
        <v>4662</v>
      </c>
      <c r="I1810" t="s">
        <v>50</v>
      </c>
      <c r="J1810" t="s">
        <v>20</v>
      </c>
      <c r="K1810" t="s">
        <v>21</v>
      </c>
      <c r="L1810" t="s">
        <v>2511</v>
      </c>
      <c r="N1810" t="s">
        <v>2699</v>
      </c>
      <c r="O1810" t="s">
        <v>4445</v>
      </c>
    </row>
    <row r="1811" spans="1:15" x14ac:dyDescent="0.25">
      <c r="A1811">
        <v>1810</v>
      </c>
      <c r="B1811" t="str">
        <f>HYPERLINK("https://digitalcommons.unl.edu/cgi/viewcontent.cgi?article=2850&amp;context=tractormuseumlit","Click for test report")</f>
        <v>Click for test report</v>
      </c>
      <c r="C1811">
        <v>1983</v>
      </c>
      <c r="D1811" t="s">
        <v>4659</v>
      </c>
      <c r="F1811" t="s">
        <v>4290</v>
      </c>
      <c r="G1811" t="s">
        <v>4291</v>
      </c>
      <c r="H1811" t="s">
        <v>4660</v>
      </c>
      <c r="I1811" t="s">
        <v>50</v>
      </c>
      <c r="J1811" t="s">
        <v>348</v>
      </c>
      <c r="K1811" t="s">
        <v>21</v>
      </c>
      <c r="L1811" t="s">
        <v>1864</v>
      </c>
      <c r="N1811" t="s">
        <v>1994</v>
      </c>
      <c r="O1811" t="s">
        <v>4446</v>
      </c>
    </row>
    <row r="1812" spans="1:15" x14ac:dyDescent="0.25">
      <c r="A1812">
        <v>1811</v>
      </c>
      <c r="B1812" t="str">
        <f>HYPERLINK("https://digitalcommons.unl.edu/cgi/viewcontent.cgi?article=2850&amp;context=tractormuseumlit","Click for test report")</f>
        <v>Click for test report</v>
      </c>
      <c r="C1812">
        <v>1983</v>
      </c>
      <c r="D1812" t="s">
        <v>4659</v>
      </c>
      <c r="F1812" t="s">
        <v>4290</v>
      </c>
      <c r="G1812" t="s">
        <v>4291</v>
      </c>
      <c r="H1812" t="s">
        <v>4660</v>
      </c>
      <c r="I1812" t="s">
        <v>50</v>
      </c>
      <c r="J1812" t="s">
        <v>20</v>
      </c>
      <c r="K1812" t="s">
        <v>21</v>
      </c>
      <c r="L1812" t="s">
        <v>1864</v>
      </c>
      <c r="N1812" t="s">
        <v>1994</v>
      </c>
      <c r="O1812" t="s">
        <v>4445</v>
      </c>
    </row>
    <row r="1813" spans="1:15" x14ac:dyDescent="0.25">
      <c r="A1813">
        <v>1812</v>
      </c>
      <c r="B1813" t="str">
        <f>HYPERLINK("https://digitalcommons.unl.edu/cgi/viewcontent.cgi?article=2851&amp;context=tractormuseumlit","Click for test report")</f>
        <v>Click for test report</v>
      </c>
      <c r="C1813">
        <v>1983</v>
      </c>
      <c r="D1813" t="s">
        <v>4655</v>
      </c>
      <c r="F1813" t="s">
        <v>4656</v>
      </c>
      <c r="G1813" t="s">
        <v>4657</v>
      </c>
      <c r="H1813" t="s">
        <v>4658</v>
      </c>
      <c r="I1813" t="s">
        <v>50</v>
      </c>
      <c r="J1813" t="s">
        <v>348</v>
      </c>
      <c r="K1813" t="s">
        <v>21</v>
      </c>
      <c r="L1813" t="s">
        <v>58</v>
      </c>
      <c r="N1813" t="s">
        <v>1350</v>
      </c>
      <c r="O1813" t="s">
        <v>4577</v>
      </c>
    </row>
    <row r="1814" spans="1:15" x14ac:dyDescent="0.25">
      <c r="A1814">
        <v>1813</v>
      </c>
      <c r="B1814" t="str">
        <f>HYPERLINK("https://digitalcommons.unl.edu/cgi/viewcontent.cgi?article=2851&amp;context=tractormuseumlit","Click for test report")</f>
        <v>Click for test report</v>
      </c>
      <c r="C1814">
        <v>1983</v>
      </c>
      <c r="D1814" t="s">
        <v>4655</v>
      </c>
      <c r="F1814" t="s">
        <v>4656</v>
      </c>
      <c r="G1814" t="s">
        <v>4657</v>
      </c>
      <c r="H1814" t="s">
        <v>4658</v>
      </c>
      <c r="I1814" t="s">
        <v>50</v>
      </c>
      <c r="J1814" t="s">
        <v>20</v>
      </c>
      <c r="K1814" t="s">
        <v>21</v>
      </c>
      <c r="L1814" t="s">
        <v>58</v>
      </c>
      <c r="N1814" t="s">
        <v>1350</v>
      </c>
      <c r="O1814" t="s">
        <v>4576</v>
      </c>
    </row>
    <row r="1815" spans="1:15" x14ac:dyDescent="0.25">
      <c r="A1815">
        <v>1814</v>
      </c>
      <c r="B1815" t="str">
        <f>HYPERLINK("https://digitalcommons.unl.edu/cgi/viewcontent.cgi?article=2852&amp;context=tractormuseumlit","Click for test report")</f>
        <v>Click for test report</v>
      </c>
      <c r="C1815">
        <v>1983</v>
      </c>
      <c r="D1815" t="s">
        <v>4651</v>
      </c>
      <c r="F1815" t="s">
        <v>4426</v>
      </c>
      <c r="G1815" t="s">
        <v>3166</v>
      </c>
      <c r="H1815" t="s">
        <v>4652</v>
      </c>
      <c r="I1815" t="s">
        <v>3474</v>
      </c>
      <c r="J1815" t="s">
        <v>348</v>
      </c>
      <c r="K1815" t="s">
        <v>21</v>
      </c>
      <c r="L1815" t="s">
        <v>55</v>
      </c>
      <c r="N1815" t="s">
        <v>1867</v>
      </c>
      <c r="O1815" t="s">
        <v>4654</v>
      </c>
    </row>
    <row r="1816" spans="1:15" x14ac:dyDescent="0.25">
      <c r="A1816">
        <v>1815</v>
      </c>
      <c r="B1816" t="str">
        <f>HYPERLINK("https://digitalcommons.unl.edu/cgi/viewcontent.cgi?article=2852&amp;context=tractormuseumlit","Click for test report")</f>
        <v>Click for test report</v>
      </c>
      <c r="C1816">
        <v>1983</v>
      </c>
      <c r="D1816" t="s">
        <v>4651</v>
      </c>
      <c r="F1816" t="s">
        <v>4426</v>
      </c>
      <c r="G1816" t="s">
        <v>3166</v>
      </c>
      <c r="H1816" t="s">
        <v>4652</v>
      </c>
      <c r="I1816" t="s">
        <v>3474</v>
      </c>
      <c r="J1816" t="s">
        <v>20</v>
      </c>
      <c r="K1816" t="s">
        <v>21</v>
      </c>
      <c r="L1816" t="s">
        <v>55</v>
      </c>
      <c r="N1816" t="s">
        <v>1867</v>
      </c>
      <c r="O1816" t="s">
        <v>4653</v>
      </c>
    </row>
    <row r="1817" spans="1:15" x14ac:dyDescent="0.25">
      <c r="A1817">
        <v>1816</v>
      </c>
      <c r="B1817" t="str">
        <f>HYPERLINK("https://digitalcommons.unl.edu/cgi/viewcontent.cgi?article=3688&amp;context=tractormuseumlit","Click for test report")</f>
        <v>Click for test report</v>
      </c>
      <c r="C1817">
        <v>1983</v>
      </c>
      <c r="D1817" t="s">
        <v>4650</v>
      </c>
      <c r="G1817" t="s">
        <v>322</v>
      </c>
      <c r="O1817" t="s">
        <v>24</v>
      </c>
    </row>
    <row r="1818" spans="1:15" x14ac:dyDescent="0.25">
      <c r="A1818">
        <v>1817</v>
      </c>
      <c r="B1818" t="str">
        <f>HYPERLINK("https://digitalcommons.unl.edu/cgi/viewcontent.cgi?article=3688&amp;context=tractormuseumlit","Click for test report")</f>
        <v>Click for test report</v>
      </c>
      <c r="C1818">
        <v>1983</v>
      </c>
      <c r="D1818" t="s">
        <v>4649</v>
      </c>
      <c r="G1818" t="s">
        <v>322</v>
      </c>
      <c r="O1818" t="s">
        <v>24</v>
      </c>
    </row>
    <row r="1819" spans="1:15" x14ac:dyDescent="0.25">
      <c r="A1819">
        <v>1818</v>
      </c>
      <c r="B1819" t="str">
        <f>HYPERLINK("https://digitalcommons.unl.edu/cgi/viewcontent.cgi?article=3688&amp;context=tractormuseumlit","Click for test report")</f>
        <v>Click for test report</v>
      </c>
      <c r="C1819">
        <v>1983</v>
      </c>
      <c r="D1819" t="s">
        <v>4648</v>
      </c>
      <c r="G1819" t="s">
        <v>322</v>
      </c>
      <c r="O1819" t="s">
        <v>24</v>
      </c>
    </row>
    <row r="1820" spans="1:15" x14ac:dyDescent="0.25">
      <c r="A1820">
        <v>1819</v>
      </c>
      <c r="B1820" t="str">
        <f>HYPERLINK("https://digitalcommons.unl.edu/cgi/viewcontent.cgi?article=2853&amp;context=tractormuseumlit","Click for test report")</f>
        <v>Click for test report</v>
      </c>
      <c r="C1820">
        <v>1983</v>
      </c>
      <c r="D1820" t="s">
        <v>4646</v>
      </c>
      <c r="F1820" t="s">
        <v>4395</v>
      </c>
      <c r="G1820" t="s">
        <v>3708</v>
      </c>
      <c r="H1820" t="s">
        <v>4647</v>
      </c>
      <c r="I1820" t="s">
        <v>50</v>
      </c>
      <c r="J1820" t="s">
        <v>348</v>
      </c>
      <c r="K1820" t="s">
        <v>21</v>
      </c>
      <c r="L1820" t="s">
        <v>3973</v>
      </c>
      <c r="N1820" t="s">
        <v>4440</v>
      </c>
      <c r="O1820" t="s">
        <v>3468</v>
      </c>
    </row>
    <row r="1821" spans="1:15" x14ac:dyDescent="0.25">
      <c r="A1821">
        <v>1820</v>
      </c>
      <c r="B1821" t="str">
        <f>HYPERLINK("https://digitalcommons.unl.edu/cgi/viewcontent.cgi?article=2854&amp;context=tractormuseumlit","Click for test report")</f>
        <v>Click for test report</v>
      </c>
      <c r="C1821">
        <v>1983</v>
      </c>
      <c r="D1821" t="s">
        <v>4644</v>
      </c>
      <c r="F1821" t="s">
        <v>4395</v>
      </c>
      <c r="G1821" t="s">
        <v>3708</v>
      </c>
      <c r="H1821" t="s">
        <v>4645</v>
      </c>
      <c r="I1821" t="s">
        <v>50</v>
      </c>
      <c r="J1821" t="s">
        <v>348</v>
      </c>
      <c r="K1821" t="s">
        <v>21</v>
      </c>
      <c r="L1821" t="s">
        <v>3973</v>
      </c>
      <c r="N1821" t="s">
        <v>4008</v>
      </c>
      <c r="O1821" t="s">
        <v>3468</v>
      </c>
    </row>
    <row r="1822" spans="1:15" x14ac:dyDescent="0.25">
      <c r="A1822">
        <v>1821</v>
      </c>
      <c r="B1822" t="str">
        <f>HYPERLINK("https://digitalcommons.unl.edu/cgi/viewcontent.cgi?article=2855&amp;context=tractormuseumlit","Click for test report")</f>
        <v>Click for test report</v>
      </c>
      <c r="C1822">
        <v>1983</v>
      </c>
      <c r="D1822" t="s">
        <v>4642</v>
      </c>
      <c r="F1822" t="s">
        <v>4395</v>
      </c>
      <c r="G1822" t="s">
        <v>3708</v>
      </c>
      <c r="H1822" t="s">
        <v>4643</v>
      </c>
      <c r="I1822" t="s">
        <v>50</v>
      </c>
      <c r="J1822" t="s">
        <v>348</v>
      </c>
      <c r="K1822" t="s">
        <v>21</v>
      </c>
      <c r="L1822" t="s">
        <v>3152</v>
      </c>
      <c r="N1822" t="s">
        <v>1893</v>
      </c>
      <c r="O1822" t="s">
        <v>3468</v>
      </c>
    </row>
    <row r="1823" spans="1:15" x14ac:dyDescent="0.25">
      <c r="A1823">
        <v>1822</v>
      </c>
      <c r="B1823" t="str">
        <f>HYPERLINK("https://digitalcommons.unl.edu/cgi/viewcontent.cgi?article=2856&amp;context=tractormuseumlit","Click for test report")</f>
        <v>Click for test report</v>
      </c>
      <c r="C1823">
        <v>1983</v>
      </c>
      <c r="D1823" t="s">
        <v>4640</v>
      </c>
      <c r="F1823" t="s">
        <v>4395</v>
      </c>
      <c r="G1823" t="s">
        <v>3708</v>
      </c>
      <c r="H1823" t="s">
        <v>4641</v>
      </c>
      <c r="I1823" t="s">
        <v>50</v>
      </c>
      <c r="J1823" t="s">
        <v>348</v>
      </c>
      <c r="K1823" t="s">
        <v>21</v>
      </c>
      <c r="L1823" t="s">
        <v>3152</v>
      </c>
      <c r="N1823" t="s">
        <v>3973</v>
      </c>
      <c r="O1823" t="s">
        <v>3468</v>
      </c>
    </row>
    <row r="1824" spans="1:15" x14ac:dyDescent="0.25">
      <c r="A1824">
        <v>1823</v>
      </c>
      <c r="B1824" t="str">
        <f>HYPERLINK("https://digitalcommons.unl.edu/cgi/viewcontent.cgi?article=2857&amp;context=tractormuseumlit","Click for test report")</f>
        <v>Click for test report</v>
      </c>
      <c r="C1824">
        <v>1983</v>
      </c>
      <c r="D1824" t="s">
        <v>4638</v>
      </c>
      <c r="F1824" t="s">
        <v>62</v>
      </c>
      <c r="G1824" t="s">
        <v>62</v>
      </c>
      <c r="H1824" t="s">
        <v>4639</v>
      </c>
      <c r="I1824" t="s">
        <v>50</v>
      </c>
      <c r="J1824" t="s">
        <v>348</v>
      </c>
      <c r="K1824" t="s">
        <v>21</v>
      </c>
      <c r="L1824" t="s">
        <v>2511</v>
      </c>
      <c r="N1824" t="s">
        <v>1893</v>
      </c>
      <c r="O1824" t="s">
        <v>4437</v>
      </c>
    </row>
    <row r="1825" spans="1:15" x14ac:dyDescent="0.25">
      <c r="A1825">
        <v>1824</v>
      </c>
      <c r="B1825" t="str">
        <f>HYPERLINK("https://digitalcommons.unl.edu/cgi/viewcontent.cgi?article=2857&amp;context=tractormuseumlit","Click for test report")</f>
        <v>Click for test report</v>
      </c>
      <c r="C1825">
        <v>1983</v>
      </c>
      <c r="D1825" t="s">
        <v>4638</v>
      </c>
      <c r="F1825" t="s">
        <v>62</v>
      </c>
      <c r="G1825" t="s">
        <v>62</v>
      </c>
      <c r="H1825" t="s">
        <v>4639</v>
      </c>
      <c r="I1825" t="s">
        <v>50</v>
      </c>
      <c r="J1825" t="s">
        <v>20</v>
      </c>
      <c r="K1825" t="s">
        <v>21</v>
      </c>
      <c r="L1825" t="s">
        <v>2511</v>
      </c>
      <c r="N1825" t="s">
        <v>1893</v>
      </c>
      <c r="O1825" t="s">
        <v>4436</v>
      </c>
    </row>
    <row r="1826" spans="1:15" x14ac:dyDescent="0.25">
      <c r="A1826">
        <v>1825</v>
      </c>
      <c r="B1826" t="str">
        <f>HYPERLINK("https://digitalcommons.unl.edu/cgi/viewcontent.cgi?article=2858&amp;context=tractormuseumlit","Click for test report")</f>
        <v>Click for test report</v>
      </c>
      <c r="C1826">
        <v>1983</v>
      </c>
      <c r="D1826" t="s">
        <v>4636</v>
      </c>
      <c r="F1826" t="s">
        <v>62</v>
      </c>
      <c r="G1826" t="s">
        <v>62</v>
      </c>
      <c r="H1826" t="s">
        <v>4637</v>
      </c>
      <c r="I1826" t="s">
        <v>50</v>
      </c>
      <c r="J1826" t="s">
        <v>348</v>
      </c>
      <c r="K1826" t="s">
        <v>21</v>
      </c>
      <c r="L1826" t="s">
        <v>1650</v>
      </c>
      <c r="N1826" t="s">
        <v>2627</v>
      </c>
      <c r="O1826" t="s">
        <v>4446</v>
      </c>
    </row>
    <row r="1827" spans="1:15" x14ac:dyDescent="0.25">
      <c r="A1827">
        <v>1826</v>
      </c>
      <c r="B1827" t="str">
        <f>HYPERLINK("https://digitalcommons.unl.edu/cgi/viewcontent.cgi?article=2858&amp;context=tractormuseumlit","Click for test report")</f>
        <v>Click for test report</v>
      </c>
      <c r="C1827">
        <v>1983</v>
      </c>
      <c r="D1827" t="s">
        <v>4636</v>
      </c>
      <c r="F1827" t="s">
        <v>62</v>
      </c>
      <c r="G1827" t="s">
        <v>62</v>
      </c>
      <c r="H1827" t="s">
        <v>4637</v>
      </c>
      <c r="I1827" t="s">
        <v>50</v>
      </c>
      <c r="J1827" t="s">
        <v>20</v>
      </c>
      <c r="K1827" t="s">
        <v>21</v>
      </c>
      <c r="L1827" t="s">
        <v>1650</v>
      </c>
      <c r="N1827" t="s">
        <v>2627</v>
      </c>
      <c r="O1827" t="s">
        <v>4445</v>
      </c>
    </row>
    <row r="1828" spans="1:15" x14ac:dyDescent="0.25">
      <c r="A1828">
        <v>1827</v>
      </c>
      <c r="B1828" t="str">
        <f>HYPERLINK("https://digitalcommons.unl.edu/cgi/viewcontent.cgi?article=2859&amp;context=tractormuseumlit","Click for test report")</f>
        <v>Click for test report</v>
      </c>
      <c r="C1828">
        <v>1983</v>
      </c>
      <c r="D1828" t="s">
        <v>4634</v>
      </c>
      <c r="F1828" t="s">
        <v>62</v>
      </c>
      <c r="G1828" t="s">
        <v>62</v>
      </c>
      <c r="H1828" t="s">
        <v>4635</v>
      </c>
      <c r="I1828" t="s">
        <v>50</v>
      </c>
      <c r="J1828" t="s">
        <v>348</v>
      </c>
      <c r="K1828" t="s">
        <v>21</v>
      </c>
      <c r="L1828" t="s">
        <v>353</v>
      </c>
      <c r="N1828" t="s">
        <v>1650</v>
      </c>
      <c r="O1828" t="s">
        <v>4446</v>
      </c>
    </row>
    <row r="1829" spans="1:15" x14ac:dyDescent="0.25">
      <c r="A1829">
        <v>1828</v>
      </c>
      <c r="B1829" t="str">
        <f>HYPERLINK("https://digitalcommons.unl.edu/cgi/viewcontent.cgi?article=2859&amp;context=tractormuseumlit","Click for test report")</f>
        <v>Click for test report</v>
      </c>
      <c r="C1829">
        <v>1983</v>
      </c>
      <c r="D1829" t="s">
        <v>4634</v>
      </c>
      <c r="F1829" t="s">
        <v>62</v>
      </c>
      <c r="G1829" t="s">
        <v>62</v>
      </c>
      <c r="H1829" t="s">
        <v>4635</v>
      </c>
      <c r="I1829" t="s">
        <v>50</v>
      </c>
      <c r="J1829" t="s">
        <v>20</v>
      </c>
      <c r="K1829" t="s">
        <v>21</v>
      </c>
      <c r="L1829" t="s">
        <v>353</v>
      </c>
      <c r="N1829" t="s">
        <v>1650</v>
      </c>
      <c r="O1829" t="s">
        <v>4445</v>
      </c>
    </row>
    <row r="1830" spans="1:15" x14ac:dyDescent="0.25">
      <c r="A1830">
        <v>1829</v>
      </c>
      <c r="B1830" t="str">
        <f>HYPERLINK("https://digitalcommons.unl.edu/cgi/viewcontent.cgi?article=2860&amp;context=tractormuseumlit","Click for test report")</f>
        <v>Click for test report</v>
      </c>
      <c r="C1830">
        <v>1983</v>
      </c>
      <c r="D1830" t="s">
        <v>4632</v>
      </c>
      <c r="F1830" t="s">
        <v>62</v>
      </c>
      <c r="G1830" t="s">
        <v>62</v>
      </c>
      <c r="H1830" t="s">
        <v>4633</v>
      </c>
      <c r="I1830" t="s">
        <v>50</v>
      </c>
      <c r="J1830" t="s">
        <v>348</v>
      </c>
      <c r="K1830" t="s">
        <v>21</v>
      </c>
      <c r="L1830" t="s">
        <v>747</v>
      </c>
      <c r="N1830" t="s">
        <v>404</v>
      </c>
      <c r="O1830" t="s">
        <v>4446</v>
      </c>
    </row>
    <row r="1831" spans="1:15" x14ac:dyDescent="0.25">
      <c r="A1831">
        <v>1830</v>
      </c>
      <c r="B1831" t="str">
        <f>HYPERLINK("https://digitalcommons.unl.edu/cgi/viewcontent.cgi?article=2860&amp;context=tractormuseumlit","Click for test report")</f>
        <v>Click for test report</v>
      </c>
      <c r="C1831">
        <v>1983</v>
      </c>
      <c r="D1831" t="s">
        <v>4632</v>
      </c>
      <c r="F1831" t="s">
        <v>62</v>
      </c>
      <c r="G1831" t="s">
        <v>62</v>
      </c>
      <c r="H1831" t="s">
        <v>4633</v>
      </c>
      <c r="I1831" t="s">
        <v>50</v>
      </c>
      <c r="J1831" t="s">
        <v>20</v>
      </c>
      <c r="K1831" t="s">
        <v>21</v>
      </c>
      <c r="L1831" t="s">
        <v>747</v>
      </c>
      <c r="N1831" t="s">
        <v>404</v>
      </c>
      <c r="O1831" t="s">
        <v>4445</v>
      </c>
    </row>
    <row r="1832" spans="1:15" x14ac:dyDescent="0.25">
      <c r="A1832">
        <v>1831</v>
      </c>
      <c r="B1832" t="str">
        <f>HYPERLINK("https://digitalcommons.unl.edu/cgi/viewcontent.cgi?article=2861&amp;context=tractormuseumlit","Click for test report")</f>
        <v>Click for test report</v>
      </c>
      <c r="C1832">
        <v>1983</v>
      </c>
      <c r="D1832" t="s">
        <v>4630</v>
      </c>
      <c r="F1832" t="s">
        <v>62</v>
      </c>
      <c r="G1832" t="s">
        <v>62</v>
      </c>
      <c r="H1832" t="s">
        <v>4631</v>
      </c>
      <c r="I1832" t="s">
        <v>50</v>
      </c>
      <c r="J1832" t="s">
        <v>348</v>
      </c>
      <c r="K1832" t="s">
        <v>21</v>
      </c>
      <c r="L1832" t="s">
        <v>58</v>
      </c>
      <c r="N1832" t="s">
        <v>1350</v>
      </c>
      <c r="O1832" t="s">
        <v>4446</v>
      </c>
    </row>
    <row r="1833" spans="1:15" x14ac:dyDescent="0.25">
      <c r="A1833">
        <v>1832</v>
      </c>
      <c r="B1833" t="str">
        <f>HYPERLINK("https://digitalcommons.unl.edu/cgi/viewcontent.cgi?article=2861&amp;context=tractormuseumlit","Click for test report")</f>
        <v>Click for test report</v>
      </c>
      <c r="C1833">
        <v>1983</v>
      </c>
      <c r="D1833" t="s">
        <v>4630</v>
      </c>
      <c r="F1833" t="s">
        <v>62</v>
      </c>
      <c r="G1833" t="s">
        <v>62</v>
      </c>
      <c r="H1833" t="s">
        <v>4631</v>
      </c>
      <c r="I1833" t="s">
        <v>50</v>
      </c>
      <c r="J1833" t="s">
        <v>20</v>
      </c>
      <c r="K1833" t="s">
        <v>21</v>
      </c>
      <c r="L1833" t="s">
        <v>58</v>
      </c>
      <c r="N1833" t="s">
        <v>1350</v>
      </c>
      <c r="O1833" t="s">
        <v>4445</v>
      </c>
    </row>
    <row r="1834" spans="1:15" x14ac:dyDescent="0.25">
      <c r="A1834">
        <v>1833</v>
      </c>
      <c r="B1834" t="str">
        <f>HYPERLINK("https://digitalcommons.unl.edu/cgi/viewcontent.cgi?article=2862&amp;context=tractormuseumlit","Click for test report")</f>
        <v>Click for test report</v>
      </c>
      <c r="C1834">
        <v>1983</v>
      </c>
      <c r="D1834" t="s">
        <v>4629</v>
      </c>
      <c r="F1834" t="s">
        <v>4583</v>
      </c>
      <c r="G1834" t="s">
        <v>3708</v>
      </c>
      <c r="H1834" t="s">
        <v>4582</v>
      </c>
      <c r="I1834" t="s">
        <v>50</v>
      </c>
      <c r="J1834" t="s">
        <v>348</v>
      </c>
      <c r="K1834" t="s">
        <v>21</v>
      </c>
      <c r="L1834" t="s">
        <v>4627</v>
      </c>
      <c r="N1834" t="s">
        <v>4628</v>
      </c>
      <c r="O1834" t="s">
        <v>24</v>
      </c>
    </row>
    <row r="1835" spans="1:15" x14ac:dyDescent="0.25">
      <c r="A1835">
        <v>1834</v>
      </c>
      <c r="B1835" t="str">
        <f>HYPERLINK("https://digitalcommons.unl.edu/cgi/viewcontent.cgi?article=2863&amp;context=tractormuseumlit","Click for test report")</f>
        <v>Click for test report</v>
      </c>
      <c r="C1835">
        <v>1983</v>
      </c>
      <c r="D1835" t="s">
        <v>4625</v>
      </c>
      <c r="F1835" t="s">
        <v>4583</v>
      </c>
      <c r="G1835" t="s">
        <v>3708</v>
      </c>
      <c r="H1835" t="s">
        <v>4626</v>
      </c>
      <c r="I1835" t="s">
        <v>50</v>
      </c>
      <c r="J1835" t="s">
        <v>348</v>
      </c>
      <c r="K1835" t="s">
        <v>21</v>
      </c>
      <c r="L1835" t="s">
        <v>4627</v>
      </c>
      <c r="N1835" t="s">
        <v>4628</v>
      </c>
      <c r="O1835" t="s">
        <v>4585</v>
      </c>
    </row>
    <row r="1836" spans="1:15" x14ac:dyDescent="0.25">
      <c r="A1836">
        <v>1835</v>
      </c>
      <c r="B1836" t="str">
        <f>HYPERLINK("https://digitalcommons.unl.edu/cgi/viewcontent.cgi?article=2864&amp;context=tractormuseumlit","Click for test report")</f>
        <v>Click for test report</v>
      </c>
      <c r="C1836">
        <v>1983</v>
      </c>
      <c r="D1836" t="s">
        <v>4624</v>
      </c>
      <c r="F1836" t="s">
        <v>4583</v>
      </c>
      <c r="G1836" t="s">
        <v>3708</v>
      </c>
      <c r="H1836" t="s">
        <v>3664</v>
      </c>
      <c r="I1836" t="s">
        <v>50</v>
      </c>
      <c r="J1836" t="s">
        <v>348</v>
      </c>
      <c r="K1836" t="s">
        <v>21</v>
      </c>
      <c r="L1836" t="s">
        <v>4358</v>
      </c>
      <c r="N1836" t="s">
        <v>4362</v>
      </c>
      <c r="O1836" t="s">
        <v>24</v>
      </c>
    </row>
    <row r="1837" spans="1:15" x14ac:dyDescent="0.25">
      <c r="A1837">
        <v>1836</v>
      </c>
      <c r="B1837" t="str">
        <f>HYPERLINK("https://digitalcommons.unl.edu/cgi/viewcontent.cgi?article=2865&amp;context=tractormuseumlit","Click for test report")</f>
        <v>Click for test report</v>
      </c>
      <c r="C1837">
        <v>1983</v>
      </c>
      <c r="D1837" t="s">
        <v>4622</v>
      </c>
      <c r="F1837" t="s">
        <v>4583</v>
      </c>
      <c r="G1837" t="s">
        <v>3708</v>
      </c>
      <c r="H1837" t="s">
        <v>4623</v>
      </c>
      <c r="I1837" t="s">
        <v>50</v>
      </c>
      <c r="J1837" t="s">
        <v>348</v>
      </c>
      <c r="K1837" t="s">
        <v>21</v>
      </c>
      <c r="L1837" t="s">
        <v>4358</v>
      </c>
      <c r="N1837" t="s">
        <v>4362</v>
      </c>
      <c r="O1837" t="s">
        <v>4585</v>
      </c>
    </row>
    <row r="1838" spans="1:15" x14ac:dyDescent="0.25">
      <c r="A1838">
        <v>1837</v>
      </c>
      <c r="B1838" t="str">
        <f>HYPERLINK("https://digitalcommons.unl.edu/cgi/viewcontent.cgi?article=2866&amp;context=tractormuseumlit","Click for test report")</f>
        <v>Click for test report</v>
      </c>
      <c r="C1838">
        <v>1983</v>
      </c>
      <c r="D1838" t="s">
        <v>4619</v>
      </c>
      <c r="F1838" t="s">
        <v>4615</v>
      </c>
      <c r="G1838" t="s">
        <v>17</v>
      </c>
      <c r="H1838" t="s">
        <v>4620</v>
      </c>
      <c r="I1838" t="s">
        <v>50</v>
      </c>
      <c r="J1838" t="s">
        <v>348</v>
      </c>
      <c r="K1838" t="s">
        <v>21</v>
      </c>
      <c r="L1838" t="s">
        <v>4449</v>
      </c>
      <c r="N1838" t="s">
        <v>4621</v>
      </c>
      <c r="O1838" t="s">
        <v>3468</v>
      </c>
    </row>
    <row r="1839" spans="1:15" x14ac:dyDescent="0.25">
      <c r="A1839">
        <v>1838</v>
      </c>
      <c r="B1839" t="str">
        <f>HYPERLINK("https://digitalcommons.unl.edu/cgi/viewcontent.cgi?article=2867&amp;context=tractormuseumlit","Click for test report")</f>
        <v>Click for test report</v>
      </c>
      <c r="C1839">
        <v>1983</v>
      </c>
      <c r="D1839" t="s">
        <v>4617</v>
      </c>
      <c r="F1839" t="s">
        <v>4615</v>
      </c>
      <c r="G1839" t="s">
        <v>17</v>
      </c>
      <c r="H1839" t="s">
        <v>4618</v>
      </c>
      <c r="I1839" t="s">
        <v>50</v>
      </c>
      <c r="J1839" t="s">
        <v>348</v>
      </c>
      <c r="K1839" t="s">
        <v>21</v>
      </c>
      <c r="L1839" t="s">
        <v>750</v>
      </c>
      <c r="N1839" t="s">
        <v>2090</v>
      </c>
      <c r="O1839" t="s">
        <v>4616</v>
      </c>
    </row>
    <row r="1840" spans="1:15" x14ac:dyDescent="0.25">
      <c r="A1840">
        <v>1839</v>
      </c>
      <c r="B1840" t="str">
        <f>HYPERLINK("https://digitalcommons.unl.edu/cgi/viewcontent.cgi?article=2868&amp;context=tractormuseumlit","Click for test report")</f>
        <v>Click for test report</v>
      </c>
      <c r="C1840">
        <v>1983</v>
      </c>
      <c r="D1840" t="s">
        <v>4614</v>
      </c>
      <c r="F1840" t="s">
        <v>4615</v>
      </c>
      <c r="G1840" t="s">
        <v>17</v>
      </c>
      <c r="H1840" t="s">
        <v>3988</v>
      </c>
      <c r="I1840" t="s">
        <v>50</v>
      </c>
      <c r="J1840" t="s">
        <v>348</v>
      </c>
      <c r="K1840" t="s">
        <v>21</v>
      </c>
      <c r="L1840" t="s">
        <v>1864</v>
      </c>
      <c r="N1840" t="s">
        <v>1994</v>
      </c>
      <c r="O1840" t="s">
        <v>4616</v>
      </c>
    </row>
    <row r="1841" spans="1:15" x14ac:dyDescent="0.25">
      <c r="A1841">
        <v>1840</v>
      </c>
      <c r="B1841" t="str">
        <f>HYPERLINK("https://digitalcommons.unl.edu/cgi/viewcontent.cgi?article=3325&amp;context=tractormuseumlit","Click for test report")</f>
        <v>Click for test report</v>
      </c>
      <c r="C1841">
        <v>1984</v>
      </c>
      <c r="E1841" t="s">
        <v>4612</v>
      </c>
      <c r="F1841" t="s">
        <v>4606</v>
      </c>
      <c r="G1841" t="s">
        <v>3472</v>
      </c>
      <c r="H1841" t="s">
        <v>4613</v>
      </c>
      <c r="I1841" t="s">
        <v>1961</v>
      </c>
      <c r="J1841" t="s">
        <v>20</v>
      </c>
      <c r="K1841" t="s">
        <v>21</v>
      </c>
      <c r="L1841" t="s">
        <v>461</v>
      </c>
      <c r="N1841" t="s">
        <v>58</v>
      </c>
      <c r="O1841" t="s">
        <v>24</v>
      </c>
    </row>
    <row r="1842" spans="1:15" x14ac:dyDescent="0.25">
      <c r="A1842">
        <v>1841</v>
      </c>
      <c r="B1842" t="str">
        <f>HYPERLINK("https://digitalcommons.unl.edu/cgi/viewcontent.cgi?article=3326&amp;context=tractormuseumlit","Click for test report")</f>
        <v>Click for test report</v>
      </c>
      <c r="C1842">
        <v>1984</v>
      </c>
      <c r="E1842" t="s">
        <v>4610</v>
      </c>
      <c r="F1842" t="s">
        <v>4606</v>
      </c>
      <c r="G1842" t="s">
        <v>3472</v>
      </c>
      <c r="H1842" t="s">
        <v>4611</v>
      </c>
      <c r="I1842" t="s">
        <v>1961</v>
      </c>
      <c r="J1842" t="s">
        <v>348</v>
      </c>
      <c r="K1842" t="s">
        <v>21</v>
      </c>
      <c r="L1842" t="s">
        <v>51</v>
      </c>
      <c r="N1842" t="s">
        <v>461</v>
      </c>
      <c r="O1842" t="s">
        <v>24</v>
      </c>
    </row>
    <row r="1843" spans="1:15" x14ac:dyDescent="0.25">
      <c r="A1843">
        <v>1842</v>
      </c>
      <c r="B1843" t="str">
        <f>HYPERLINK("https://digitalcommons.unl.edu/cgi/viewcontent.cgi?article=3327&amp;context=tractormuseumlit","Click for test report")</f>
        <v>Click for test report</v>
      </c>
      <c r="C1843">
        <v>1984</v>
      </c>
      <c r="E1843" t="s">
        <v>4608</v>
      </c>
      <c r="F1843" t="s">
        <v>4606</v>
      </c>
      <c r="G1843" t="s">
        <v>3472</v>
      </c>
      <c r="H1843" t="s">
        <v>4609</v>
      </c>
      <c r="I1843" t="s">
        <v>1961</v>
      </c>
      <c r="J1843" t="s">
        <v>20</v>
      </c>
      <c r="K1843" t="s">
        <v>21</v>
      </c>
      <c r="L1843" t="s">
        <v>127</v>
      </c>
      <c r="N1843" t="s">
        <v>562</v>
      </c>
      <c r="O1843" t="s">
        <v>24</v>
      </c>
    </row>
    <row r="1844" spans="1:15" x14ac:dyDescent="0.25">
      <c r="A1844">
        <v>1843</v>
      </c>
      <c r="B1844" t="str">
        <f>HYPERLINK("https://digitalcommons.unl.edu/cgi/viewcontent.cgi?article=3328&amp;context=tractormuseumlit","Click for test report")</f>
        <v>Click for test report</v>
      </c>
      <c r="C1844">
        <v>1984</v>
      </c>
      <c r="E1844" t="s">
        <v>4605</v>
      </c>
      <c r="F1844" t="s">
        <v>4606</v>
      </c>
      <c r="G1844" t="s">
        <v>3472</v>
      </c>
      <c r="H1844" t="s">
        <v>4607</v>
      </c>
      <c r="I1844" t="s">
        <v>1961</v>
      </c>
      <c r="J1844" t="s">
        <v>20</v>
      </c>
      <c r="K1844" t="s">
        <v>21</v>
      </c>
      <c r="L1844" t="s">
        <v>858</v>
      </c>
      <c r="N1844" t="s">
        <v>794</v>
      </c>
      <c r="O1844" t="s">
        <v>24</v>
      </c>
    </row>
    <row r="1845" spans="1:15" x14ac:dyDescent="0.25">
      <c r="A1845">
        <v>1844</v>
      </c>
      <c r="B1845" t="str">
        <f>HYPERLINK("https://digitalcommons.unl.edu/cgi/viewcontent.cgi?article=3329&amp;context=tractormuseumlit","Click for test report")</f>
        <v>Click for test report</v>
      </c>
      <c r="C1845">
        <v>1984</v>
      </c>
      <c r="E1845" t="s">
        <v>4602</v>
      </c>
      <c r="F1845" t="s">
        <v>4053</v>
      </c>
      <c r="G1845" t="s">
        <v>3168</v>
      </c>
      <c r="H1845" t="s">
        <v>4603</v>
      </c>
      <c r="I1845" t="s">
        <v>50</v>
      </c>
      <c r="J1845" t="s">
        <v>20</v>
      </c>
      <c r="K1845" t="s">
        <v>21</v>
      </c>
      <c r="L1845" t="s">
        <v>1397</v>
      </c>
      <c r="N1845" t="s">
        <v>23</v>
      </c>
      <c r="O1845" t="s">
        <v>4604</v>
      </c>
    </row>
    <row r="1846" spans="1:15" x14ac:dyDescent="0.25">
      <c r="A1846">
        <v>1845</v>
      </c>
      <c r="B1846" t="str">
        <f>HYPERLINK("https://digitalcommons.unl.edu/cgi/viewcontent.cgi?article=2697&amp;context=tractormuseumlit","Click for test report")</f>
        <v>Click for test report</v>
      </c>
      <c r="C1846">
        <v>1984</v>
      </c>
      <c r="D1846" t="s">
        <v>4468</v>
      </c>
      <c r="F1846" t="s">
        <v>3800</v>
      </c>
      <c r="G1846" t="s">
        <v>4473</v>
      </c>
      <c r="H1846" t="s">
        <v>4469</v>
      </c>
      <c r="I1846" t="s">
        <v>3474</v>
      </c>
      <c r="J1846" t="s">
        <v>29</v>
      </c>
      <c r="K1846" t="s">
        <v>21</v>
      </c>
      <c r="L1846" t="s">
        <v>115</v>
      </c>
      <c r="N1846" t="s">
        <v>2422</v>
      </c>
      <c r="O1846" t="s">
        <v>4601</v>
      </c>
    </row>
    <row r="1847" spans="1:15" x14ac:dyDescent="0.25">
      <c r="A1847">
        <v>1846</v>
      </c>
      <c r="B1847" t="str">
        <f>HYPERLINK("https://digitalcommons.unl.edu/cgi/viewcontent.cgi?article=2698&amp;context=tractormuseumlit","Click for test report")</f>
        <v>Click for test report</v>
      </c>
      <c r="C1847">
        <v>1984</v>
      </c>
      <c r="D1847" t="s">
        <v>4465</v>
      </c>
      <c r="F1847" t="s">
        <v>3800</v>
      </c>
      <c r="G1847" t="s">
        <v>4473</v>
      </c>
      <c r="H1847" t="s">
        <v>4466</v>
      </c>
      <c r="I1847" t="s">
        <v>3474</v>
      </c>
      <c r="J1847" t="s">
        <v>29</v>
      </c>
      <c r="K1847" t="s">
        <v>21</v>
      </c>
      <c r="L1847" t="s">
        <v>1444</v>
      </c>
      <c r="N1847" t="s">
        <v>510</v>
      </c>
      <c r="O1847" t="s">
        <v>4600</v>
      </c>
    </row>
    <row r="1848" spans="1:15" x14ac:dyDescent="0.25">
      <c r="A1848">
        <v>1847</v>
      </c>
      <c r="B1848" t="str">
        <f>HYPERLINK("https://digitalcommons.unl.edu/cgi/viewcontent.cgi?article=2699&amp;context=tractormuseumlit","Click for test report")</f>
        <v>Click for test report</v>
      </c>
      <c r="C1848">
        <v>1984</v>
      </c>
      <c r="D1848" t="s">
        <v>4462</v>
      </c>
      <c r="F1848" t="s">
        <v>3800</v>
      </c>
      <c r="G1848" t="s">
        <v>4473</v>
      </c>
      <c r="H1848" t="s">
        <v>4463</v>
      </c>
      <c r="I1848" t="s">
        <v>3474</v>
      </c>
      <c r="J1848" t="s">
        <v>29</v>
      </c>
      <c r="K1848" t="s">
        <v>21</v>
      </c>
      <c r="L1848" t="s">
        <v>231</v>
      </c>
      <c r="N1848" t="s">
        <v>65</v>
      </c>
      <c r="O1848" t="s">
        <v>4599</v>
      </c>
    </row>
    <row r="1849" spans="1:15" x14ac:dyDescent="0.25">
      <c r="A1849">
        <v>1848</v>
      </c>
      <c r="B1849" t="str">
        <f>HYPERLINK("https://digitalcommons.unl.edu/cgi/viewcontent.cgi?article=2725&amp;context=tractormuseumlit","Click for test report")</f>
        <v>Click for test report</v>
      </c>
      <c r="C1849">
        <v>1984</v>
      </c>
      <c r="D1849" t="s">
        <v>4595</v>
      </c>
      <c r="F1849" t="s">
        <v>3652</v>
      </c>
      <c r="G1849" t="s">
        <v>3652</v>
      </c>
      <c r="H1849" t="s">
        <v>4596</v>
      </c>
      <c r="I1849" t="s">
        <v>4597</v>
      </c>
      <c r="J1849" t="s">
        <v>29</v>
      </c>
      <c r="K1849" t="s">
        <v>21</v>
      </c>
      <c r="N1849" t="s">
        <v>950</v>
      </c>
      <c r="O1849" t="s">
        <v>4598</v>
      </c>
    </row>
    <row r="1850" spans="1:15" x14ac:dyDescent="0.25">
      <c r="A1850">
        <v>1849</v>
      </c>
      <c r="B1850" t="str">
        <f>HYPERLINK("https://digitalcommons.unl.edu/cgi/viewcontent.cgi?article=2749&amp;context=tractormuseumlit","Click for test report")</f>
        <v>Click for test report</v>
      </c>
      <c r="C1850">
        <v>1984</v>
      </c>
      <c r="D1850" t="s">
        <v>4592</v>
      </c>
      <c r="F1850" t="s">
        <v>3800</v>
      </c>
      <c r="G1850" t="s">
        <v>4473</v>
      </c>
      <c r="H1850" t="s">
        <v>4593</v>
      </c>
      <c r="I1850" t="s">
        <v>50</v>
      </c>
      <c r="J1850" t="s">
        <v>348</v>
      </c>
      <c r="K1850" t="s">
        <v>21</v>
      </c>
      <c r="L1850" t="s">
        <v>2090</v>
      </c>
      <c r="N1850" t="s">
        <v>3973</v>
      </c>
      <c r="O1850" t="s">
        <v>4594</v>
      </c>
    </row>
    <row r="1851" spans="1:15" x14ac:dyDescent="0.25">
      <c r="A1851">
        <v>1850</v>
      </c>
      <c r="B1851" t="str">
        <f>HYPERLINK("https://digitalcommons.unl.edu/cgi/viewcontent.cgi?article=2869&amp;context=tractormuseumlit","Click for test report")</f>
        <v>Click for test report</v>
      </c>
      <c r="C1851">
        <v>1984</v>
      </c>
      <c r="D1851" t="s">
        <v>4591</v>
      </c>
      <c r="F1851" t="s">
        <v>4583</v>
      </c>
      <c r="G1851" t="s">
        <v>3708</v>
      </c>
      <c r="H1851" t="s">
        <v>2361</v>
      </c>
      <c r="I1851" t="s">
        <v>50</v>
      </c>
      <c r="J1851" t="s">
        <v>348</v>
      </c>
      <c r="K1851" t="s">
        <v>21</v>
      </c>
      <c r="L1851" t="s">
        <v>4589</v>
      </c>
      <c r="N1851" t="s">
        <v>4590</v>
      </c>
      <c r="O1851" t="s">
        <v>24</v>
      </c>
    </row>
    <row r="1852" spans="1:15" x14ac:dyDescent="0.25">
      <c r="A1852">
        <v>1851</v>
      </c>
      <c r="B1852" t="str">
        <f>HYPERLINK("https://digitalcommons.unl.edu/cgi/viewcontent.cgi?article=2870&amp;context=tractormuseumlit","Click for test report")</f>
        <v>Click for test report</v>
      </c>
      <c r="C1852">
        <v>1984</v>
      </c>
      <c r="D1852" t="s">
        <v>4587</v>
      </c>
      <c r="F1852" t="s">
        <v>4583</v>
      </c>
      <c r="G1852" t="s">
        <v>3708</v>
      </c>
      <c r="H1852" t="s">
        <v>4588</v>
      </c>
      <c r="I1852" t="s">
        <v>50</v>
      </c>
      <c r="J1852" t="s">
        <v>348</v>
      </c>
      <c r="K1852" t="s">
        <v>21</v>
      </c>
      <c r="L1852" t="s">
        <v>4589</v>
      </c>
      <c r="N1852" t="s">
        <v>4590</v>
      </c>
      <c r="O1852" t="s">
        <v>4585</v>
      </c>
    </row>
    <row r="1853" spans="1:15" x14ac:dyDescent="0.25">
      <c r="A1853">
        <v>1852</v>
      </c>
      <c r="B1853" t="str">
        <f>HYPERLINK("https://digitalcommons.unl.edu/cgi/viewcontent.cgi?article=2871&amp;context=tractormuseumlit","Click for test report")</f>
        <v>Click for test report</v>
      </c>
      <c r="C1853">
        <v>1984</v>
      </c>
      <c r="D1853" t="s">
        <v>4586</v>
      </c>
      <c r="F1853" t="s">
        <v>4583</v>
      </c>
      <c r="G1853" t="s">
        <v>3708</v>
      </c>
      <c r="H1853" t="s">
        <v>1065</v>
      </c>
      <c r="I1853" t="s">
        <v>50</v>
      </c>
      <c r="J1853" t="s">
        <v>348</v>
      </c>
      <c r="K1853" t="s">
        <v>21</v>
      </c>
      <c r="L1853" t="s">
        <v>3388</v>
      </c>
      <c r="N1853" t="s">
        <v>4440</v>
      </c>
      <c r="O1853" t="s">
        <v>24</v>
      </c>
    </row>
    <row r="1854" spans="1:15" x14ac:dyDescent="0.25">
      <c r="A1854">
        <v>1853</v>
      </c>
      <c r="B1854" t="str">
        <f>HYPERLINK("https://digitalcommons.unl.edu/cgi/viewcontent.cgi?article=2872&amp;context=tractormuseumlit","Click for test report")</f>
        <v>Click for test report</v>
      </c>
      <c r="C1854">
        <v>1984</v>
      </c>
      <c r="D1854" t="s">
        <v>4582</v>
      </c>
      <c r="F1854" t="s">
        <v>4583</v>
      </c>
      <c r="G1854" t="s">
        <v>3708</v>
      </c>
      <c r="H1854" t="s">
        <v>4584</v>
      </c>
      <c r="I1854" t="s">
        <v>50</v>
      </c>
      <c r="J1854" t="s">
        <v>348</v>
      </c>
      <c r="K1854" t="s">
        <v>21</v>
      </c>
      <c r="L1854" t="s">
        <v>2825</v>
      </c>
      <c r="N1854" t="s">
        <v>4008</v>
      </c>
      <c r="O1854" t="s">
        <v>4585</v>
      </c>
    </row>
    <row r="1855" spans="1:15" x14ac:dyDescent="0.25">
      <c r="A1855">
        <v>1854</v>
      </c>
      <c r="B1855" t="str">
        <f>HYPERLINK("https://digitalcommons.unl.edu/cgi/viewcontent.cgi?article=2873&amp;context=tractormuseumlit","Click for test report")</f>
        <v>Click for test report</v>
      </c>
      <c r="C1855">
        <v>1984</v>
      </c>
      <c r="D1855" t="s">
        <v>4580</v>
      </c>
      <c r="F1855" t="s">
        <v>778</v>
      </c>
      <c r="G1855" t="s">
        <v>778</v>
      </c>
      <c r="H1855" t="s">
        <v>4581</v>
      </c>
      <c r="I1855" t="s">
        <v>1961</v>
      </c>
      <c r="J1855" t="s">
        <v>348</v>
      </c>
      <c r="K1855" t="s">
        <v>21</v>
      </c>
      <c r="L1855" t="s">
        <v>457</v>
      </c>
      <c r="N1855" t="s">
        <v>1867</v>
      </c>
      <c r="O1855" t="s">
        <v>4577</v>
      </c>
    </row>
    <row r="1856" spans="1:15" x14ac:dyDescent="0.25">
      <c r="A1856">
        <v>1855</v>
      </c>
      <c r="B1856" t="str">
        <f>HYPERLINK("https://digitalcommons.unl.edu/cgi/viewcontent.cgi?article=2873&amp;context=tractormuseumlit","Click for test report")</f>
        <v>Click for test report</v>
      </c>
      <c r="C1856">
        <v>1984</v>
      </c>
      <c r="D1856" t="s">
        <v>4580</v>
      </c>
      <c r="F1856" t="s">
        <v>778</v>
      </c>
      <c r="G1856" t="s">
        <v>778</v>
      </c>
      <c r="H1856" t="s">
        <v>4581</v>
      </c>
      <c r="I1856" t="s">
        <v>1961</v>
      </c>
      <c r="J1856" t="s">
        <v>20</v>
      </c>
      <c r="K1856" t="s">
        <v>21</v>
      </c>
      <c r="L1856" t="s">
        <v>457</v>
      </c>
      <c r="N1856" t="s">
        <v>1867</v>
      </c>
      <c r="O1856" t="s">
        <v>4576</v>
      </c>
    </row>
    <row r="1857" spans="1:15" x14ac:dyDescent="0.25">
      <c r="A1857">
        <v>1856</v>
      </c>
      <c r="B1857" t="str">
        <f>HYPERLINK("https://digitalcommons.unl.edu/cgi/viewcontent.cgi?article=2874&amp;context=tractormuseumlit","Click for test report")</f>
        <v>Click for test report</v>
      </c>
      <c r="C1857">
        <v>1984</v>
      </c>
      <c r="D1857" t="s">
        <v>4578</v>
      </c>
      <c r="F1857" t="s">
        <v>778</v>
      </c>
      <c r="G1857" t="s">
        <v>778</v>
      </c>
      <c r="H1857" t="s">
        <v>4579</v>
      </c>
      <c r="I1857" t="s">
        <v>1961</v>
      </c>
      <c r="J1857" t="s">
        <v>348</v>
      </c>
      <c r="K1857" t="s">
        <v>21</v>
      </c>
      <c r="L1857" t="s">
        <v>364</v>
      </c>
      <c r="N1857" t="s">
        <v>457</v>
      </c>
      <c r="O1857" t="s">
        <v>4577</v>
      </c>
    </row>
    <row r="1858" spans="1:15" x14ac:dyDescent="0.25">
      <c r="A1858">
        <v>1857</v>
      </c>
      <c r="B1858" t="str">
        <f>HYPERLINK("https://digitalcommons.unl.edu/cgi/viewcontent.cgi?article=2874&amp;context=tractormuseumlit","Click for test report")</f>
        <v>Click for test report</v>
      </c>
      <c r="C1858">
        <v>1984</v>
      </c>
      <c r="D1858" t="s">
        <v>4578</v>
      </c>
      <c r="F1858" t="s">
        <v>778</v>
      </c>
      <c r="G1858" t="s">
        <v>778</v>
      </c>
      <c r="H1858" t="s">
        <v>4579</v>
      </c>
      <c r="I1858" t="s">
        <v>1961</v>
      </c>
      <c r="J1858" t="s">
        <v>20</v>
      </c>
      <c r="K1858" t="s">
        <v>21</v>
      </c>
      <c r="L1858" t="s">
        <v>364</v>
      </c>
      <c r="N1858" t="s">
        <v>457</v>
      </c>
      <c r="O1858" t="s">
        <v>4576</v>
      </c>
    </row>
    <row r="1859" spans="1:15" x14ac:dyDescent="0.25">
      <c r="A1859">
        <v>1858</v>
      </c>
      <c r="B1859" t="str">
        <f>HYPERLINK("https://digitalcommons.unl.edu/cgi/viewcontent.cgi?article=2875&amp;context=tractormuseumlit","Click for test report")</f>
        <v>Click for test report</v>
      </c>
      <c r="C1859">
        <v>1984</v>
      </c>
      <c r="D1859" t="s">
        <v>4574</v>
      </c>
      <c r="F1859" t="s">
        <v>778</v>
      </c>
      <c r="G1859" t="s">
        <v>778</v>
      </c>
      <c r="H1859" t="s">
        <v>4575</v>
      </c>
      <c r="I1859" t="s">
        <v>1961</v>
      </c>
      <c r="J1859" t="s">
        <v>348</v>
      </c>
      <c r="K1859" t="s">
        <v>21</v>
      </c>
      <c r="L1859" t="s">
        <v>359</v>
      </c>
      <c r="N1859" t="s">
        <v>130</v>
      </c>
      <c r="O1859" t="s">
        <v>4577</v>
      </c>
    </row>
    <row r="1860" spans="1:15" x14ac:dyDescent="0.25">
      <c r="A1860">
        <v>1859</v>
      </c>
      <c r="B1860" t="str">
        <f>HYPERLINK("https://digitalcommons.unl.edu/cgi/viewcontent.cgi?article=2875&amp;context=tractormuseumlit","Click for test report")</f>
        <v>Click for test report</v>
      </c>
      <c r="C1860">
        <v>1984</v>
      </c>
      <c r="D1860" t="s">
        <v>4574</v>
      </c>
      <c r="F1860" t="s">
        <v>778</v>
      </c>
      <c r="G1860" t="s">
        <v>778</v>
      </c>
      <c r="H1860" t="s">
        <v>4575</v>
      </c>
      <c r="I1860" t="s">
        <v>1961</v>
      </c>
      <c r="J1860" t="s">
        <v>20</v>
      </c>
      <c r="K1860" t="s">
        <v>21</v>
      </c>
      <c r="L1860" t="s">
        <v>359</v>
      </c>
      <c r="N1860" t="s">
        <v>130</v>
      </c>
      <c r="O1860" t="s">
        <v>4576</v>
      </c>
    </row>
    <row r="1861" spans="1:15" x14ac:dyDescent="0.25">
      <c r="A1861">
        <v>1860</v>
      </c>
      <c r="B1861" t="str">
        <f>HYPERLINK("https://digitalcommons.unl.edu/cgi/viewcontent.cgi?article=2876&amp;context=tractormuseumlit","Click for test report")</f>
        <v>Click for test report</v>
      </c>
      <c r="C1861">
        <v>1984</v>
      </c>
      <c r="D1861" t="s">
        <v>4572</v>
      </c>
      <c r="F1861" t="s">
        <v>4395</v>
      </c>
      <c r="G1861" t="s">
        <v>3708</v>
      </c>
      <c r="H1861" t="s">
        <v>2514</v>
      </c>
      <c r="I1861" t="s">
        <v>1961</v>
      </c>
      <c r="J1861" t="s">
        <v>348</v>
      </c>
      <c r="K1861" t="s">
        <v>21</v>
      </c>
      <c r="L1861" t="s">
        <v>130</v>
      </c>
      <c r="N1861" t="s">
        <v>339</v>
      </c>
      <c r="O1861" t="s">
        <v>3371</v>
      </c>
    </row>
    <row r="1862" spans="1:15" x14ac:dyDescent="0.25">
      <c r="A1862">
        <v>1861</v>
      </c>
      <c r="B1862" t="str">
        <f>HYPERLINK("https://digitalcommons.unl.edu/cgi/viewcontent.cgi?article=2876&amp;context=tractormuseumlit","Click for test report")</f>
        <v>Click for test report</v>
      </c>
      <c r="C1862">
        <v>1984</v>
      </c>
      <c r="D1862" t="s">
        <v>4572</v>
      </c>
      <c r="F1862" t="s">
        <v>4395</v>
      </c>
      <c r="G1862" t="s">
        <v>3708</v>
      </c>
      <c r="H1862" t="s">
        <v>4573</v>
      </c>
      <c r="I1862" t="s">
        <v>1961</v>
      </c>
      <c r="J1862" t="s">
        <v>348</v>
      </c>
      <c r="K1862" t="s">
        <v>21</v>
      </c>
      <c r="L1862" t="s">
        <v>130</v>
      </c>
      <c r="N1862" t="s">
        <v>339</v>
      </c>
      <c r="O1862" t="s">
        <v>3371</v>
      </c>
    </row>
    <row r="1863" spans="1:15" x14ac:dyDescent="0.25">
      <c r="A1863">
        <v>1862</v>
      </c>
      <c r="B1863" t="str">
        <f>HYPERLINK("https://digitalcommons.unl.edu/cgi/viewcontent.cgi?article=2877&amp;context=tractormuseumlit","Click for test report")</f>
        <v>Click for test report</v>
      </c>
      <c r="C1863">
        <v>1984</v>
      </c>
      <c r="D1863" t="s">
        <v>4571</v>
      </c>
      <c r="F1863" t="s">
        <v>4395</v>
      </c>
      <c r="G1863" t="s">
        <v>3708</v>
      </c>
      <c r="H1863" t="s">
        <v>4532</v>
      </c>
      <c r="I1863" t="s">
        <v>1961</v>
      </c>
      <c r="J1863" t="s">
        <v>348</v>
      </c>
      <c r="K1863" t="s">
        <v>21</v>
      </c>
      <c r="L1863" t="s">
        <v>794</v>
      </c>
      <c r="N1863" t="s">
        <v>705</v>
      </c>
      <c r="O1863" t="s">
        <v>4568</v>
      </c>
    </row>
    <row r="1864" spans="1:15" x14ac:dyDescent="0.25">
      <c r="A1864">
        <v>1863</v>
      </c>
      <c r="B1864" t="str">
        <f>HYPERLINK("https://digitalcommons.unl.edu/cgi/viewcontent.cgi?article=2877&amp;context=tractormuseumlit","Click for test report")</f>
        <v>Click for test report</v>
      </c>
      <c r="C1864">
        <v>1984</v>
      </c>
      <c r="D1864" t="s">
        <v>4571</v>
      </c>
      <c r="F1864" t="s">
        <v>4395</v>
      </c>
      <c r="G1864" t="s">
        <v>3708</v>
      </c>
      <c r="H1864" t="s">
        <v>4532</v>
      </c>
      <c r="I1864" t="s">
        <v>1961</v>
      </c>
      <c r="J1864" t="s">
        <v>348</v>
      </c>
      <c r="K1864" t="s">
        <v>21</v>
      </c>
      <c r="L1864" t="s">
        <v>794</v>
      </c>
      <c r="N1864" t="s">
        <v>23</v>
      </c>
      <c r="O1864" t="s">
        <v>4567</v>
      </c>
    </row>
    <row r="1865" spans="1:15" x14ac:dyDescent="0.25">
      <c r="A1865">
        <v>1864</v>
      </c>
      <c r="B1865" t="str">
        <f>HYPERLINK("https://digitalcommons.unl.edu/cgi/viewcontent.cgi?article=2878&amp;context=tractormuseumlit","Click for test report")</f>
        <v>Click for test report</v>
      </c>
      <c r="C1865">
        <v>1984</v>
      </c>
      <c r="D1865" t="s">
        <v>4569</v>
      </c>
      <c r="F1865" t="s">
        <v>4395</v>
      </c>
      <c r="G1865" t="s">
        <v>3708</v>
      </c>
      <c r="H1865" t="s">
        <v>1118</v>
      </c>
      <c r="I1865" t="s">
        <v>1961</v>
      </c>
      <c r="J1865" t="s">
        <v>348</v>
      </c>
      <c r="K1865" t="s">
        <v>21</v>
      </c>
      <c r="L1865" t="s">
        <v>474</v>
      </c>
      <c r="N1865" t="s">
        <v>359</v>
      </c>
      <c r="O1865" t="s">
        <v>4568</v>
      </c>
    </row>
    <row r="1866" spans="1:15" x14ac:dyDescent="0.25">
      <c r="A1866">
        <v>1865</v>
      </c>
      <c r="B1866" t="str">
        <f>HYPERLINK("https://digitalcommons.unl.edu/cgi/viewcontent.cgi?article=2878&amp;context=tractormuseumlit","Click for test report")</f>
        <v>Click for test report</v>
      </c>
      <c r="C1866">
        <v>1984</v>
      </c>
      <c r="D1866" t="s">
        <v>4569</v>
      </c>
      <c r="F1866" t="s">
        <v>4395</v>
      </c>
      <c r="G1866" t="s">
        <v>3708</v>
      </c>
      <c r="H1866" t="s">
        <v>4570</v>
      </c>
      <c r="I1866" t="s">
        <v>1961</v>
      </c>
      <c r="J1866" t="s">
        <v>348</v>
      </c>
      <c r="K1866" t="s">
        <v>21</v>
      </c>
      <c r="L1866" t="s">
        <v>474</v>
      </c>
      <c r="N1866" t="s">
        <v>359</v>
      </c>
      <c r="O1866" t="s">
        <v>4568</v>
      </c>
    </row>
    <row r="1867" spans="1:15" x14ac:dyDescent="0.25">
      <c r="A1867">
        <v>1866</v>
      </c>
      <c r="B1867" t="str">
        <f>HYPERLINK("https://digitalcommons.unl.edu/cgi/viewcontent.cgi?article=2878&amp;context=tractormuseumlit","Click for test report")</f>
        <v>Click for test report</v>
      </c>
      <c r="C1867">
        <v>1984</v>
      </c>
      <c r="D1867" t="s">
        <v>4569</v>
      </c>
      <c r="F1867" t="s">
        <v>4395</v>
      </c>
      <c r="G1867" t="s">
        <v>3708</v>
      </c>
      <c r="H1867" t="s">
        <v>4570</v>
      </c>
      <c r="I1867" t="s">
        <v>1961</v>
      </c>
      <c r="J1867" t="s">
        <v>348</v>
      </c>
      <c r="K1867" t="s">
        <v>21</v>
      </c>
      <c r="L1867" t="s">
        <v>474</v>
      </c>
      <c r="N1867" t="s">
        <v>1397</v>
      </c>
      <c r="O1867" t="s">
        <v>4567</v>
      </c>
    </row>
    <row r="1868" spans="1:15" x14ac:dyDescent="0.25">
      <c r="A1868">
        <v>1867</v>
      </c>
      <c r="B1868" t="str">
        <f>HYPERLINK("https://digitalcommons.unl.edu/cgi/viewcontent.cgi?article=2879&amp;context=tractormuseumlit","Click for test report")</f>
        <v>Click for test report</v>
      </c>
      <c r="C1868">
        <v>1984</v>
      </c>
      <c r="D1868" t="s">
        <v>4566</v>
      </c>
      <c r="F1868" t="s">
        <v>4395</v>
      </c>
      <c r="G1868" t="s">
        <v>3708</v>
      </c>
      <c r="H1868" t="s">
        <v>4530</v>
      </c>
      <c r="I1868" t="s">
        <v>1961</v>
      </c>
      <c r="J1868" t="s">
        <v>348</v>
      </c>
      <c r="K1868" t="s">
        <v>21</v>
      </c>
      <c r="L1868" t="s">
        <v>150</v>
      </c>
      <c r="N1868" t="s">
        <v>325</v>
      </c>
      <c r="O1868" t="s">
        <v>4568</v>
      </c>
    </row>
    <row r="1869" spans="1:15" x14ac:dyDescent="0.25">
      <c r="A1869">
        <v>1868</v>
      </c>
      <c r="B1869" t="str">
        <f>HYPERLINK("https://digitalcommons.unl.edu/cgi/viewcontent.cgi?article=2879&amp;context=tractormuseumlit","Click for test report")</f>
        <v>Click for test report</v>
      </c>
      <c r="C1869">
        <v>1984</v>
      </c>
      <c r="D1869" t="s">
        <v>4566</v>
      </c>
      <c r="F1869" t="s">
        <v>4395</v>
      </c>
      <c r="G1869" t="s">
        <v>3708</v>
      </c>
      <c r="H1869" t="s">
        <v>4530</v>
      </c>
      <c r="I1869" t="s">
        <v>1961</v>
      </c>
      <c r="J1869" t="s">
        <v>348</v>
      </c>
      <c r="K1869" t="s">
        <v>21</v>
      </c>
      <c r="L1869" t="s">
        <v>150</v>
      </c>
      <c r="N1869" t="s">
        <v>439</v>
      </c>
      <c r="O1869" t="s">
        <v>4567</v>
      </c>
    </row>
    <row r="1870" spans="1:15" x14ac:dyDescent="0.25">
      <c r="A1870">
        <v>1869</v>
      </c>
      <c r="B1870" t="str">
        <f>HYPERLINK("https://digitalcommons.unl.edu/cgi/viewcontent.cgi?article=2880&amp;context=tractormuseumlit","Click for test report")</f>
        <v>Click for test report</v>
      </c>
      <c r="C1870">
        <v>1984</v>
      </c>
      <c r="D1870" t="s">
        <v>4564</v>
      </c>
      <c r="F1870" t="s">
        <v>61</v>
      </c>
      <c r="G1870" t="s">
        <v>61</v>
      </c>
      <c r="H1870" t="s">
        <v>4565</v>
      </c>
      <c r="I1870" t="s">
        <v>2964</v>
      </c>
      <c r="J1870" t="s">
        <v>29</v>
      </c>
      <c r="K1870" t="s">
        <v>21</v>
      </c>
      <c r="L1870" t="s">
        <v>343</v>
      </c>
      <c r="N1870" t="s">
        <v>1864</v>
      </c>
      <c r="O1870" t="s">
        <v>24</v>
      </c>
    </row>
    <row r="1871" spans="1:15" x14ac:dyDescent="0.25">
      <c r="A1871">
        <v>1870</v>
      </c>
      <c r="B1871" t="str">
        <f>HYPERLINK("https://digitalcommons.unl.edu/cgi/viewcontent.cgi?article=2881&amp;context=tractormuseumlit","Click for test report")</f>
        <v>Click for test report</v>
      </c>
      <c r="C1871">
        <v>1984</v>
      </c>
      <c r="D1871" t="s">
        <v>4562</v>
      </c>
      <c r="F1871" t="s">
        <v>778</v>
      </c>
      <c r="G1871" t="s">
        <v>778</v>
      </c>
      <c r="H1871" t="s">
        <v>4563</v>
      </c>
      <c r="I1871" t="s">
        <v>50</v>
      </c>
      <c r="J1871" t="s">
        <v>348</v>
      </c>
      <c r="K1871" t="s">
        <v>21</v>
      </c>
      <c r="L1871" t="s">
        <v>3388</v>
      </c>
      <c r="N1871" t="s">
        <v>4397</v>
      </c>
      <c r="O1871" t="s">
        <v>3468</v>
      </c>
    </row>
    <row r="1872" spans="1:15" x14ac:dyDescent="0.25">
      <c r="A1872">
        <v>1871</v>
      </c>
      <c r="B1872" t="str">
        <f>HYPERLINK("https://digitalcommons.unl.edu/cgi/viewcontent.cgi?article=2882&amp;context=tractormuseumlit","Click for test report")</f>
        <v>Click for test report</v>
      </c>
      <c r="C1872">
        <v>1984</v>
      </c>
      <c r="D1872" t="s">
        <v>4560</v>
      </c>
      <c r="F1872" t="s">
        <v>778</v>
      </c>
      <c r="G1872" t="s">
        <v>778</v>
      </c>
      <c r="H1872" t="s">
        <v>4561</v>
      </c>
      <c r="I1872" t="s">
        <v>50</v>
      </c>
      <c r="J1872" t="s">
        <v>348</v>
      </c>
      <c r="K1872" t="s">
        <v>21</v>
      </c>
      <c r="L1872" t="s">
        <v>2699</v>
      </c>
      <c r="N1872" t="s">
        <v>2825</v>
      </c>
      <c r="O1872" t="s">
        <v>3468</v>
      </c>
    </row>
    <row r="1873" spans="1:15" x14ac:dyDescent="0.25">
      <c r="A1873">
        <v>1872</v>
      </c>
      <c r="B1873" t="str">
        <f>HYPERLINK("https://digitalcommons.unl.edu/cgi/viewcontent.cgi?article=2883&amp;context=tractormuseumlit","Click for test report")</f>
        <v>Click for test report</v>
      </c>
      <c r="C1873">
        <v>1984</v>
      </c>
      <c r="D1873" t="s">
        <v>4559</v>
      </c>
      <c r="F1873" t="s">
        <v>778</v>
      </c>
      <c r="G1873" t="s">
        <v>778</v>
      </c>
      <c r="H1873" t="s">
        <v>4527</v>
      </c>
      <c r="I1873" t="s">
        <v>50</v>
      </c>
      <c r="J1873" t="s">
        <v>348</v>
      </c>
      <c r="K1873" t="s">
        <v>21</v>
      </c>
      <c r="L1873" t="s">
        <v>1970</v>
      </c>
      <c r="N1873" t="s">
        <v>407</v>
      </c>
      <c r="O1873" t="s">
        <v>3468</v>
      </c>
    </row>
    <row r="1874" spans="1:15" x14ac:dyDescent="0.25">
      <c r="A1874">
        <v>1873</v>
      </c>
      <c r="B1874" t="str">
        <f>HYPERLINK("https://digitalcommons.unl.edu/cgi/viewcontent.cgi?article=2884&amp;context=tractormuseumlit","Click for test report")</f>
        <v>Click for test report</v>
      </c>
      <c r="C1874">
        <v>1984</v>
      </c>
      <c r="D1874" t="s">
        <v>4557</v>
      </c>
      <c r="F1874" t="s">
        <v>778</v>
      </c>
      <c r="G1874" t="s">
        <v>778</v>
      </c>
      <c r="H1874" t="s">
        <v>4558</v>
      </c>
      <c r="I1874" t="s">
        <v>1961</v>
      </c>
      <c r="J1874" t="s">
        <v>348</v>
      </c>
      <c r="K1874" t="s">
        <v>21</v>
      </c>
      <c r="L1874" t="s">
        <v>1350</v>
      </c>
      <c r="N1874" t="s">
        <v>404</v>
      </c>
      <c r="O1874" t="s">
        <v>4555</v>
      </c>
    </row>
    <row r="1875" spans="1:15" x14ac:dyDescent="0.25">
      <c r="A1875">
        <v>1874</v>
      </c>
      <c r="B1875" t="str">
        <f>HYPERLINK("https://digitalcommons.unl.edu/cgi/viewcontent.cgi?article=2885&amp;context=tractormuseumlit","Click for test report")</f>
        <v>Click for test report</v>
      </c>
      <c r="C1875">
        <v>1984</v>
      </c>
      <c r="D1875" t="s">
        <v>4556</v>
      </c>
      <c r="F1875" t="s">
        <v>778</v>
      </c>
      <c r="G1875" t="s">
        <v>778</v>
      </c>
      <c r="H1875" t="s">
        <v>4554</v>
      </c>
      <c r="I1875" t="s">
        <v>50</v>
      </c>
      <c r="J1875" t="s">
        <v>348</v>
      </c>
      <c r="K1875" t="s">
        <v>21</v>
      </c>
      <c r="L1875" t="s">
        <v>746</v>
      </c>
      <c r="N1875" t="s">
        <v>2747</v>
      </c>
      <c r="O1875" t="s">
        <v>3468</v>
      </c>
    </row>
    <row r="1876" spans="1:15" x14ac:dyDescent="0.25">
      <c r="A1876">
        <v>1875</v>
      </c>
      <c r="B1876" t="str">
        <f>HYPERLINK("https://digitalcommons.unl.edu/cgi/viewcontent.cgi?article=2886&amp;context=tractormuseumlit","Click for test report")</f>
        <v>Click for test report</v>
      </c>
      <c r="C1876">
        <v>1984</v>
      </c>
      <c r="D1876" t="s">
        <v>4553</v>
      </c>
      <c r="F1876" t="s">
        <v>778</v>
      </c>
      <c r="G1876" t="s">
        <v>778</v>
      </c>
      <c r="H1876" t="s">
        <v>4554</v>
      </c>
      <c r="I1876" t="s">
        <v>1961</v>
      </c>
      <c r="J1876" t="s">
        <v>348</v>
      </c>
      <c r="K1876" t="s">
        <v>21</v>
      </c>
      <c r="L1876" t="s">
        <v>746</v>
      </c>
      <c r="N1876" t="s">
        <v>1257</v>
      </c>
      <c r="O1876" t="s">
        <v>4555</v>
      </c>
    </row>
    <row r="1877" spans="1:15" x14ac:dyDescent="0.25">
      <c r="A1877">
        <v>1876</v>
      </c>
      <c r="B1877" t="str">
        <f>HYPERLINK("https://digitalcommons.unl.edu/cgi/viewcontent.cgi?article=2887&amp;context=tractormuseumlit","Click for test report")</f>
        <v>Click for test report</v>
      </c>
      <c r="C1877">
        <v>1984</v>
      </c>
      <c r="D1877" t="s">
        <v>4552</v>
      </c>
      <c r="F1877" t="s">
        <v>3800</v>
      </c>
      <c r="G1877" t="s">
        <v>4473</v>
      </c>
      <c r="H1877" t="s">
        <v>1201</v>
      </c>
      <c r="I1877" t="s">
        <v>3474</v>
      </c>
      <c r="J1877" t="s">
        <v>348</v>
      </c>
      <c r="K1877" t="s">
        <v>21</v>
      </c>
      <c r="L1877" t="s">
        <v>23</v>
      </c>
      <c r="N1877" t="s">
        <v>46</v>
      </c>
      <c r="O1877" t="s">
        <v>3320</v>
      </c>
    </row>
    <row r="1878" spans="1:15" x14ac:dyDescent="0.25">
      <c r="A1878">
        <v>1877</v>
      </c>
      <c r="B1878" t="str">
        <f>HYPERLINK("https://digitalcommons.unl.edu/cgi/viewcontent.cgi?article=2887&amp;context=tractormuseumlit","Click for test report")</f>
        <v>Click for test report</v>
      </c>
      <c r="C1878">
        <v>1984</v>
      </c>
      <c r="D1878" t="s">
        <v>4552</v>
      </c>
      <c r="F1878" t="s">
        <v>3800</v>
      </c>
      <c r="G1878" t="s">
        <v>191</v>
      </c>
      <c r="H1878" t="s">
        <v>1201</v>
      </c>
      <c r="I1878" t="s">
        <v>3474</v>
      </c>
      <c r="J1878" t="s">
        <v>348</v>
      </c>
      <c r="K1878" t="s">
        <v>21</v>
      </c>
      <c r="L1878" t="s">
        <v>23</v>
      </c>
      <c r="N1878" t="s">
        <v>46</v>
      </c>
      <c r="O1878" t="s">
        <v>3320</v>
      </c>
    </row>
    <row r="1879" spans="1:15" x14ac:dyDescent="0.25">
      <c r="A1879">
        <v>1878</v>
      </c>
      <c r="B1879" t="str">
        <f>HYPERLINK("https://digitalcommons.unl.edu/cgi/viewcontent.cgi?article=2888&amp;context=tractormuseumlit","Click for test report")</f>
        <v>Click for test report</v>
      </c>
      <c r="C1879">
        <v>1984</v>
      </c>
      <c r="D1879" t="s">
        <v>4550</v>
      </c>
      <c r="F1879" t="s">
        <v>3800</v>
      </c>
      <c r="G1879" t="s">
        <v>4473</v>
      </c>
      <c r="H1879" t="s">
        <v>4551</v>
      </c>
      <c r="I1879" t="s">
        <v>3474</v>
      </c>
      <c r="J1879" t="s">
        <v>348</v>
      </c>
      <c r="K1879" t="s">
        <v>21</v>
      </c>
      <c r="L1879" t="s">
        <v>119</v>
      </c>
      <c r="N1879" t="s">
        <v>122</v>
      </c>
      <c r="O1879" t="s">
        <v>3320</v>
      </c>
    </row>
    <row r="1880" spans="1:15" x14ac:dyDescent="0.25">
      <c r="A1880">
        <v>1879</v>
      </c>
      <c r="B1880" t="str">
        <f>HYPERLINK("https://digitalcommons.unl.edu/cgi/viewcontent.cgi?article=2888&amp;context=tractormuseumlit","Click for test report")</f>
        <v>Click for test report</v>
      </c>
      <c r="C1880">
        <v>1984</v>
      </c>
      <c r="D1880" t="s">
        <v>4550</v>
      </c>
      <c r="F1880" t="s">
        <v>3800</v>
      </c>
      <c r="G1880" t="s">
        <v>191</v>
      </c>
      <c r="H1880" t="s">
        <v>4551</v>
      </c>
      <c r="I1880" t="s">
        <v>3474</v>
      </c>
      <c r="J1880" t="s">
        <v>348</v>
      </c>
      <c r="K1880" t="s">
        <v>21</v>
      </c>
      <c r="L1880" t="s">
        <v>119</v>
      </c>
      <c r="N1880" t="s">
        <v>122</v>
      </c>
      <c r="O1880" t="s">
        <v>3320</v>
      </c>
    </row>
    <row r="1881" spans="1:15" x14ac:dyDescent="0.25">
      <c r="A1881">
        <v>1880</v>
      </c>
      <c r="B1881" t="str">
        <f>HYPERLINK("https://digitalcommons.unl.edu/cgi/viewcontent.cgi?article=2889&amp;context=tractormuseumlit","Click for test report")</f>
        <v>Click for test report</v>
      </c>
      <c r="C1881">
        <v>1984</v>
      </c>
      <c r="D1881" t="s">
        <v>4549</v>
      </c>
      <c r="F1881" t="s">
        <v>3800</v>
      </c>
      <c r="G1881" t="s">
        <v>4473</v>
      </c>
      <c r="H1881" t="s">
        <v>4369</v>
      </c>
      <c r="I1881" t="s">
        <v>1808</v>
      </c>
      <c r="J1881" t="s">
        <v>348</v>
      </c>
      <c r="K1881" t="s">
        <v>21</v>
      </c>
      <c r="L1881" t="s">
        <v>1425</v>
      </c>
      <c r="N1881" t="s">
        <v>909</v>
      </c>
      <c r="O1881" t="s">
        <v>4546</v>
      </c>
    </row>
    <row r="1882" spans="1:15" x14ac:dyDescent="0.25">
      <c r="A1882">
        <v>1881</v>
      </c>
      <c r="B1882" t="str">
        <f>HYPERLINK("https://digitalcommons.unl.edu/cgi/viewcontent.cgi?article=2889&amp;context=tractormuseumlit","Click for test report")</f>
        <v>Click for test report</v>
      </c>
      <c r="C1882">
        <v>1984</v>
      </c>
      <c r="D1882" t="s">
        <v>4549</v>
      </c>
      <c r="F1882" t="s">
        <v>3800</v>
      </c>
      <c r="G1882" t="s">
        <v>191</v>
      </c>
      <c r="H1882" t="s">
        <v>4369</v>
      </c>
      <c r="I1882" t="s">
        <v>1808</v>
      </c>
      <c r="J1882" t="s">
        <v>348</v>
      </c>
      <c r="K1882" t="s">
        <v>21</v>
      </c>
      <c r="L1882" t="s">
        <v>1425</v>
      </c>
      <c r="N1882" t="s">
        <v>909</v>
      </c>
      <c r="O1882" t="s">
        <v>4546</v>
      </c>
    </row>
    <row r="1883" spans="1:15" x14ac:dyDescent="0.25">
      <c r="A1883">
        <v>1882</v>
      </c>
      <c r="B1883" t="str">
        <f>HYPERLINK("https://digitalcommons.unl.edu/cgi/viewcontent.cgi?article=2889&amp;context=tractormuseumlit","Click for test report")</f>
        <v>Click for test report</v>
      </c>
      <c r="C1883">
        <v>1984</v>
      </c>
      <c r="D1883" t="s">
        <v>4549</v>
      </c>
      <c r="F1883" t="s">
        <v>3800</v>
      </c>
      <c r="G1883" t="s">
        <v>4473</v>
      </c>
      <c r="H1883" t="s">
        <v>4369</v>
      </c>
      <c r="I1883" t="s">
        <v>1808</v>
      </c>
      <c r="J1883" t="s">
        <v>348</v>
      </c>
      <c r="K1883" t="s">
        <v>21</v>
      </c>
      <c r="L1883" t="s">
        <v>1425</v>
      </c>
      <c r="N1883" t="s">
        <v>527</v>
      </c>
      <c r="O1883" t="s">
        <v>4545</v>
      </c>
    </row>
    <row r="1884" spans="1:15" x14ac:dyDescent="0.25">
      <c r="A1884">
        <v>1883</v>
      </c>
      <c r="B1884" t="str">
        <f>HYPERLINK("https://digitalcommons.unl.edu/cgi/viewcontent.cgi?article=2889&amp;context=tractormuseumlit","Click for test report")</f>
        <v>Click for test report</v>
      </c>
      <c r="C1884">
        <v>1984</v>
      </c>
      <c r="D1884" t="s">
        <v>4549</v>
      </c>
      <c r="F1884" t="s">
        <v>3800</v>
      </c>
      <c r="G1884" t="s">
        <v>191</v>
      </c>
      <c r="H1884" t="s">
        <v>4369</v>
      </c>
      <c r="I1884" t="s">
        <v>1808</v>
      </c>
      <c r="J1884" t="s">
        <v>348</v>
      </c>
      <c r="K1884" t="s">
        <v>21</v>
      </c>
      <c r="L1884" t="s">
        <v>1425</v>
      </c>
      <c r="N1884" t="s">
        <v>527</v>
      </c>
      <c r="O1884" t="s">
        <v>4545</v>
      </c>
    </row>
    <row r="1885" spans="1:15" x14ac:dyDescent="0.25">
      <c r="A1885">
        <v>1884</v>
      </c>
      <c r="B1885" t="str">
        <f>HYPERLINK("https://digitalcommons.unl.edu/cgi/viewcontent.cgi?article=2890&amp;context=tractormuseumlit","Click for test report")</f>
        <v>Click for test report</v>
      </c>
      <c r="C1885">
        <v>1984</v>
      </c>
      <c r="D1885" t="s">
        <v>4547</v>
      </c>
      <c r="F1885" t="s">
        <v>3800</v>
      </c>
      <c r="G1885" t="s">
        <v>4473</v>
      </c>
      <c r="H1885" t="s">
        <v>4548</v>
      </c>
      <c r="I1885" t="s">
        <v>3474</v>
      </c>
      <c r="J1885" t="s">
        <v>20</v>
      </c>
      <c r="K1885" t="s">
        <v>21</v>
      </c>
      <c r="L1885" t="s">
        <v>1425</v>
      </c>
      <c r="N1885" t="s">
        <v>839</v>
      </c>
      <c r="O1885" t="s">
        <v>3320</v>
      </c>
    </row>
    <row r="1886" spans="1:15" x14ac:dyDescent="0.25">
      <c r="A1886">
        <v>1885</v>
      </c>
      <c r="B1886" t="str">
        <f>HYPERLINK("https://digitalcommons.unl.edu/cgi/viewcontent.cgi?article=2890&amp;context=tractormuseumlit","Click for test report")</f>
        <v>Click for test report</v>
      </c>
      <c r="C1886">
        <v>1984</v>
      </c>
      <c r="D1886" t="s">
        <v>4547</v>
      </c>
      <c r="F1886" t="s">
        <v>3800</v>
      </c>
      <c r="G1886" t="s">
        <v>191</v>
      </c>
      <c r="H1886" t="s">
        <v>4548</v>
      </c>
      <c r="I1886" t="s">
        <v>3474</v>
      </c>
      <c r="J1886" t="s">
        <v>20</v>
      </c>
      <c r="K1886" t="s">
        <v>21</v>
      </c>
      <c r="L1886" t="s">
        <v>1425</v>
      </c>
      <c r="N1886" t="s">
        <v>839</v>
      </c>
      <c r="O1886" t="s">
        <v>3320</v>
      </c>
    </row>
    <row r="1887" spans="1:15" x14ac:dyDescent="0.25">
      <c r="A1887">
        <v>1886</v>
      </c>
      <c r="B1887" t="str">
        <f>HYPERLINK("https://digitalcommons.unl.edu/cgi/viewcontent.cgi?article=2891&amp;context=tractormuseumlit","Click for test report")</f>
        <v>Click for test report</v>
      </c>
      <c r="C1887">
        <v>1984</v>
      </c>
      <c r="D1887" t="s">
        <v>4543</v>
      </c>
      <c r="F1887" t="s">
        <v>3800</v>
      </c>
      <c r="G1887" t="s">
        <v>4473</v>
      </c>
      <c r="H1887" t="s">
        <v>4544</v>
      </c>
      <c r="I1887" t="s">
        <v>1808</v>
      </c>
      <c r="J1887" t="s">
        <v>348</v>
      </c>
      <c r="K1887" t="s">
        <v>21</v>
      </c>
      <c r="L1887" t="s">
        <v>149</v>
      </c>
      <c r="N1887" t="s">
        <v>786</v>
      </c>
      <c r="O1887" t="s">
        <v>4546</v>
      </c>
    </row>
    <row r="1888" spans="1:15" x14ac:dyDescent="0.25">
      <c r="A1888">
        <v>1887</v>
      </c>
      <c r="B1888" t="str">
        <f>HYPERLINK("https://digitalcommons.unl.edu/cgi/viewcontent.cgi?article=2891&amp;context=tractormuseumlit","Click for test report")</f>
        <v>Click for test report</v>
      </c>
      <c r="C1888">
        <v>1984</v>
      </c>
      <c r="D1888" t="s">
        <v>4543</v>
      </c>
      <c r="F1888" t="s">
        <v>3800</v>
      </c>
      <c r="G1888" t="s">
        <v>4473</v>
      </c>
      <c r="H1888" t="s">
        <v>4544</v>
      </c>
      <c r="I1888" t="s">
        <v>1808</v>
      </c>
      <c r="J1888" t="s">
        <v>348</v>
      </c>
      <c r="K1888" t="s">
        <v>21</v>
      </c>
      <c r="L1888" t="s">
        <v>149</v>
      </c>
      <c r="N1888" t="s">
        <v>836</v>
      </c>
      <c r="O1888" t="s">
        <v>4545</v>
      </c>
    </row>
    <row r="1889" spans="1:15" x14ac:dyDescent="0.25">
      <c r="A1889">
        <v>1888</v>
      </c>
      <c r="B1889" t="str">
        <f>HYPERLINK("https://digitalcommons.unl.edu/cgi/viewcontent.cgi?article=2891&amp;context=tractormuseumlit","Click for test report")</f>
        <v>Click for test report</v>
      </c>
      <c r="C1889">
        <v>1984</v>
      </c>
      <c r="D1889" t="s">
        <v>4543</v>
      </c>
      <c r="F1889" t="s">
        <v>3800</v>
      </c>
      <c r="G1889" t="s">
        <v>191</v>
      </c>
      <c r="H1889" t="s">
        <v>4544</v>
      </c>
      <c r="I1889" t="s">
        <v>1808</v>
      </c>
      <c r="J1889" t="s">
        <v>348</v>
      </c>
      <c r="K1889" t="s">
        <v>21</v>
      </c>
      <c r="L1889" t="s">
        <v>149</v>
      </c>
      <c r="N1889" t="s">
        <v>786</v>
      </c>
      <c r="O1889" t="s">
        <v>4546</v>
      </c>
    </row>
    <row r="1890" spans="1:15" x14ac:dyDescent="0.25">
      <c r="A1890">
        <v>1889</v>
      </c>
      <c r="B1890" t="str">
        <f>HYPERLINK("https://digitalcommons.unl.edu/cgi/viewcontent.cgi?article=2891&amp;context=tractormuseumlit","Click for test report")</f>
        <v>Click for test report</v>
      </c>
      <c r="C1890">
        <v>1984</v>
      </c>
      <c r="D1890" t="s">
        <v>4543</v>
      </c>
      <c r="F1890" t="s">
        <v>3800</v>
      </c>
      <c r="G1890" t="s">
        <v>191</v>
      </c>
      <c r="H1890" t="s">
        <v>4544</v>
      </c>
      <c r="I1890" t="s">
        <v>1808</v>
      </c>
      <c r="J1890" t="s">
        <v>348</v>
      </c>
      <c r="K1890" t="s">
        <v>21</v>
      </c>
      <c r="L1890" t="s">
        <v>149</v>
      </c>
      <c r="N1890" t="s">
        <v>836</v>
      </c>
      <c r="O1890" t="s">
        <v>4545</v>
      </c>
    </row>
    <row r="1891" spans="1:15" x14ac:dyDescent="0.25">
      <c r="A1891">
        <v>1890</v>
      </c>
      <c r="B1891" t="str">
        <f>HYPERLINK("https://digitalcommons.unl.edu/cgi/viewcontent.cgi?article=2892&amp;context=tractormuseumlit","Click for test report")</f>
        <v>Click for test report</v>
      </c>
      <c r="C1891">
        <v>1984</v>
      </c>
      <c r="D1891" t="s">
        <v>4541</v>
      </c>
      <c r="F1891" t="s">
        <v>3800</v>
      </c>
      <c r="G1891" t="s">
        <v>4473</v>
      </c>
      <c r="H1891" t="s">
        <v>4542</v>
      </c>
      <c r="I1891" t="s">
        <v>28</v>
      </c>
      <c r="J1891" t="s">
        <v>29</v>
      </c>
      <c r="K1891" t="s">
        <v>21</v>
      </c>
      <c r="L1891" t="s">
        <v>4087</v>
      </c>
      <c r="N1891" t="s">
        <v>1059</v>
      </c>
      <c r="O1891" t="s">
        <v>3320</v>
      </c>
    </row>
    <row r="1892" spans="1:15" x14ac:dyDescent="0.25">
      <c r="A1892">
        <v>1891</v>
      </c>
      <c r="B1892" t="str">
        <f>HYPERLINK("https://digitalcommons.unl.edu/cgi/viewcontent.cgi?article=2892&amp;context=tractormuseumlit","Click for test report")</f>
        <v>Click for test report</v>
      </c>
      <c r="C1892">
        <v>1984</v>
      </c>
      <c r="D1892" t="s">
        <v>4541</v>
      </c>
      <c r="F1892" t="s">
        <v>3800</v>
      </c>
      <c r="G1892" t="s">
        <v>191</v>
      </c>
      <c r="H1892" t="s">
        <v>4542</v>
      </c>
      <c r="I1892" t="s">
        <v>28</v>
      </c>
      <c r="J1892" t="s">
        <v>29</v>
      </c>
      <c r="K1892" t="s">
        <v>21</v>
      </c>
      <c r="L1892" t="s">
        <v>4087</v>
      </c>
      <c r="N1892" t="s">
        <v>1059</v>
      </c>
      <c r="O1892" t="s">
        <v>3320</v>
      </c>
    </row>
    <row r="1893" spans="1:15" x14ac:dyDescent="0.25">
      <c r="A1893">
        <v>1892</v>
      </c>
      <c r="B1893" t="str">
        <f>HYPERLINK("https://digitalcommons.unl.edu/cgi/viewcontent.cgi?article=2893&amp;context=tractormuseumlit","Click for test report")</f>
        <v>Click for test report</v>
      </c>
      <c r="C1893">
        <v>1984</v>
      </c>
      <c r="D1893" t="s">
        <v>4539</v>
      </c>
      <c r="F1893" t="s">
        <v>4290</v>
      </c>
      <c r="G1893" t="s">
        <v>4291</v>
      </c>
      <c r="H1893" t="s">
        <v>4540</v>
      </c>
      <c r="I1893" t="s">
        <v>50</v>
      </c>
      <c r="J1893" t="s">
        <v>348</v>
      </c>
      <c r="K1893" t="s">
        <v>21</v>
      </c>
      <c r="L1893" t="s">
        <v>750</v>
      </c>
      <c r="N1893" t="s">
        <v>2511</v>
      </c>
      <c r="O1893" t="s">
        <v>4446</v>
      </c>
    </row>
    <row r="1894" spans="1:15" x14ac:dyDescent="0.25">
      <c r="A1894">
        <v>1893</v>
      </c>
      <c r="B1894" t="str">
        <f>HYPERLINK("https://digitalcommons.unl.edu/cgi/viewcontent.cgi?article=2893&amp;context=tractormuseumlit","Click for test report")</f>
        <v>Click for test report</v>
      </c>
      <c r="C1894">
        <v>1984</v>
      </c>
      <c r="D1894" t="s">
        <v>4539</v>
      </c>
      <c r="F1894" t="s">
        <v>4290</v>
      </c>
      <c r="G1894" t="s">
        <v>4291</v>
      </c>
      <c r="H1894" t="s">
        <v>4540</v>
      </c>
      <c r="I1894" t="s">
        <v>50</v>
      </c>
      <c r="J1894" t="s">
        <v>20</v>
      </c>
      <c r="K1894" t="s">
        <v>21</v>
      </c>
      <c r="L1894" t="s">
        <v>750</v>
      </c>
      <c r="N1894" t="s">
        <v>2511</v>
      </c>
      <c r="O1894" t="s">
        <v>4445</v>
      </c>
    </row>
    <row r="1895" spans="1:15" x14ac:dyDescent="0.25">
      <c r="A1895">
        <v>1894</v>
      </c>
      <c r="B1895" t="str">
        <f>HYPERLINK("https://digitalcommons.unl.edu/cgi/viewcontent.cgi?article=2894&amp;context=tractormuseumlit","Click for test report")</f>
        <v>Click for test report</v>
      </c>
      <c r="C1895">
        <v>1984</v>
      </c>
      <c r="D1895" t="s">
        <v>4537</v>
      </c>
      <c r="F1895" t="s">
        <v>4290</v>
      </c>
      <c r="G1895" t="s">
        <v>4291</v>
      </c>
      <c r="H1895" t="s">
        <v>4538</v>
      </c>
      <c r="I1895" t="s">
        <v>50</v>
      </c>
      <c r="J1895" t="s">
        <v>348</v>
      </c>
      <c r="K1895" t="s">
        <v>21</v>
      </c>
      <c r="L1895" t="s">
        <v>1347</v>
      </c>
      <c r="N1895" t="s">
        <v>1864</v>
      </c>
      <c r="O1895" t="s">
        <v>4446</v>
      </c>
    </row>
    <row r="1896" spans="1:15" x14ac:dyDescent="0.25">
      <c r="A1896">
        <v>1895</v>
      </c>
      <c r="B1896" t="str">
        <f>HYPERLINK("https://digitalcommons.unl.edu/cgi/viewcontent.cgi?article=2894&amp;context=tractormuseumlit","Click for test report")</f>
        <v>Click for test report</v>
      </c>
      <c r="C1896">
        <v>1984</v>
      </c>
      <c r="D1896" t="s">
        <v>4537</v>
      </c>
      <c r="F1896" t="s">
        <v>4290</v>
      </c>
      <c r="G1896" t="s">
        <v>4291</v>
      </c>
      <c r="H1896" t="s">
        <v>4538</v>
      </c>
      <c r="I1896" t="s">
        <v>50</v>
      </c>
      <c r="J1896" t="s">
        <v>20</v>
      </c>
      <c r="K1896" t="s">
        <v>21</v>
      </c>
      <c r="L1896" t="s">
        <v>1347</v>
      </c>
      <c r="N1896" t="s">
        <v>1864</v>
      </c>
      <c r="O1896" t="s">
        <v>4445</v>
      </c>
    </row>
    <row r="1897" spans="1:15" x14ac:dyDescent="0.25">
      <c r="A1897">
        <v>1896</v>
      </c>
      <c r="B1897" t="str">
        <f>HYPERLINK("https://digitalcommons.unl.edu/cgi/viewcontent.cgi?article=2895&amp;context=tractormuseumlit","Click for test report")</f>
        <v>Click for test report</v>
      </c>
      <c r="C1897">
        <v>1984</v>
      </c>
      <c r="D1897" t="s">
        <v>4535</v>
      </c>
      <c r="F1897" t="s">
        <v>4290</v>
      </c>
      <c r="G1897" t="s">
        <v>4291</v>
      </c>
      <c r="H1897" t="s">
        <v>4536</v>
      </c>
      <c r="I1897" t="s">
        <v>50</v>
      </c>
      <c r="J1897" t="s">
        <v>20</v>
      </c>
      <c r="K1897" t="s">
        <v>21</v>
      </c>
      <c r="L1897" t="s">
        <v>126</v>
      </c>
      <c r="N1897" t="s">
        <v>130</v>
      </c>
      <c r="O1897" t="s">
        <v>3371</v>
      </c>
    </row>
    <row r="1898" spans="1:15" x14ac:dyDescent="0.25">
      <c r="A1898">
        <v>1897</v>
      </c>
      <c r="B1898" t="str">
        <f>HYPERLINK("https://digitalcommons.unl.edu/cgi/viewcontent.cgi?article=2896&amp;context=tractormuseumlit","Click for test report")</f>
        <v>Click for test report</v>
      </c>
      <c r="C1898">
        <v>1984</v>
      </c>
      <c r="D1898" t="s">
        <v>4534</v>
      </c>
      <c r="F1898" t="s">
        <v>4290</v>
      </c>
      <c r="G1898" t="s">
        <v>4291</v>
      </c>
      <c r="H1898" t="s">
        <v>4292</v>
      </c>
      <c r="I1898" t="s">
        <v>50</v>
      </c>
      <c r="J1898" t="s">
        <v>20</v>
      </c>
      <c r="K1898" t="s">
        <v>21</v>
      </c>
      <c r="L1898" t="s">
        <v>853</v>
      </c>
      <c r="N1898" t="s">
        <v>475</v>
      </c>
      <c r="O1898" t="s">
        <v>3371</v>
      </c>
    </row>
    <row r="1899" spans="1:15" x14ac:dyDescent="0.25">
      <c r="A1899">
        <v>1898</v>
      </c>
      <c r="B1899" t="str">
        <f>HYPERLINK("https://digitalcommons.unl.edu/cgi/viewcontent.cgi?article=2897&amp;context=tractormuseumlit","Click for test report")</f>
        <v>Click for test report</v>
      </c>
      <c r="C1899">
        <v>1984</v>
      </c>
      <c r="D1899" t="s">
        <v>4533</v>
      </c>
      <c r="F1899" t="s">
        <v>4290</v>
      </c>
      <c r="G1899" t="s">
        <v>4291</v>
      </c>
      <c r="H1899" t="s">
        <v>4371</v>
      </c>
      <c r="I1899" t="s">
        <v>50</v>
      </c>
      <c r="J1899" t="s">
        <v>20</v>
      </c>
      <c r="K1899" t="s">
        <v>21</v>
      </c>
      <c r="L1899" t="s">
        <v>1425</v>
      </c>
      <c r="N1899" t="s">
        <v>474</v>
      </c>
      <c r="O1899" t="s">
        <v>3371</v>
      </c>
    </row>
    <row r="1900" spans="1:15" x14ac:dyDescent="0.25">
      <c r="A1900">
        <v>1899</v>
      </c>
      <c r="B1900" t="str">
        <f>HYPERLINK("https://digitalcommons.unl.edu/cgi/viewcontent.cgi?article=2898&amp;context=tractormuseumlit","Click for test report")</f>
        <v>Click for test report</v>
      </c>
      <c r="C1900">
        <v>1984</v>
      </c>
      <c r="D1900" t="s">
        <v>4531</v>
      </c>
      <c r="F1900" t="s">
        <v>4395</v>
      </c>
      <c r="G1900" t="s">
        <v>3708</v>
      </c>
      <c r="H1900" t="s">
        <v>3999</v>
      </c>
      <c r="I1900" t="s">
        <v>1961</v>
      </c>
      <c r="J1900" t="s">
        <v>20</v>
      </c>
      <c r="K1900" t="s">
        <v>21</v>
      </c>
      <c r="L1900" t="s">
        <v>794</v>
      </c>
      <c r="N1900" t="s">
        <v>705</v>
      </c>
      <c r="O1900" t="s">
        <v>3371</v>
      </c>
    </row>
    <row r="1901" spans="1:15" x14ac:dyDescent="0.25">
      <c r="A1901">
        <v>1900</v>
      </c>
      <c r="B1901" t="str">
        <f>HYPERLINK("https://digitalcommons.unl.edu/cgi/viewcontent.cgi?article=2898&amp;context=tractormuseumlit","Click for test report")</f>
        <v>Click for test report</v>
      </c>
      <c r="C1901">
        <v>1984</v>
      </c>
      <c r="D1901" t="s">
        <v>4531</v>
      </c>
      <c r="F1901" t="s">
        <v>4395</v>
      </c>
      <c r="G1901" t="s">
        <v>3708</v>
      </c>
      <c r="H1901" t="s">
        <v>4532</v>
      </c>
      <c r="I1901" t="s">
        <v>1961</v>
      </c>
      <c r="J1901" t="s">
        <v>20</v>
      </c>
      <c r="K1901" t="s">
        <v>21</v>
      </c>
      <c r="L1901" t="s">
        <v>794</v>
      </c>
      <c r="N1901" t="s">
        <v>705</v>
      </c>
      <c r="O1901" t="s">
        <v>3371</v>
      </c>
    </row>
    <row r="1902" spans="1:15" x14ac:dyDescent="0.25">
      <c r="A1902">
        <v>1901</v>
      </c>
      <c r="B1902" t="str">
        <f>HYPERLINK("https://digitalcommons.unl.edu/cgi/viewcontent.cgi?article=2899&amp;context=tractormuseumlit","Click for test report")</f>
        <v>Click for test report</v>
      </c>
      <c r="C1902">
        <v>1984</v>
      </c>
      <c r="D1902" t="s">
        <v>4529</v>
      </c>
      <c r="F1902" t="s">
        <v>4395</v>
      </c>
      <c r="G1902" t="s">
        <v>3708</v>
      </c>
      <c r="H1902" t="s">
        <v>3994</v>
      </c>
      <c r="I1902" t="s">
        <v>1961</v>
      </c>
      <c r="J1902" t="s">
        <v>20</v>
      </c>
      <c r="K1902" t="s">
        <v>21</v>
      </c>
      <c r="L1902" t="s">
        <v>76</v>
      </c>
      <c r="N1902" t="s">
        <v>325</v>
      </c>
      <c r="O1902" t="s">
        <v>3371</v>
      </c>
    </row>
    <row r="1903" spans="1:15" x14ac:dyDescent="0.25">
      <c r="A1903">
        <v>1902</v>
      </c>
      <c r="B1903" t="str">
        <f>HYPERLINK("https://digitalcommons.unl.edu/cgi/viewcontent.cgi?article=2899&amp;context=tractormuseumlit","Click for test report")</f>
        <v>Click for test report</v>
      </c>
      <c r="C1903">
        <v>1984</v>
      </c>
      <c r="D1903" t="s">
        <v>4529</v>
      </c>
      <c r="F1903" t="s">
        <v>4395</v>
      </c>
      <c r="G1903" t="s">
        <v>3708</v>
      </c>
      <c r="H1903" t="s">
        <v>4530</v>
      </c>
      <c r="I1903" t="s">
        <v>1961</v>
      </c>
      <c r="J1903" t="s">
        <v>20</v>
      </c>
      <c r="K1903" t="s">
        <v>21</v>
      </c>
      <c r="L1903" t="s">
        <v>76</v>
      </c>
      <c r="N1903" t="s">
        <v>325</v>
      </c>
      <c r="O1903" t="s">
        <v>3371</v>
      </c>
    </row>
    <row r="1904" spans="1:15" x14ac:dyDescent="0.25">
      <c r="A1904">
        <v>1903</v>
      </c>
      <c r="B1904" t="str">
        <f>HYPERLINK("https://digitalcommons.unl.edu/cgi/viewcontent.cgi?article=2900&amp;context=tractormuseumlit","Click for test report")</f>
        <v>Click for test report</v>
      </c>
      <c r="C1904">
        <v>1984</v>
      </c>
      <c r="D1904" t="s">
        <v>4525</v>
      </c>
      <c r="F1904" t="s">
        <v>2062</v>
      </c>
      <c r="G1904" t="s">
        <v>778</v>
      </c>
      <c r="H1904" t="s">
        <v>4527</v>
      </c>
      <c r="I1904" t="s">
        <v>50</v>
      </c>
      <c r="J1904" t="s">
        <v>20</v>
      </c>
      <c r="K1904" t="s">
        <v>21</v>
      </c>
      <c r="L1904" t="s">
        <v>1970</v>
      </c>
      <c r="N1904" t="s">
        <v>410</v>
      </c>
      <c r="O1904" t="s">
        <v>4528</v>
      </c>
    </row>
    <row r="1905" spans="1:15" x14ac:dyDescent="0.25">
      <c r="A1905">
        <v>1904</v>
      </c>
      <c r="B1905" t="str">
        <f>HYPERLINK("https://digitalcommons.unl.edu/cgi/viewcontent.cgi?article=2900&amp;context=tractormuseumlit","Click for test report")</f>
        <v>Click for test report</v>
      </c>
      <c r="C1905">
        <v>1984</v>
      </c>
      <c r="D1905" t="s">
        <v>4525</v>
      </c>
      <c r="F1905" t="s">
        <v>2062</v>
      </c>
      <c r="G1905" t="s">
        <v>778</v>
      </c>
      <c r="H1905" t="s">
        <v>4526</v>
      </c>
      <c r="I1905" t="s">
        <v>50</v>
      </c>
      <c r="J1905" t="s">
        <v>348</v>
      </c>
      <c r="K1905" t="s">
        <v>21</v>
      </c>
      <c r="L1905" t="s">
        <v>1970</v>
      </c>
      <c r="N1905" t="s">
        <v>407</v>
      </c>
      <c r="O1905" t="s">
        <v>4446</v>
      </c>
    </row>
    <row r="1906" spans="1:15" x14ac:dyDescent="0.25">
      <c r="A1906">
        <v>1905</v>
      </c>
      <c r="B1906" t="str">
        <f>HYPERLINK("https://digitalcommons.unl.edu/cgi/viewcontent.cgi?article=2900&amp;context=tractormuseumlit","Click for test report")</f>
        <v>Click for test report</v>
      </c>
      <c r="C1906">
        <v>1984</v>
      </c>
      <c r="D1906" t="s">
        <v>4525</v>
      </c>
      <c r="F1906" t="s">
        <v>2062</v>
      </c>
      <c r="G1906" t="s">
        <v>778</v>
      </c>
      <c r="H1906" t="s">
        <v>4526</v>
      </c>
      <c r="I1906" t="s">
        <v>50</v>
      </c>
      <c r="J1906" t="s">
        <v>20</v>
      </c>
      <c r="K1906" t="s">
        <v>21</v>
      </c>
      <c r="L1906" t="s">
        <v>1970</v>
      </c>
      <c r="N1906" t="s">
        <v>407</v>
      </c>
      <c r="O1906" t="s">
        <v>4445</v>
      </c>
    </row>
    <row r="1907" spans="1:15" x14ac:dyDescent="0.25">
      <c r="A1907">
        <v>1906</v>
      </c>
      <c r="B1907" t="str">
        <f>HYPERLINK("https://digitalcommons.unl.edu/cgi/viewcontent.cgi?article=2901&amp;context=tractormuseumlit","Click for test report")</f>
        <v>Click for test report</v>
      </c>
      <c r="C1907">
        <v>1984</v>
      </c>
      <c r="D1907" t="s">
        <v>4523</v>
      </c>
      <c r="F1907" t="s">
        <v>2062</v>
      </c>
      <c r="G1907" t="s">
        <v>778</v>
      </c>
      <c r="H1907" t="s">
        <v>4524</v>
      </c>
      <c r="I1907" t="s">
        <v>50</v>
      </c>
      <c r="J1907" t="s">
        <v>348</v>
      </c>
      <c r="K1907" t="s">
        <v>21</v>
      </c>
      <c r="L1907" t="s">
        <v>1350</v>
      </c>
      <c r="N1907" t="s">
        <v>1994</v>
      </c>
      <c r="O1907" t="s">
        <v>4446</v>
      </c>
    </row>
    <row r="1908" spans="1:15" x14ac:dyDescent="0.25">
      <c r="A1908">
        <v>1907</v>
      </c>
      <c r="B1908" t="str">
        <f>HYPERLINK("https://digitalcommons.unl.edu/cgi/viewcontent.cgi?article=2901&amp;context=tractormuseumlit","Click for test report")</f>
        <v>Click for test report</v>
      </c>
      <c r="C1908">
        <v>1984</v>
      </c>
      <c r="D1908" t="s">
        <v>4523</v>
      </c>
      <c r="F1908" t="s">
        <v>2062</v>
      </c>
      <c r="G1908" t="s">
        <v>778</v>
      </c>
      <c r="H1908" t="s">
        <v>4524</v>
      </c>
      <c r="I1908" t="s">
        <v>50</v>
      </c>
      <c r="J1908" t="s">
        <v>20</v>
      </c>
      <c r="K1908" t="s">
        <v>21</v>
      </c>
      <c r="L1908" t="s">
        <v>1350</v>
      </c>
      <c r="N1908" t="s">
        <v>1994</v>
      </c>
      <c r="O1908" t="s">
        <v>4445</v>
      </c>
    </row>
    <row r="1909" spans="1:15" x14ac:dyDescent="0.25">
      <c r="A1909">
        <v>1908</v>
      </c>
      <c r="B1909" t="str">
        <f>HYPERLINK("https://digitalcommons.unl.edu/cgi/viewcontent.cgi?article=2902&amp;context=tractormuseumlit","Click for test report")</f>
        <v>Click for test report</v>
      </c>
      <c r="C1909">
        <v>1984</v>
      </c>
      <c r="D1909" t="s">
        <v>4521</v>
      </c>
      <c r="F1909" t="s">
        <v>2062</v>
      </c>
      <c r="G1909" t="s">
        <v>778</v>
      </c>
      <c r="H1909" t="s">
        <v>4522</v>
      </c>
      <c r="I1909" t="s">
        <v>50</v>
      </c>
      <c r="J1909" t="s">
        <v>348</v>
      </c>
      <c r="K1909" t="s">
        <v>21</v>
      </c>
      <c r="L1909" t="s">
        <v>1371</v>
      </c>
      <c r="N1909" t="s">
        <v>2030</v>
      </c>
      <c r="O1909" t="s">
        <v>4446</v>
      </c>
    </row>
    <row r="1910" spans="1:15" x14ac:dyDescent="0.25">
      <c r="A1910">
        <v>1909</v>
      </c>
      <c r="B1910" t="str">
        <f>HYPERLINK("https://digitalcommons.unl.edu/cgi/viewcontent.cgi?article=2902&amp;context=tractormuseumlit","Click for test report")</f>
        <v>Click for test report</v>
      </c>
      <c r="C1910">
        <v>1984</v>
      </c>
      <c r="D1910" t="s">
        <v>4521</v>
      </c>
      <c r="F1910" t="s">
        <v>2062</v>
      </c>
      <c r="G1910" t="s">
        <v>778</v>
      </c>
      <c r="H1910" t="s">
        <v>4522</v>
      </c>
      <c r="I1910" t="s">
        <v>50</v>
      </c>
      <c r="J1910" t="s">
        <v>20</v>
      </c>
      <c r="K1910" t="s">
        <v>21</v>
      </c>
      <c r="L1910" t="s">
        <v>1371</v>
      </c>
      <c r="N1910" t="s">
        <v>2030</v>
      </c>
      <c r="O1910" t="s">
        <v>4445</v>
      </c>
    </row>
    <row r="1911" spans="1:15" x14ac:dyDescent="0.25">
      <c r="A1911">
        <v>1910</v>
      </c>
      <c r="B1911" t="str">
        <f>HYPERLINK("https://digitalcommons.unl.edu/cgi/viewcontent.cgi?article=2903&amp;context=tractormuseumlit","Click for test report")</f>
        <v>Click for test report</v>
      </c>
      <c r="C1911">
        <v>1984</v>
      </c>
      <c r="D1911" t="s">
        <v>4519</v>
      </c>
      <c r="F1911" t="s">
        <v>2062</v>
      </c>
      <c r="G1911" t="s">
        <v>778</v>
      </c>
      <c r="H1911" t="s">
        <v>4520</v>
      </c>
      <c r="I1911" t="s">
        <v>50</v>
      </c>
      <c r="J1911" t="s">
        <v>348</v>
      </c>
      <c r="K1911" t="s">
        <v>21</v>
      </c>
      <c r="L1911" t="s">
        <v>1796</v>
      </c>
      <c r="N1911" t="s">
        <v>764</v>
      </c>
      <c r="O1911" t="s">
        <v>4446</v>
      </c>
    </row>
    <row r="1912" spans="1:15" x14ac:dyDescent="0.25">
      <c r="A1912">
        <v>1911</v>
      </c>
      <c r="B1912" t="str">
        <f>HYPERLINK("https://digitalcommons.unl.edu/cgi/viewcontent.cgi?article=2903&amp;context=tractormuseumlit","Click for test report")</f>
        <v>Click for test report</v>
      </c>
      <c r="C1912">
        <v>1984</v>
      </c>
      <c r="D1912" t="s">
        <v>4519</v>
      </c>
      <c r="F1912" t="s">
        <v>2062</v>
      </c>
      <c r="G1912" t="s">
        <v>778</v>
      </c>
      <c r="H1912" t="s">
        <v>4520</v>
      </c>
      <c r="I1912" t="s">
        <v>50</v>
      </c>
      <c r="J1912" t="s">
        <v>20</v>
      </c>
      <c r="K1912" t="s">
        <v>21</v>
      </c>
      <c r="L1912" t="s">
        <v>1796</v>
      </c>
      <c r="N1912" t="s">
        <v>764</v>
      </c>
      <c r="O1912" t="s">
        <v>4445</v>
      </c>
    </row>
    <row r="1913" spans="1:15" x14ac:dyDescent="0.25">
      <c r="A1913">
        <v>1912</v>
      </c>
      <c r="B1913" t="str">
        <f>HYPERLINK("https://digitalcommons.unl.edu/cgi/viewcontent.cgi?article=2904&amp;context=tractormuseumlit","Click for test report")</f>
        <v>Click for test report</v>
      </c>
      <c r="C1913">
        <v>1984</v>
      </c>
      <c r="D1913" t="s">
        <v>4517</v>
      </c>
      <c r="F1913" t="s">
        <v>3652</v>
      </c>
      <c r="G1913" t="s">
        <v>3652</v>
      </c>
      <c r="H1913" t="s">
        <v>4518</v>
      </c>
      <c r="I1913" t="s">
        <v>50</v>
      </c>
      <c r="J1913" t="s">
        <v>29</v>
      </c>
      <c r="K1913" t="s">
        <v>21</v>
      </c>
      <c r="N1913" t="s">
        <v>1546</v>
      </c>
      <c r="O1913" t="s">
        <v>4508</v>
      </c>
    </row>
    <row r="1914" spans="1:15" x14ac:dyDescent="0.25">
      <c r="A1914">
        <v>1913</v>
      </c>
      <c r="B1914" t="str">
        <f>HYPERLINK("https://digitalcommons.unl.edu/cgi/viewcontent.cgi?article=2905&amp;context=tractormuseumlit","Click for test report")</f>
        <v>Click for test report</v>
      </c>
      <c r="C1914">
        <v>1984</v>
      </c>
      <c r="D1914" t="s">
        <v>4515</v>
      </c>
      <c r="F1914" t="s">
        <v>3652</v>
      </c>
      <c r="G1914" t="s">
        <v>3652</v>
      </c>
      <c r="H1914" t="s">
        <v>4516</v>
      </c>
      <c r="I1914" t="s">
        <v>50</v>
      </c>
      <c r="J1914" t="s">
        <v>29</v>
      </c>
      <c r="K1914" t="s">
        <v>21</v>
      </c>
      <c r="N1914" t="s">
        <v>421</v>
      </c>
      <c r="O1914" t="s">
        <v>4508</v>
      </c>
    </row>
    <row r="1915" spans="1:15" x14ac:dyDescent="0.25">
      <c r="A1915">
        <v>1914</v>
      </c>
      <c r="B1915" t="str">
        <f>HYPERLINK("https://digitalcommons.unl.edu/cgi/viewcontent.cgi?article=2906&amp;context=tractormuseumlit","Click for test report")</f>
        <v>Click for test report</v>
      </c>
      <c r="C1915">
        <v>1984</v>
      </c>
      <c r="D1915" t="s">
        <v>4513</v>
      </c>
      <c r="F1915" t="s">
        <v>3652</v>
      </c>
      <c r="G1915" t="s">
        <v>3652</v>
      </c>
      <c r="H1915" t="s">
        <v>4514</v>
      </c>
      <c r="I1915" t="s">
        <v>50</v>
      </c>
      <c r="J1915" t="s">
        <v>29</v>
      </c>
      <c r="K1915" t="s">
        <v>21</v>
      </c>
      <c r="N1915" t="s">
        <v>280</v>
      </c>
      <c r="O1915" t="s">
        <v>4508</v>
      </c>
    </row>
    <row r="1916" spans="1:15" x14ac:dyDescent="0.25">
      <c r="A1916">
        <v>1915</v>
      </c>
      <c r="B1916" t="str">
        <f>HYPERLINK("https://digitalcommons.unl.edu/cgi/viewcontent.cgi?article=2907&amp;context=tractormuseumlit","Click for test report")</f>
        <v>Click for test report</v>
      </c>
      <c r="C1916">
        <v>1984</v>
      </c>
      <c r="D1916" t="s">
        <v>4453</v>
      </c>
      <c r="F1916" t="s">
        <v>4325</v>
      </c>
      <c r="G1916" t="s">
        <v>4325</v>
      </c>
      <c r="H1916" t="s">
        <v>4454</v>
      </c>
      <c r="I1916" t="s">
        <v>50</v>
      </c>
      <c r="J1916" t="s">
        <v>348</v>
      </c>
      <c r="K1916" t="s">
        <v>21</v>
      </c>
      <c r="L1916" t="s">
        <v>1347</v>
      </c>
      <c r="N1916" t="s">
        <v>731</v>
      </c>
      <c r="O1916" t="s">
        <v>3320</v>
      </c>
    </row>
    <row r="1917" spans="1:15" x14ac:dyDescent="0.25">
      <c r="A1917">
        <v>1916</v>
      </c>
      <c r="B1917" t="str">
        <f>HYPERLINK("https://digitalcommons.unl.edu/cgi/viewcontent.cgi?article=2908&amp;context=tractormuseumlit","Click for test report")</f>
        <v>Click for test report</v>
      </c>
      <c r="C1917">
        <v>1984</v>
      </c>
      <c r="D1917" t="s">
        <v>4512</v>
      </c>
      <c r="F1917" t="s">
        <v>3800</v>
      </c>
      <c r="G1917" t="s">
        <v>4473</v>
      </c>
      <c r="H1917" t="s">
        <v>4311</v>
      </c>
      <c r="I1917" t="s">
        <v>50</v>
      </c>
      <c r="J1917" t="s">
        <v>348</v>
      </c>
      <c r="K1917" t="s">
        <v>21</v>
      </c>
      <c r="L1917" t="s">
        <v>1796</v>
      </c>
      <c r="N1917" t="s">
        <v>743</v>
      </c>
      <c r="O1917" t="s">
        <v>3320</v>
      </c>
    </row>
    <row r="1918" spans="1:15" x14ac:dyDescent="0.25">
      <c r="A1918">
        <v>1917</v>
      </c>
      <c r="B1918" t="str">
        <f>HYPERLINK("https://digitalcommons.unl.edu/cgi/viewcontent.cgi?article=2908&amp;context=tractormuseumlit","Click for test report")</f>
        <v>Click for test report</v>
      </c>
      <c r="C1918">
        <v>1984</v>
      </c>
      <c r="D1918" t="s">
        <v>4512</v>
      </c>
      <c r="F1918" t="s">
        <v>3800</v>
      </c>
      <c r="G1918" t="s">
        <v>191</v>
      </c>
      <c r="H1918" t="s">
        <v>4311</v>
      </c>
      <c r="I1918" t="s">
        <v>50</v>
      </c>
      <c r="J1918" t="s">
        <v>348</v>
      </c>
      <c r="K1918" t="s">
        <v>21</v>
      </c>
      <c r="L1918" t="s">
        <v>1796</v>
      </c>
      <c r="N1918" t="s">
        <v>743</v>
      </c>
      <c r="O1918" t="s">
        <v>3320</v>
      </c>
    </row>
    <row r="1919" spans="1:15" x14ac:dyDescent="0.25">
      <c r="A1919">
        <v>1918</v>
      </c>
      <c r="B1919" t="str">
        <f>HYPERLINK("https://digitalcommons.unl.edu/cgi/viewcontent.cgi?article=2909&amp;context=tractormuseumlit","Click for test report")</f>
        <v>Click for test report</v>
      </c>
      <c r="C1919">
        <v>1984</v>
      </c>
      <c r="D1919" t="s">
        <v>4511</v>
      </c>
      <c r="F1919" t="s">
        <v>3800</v>
      </c>
      <c r="G1919" t="s">
        <v>4473</v>
      </c>
      <c r="H1919" t="s">
        <v>4311</v>
      </c>
      <c r="I1919" t="s">
        <v>19</v>
      </c>
      <c r="J1919" t="s">
        <v>348</v>
      </c>
      <c r="K1919" t="s">
        <v>21</v>
      </c>
      <c r="L1919" t="s">
        <v>1796</v>
      </c>
      <c r="N1919" t="s">
        <v>1347</v>
      </c>
      <c r="O1919" t="s">
        <v>3320</v>
      </c>
    </row>
    <row r="1920" spans="1:15" x14ac:dyDescent="0.25">
      <c r="A1920">
        <v>1919</v>
      </c>
      <c r="B1920" t="str">
        <f>HYPERLINK("https://digitalcommons.unl.edu/cgi/viewcontent.cgi?article=2909&amp;context=tractormuseumlit","Click for test report")</f>
        <v>Click for test report</v>
      </c>
      <c r="C1920">
        <v>1984</v>
      </c>
      <c r="D1920" t="s">
        <v>4511</v>
      </c>
      <c r="F1920" t="s">
        <v>3800</v>
      </c>
      <c r="G1920" t="s">
        <v>191</v>
      </c>
      <c r="H1920" t="s">
        <v>4311</v>
      </c>
      <c r="I1920" t="s">
        <v>19</v>
      </c>
      <c r="J1920" t="s">
        <v>348</v>
      </c>
      <c r="K1920" t="s">
        <v>21</v>
      </c>
      <c r="L1920" t="s">
        <v>1796</v>
      </c>
      <c r="N1920" t="s">
        <v>1347</v>
      </c>
      <c r="O1920" t="s">
        <v>3320</v>
      </c>
    </row>
    <row r="1921" spans="1:15" x14ac:dyDescent="0.25">
      <c r="A1921">
        <v>1920</v>
      </c>
      <c r="B1921" t="str">
        <f>HYPERLINK("https://digitalcommons.unl.edu/cgi/viewcontent.cgi?article=2911&amp;context=tractormuseumlit","Click for test report")</f>
        <v>Click for test report</v>
      </c>
      <c r="C1921">
        <v>1984</v>
      </c>
      <c r="D1921" t="s">
        <v>4510</v>
      </c>
      <c r="F1921" t="s">
        <v>3800</v>
      </c>
      <c r="G1921" t="s">
        <v>4473</v>
      </c>
      <c r="H1921" t="s">
        <v>2413</v>
      </c>
      <c r="I1921" t="s">
        <v>3474</v>
      </c>
      <c r="J1921" t="s">
        <v>348</v>
      </c>
      <c r="K1921" t="s">
        <v>21</v>
      </c>
      <c r="L1921" t="s">
        <v>339</v>
      </c>
      <c r="N1921" t="s">
        <v>55</v>
      </c>
      <c r="O1921" t="s">
        <v>3320</v>
      </c>
    </row>
    <row r="1922" spans="1:15" x14ac:dyDescent="0.25">
      <c r="A1922">
        <v>1921</v>
      </c>
      <c r="B1922" t="str">
        <f>HYPERLINK("https://digitalcommons.unl.edu/cgi/viewcontent.cgi?article=2911&amp;context=tractormuseumlit","Click for test report")</f>
        <v>Click for test report</v>
      </c>
      <c r="C1922">
        <v>1984</v>
      </c>
      <c r="D1922" t="s">
        <v>4510</v>
      </c>
      <c r="F1922" t="s">
        <v>3800</v>
      </c>
      <c r="G1922" t="s">
        <v>191</v>
      </c>
      <c r="H1922" t="s">
        <v>2413</v>
      </c>
      <c r="I1922" t="s">
        <v>3474</v>
      </c>
      <c r="J1922" t="s">
        <v>348</v>
      </c>
      <c r="K1922" t="s">
        <v>21</v>
      </c>
      <c r="L1922" t="s">
        <v>339</v>
      </c>
      <c r="N1922" t="s">
        <v>55</v>
      </c>
      <c r="O1922" t="s">
        <v>3320</v>
      </c>
    </row>
    <row r="1923" spans="1:15" x14ac:dyDescent="0.25">
      <c r="A1923">
        <v>1922</v>
      </c>
      <c r="B1923" t="str">
        <f>HYPERLINK("https://digitalcommons.unl.edu/cgi/viewcontent.cgi?article=2912&amp;context=tractormuseumlit","Click for test report")</f>
        <v>Click for test report</v>
      </c>
      <c r="C1923">
        <v>1984</v>
      </c>
      <c r="D1923" t="s">
        <v>4509</v>
      </c>
      <c r="F1923" t="s">
        <v>3800</v>
      </c>
      <c r="G1923" t="s">
        <v>4473</v>
      </c>
      <c r="H1923" t="s">
        <v>1192</v>
      </c>
      <c r="I1923" t="s">
        <v>3474</v>
      </c>
      <c r="J1923" t="s">
        <v>348</v>
      </c>
      <c r="K1923" t="s">
        <v>21</v>
      </c>
      <c r="L1923" t="s">
        <v>336</v>
      </c>
      <c r="N1923" t="s">
        <v>51</v>
      </c>
      <c r="O1923" t="s">
        <v>3320</v>
      </c>
    </row>
    <row r="1924" spans="1:15" x14ac:dyDescent="0.25">
      <c r="A1924">
        <v>1923</v>
      </c>
      <c r="B1924" t="str">
        <f>HYPERLINK("https://digitalcommons.unl.edu/cgi/viewcontent.cgi?article=2912&amp;context=tractormuseumlit","Click for test report")</f>
        <v>Click for test report</v>
      </c>
      <c r="C1924">
        <v>1984</v>
      </c>
      <c r="D1924" t="s">
        <v>4509</v>
      </c>
      <c r="F1924" t="s">
        <v>3800</v>
      </c>
      <c r="G1924" t="s">
        <v>191</v>
      </c>
      <c r="H1924" t="s">
        <v>1192</v>
      </c>
      <c r="I1924" t="s">
        <v>3474</v>
      </c>
      <c r="J1924" t="s">
        <v>348</v>
      </c>
      <c r="K1924" t="s">
        <v>21</v>
      </c>
      <c r="L1924" t="s">
        <v>336</v>
      </c>
      <c r="N1924" t="s">
        <v>51</v>
      </c>
      <c r="O1924" t="s">
        <v>3320</v>
      </c>
    </row>
    <row r="1925" spans="1:15" x14ac:dyDescent="0.25">
      <c r="A1925">
        <v>1924</v>
      </c>
      <c r="B1925" t="str">
        <f>HYPERLINK("https://digitalcommons.unl.edu/cgi/viewcontent.cgi?article=2913&amp;context=tractormuseumlit","Click for test report")</f>
        <v>Click for test report</v>
      </c>
      <c r="C1925">
        <v>1984</v>
      </c>
      <c r="D1925" t="s">
        <v>4506</v>
      </c>
      <c r="F1925" t="s">
        <v>3652</v>
      </c>
      <c r="G1925" t="s">
        <v>3652</v>
      </c>
      <c r="H1925" t="s">
        <v>4507</v>
      </c>
      <c r="I1925" t="s">
        <v>50</v>
      </c>
      <c r="J1925" t="s">
        <v>29</v>
      </c>
      <c r="K1925" t="s">
        <v>21</v>
      </c>
      <c r="N1925" t="s">
        <v>999</v>
      </c>
      <c r="O1925" t="s">
        <v>4508</v>
      </c>
    </row>
    <row r="1926" spans="1:15" x14ac:dyDescent="0.25">
      <c r="A1926">
        <v>1925</v>
      </c>
      <c r="B1926" t="str">
        <f>HYPERLINK("https://digitalcommons.unl.edu/cgi/viewcontent.cgi?article=2914&amp;context=tractormuseumlit","Click for test report")</f>
        <v>Click for test report</v>
      </c>
      <c r="C1926">
        <v>1984</v>
      </c>
      <c r="D1926" t="s">
        <v>4502</v>
      </c>
      <c r="F1926" t="s">
        <v>4503</v>
      </c>
      <c r="G1926" t="s">
        <v>4504</v>
      </c>
      <c r="H1926" t="s">
        <v>4505</v>
      </c>
      <c r="I1926" t="s">
        <v>1961</v>
      </c>
      <c r="J1926" t="s">
        <v>348</v>
      </c>
      <c r="K1926" t="s">
        <v>21</v>
      </c>
      <c r="L1926" t="s">
        <v>574</v>
      </c>
      <c r="N1926" t="s">
        <v>764</v>
      </c>
      <c r="O1926" t="s">
        <v>3371</v>
      </c>
    </row>
    <row r="1927" spans="1:15" x14ac:dyDescent="0.25">
      <c r="A1927">
        <v>1926</v>
      </c>
      <c r="B1927" t="str">
        <f>HYPERLINK("https://digitalcommons.unl.edu/cgi/viewcontent.cgi?article=3689&amp;context=tractormuseumlit","Click for test report")</f>
        <v>Click for test report</v>
      </c>
      <c r="C1927">
        <v>1985</v>
      </c>
      <c r="E1927" t="s">
        <v>4499</v>
      </c>
      <c r="F1927" t="s">
        <v>4344</v>
      </c>
      <c r="G1927" t="s">
        <v>4144</v>
      </c>
      <c r="H1927" t="s">
        <v>4500</v>
      </c>
      <c r="I1927" t="s">
        <v>1961</v>
      </c>
      <c r="J1927" t="s">
        <v>20</v>
      </c>
      <c r="K1927" t="s">
        <v>21</v>
      </c>
      <c r="L1927" t="s">
        <v>1262</v>
      </c>
      <c r="N1927" t="s">
        <v>359</v>
      </c>
      <c r="O1927" t="s">
        <v>4501</v>
      </c>
    </row>
    <row r="1928" spans="1:15" x14ac:dyDescent="0.25">
      <c r="A1928">
        <v>1927</v>
      </c>
      <c r="B1928" t="str">
        <f>HYPERLINK("https://digitalcommons.unl.edu/cgi/viewcontent.cgi?article=3692&amp;context=tractormuseumlit","Click for test report")</f>
        <v>Click for test report</v>
      </c>
      <c r="C1928">
        <v>1985</v>
      </c>
      <c r="E1928" t="s">
        <v>4497</v>
      </c>
      <c r="F1928" t="s">
        <v>4344</v>
      </c>
      <c r="G1928" t="s">
        <v>4144</v>
      </c>
      <c r="H1928" t="s">
        <v>3410</v>
      </c>
      <c r="I1928" t="s">
        <v>50</v>
      </c>
      <c r="J1928" t="s">
        <v>20</v>
      </c>
      <c r="K1928" t="s">
        <v>21</v>
      </c>
      <c r="L1928" t="s">
        <v>1350</v>
      </c>
      <c r="N1928" t="s">
        <v>404</v>
      </c>
      <c r="O1928" t="s">
        <v>4498</v>
      </c>
    </row>
    <row r="1929" spans="1:15" x14ac:dyDescent="0.25">
      <c r="A1929">
        <v>1928</v>
      </c>
      <c r="B1929" t="str">
        <f>HYPERLINK("https://digitalcommons.unl.edu/cgi/viewcontent.cgi?article=3693&amp;context=tractormuseumlit","Click for test report")</f>
        <v>Click for test report</v>
      </c>
      <c r="C1929">
        <v>1985</v>
      </c>
      <c r="E1929" t="s">
        <v>4494</v>
      </c>
      <c r="F1929" t="s">
        <v>4344</v>
      </c>
      <c r="G1929" t="s">
        <v>4144</v>
      </c>
      <c r="H1929" t="s">
        <v>4495</v>
      </c>
      <c r="I1929" t="s">
        <v>50</v>
      </c>
      <c r="J1929" t="s">
        <v>20</v>
      </c>
      <c r="K1929" t="s">
        <v>21</v>
      </c>
      <c r="L1929" t="s">
        <v>1347</v>
      </c>
      <c r="N1929" t="s">
        <v>1051</v>
      </c>
      <c r="O1929" t="s">
        <v>4496</v>
      </c>
    </row>
    <row r="1930" spans="1:15" x14ac:dyDescent="0.25">
      <c r="A1930">
        <v>1929</v>
      </c>
      <c r="B1930" t="str">
        <f>HYPERLINK("https://digitalcommons.unl.edu/cgi/viewcontent.cgi?article=3324&amp;context=tractormuseumlit","Click for test report")</f>
        <v>Click for test report</v>
      </c>
      <c r="C1930">
        <v>1985</v>
      </c>
      <c r="E1930" t="s">
        <v>3963</v>
      </c>
      <c r="F1930" t="s">
        <v>3964</v>
      </c>
      <c r="G1930" t="s">
        <v>191</v>
      </c>
      <c r="H1930" t="s">
        <v>4492</v>
      </c>
      <c r="I1930" t="s">
        <v>50</v>
      </c>
      <c r="J1930" t="s">
        <v>348</v>
      </c>
      <c r="K1930" t="s">
        <v>21</v>
      </c>
      <c r="L1930" t="s">
        <v>1650</v>
      </c>
      <c r="N1930" t="s">
        <v>2188</v>
      </c>
      <c r="O1930" t="s">
        <v>4493</v>
      </c>
    </row>
    <row r="1931" spans="1:15" x14ac:dyDescent="0.25">
      <c r="A1931">
        <v>1930</v>
      </c>
      <c r="B1931" t="str">
        <f>HYPERLINK("https://digitalcommons.unl.edu/cgi/viewcontent.cgi?article=3721&amp;context=tractormuseumlit","Click for test report")</f>
        <v>Click for test report</v>
      </c>
      <c r="C1931">
        <v>1985</v>
      </c>
      <c r="E1931" t="s">
        <v>4490</v>
      </c>
      <c r="F1931" t="s">
        <v>4491</v>
      </c>
      <c r="G1931" t="s">
        <v>3708</v>
      </c>
      <c r="H1931" t="s">
        <v>3308</v>
      </c>
      <c r="I1931" t="s">
        <v>1961</v>
      </c>
      <c r="J1931" t="s">
        <v>20</v>
      </c>
      <c r="K1931" t="s">
        <v>21</v>
      </c>
      <c r="L1931" t="s">
        <v>46</v>
      </c>
      <c r="N1931" t="s">
        <v>562</v>
      </c>
      <c r="O1931" t="s">
        <v>24</v>
      </c>
    </row>
    <row r="1932" spans="1:15" x14ac:dyDescent="0.25">
      <c r="A1932">
        <v>1931</v>
      </c>
      <c r="B1932" t="str">
        <f>HYPERLINK("https://digitalcommons.unl.edu/cgi/viewcontent.cgi?article=3747&amp;context=tractormuseumlit","Click for test report")</f>
        <v>Click for test report</v>
      </c>
      <c r="C1932">
        <v>1985</v>
      </c>
      <c r="E1932" t="s">
        <v>4052</v>
      </c>
      <c r="F1932" t="s">
        <v>4053</v>
      </c>
      <c r="G1932" t="s">
        <v>4066</v>
      </c>
      <c r="H1932" t="s">
        <v>4489</v>
      </c>
      <c r="I1932" t="s">
        <v>50</v>
      </c>
      <c r="J1932" t="s">
        <v>20</v>
      </c>
      <c r="K1932" t="s">
        <v>21</v>
      </c>
      <c r="L1932" t="s">
        <v>713</v>
      </c>
      <c r="N1932" t="s">
        <v>1371</v>
      </c>
      <c r="O1932" t="s">
        <v>24</v>
      </c>
    </row>
    <row r="1933" spans="1:15" x14ac:dyDescent="0.25">
      <c r="A1933">
        <v>1932</v>
      </c>
      <c r="B1933" t="str">
        <f>HYPERLINK("https://digitalcommons.unl.edu/cgi/viewcontent.cgi?article=2505&amp;context=tractormuseumlit","Click for test report")</f>
        <v>Click for test report</v>
      </c>
      <c r="C1933">
        <v>1985</v>
      </c>
      <c r="D1933" t="s">
        <v>4486</v>
      </c>
      <c r="F1933" t="s">
        <v>4472</v>
      </c>
      <c r="G1933" t="s">
        <v>191</v>
      </c>
      <c r="H1933" t="s">
        <v>4487</v>
      </c>
      <c r="I1933" t="s">
        <v>50</v>
      </c>
      <c r="J1933" t="s">
        <v>348</v>
      </c>
      <c r="K1933" t="s">
        <v>21</v>
      </c>
      <c r="L1933" t="s">
        <v>353</v>
      </c>
      <c r="N1933" t="s">
        <v>735</v>
      </c>
      <c r="O1933" t="s">
        <v>4488</v>
      </c>
    </row>
    <row r="1934" spans="1:15" x14ac:dyDescent="0.25">
      <c r="A1934">
        <v>1933</v>
      </c>
      <c r="B1934" t="str">
        <f>HYPERLINK("https://digitalcommons.unl.edu/cgi/viewcontent.cgi?article=2506&amp;context=tractormuseumlit","Click for test report")</f>
        <v>Click for test report</v>
      </c>
      <c r="C1934">
        <v>1985</v>
      </c>
      <c r="D1934" t="s">
        <v>4484</v>
      </c>
      <c r="F1934" t="s">
        <v>4472</v>
      </c>
      <c r="G1934" t="s">
        <v>191</v>
      </c>
      <c r="H1934" t="s">
        <v>4338</v>
      </c>
      <c r="I1934" t="s">
        <v>50</v>
      </c>
      <c r="J1934" t="s">
        <v>348</v>
      </c>
      <c r="K1934" t="s">
        <v>21</v>
      </c>
      <c r="L1934" t="s">
        <v>2090</v>
      </c>
      <c r="N1934" t="s">
        <v>1893</v>
      </c>
      <c r="O1934" t="s">
        <v>4485</v>
      </c>
    </row>
    <row r="1935" spans="1:15" x14ac:dyDescent="0.25">
      <c r="A1935">
        <v>1934</v>
      </c>
      <c r="B1935" t="str">
        <f>HYPERLINK("https://digitalcommons.unl.edu/cgi/viewcontent.cgi?article=2507&amp;context=tractormuseumlit","Click for test report")</f>
        <v>Click for test report</v>
      </c>
      <c r="C1935">
        <v>1985</v>
      </c>
      <c r="D1935" t="s">
        <v>4482</v>
      </c>
      <c r="F1935" t="s">
        <v>4472</v>
      </c>
      <c r="G1935" t="s">
        <v>191</v>
      </c>
      <c r="H1935" t="s">
        <v>4480</v>
      </c>
      <c r="I1935" t="s">
        <v>19</v>
      </c>
      <c r="J1935" t="s">
        <v>348</v>
      </c>
      <c r="K1935" t="s">
        <v>21</v>
      </c>
      <c r="L1935" t="s">
        <v>1350</v>
      </c>
      <c r="N1935" t="s">
        <v>1994</v>
      </c>
      <c r="O1935" t="s">
        <v>4483</v>
      </c>
    </row>
    <row r="1936" spans="1:15" x14ac:dyDescent="0.25">
      <c r="A1936">
        <v>1935</v>
      </c>
      <c r="B1936" t="str">
        <f>HYPERLINK("https://digitalcommons.unl.edu/cgi/viewcontent.cgi?article=2511&amp;context=tractormuseumlit","Click for test report")</f>
        <v>Click for test report</v>
      </c>
      <c r="C1936">
        <v>1985</v>
      </c>
      <c r="D1936" t="s">
        <v>4479</v>
      </c>
      <c r="F1936" t="s">
        <v>4472</v>
      </c>
      <c r="G1936" t="s">
        <v>191</v>
      </c>
      <c r="H1936" t="s">
        <v>4480</v>
      </c>
      <c r="I1936" t="s">
        <v>50</v>
      </c>
      <c r="J1936" t="s">
        <v>348</v>
      </c>
      <c r="K1936" t="s">
        <v>21</v>
      </c>
      <c r="L1936" t="s">
        <v>1350</v>
      </c>
      <c r="N1936" t="s">
        <v>2029</v>
      </c>
      <c r="O1936" t="s">
        <v>4481</v>
      </c>
    </row>
    <row r="1937" spans="1:15" x14ac:dyDescent="0.25">
      <c r="A1937">
        <v>1936</v>
      </c>
      <c r="B1937" t="str">
        <f>HYPERLINK("https://digitalcommons.unl.edu/cgi/viewcontent.cgi?article=2513&amp;context=tractormuseumlit","Click for test report")</f>
        <v>Click for test report</v>
      </c>
      <c r="C1937">
        <v>1985</v>
      </c>
      <c r="D1937" t="s">
        <v>4476</v>
      </c>
      <c r="F1937" t="s">
        <v>4472</v>
      </c>
      <c r="G1937" t="s">
        <v>191</v>
      </c>
      <c r="H1937" t="s">
        <v>4477</v>
      </c>
      <c r="I1937" t="s">
        <v>50</v>
      </c>
      <c r="J1937" t="s">
        <v>348</v>
      </c>
      <c r="K1937" t="s">
        <v>21</v>
      </c>
      <c r="L1937" t="s">
        <v>3123</v>
      </c>
      <c r="N1937" t="s">
        <v>410</v>
      </c>
      <c r="O1937" t="s">
        <v>4478</v>
      </c>
    </row>
    <row r="1938" spans="1:15" x14ac:dyDescent="0.25">
      <c r="A1938">
        <v>1937</v>
      </c>
      <c r="B1938" t="str">
        <f>HYPERLINK("https://digitalcommons.unl.edu/cgi/viewcontent.cgi?article=2579&amp;context=tractormuseumlit","Click for test report")</f>
        <v>Click for test report</v>
      </c>
      <c r="C1938">
        <v>1985</v>
      </c>
      <c r="D1938" t="s">
        <v>4471</v>
      </c>
      <c r="F1938" t="s">
        <v>4472</v>
      </c>
      <c r="G1938" t="s">
        <v>4473</v>
      </c>
      <c r="H1938" t="s">
        <v>4474</v>
      </c>
      <c r="I1938" t="s">
        <v>50</v>
      </c>
      <c r="J1938" t="s">
        <v>348</v>
      </c>
      <c r="K1938" t="s">
        <v>21</v>
      </c>
      <c r="L1938" t="s">
        <v>344</v>
      </c>
      <c r="N1938" t="s">
        <v>2747</v>
      </c>
      <c r="O1938" t="s">
        <v>4475</v>
      </c>
    </row>
    <row r="1939" spans="1:15" x14ac:dyDescent="0.25">
      <c r="A1939">
        <v>1938</v>
      </c>
      <c r="B1939" t="str">
        <f>HYPERLINK("https://digitalcommons.unl.edu/cgi/viewcontent.cgi?article=2697&amp;context=tractormuseumlit","Click for test report")</f>
        <v>Click for test report</v>
      </c>
      <c r="C1939">
        <v>1985</v>
      </c>
      <c r="D1939" t="s">
        <v>4468</v>
      </c>
      <c r="F1939" t="s">
        <v>3800</v>
      </c>
      <c r="G1939" t="s">
        <v>191</v>
      </c>
      <c r="H1939" t="s">
        <v>4469</v>
      </c>
      <c r="I1939" t="s">
        <v>3474</v>
      </c>
      <c r="J1939" t="s">
        <v>29</v>
      </c>
      <c r="K1939" t="s">
        <v>21</v>
      </c>
      <c r="L1939" t="s">
        <v>115</v>
      </c>
      <c r="N1939" t="s">
        <v>2422</v>
      </c>
      <c r="O1939" t="s">
        <v>4470</v>
      </c>
    </row>
    <row r="1940" spans="1:15" x14ac:dyDescent="0.25">
      <c r="A1940">
        <v>1939</v>
      </c>
      <c r="B1940" t="str">
        <f>HYPERLINK("https://digitalcommons.unl.edu/cgi/viewcontent.cgi?article=2698&amp;context=tractormuseumlit","Click for test report")</f>
        <v>Click for test report</v>
      </c>
      <c r="C1940">
        <v>1985</v>
      </c>
      <c r="D1940" t="s">
        <v>4465</v>
      </c>
      <c r="F1940" t="s">
        <v>3800</v>
      </c>
      <c r="G1940" t="s">
        <v>191</v>
      </c>
      <c r="H1940" t="s">
        <v>4466</v>
      </c>
      <c r="I1940" t="s">
        <v>3474</v>
      </c>
      <c r="J1940" t="s">
        <v>29</v>
      </c>
      <c r="K1940" t="s">
        <v>21</v>
      </c>
      <c r="L1940" t="s">
        <v>1444</v>
      </c>
      <c r="N1940" t="s">
        <v>510</v>
      </c>
      <c r="O1940" t="s">
        <v>4467</v>
      </c>
    </row>
    <row r="1941" spans="1:15" x14ac:dyDescent="0.25">
      <c r="A1941">
        <v>1940</v>
      </c>
      <c r="B1941" t="str">
        <f>HYPERLINK("https://digitalcommons.unl.edu/cgi/viewcontent.cgi?article=2699&amp;context=tractormuseumlit","Click for test report")</f>
        <v>Click for test report</v>
      </c>
      <c r="C1941">
        <v>1985</v>
      </c>
      <c r="D1941" t="s">
        <v>4462</v>
      </c>
      <c r="F1941" t="s">
        <v>3800</v>
      </c>
      <c r="G1941" t="s">
        <v>191</v>
      </c>
      <c r="H1941" t="s">
        <v>4463</v>
      </c>
      <c r="I1941" t="s">
        <v>3474</v>
      </c>
      <c r="J1941" t="s">
        <v>29</v>
      </c>
      <c r="K1941" t="s">
        <v>21</v>
      </c>
      <c r="L1941" t="s">
        <v>231</v>
      </c>
      <c r="N1941" t="s">
        <v>65</v>
      </c>
      <c r="O1941" t="s">
        <v>4464</v>
      </c>
    </row>
    <row r="1942" spans="1:15" x14ac:dyDescent="0.25">
      <c r="A1942">
        <v>1941</v>
      </c>
      <c r="B1942" t="str">
        <f>HYPERLINK("https://digitalcommons.unl.edu/cgi/viewcontent.cgi?article=2766&amp;context=tractormuseumlit","Click for test report")</f>
        <v>Click for test report</v>
      </c>
      <c r="C1942">
        <v>1985</v>
      </c>
      <c r="D1942" t="s">
        <v>4459</v>
      </c>
      <c r="F1942" t="s">
        <v>4325</v>
      </c>
      <c r="G1942" t="s">
        <v>4144</v>
      </c>
      <c r="H1942" t="s">
        <v>4460</v>
      </c>
      <c r="I1942" t="s">
        <v>50</v>
      </c>
      <c r="J1942" t="s">
        <v>348</v>
      </c>
      <c r="K1942" t="s">
        <v>21</v>
      </c>
      <c r="L1942" t="s">
        <v>728</v>
      </c>
      <c r="N1942" t="s">
        <v>3319</v>
      </c>
      <c r="O1942" t="s">
        <v>4461</v>
      </c>
    </row>
    <row r="1943" spans="1:15" x14ac:dyDescent="0.25">
      <c r="A1943">
        <v>1942</v>
      </c>
      <c r="B1943" t="str">
        <f>HYPERLINK("https://digitalcommons.unl.edu/cgi/viewcontent.cgi?article=2767&amp;context=tractormuseumlit","Click for test report")</f>
        <v>Click for test report</v>
      </c>
      <c r="C1943">
        <v>1985</v>
      </c>
      <c r="D1943" t="s">
        <v>4456</v>
      </c>
      <c r="F1943" t="s">
        <v>4325</v>
      </c>
      <c r="G1943" t="s">
        <v>4144</v>
      </c>
      <c r="H1943" t="s">
        <v>4457</v>
      </c>
      <c r="I1943" t="s">
        <v>50</v>
      </c>
      <c r="J1943" t="s">
        <v>348</v>
      </c>
      <c r="K1943" t="s">
        <v>21</v>
      </c>
      <c r="L1943" t="s">
        <v>716</v>
      </c>
      <c r="N1943" t="s">
        <v>722</v>
      </c>
      <c r="O1943" t="s">
        <v>4458</v>
      </c>
    </row>
    <row r="1944" spans="1:15" x14ac:dyDescent="0.25">
      <c r="A1944">
        <v>1943</v>
      </c>
      <c r="B1944" t="str">
        <f>HYPERLINK("https://digitalcommons.unl.edu/cgi/viewcontent.cgi?article=2907&amp;context=tractormuseumlit","Click for test report")</f>
        <v>Click for test report</v>
      </c>
      <c r="C1944">
        <v>1985</v>
      </c>
      <c r="D1944" t="s">
        <v>4453</v>
      </c>
      <c r="F1944" t="s">
        <v>4325</v>
      </c>
      <c r="G1944" t="s">
        <v>4144</v>
      </c>
      <c r="H1944" t="s">
        <v>4454</v>
      </c>
      <c r="I1944" t="s">
        <v>50</v>
      </c>
      <c r="J1944" t="s">
        <v>348</v>
      </c>
      <c r="K1944" t="s">
        <v>21</v>
      </c>
      <c r="L1944" t="s">
        <v>1347</v>
      </c>
      <c r="N1944" t="s">
        <v>731</v>
      </c>
      <c r="O1944" t="s">
        <v>4455</v>
      </c>
    </row>
    <row r="1945" spans="1:15" x14ac:dyDescent="0.25">
      <c r="A1945">
        <v>1944</v>
      </c>
      <c r="B1945" t="str">
        <f>HYPERLINK("https://digitalcommons.unl.edu/cgi/viewcontent.cgi?article=2915&amp;context=tractormuseumlit","Click for test report")</f>
        <v>Click for test report</v>
      </c>
      <c r="C1945">
        <v>1985</v>
      </c>
      <c r="D1945" t="s">
        <v>4450</v>
      </c>
      <c r="F1945" t="s">
        <v>4442</v>
      </c>
      <c r="G1945" t="s">
        <v>778</v>
      </c>
      <c r="H1945" t="s">
        <v>4451</v>
      </c>
      <c r="I1945" t="s">
        <v>50</v>
      </c>
      <c r="J1945" t="s">
        <v>348</v>
      </c>
      <c r="K1945" t="s">
        <v>21</v>
      </c>
      <c r="L1945" t="s">
        <v>4363</v>
      </c>
      <c r="N1945" t="s">
        <v>4452</v>
      </c>
      <c r="O1945" t="s">
        <v>4446</v>
      </c>
    </row>
    <row r="1946" spans="1:15" x14ac:dyDescent="0.25">
      <c r="A1946">
        <v>1945</v>
      </c>
      <c r="B1946" t="str">
        <f>HYPERLINK("https://digitalcommons.unl.edu/cgi/viewcontent.cgi?article=2915&amp;context=tractormuseumlit","Click for test report")</f>
        <v>Click for test report</v>
      </c>
      <c r="C1946">
        <v>1985</v>
      </c>
      <c r="D1946" t="s">
        <v>4450</v>
      </c>
      <c r="F1946" t="s">
        <v>4442</v>
      </c>
      <c r="G1946" t="s">
        <v>778</v>
      </c>
      <c r="H1946" t="s">
        <v>4451</v>
      </c>
      <c r="I1946" t="s">
        <v>50</v>
      </c>
      <c r="J1946" t="s">
        <v>20</v>
      </c>
      <c r="K1946" t="s">
        <v>21</v>
      </c>
      <c r="L1946" t="s">
        <v>4363</v>
      </c>
      <c r="N1946" t="s">
        <v>4452</v>
      </c>
      <c r="O1946" t="s">
        <v>4445</v>
      </c>
    </row>
    <row r="1947" spans="1:15" x14ac:dyDescent="0.25">
      <c r="A1947">
        <v>1946</v>
      </c>
      <c r="B1947" t="str">
        <f>HYPERLINK("https://digitalcommons.unl.edu/cgi/viewcontent.cgi?article=2916&amp;context=tractormuseumlit","Click for test report")</f>
        <v>Click for test report</v>
      </c>
      <c r="C1947">
        <v>1985</v>
      </c>
      <c r="D1947" t="s">
        <v>4447</v>
      </c>
      <c r="F1947" t="s">
        <v>4442</v>
      </c>
      <c r="G1947" t="s">
        <v>778</v>
      </c>
      <c r="H1947" t="s">
        <v>4448</v>
      </c>
      <c r="I1947" t="s">
        <v>50</v>
      </c>
      <c r="J1947" t="s">
        <v>348</v>
      </c>
      <c r="K1947" t="s">
        <v>21</v>
      </c>
      <c r="L1947" t="s">
        <v>4358</v>
      </c>
      <c r="N1947" t="s">
        <v>4449</v>
      </c>
      <c r="O1947" t="s">
        <v>4446</v>
      </c>
    </row>
    <row r="1948" spans="1:15" x14ac:dyDescent="0.25">
      <c r="A1948">
        <v>1947</v>
      </c>
      <c r="B1948" t="str">
        <f>HYPERLINK("https://digitalcommons.unl.edu/cgi/viewcontent.cgi?article=2916&amp;context=tractormuseumlit","Click for test report")</f>
        <v>Click for test report</v>
      </c>
      <c r="C1948">
        <v>1985</v>
      </c>
      <c r="D1948" t="s">
        <v>4447</v>
      </c>
      <c r="F1948" t="s">
        <v>4442</v>
      </c>
      <c r="G1948" t="s">
        <v>778</v>
      </c>
      <c r="H1948" t="s">
        <v>4448</v>
      </c>
      <c r="I1948" t="s">
        <v>50</v>
      </c>
      <c r="J1948" t="s">
        <v>20</v>
      </c>
      <c r="K1948" t="s">
        <v>21</v>
      </c>
      <c r="L1948" t="s">
        <v>4358</v>
      </c>
      <c r="N1948" t="s">
        <v>4449</v>
      </c>
      <c r="O1948" t="s">
        <v>4445</v>
      </c>
    </row>
    <row r="1949" spans="1:15" x14ac:dyDescent="0.25">
      <c r="A1949">
        <v>1948</v>
      </c>
      <c r="B1949" t="str">
        <f>HYPERLINK("https://digitalcommons.unl.edu/cgi/viewcontent.cgi?article=2917&amp;context=tractormuseumlit","Click for test report")</f>
        <v>Click for test report</v>
      </c>
      <c r="C1949">
        <v>1985</v>
      </c>
      <c r="D1949" t="s">
        <v>4441</v>
      </c>
      <c r="F1949" t="s">
        <v>4442</v>
      </c>
      <c r="G1949" t="s">
        <v>778</v>
      </c>
      <c r="H1949" t="s">
        <v>4443</v>
      </c>
      <c r="I1949" t="s">
        <v>50</v>
      </c>
      <c r="J1949" t="s">
        <v>348</v>
      </c>
      <c r="K1949" t="s">
        <v>21</v>
      </c>
      <c r="L1949" t="s">
        <v>4352</v>
      </c>
      <c r="N1949" t="s">
        <v>4444</v>
      </c>
      <c r="O1949" t="s">
        <v>4446</v>
      </c>
    </row>
    <row r="1950" spans="1:15" x14ac:dyDescent="0.25">
      <c r="A1950">
        <v>1949</v>
      </c>
      <c r="B1950" t="str">
        <f>HYPERLINK("https://digitalcommons.unl.edu/cgi/viewcontent.cgi?article=2917&amp;context=tractormuseumlit","Click for test report")</f>
        <v>Click for test report</v>
      </c>
      <c r="C1950">
        <v>1985</v>
      </c>
      <c r="D1950" t="s">
        <v>4441</v>
      </c>
      <c r="F1950" t="s">
        <v>4442</v>
      </c>
      <c r="G1950" t="s">
        <v>778</v>
      </c>
      <c r="H1950" t="s">
        <v>4443</v>
      </c>
      <c r="I1950" t="s">
        <v>50</v>
      </c>
      <c r="J1950" t="s">
        <v>20</v>
      </c>
      <c r="K1950" t="s">
        <v>21</v>
      </c>
      <c r="L1950" t="s">
        <v>4352</v>
      </c>
      <c r="N1950" t="s">
        <v>4444</v>
      </c>
      <c r="O1950" t="s">
        <v>4445</v>
      </c>
    </row>
    <row r="1951" spans="1:15" x14ac:dyDescent="0.25">
      <c r="A1951">
        <v>1950</v>
      </c>
      <c r="B1951" t="str">
        <f>HYPERLINK("https://digitalcommons.unl.edu/cgi/viewcontent.cgi?article=2918&amp;context=tractormuseumlit","Click for test report")</f>
        <v>Click for test report</v>
      </c>
      <c r="C1951">
        <v>1985</v>
      </c>
      <c r="D1951" t="s">
        <v>4438</v>
      </c>
      <c r="F1951" t="s">
        <v>62</v>
      </c>
      <c r="G1951" t="s">
        <v>62</v>
      </c>
      <c r="H1951" t="s">
        <v>4439</v>
      </c>
      <c r="I1951" t="s">
        <v>50</v>
      </c>
      <c r="J1951" t="s">
        <v>348</v>
      </c>
      <c r="K1951" t="s">
        <v>21</v>
      </c>
      <c r="L1951" t="s">
        <v>3973</v>
      </c>
      <c r="N1951" t="s">
        <v>4440</v>
      </c>
      <c r="O1951" t="s">
        <v>4437</v>
      </c>
    </row>
    <row r="1952" spans="1:15" x14ac:dyDescent="0.25">
      <c r="A1952">
        <v>1951</v>
      </c>
      <c r="B1952" t="str">
        <f>HYPERLINK("https://digitalcommons.unl.edu/cgi/viewcontent.cgi?article=2918&amp;context=tractormuseumlit","Click for test report")</f>
        <v>Click for test report</v>
      </c>
      <c r="C1952">
        <v>1985</v>
      </c>
      <c r="D1952" t="s">
        <v>4438</v>
      </c>
      <c r="F1952" t="s">
        <v>62</v>
      </c>
      <c r="G1952" t="s">
        <v>62</v>
      </c>
      <c r="H1952" t="s">
        <v>4439</v>
      </c>
      <c r="I1952" t="s">
        <v>50</v>
      </c>
      <c r="J1952" t="s">
        <v>20</v>
      </c>
      <c r="K1952" t="s">
        <v>21</v>
      </c>
      <c r="L1952" t="s">
        <v>3973</v>
      </c>
      <c r="N1952" t="s">
        <v>4440</v>
      </c>
      <c r="O1952" t="s">
        <v>4436</v>
      </c>
    </row>
    <row r="1953" spans="1:15" x14ac:dyDescent="0.25">
      <c r="A1953">
        <v>1952</v>
      </c>
      <c r="B1953" t="str">
        <f>HYPERLINK("https://digitalcommons.unl.edu/cgi/viewcontent.cgi?article=2919&amp;context=tractormuseumlit","Click for test report")</f>
        <v>Click for test report</v>
      </c>
      <c r="C1953">
        <v>1985</v>
      </c>
      <c r="D1953" t="s">
        <v>4434</v>
      </c>
      <c r="F1953" t="s">
        <v>62</v>
      </c>
      <c r="G1953" t="s">
        <v>62</v>
      </c>
      <c r="H1953" t="s">
        <v>4435</v>
      </c>
      <c r="I1953" t="s">
        <v>50</v>
      </c>
      <c r="J1953" t="s">
        <v>348</v>
      </c>
      <c r="K1953" t="s">
        <v>21</v>
      </c>
      <c r="L1953" t="s">
        <v>2699</v>
      </c>
      <c r="N1953" t="s">
        <v>3388</v>
      </c>
      <c r="O1953" t="s">
        <v>4437</v>
      </c>
    </row>
    <row r="1954" spans="1:15" x14ac:dyDescent="0.25">
      <c r="A1954">
        <v>1953</v>
      </c>
      <c r="B1954" t="str">
        <f>HYPERLINK("https://digitalcommons.unl.edu/cgi/viewcontent.cgi?article=2919&amp;context=tractormuseumlit","Click for test report")</f>
        <v>Click for test report</v>
      </c>
      <c r="C1954">
        <v>1985</v>
      </c>
      <c r="D1954" t="s">
        <v>4434</v>
      </c>
      <c r="F1954" t="s">
        <v>62</v>
      </c>
      <c r="G1954" t="s">
        <v>62</v>
      </c>
      <c r="H1954" t="s">
        <v>4435</v>
      </c>
      <c r="I1954" t="s">
        <v>50</v>
      </c>
      <c r="J1954" t="s">
        <v>20</v>
      </c>
      <c r="K1954" t="s">
        <v>21</v>
      </c>
      <c r="L1954" t="s">
        <v>2699</v>
      </c>
      <c r="N1954" t="s">
        <v>3388</v>
      </c>
      <c r="O1954" t="s">
        <v>4436</v>
      </c>
    </row>
    <row r="1955" spans="1:15" x14ac:dyDescent="0.25">
      <c r="A1955">
        <v>1954</v>
      </c>
      <c r="B1955" t="str">
        <f>HYPERLINK("https://digitalcommons.unl.edu/cgi/viewcontent.cgi?article=2920&amp;context=tractormuseumlit","Click for test report")</f>
        <v>Click for test report</v>
      </c>
      <c r="C1955">
        <v>1985</v>
      </c>
      <c r="D1955" t="s">
        <v>4430</v>
      </c>
      <c r="F1955" t="s">
        <v>62</v>
      </c>
      <c r="G1955" t="s">
        <v>62</v>
      </c>
      <c r="H1955" t="s">
        <v>4431</v>
      </c>
      <c r="I1955" t="s">
        <v>1961</v>
      </c>
      <c r="J1955" t="s">
        <v>348</v>
      </c>
      <c r="K1955" t="s">
        <v>21</v>
      </c>
      <c r="L1955" t="s">
        <v>1796</v>
      </c>
      <c r="N1955" t="s">
        <v>1347</v>
      </c>
      <c r="O1955" t="s">
        <v>4433</v>
      </c>
    </row>
    <row r="1956" spans="1:15" x14ac:dyDescent="0.25">
      <c r="A1956">
        <v>1955</v>
      </c>
      <c r="B1956" t="str">
        <f>HYPERLINK("https://digitalcommons.unl.edu/cgi/viewcontent.cgi?article=2920&amp;context=tractormuseumlit","Click for test report")</f>
        <v>Click for test report</v>
      </c>
      <c r="C1956">
        <v>1985</v>
      </c>
      <c r="D1956" t="s">
        <v>4430</v>
      </c>
      <c r="F1956" t="s">
        <v>62</v>
      </c>
      <c r="G1956" t="s">
        <v>62</v>
      </c>
      <c r="H1956" t="s">
        <v>4431</v>
      </c>
      <c r="I1956" t="s">
        <v>1961</v>
      </c>
      <c r="J1956" t="s">
        <v>20</v>
      </c>
      <c r="K1956" t="s">
        <v>21</v>
      </c>
      <c r="L1956" t="s">
        <v>1796</v>
      </c>
      <c r="N1956" t="s">
        <v>1347</v>
      </c>
      <c r="O1956" t="s">
        <v>4432</v>
      </c>
    </row>
    <row r="1957" spans="1:15" x14ac:dyDescent="0.25">
      <c r="A1957">
        <v>1956</v>
      </c>
      <c r="B1957" t="str">
        <f>HYPERLINK("https://digitalcommons.unl.edu/cgi/viewcontent.cgi?article=2921&amp;context=tractormuseumlit","Click for test report")</f>
        <v>Click for test report</v>
      </c>
      <c r="C1957">
        <v>1985</v>
      </c>
      <c r="D1957" t="s">
        <v>4428</v>
      </c>
      <c r="F1957" t="s">
        <v>4426</v>
      </c>
      <c r="G1957" t="s">
        <v>3166</v>
      </c>
      <c r="H1957" t="s">
        <v>4429</v>
      </c>
      <c r="I1957" t="s">
        <v>3474</v>
      </c>
      <c r="J1957" t="s">
        <v>29</v>
      </c>
      <c r="K1957" t="s">
        <v>21</v>
      </c>
      <c r="L1957" t="s">
        <v>510</v>
      </c>
      <c r="N1957" t="s">
        <v>150</v>
      </c>
      <c r="O1957" t="s">
        <v>3617</v>
      </c>
    </row>
    <row r="1958" spans="1:15" x14ac:dyDescent="0.25">
      <c r="A1958">
        <v>1957</v>
      </c>
      <c r="B1958" t="str">
        <f>HYPERLINK("https://digitalcommons.unl.edu/cgi/viewcontent.cgi?article=2922&amp;context=tractormuseumlit","Click for test report")</f>
        <v>Click for test report</v>
      </c>
      <c r="C1958">
        <v>1985</v>
      </c>
      <c r="D1958" t="s">
        <v>4425</v>
      </c>
      <c r="F1958" t="s">
        <v>4426</v>
      </c>
      <c r="G1958" t="s">
        <v>3166</v>
      </c>
      <c r="H1958" t="s">
        <v>4427</v>
      </c>
      <c r="I1958" t="s">
        <v>19</v>
      </c>
      <c r="J1958" t="s">
        <v>29</v>
      </c>
      <c r="K1958" t="s">
        <v>21</v>
      </c>
      <c r="L1958" t="s">
        <v>3504</v>
      </c>
      <c r="N1958" t="s">
        <v>813</v>
      </c>
      <c r="O1958" t="s">
        <v>3371</v>
      </c>
    </row>
    <row r="1959" spans="1:15" x14ac:dyDescent="0.25">
      <c r="A1959">
        <v>1958</v>
      </c>
      <c r="B1959" t="str">
        <f>HYPERLINK("https://digitalcommons.unl.edu/cgi/viewcontent.cgi?article=2923&amp;context=tractormuseumlit","Click for test report")</f>
        <v>Click for test report</v>
      </c>
      <c r="C1959">
        <v>1985</v>
      </c>
      <c r="D1959" t="s">
        <v>4423</v>
      </c>
      <c r="F1959" t="s">
        <v>4290</v>
      </c>
      <c r="G1959" t="s">
        <v>4291</v>
      </c>
      <c r="H1959" t="s">
        <v>4424</v>
      </c>
      <c r="I1959" t="s">
        <v>50</v>
      </c>
      <c r="J1959" t="s">
        <v>348</v>
      </c>
      <c r="K1959" t="s">
        <v>21</v>
      </c>
      <c r="L1959" t="s">
        <v>2511</v>
      </c>
      <c r="N1959" t="s">
        <v>1802</v>
      </c>
      <c r="O1959" t="s">
        <v>3320</v>
      </c>
    </row>
    <row r="1960" spans="1:15" x14ac:dyDescent="0.25">
      <c r="A1960">
        <v>1959</v>
      </c>
      <c r="B1960" t="str">
        <f>HYPERLINK("https://digitalcommons.unl.edu/cgi/viewcontent.cgi?article=2924&amp;context=tractormuseumlit","Click for test report")</f>
        <v>Click for test report</v>
      </c>
      <c r="C1960">
        <v>1985</v>
      </c>
      <c r="D1960" t="s">
        <v>4421</v>
      </c>
      <c r="F1960" t="s">
        <v>4290</v>
      </c>
      <c r="G1960" t="s">
        <v>4291</v>
      </c>
      <c r="H1960" t="s">
        <v>4422</v>
      </c>
      <c r="I1960" t="s">
        <v>50</v>
      </c>
      <c r="J1960" t="s">
        <v>20</v>
      </c>
      <c r="K1960" t="s">
        <v>21</v>
      </c>
      <c r="L1960" t="s">
        <v>1864</v>
      </c>
      <c r="N1960" t="s">
        <v>1994</v>
      </c>
      <c r="O1960" t="s">
        <v>3320</v>
      </c>
    </row>
    <row r="1961" spans="1:15" x14ac:dyDescent="0.25">
      <c r="A1961">
        <v>1960</v>
      </c>
      <c r="B1961" t="str">
        <f>HYPERLINK("https://digitalcommons.unl.edu/cgi/viewcontent.cgi?article=2925&amp;context=tractormuseumlit","Click for test report")</f>
        <v>Click for test report</v>
      </c>
      <c r="C1961">
        <v>1985</v>
      </c>
      <c r="D1961" t="s">
        <v>4419</v>
      </c>
      <c r="F1961" t="s">
        <v>4290</v>
      </c>
      <c r="G1961" t="s">
        <v>4291</v>
      </c>
      <c r="H1961" t="s">
        <v>4420</v>
      </c>
      <c r="I1961" t="s">
        <v>50</v>
      </c>
      <c r="J1961" t="s">
        <v>348</v>
      </c>
      <c r="K1961" t="s">
        <v>21</v>
      </c>
      <c r="L1961" t="s">
        <v>1864</v>
      </c>
      <c r="N1961" t="s">
        <v>1994</v>
      </c>
      <c r="O1961" t="s">
        <v>3320</v>
      </c>
    </row>
    <row r="1962" spans="1:15" x14ac:dyDescent="0.25">
      <c r="A1962">
        <v>1961</v>
      </c>
      <c r="B1962" t="str">
        <f>HYPERLINK("https://digitalcommons.unl.edu/cgi/viewcontent.cgi?article=2926&amp;context=tractormuseumlit","Click for test report")</f>
        <v>Click for test report</v>
      </c>
      <c r="C1962">
        <v>1985</v>
      </c>
      <c r="D1962" t="s">
        <v>4417</v>
      </c>
      <c r="F1962" t="s">
        <v>4290</v>
      </c>
      <c r="G1962" t="s">
        <v>4291</v>
      </c>
      <c r="H1962" t="s">
        <v>4418</v>
      </c>
      <c r="I1962" t="s">
        <v>50</v>
      </c>
      <c r="J1962" t="s">
        <v>348</v>
      </c>
      <c r="K1962" t="s">
        <v>21</v>
      </c>
      <c r="L1962" t="s">
        <v>1347</v>
      </c>
      <c r="N1962" t="s">
        <v>725</v>
      </c>
      <c r="O1962" t="s">
        <v>3320</v>
      </c>
    </row>
    <row r="1963" spans="1:15" x14ac:dyDescent="0.25">
      <c r="A1963">
        <v>1962</v>
      </c>
      <c r="B1963" t="str">
        <f>HYPERLINK("https://digitalcommons.unl.edu/cgi/viewcontent.cgi?article=2927&amp;context=tractormuseumlit","Click for test report")</f>
        <v>Click for test report</v>
      </c>
      <c r="C1963">
        <v>1985</v>
      </c>
      <c r="D1963" t="s">
        <v>4415</v>
      </c>
      <c r="F1963" t="s">
        <v>4290</v>
      </c>
      <c r="G1963" t="s">
        <v>4291</v>
      </c>
      <c r="H1963" t="s">
        <v>4416</v>
      </c>
      <c r="I1963" t="s">
        <v>50</v>
      </c>
      <c r="J1963" t="s">
        <v>20</v>
      </c>
      <c r="K1963" t="s">
        <v>21</v>
      </c>
      <c r="L1963" t="s">
        <v>705</v>
      </c>
      <c r="N1963" t="s">
        <v>457</v>
      </c>
      <c r="O1963" t="s">
        <v>24</v>
      </c>
    </row>
    <row r="1964" spans="1:15" x14ac:dyDescent="0.25">
      <c r="A1964">
        <v>1963</v>
      </c>
      <c r="B1964" t="str">
        <f>HYPERLINK("https://digitalcommons.unl.edu/cgi/viewcontent.cgi?article=2928&amp;context=tractormuseumlit","Click for test report")</f>
        <v>Click for test report</v>
      </c>
      <c r="C1964">
        <v>1985</v>
      </c>
      <c r="D1964" t="s">
        <v>4414</v>
      </c>
      <c r="F1964" t="s">
        <v>61</v>
      </c>
      <c r="G1964" t="s">
        <v>61</v>
      </c>
      <c r="H1964" t="s">
        <v>4183</v>
      </c>
      <c r="I1964" t="s">
        <v>2964</v>
      </c>
      <c r="J1964" t="s">
        <v>29</v>
      </c>
      <c r="K1964" t="s">
        <v>21</v>
      </c>
      <c r="L1964" t="s">
        <v>46</v>
      </c>
      <c r="N1964" t="s">
        <v>1347</v>
      </c>
      <c r="O1964" t="s">
        <v>24</v>
      </c>
    </row>
    <row r="1965" spans="1:15" x14ac:dyDescent="0.25">
      <c r="A1965">
        <v>1964</v>
      </c>
      <c r="B1965" t="str">
        <f>HYPERLINK("https://digitalcommons.unl.edu/cgi/viewcontent.cgi?article=2929&amp;context=tractormuseumlit","Click for test report")</f>
        <v>Click for test report</v>
      </c>
      <c r="C1965">
        <v>1985</v>
      </c>
      <c r="D1965" t="s">
        <v>4413</v>
      </c>
      <c r="F1965" t="s">
        <v>61</v>
      </c>
      <c r="G1965" t="s">
        <v>61</v>
      </c>
      <c r="H1965" t="s">
        <v>4412</v>
      </c>
      <c r="I1965" t="s">
        <v>50</v>
      </c>
      <c r="J1965" t="s">
        <v>29</v>
      </c>
      <c r="K1965" t="s">
        <v>21</v>
      </c>
      <c r="L1965" t="s">
        <v>505</v>
      </c>
      <c r="N1965" t="s">
        <v>150</v>
      </c>
      <c r="O1965" t="s">
        <v>4374</v>
      </c>
    </row>
    <row r="1966" spans="1:15" x14ac:dyDescent="0.25">
      <c r="A1966">
        <v>1965</v>
      </c>
      <c r="B1966" t="str">
        <f>HYPERLINK("https://digitalcommons.unl.edu/cgi/viewcontent.cgi?article=2930&amp;context=tractormuseumlit","Click for test report")</f>
        <v>Click for test report</v>
      </c>
      <c r="C1966">
        <v>1985</v>
      </c>
      <c r="D1966" t="s">
        <v>4411</v>
      </c>
      <c r="F1966" t="s">
        <v>61</v>
      </c>
      <c r="G1966" t="s">
        <v>61</v>
      </c>
      <c r="H1966" t="s">
        <v>4412</v>
      </c>
      <c r="I1966" t="s">
        <v>28</v>
      </c>
      <c r="J1966" t="s">
        <v>29</v>
      </c>
      <c r="K1966" t="s">
        <v>21</v>
      </c>
      <c r="L1966" t="s">
        <v>469</v>
      </c>
      <c r="N1966" t="s">
        <v>786</v>
      </c>
      <c r="O1966" t="s">
        <v>3320</v>
      </c>
    </row>
    <row r="1967" spans="1:15" x14ac:dyDescent="0.25">
      <c r="A1967">
        <v>1966</v>
      </c>
      <c r="B1967" t="str">
        <f>HYPERLINK("https://digitalcommons.unl.edu/cgi/viewcontent.cgi?article=2931&amp;context=tractormuseumlit","Click for test report")</f>
        <v>Click for test report</v>
      </c>
      <c r="C1967">
        <v>1985</v>
      </c>
      <c r="D1967" t="s">
        <v>4409</v>
      </c>
      <c r="F1967" t="s">
        <v>61</v>
      </c>
      <c r="G1967" t="s">
        <v>61</v>
      </c>
      <c r="H1967" t="s">
        <v>4410</v>
      </c>
      <c r="I1967" t="s">
        <v>28</v>
      </c>
      <c r="J1967" t="s">
        <v>29</v>
      </c>
      <c r="K1967" t="s">
        <v>21</v>
      </c>
      <c r="L1967" t="s">
        <v>3735</v>
      </c>
      <c r="N1967" t="s">
        <v>833</v>
      </c>
      <c r="O1967" t="s">
        <v>3320</v>
      </c>
    </row>
    <row r="1968" spans="1:15" x14ac:dyDescent="0.25">
      <c r="A1968">
        <v>1967</v>
      </c>
      <c r="B1968" t="str">
        <f>HYPERLINK("https://digitalcommons.unl.edu/cgi/viewcontent.cgi?article=2932&amp;context=tractormuseumlit","Click for test report")</f>
        <v>Click for test report</v>
      </c>
      <c r="C1968">
        <v>1985</v>
      </c>
      <c r="D1968" t="s">
        <v>4407</v>
      </c>
      <c r="F1968" t="s">
        <v>61</v>
      </c>
      <c r="G1968" t="s">
        <v>4049</v>
      </c>
      <c r="H1968" t="s">
        <v>4408</v>
      </c>
      <c r="I1968" t="s">
        <v>50</v>
      </c>
      <c r="J1968" t="s">
        <v>29</v>
      </c>
      <c r="K1968" t="s">
        <v>21</v>
      </c>
      <c r="N1968" t="s">
        <v>509</v>
      </c>
      <c r="O1968" t="s">
        <v>4406</v>
      </c>
    </row>
    <row r="1969" spans="1:15" x14ac:dyDescent="0.25">
      <c r="A1969">
        <v>1968</v>
      </c>
      <c r="B1969" t="str">
        <f>HYPERLINK("https://digitalcommons.unl.edu/cgi/viewcontent.cgi?article=2932&amp;context=tractormuseumlit","Click for test report")</f>
        <v>Click for test report</v>
      </c>
      <c r="C1969">
        <v>1985</v>
      </c>
      <c r="D1969" t="s">
        <v>4407</v>
      </c>
      <c r="F1969" t="s">
        <v>61</v>
      </c>
      <c r="G1969" t="s">
        <v>61</v>
      </c>
      <c r="H1969" t="s">
        <v>4408</v>
      </c>
      <c r="I1969" t="s">
        <v>50</v>
      </c>
      <c r="J1969" t="s">
        <v>29</v>
      </c>
      <c r="K1969" t="s">
        <v>21</v>
      </c>
      <c r="N1969" t="s">
        <v>509</v>
      </c>
      <c r="O1969" t="s">
        <v>4406</v>
      </c>
    </row>
    <row r="1970" spans="1:15" x14ac:dyDescent="0.25">
      <c r="A1970">
        <v>1969</v>
      </c>
      <c r="B1970" t="str">
        <f>HYPERLINK("https://digitalcommons.unl.edu/cgi/viewcontent.cgi?article=2933&amp;context=tractormuseumlit","Click for test report")</f>
        <v>Click for test report</v>
      </c>
      <c r="C1970">
        <v>1985</v>
      </c>
      <c r="D1970" t="s">
        <v>4404</v>
      </c>
      <c r="F1970" t="s">
        <v>61</v>
      </c>
      <c r="G1970" t="s">
        <v>61</v>
      </c>
      <c r="H1970" t="s">
        <v>4405</v>
      </c>
      <c r="I1970" t="s">
        <v>50</v>
      </c>
      <c r="J1970" t="s">
        <v>29</v>
      </c>
      <c r="K1970" t="s">
        <v>21</v>
      </c>
      <c r="N1970" t="s">
        <v>1181</v>
      </c>
      <c r="O1970" t="s">
        <v>4406</v>
      </c>
    </row>
    <row r="1971" spans="1:15" x14ac:dyDescent="0.25">
      <c r="A1971">
        <v>1970</v>
      </c>
      <c r="B1971" t="str">
        <f>HYPERLINK("https://digitalcommons.unl.edu/cgi/viewcontent.cgi?article=2934&amp;context=tractormuseumlit","Click for test report")</f>
        <v>Click for test report</v>
      </c>
      <c r="C1971">
        <v>1985</v>
      </c>
      <c r="D1971" t="s">
        <v>3773</v>
      </c>
      <c r="F1971" t="s">
        <v>3767</v>
      </c>
      <c r="G1971" t="s">
        <v>3472</v>
      </c>
      <c r="H1971" t="s">
        <v>4403</v>
      </c>
      <c r="I1971" t="s">
        <v>50</v>
      </c>
      <c r="J1971" t="s">
        <v>20</v>
      </c>
      <c r="K1971" t="s">
        <v>21</v>
      </c>
      <c r="L1971" t="s">
        <v>3152</v>
      </c>
      <c r="N1971" t="s">
        <v>1802</v>
      </c>
      <c r="O1971" t="s">
        <v>3775</v>
      </c>
    </row>
    <row r="1972" spans="1:15" x14ac:dyDescent="0.25">
      <c r="A1972">
        <v>1971</v>
      </c>
      <c r="B1972" t="str">
        <f>HYPERLINK("https://digitalcommons.unl.edu/cgi/viewcontent.cgi?article=2934&amp;context=tractormuseumlit","Click for test report")</f>
        <v>Click for test report</v>
      </c>
      <c r="C1972">
        <v>1985</v>
      </c>
      <c r="D1972" t="s">
        <v>3773</v>
      </c>
      <c r="F1972" t="s">
        <v>3767</v>
      </c>
      <c r="G1972" t="s">
        <v>3472</v>
      </c>
      <c r="H1972" t="s">
        <v>4402</v>
      </c>
      <c r="I1972" t="s">
        <v>50</v>
      </c>
      <c r="J1972" t="s">
        <v>20</v>
      </c>
      <c r="K1972" t="s">
        <v>21</v>
      </c>
      <c r="L1972" t="s">
        <v>3152</v>
      </c>
      <c r="N1972" t="s">
        <v>1893</v>
      </c>
    </row>
    <row r="1973" spans="1:15" x14ac:dyDescent="0.25">
      <c r="A1973">
        <v>1972</v>
      </c>
      <c r="B1973" t="str">
        <f>HYPERLINK("https://digitalcommons.unl.edu/cgi/viewcontent.cgi?article=2934&amp;context=tractormuseumlit","Click for test report")</f>
        <v>Click for test report</v>
      </c>
      <c r="C1973">
        <v>1985</v>
      </c>
      <c r="D1973" t="s">
        <v>3773</v>
      </c>
      <c r="F1973" t="s">
        <v>3767</v>
      </c>
      <c r="G1973" t="s">
        <v>3472</v>
      </c>
      <c r="H1973" t="s">
        <v>4402</v>
      </c>
      <c r="I1973" t="s">
        <v>50</v>
      </c>
      <c r="J1973" t="s">
        <v>348</v>
      </c>
      <c r="K1973" t="s">
        <v>21</v>
      </c>
      <c r="L1973" t="s">
        <v>3152</v>
      </c>
      <c r="N1973" t="s">
        <v>1893</v>
      </c>
      <c r="O1973" t="s">
        <v>24</v>
      </c>
    </row>
    <row r="1974" spans="1:15" x14ac:dyDescent="0.25">
      <c r="A1974">
        <v>1973</v>
      </c>
      <c r="B1974" t="str">
        <f>HYPERLINK("https://digitalcommons.unl.edu/cgi/viewcontent.cgi?article=2935&amp;context=tractormuseumlit","Click for test report")</f>
        <v>Click for test report</v>
      </c>
      <c r="C1974">
        <v>1985</v>
      </c>
      <c r="D1974" t="s">
        <v>4398</v>
      </c>
      <c r="F1974" t="s">
        <v>3767</v>
      </c>
      <c r="G1974" t="s">
        <v>3472</v>
      </c>
      <c r="H1974" t="s">
        <v>4400</v>
      </c>
      <c r="I1974" t="s">
        <v>50</v>
      </c>
      <c r="J1974" t="s">
        <v>20</v>
      </c>
      <c r="K1974" t="s">
        <v>21</v>
      </c>
      <c r="L1974" t="s">
        <v>353</v>
      </c>
      <c r="N1974" t="s">
        <v>3319</v>
      </c>
      <c r="O1974" t="s">
        <v>4401</v>
      </c>
    </row>
    <row r="1975" spans="1:15" x14ac:dyDescent="0.25">
      <c r="A1975">
        <v>1974</v>
      </c>
      <c r="B1975" t="str">
        <f>HYPERLINK("https://digitalcommons.unl.edu/cgi/viewcontent.cgi?article=2935&amp;context=tractormuseumlit","Click for test report")</f>
        <v>Click for test report</v>
      </c>
      <c r="C1975">
        <v>1985</v>
      </c>
      <c r="D1975" t="s">
        <v>4398</v>
      </c>
      <c r="F1975" t="s">
        <v>3767</v>
      </c>
      <c r="G1975" t="s">
        <v>3472</v>
      </c>
      <c r="H1975" t="s">
        <v>4399</v>
      </c>
      <c r="I1975" t="s">
        <v>50</v>
      </c>
      <c r="J1975" t="s">
        <v>20</v>
      </c>
      <c r="K1975" t="s">
        <v>21</v>
      </c>
      <c r="L1975" t="s">
        <v>353</v>
      </c>
      <c r="N1975" t="s">
        <v>3319</v>
      </c>
    </row>
    <row r="1976" spans="1:15" x14ac:dyDescent="0.25">
      <c r="A1976">
        <v>1975</v>
      </c>
      <c r="B1976" t="str">
        <f>HYPERLINK("https://digitalcommons.unl.edu/cgi/viewcontent.cgi?article=2935&amp;context=tractormuseumlit","Click for test report")</f>
        <v>Click for test report</v>
      </c>
      <c r="C1976">
        <v>1985</v>
      </c>
      <c r="D1976" t="s">
        <v>4398</v>
      </c>
      <c r="F1976" t="s">
        <v>3767</v>
      </c>
      <c r="G1976" t="s">
        <v>3472</v>
      </c>
      <c r="H1976" t="s">
        <v>4399</v>
      </c>
      <c r="I1976" t="s">
        <v>50</v>
      </c>
      <c r="J1976" t="s">
        <v>348</v>
      </c>
      <c r="K1976" t="s">
        <v>21</v>
      </c>
      <c r="L1976" t="s">
        <v>353</v>
      </c>
      <c r="N1976" t="s">
        <v>3319</v>
      </c>
      <c r="O1976" t="s">
        <v>24</v>
      </c>
    </row>
    <row r="1977" spans="1:15" x14ac:dyDescent="0.25">
      <c r="A1977">
        <v>1976</v>
      </c>
      <c r="B1977" t="str">
        <f>HYPERLINK("https://digitalcommons.unl.edu/cgi/viewcontent.cgi?article=2936&amp;context=tractormuseumlit","Click for test report")</f>
        <v>Click for test report</v>
      </c>
      <c r="C1977">
        <v>1985</v>
      </c>
      <c r="D1977" t="s">
        <v>4394</v>
      </c>
      <c r="F1977" t="s">
        <v>4395</v>
      </c>
      <c r="G1977" t="s">
        <v>3708</v>
      </c>
      <c r="H1977" t="s">
        <v>4396</v>
      </c>
      <c r="I1977" t="s">
        <v>50</v>
      </c>
      <c r="J1977" t="s">
        <v>348</v>
      </c>
      <c r="K1977" t="s">
        <v>21</v>
      </c>
      <c r="L1977" t="s">
        <v>4012</v>
      </c>
      <c r="N1977" t="s">
        <v>4397</v>
      </c>
      <c r="O1977" t="s">
        <v>3468</v>
      </c>
    </row>
    <row r="1978" spans="1:15" x14ac:dyDescent="0.25">
      <c r="A1978">
        <v>1977</v>
      </c>
      <c r="B1978" t="str">
        <f>HYPERLINK("https://digitalcommons.unl.edu/cgi/viewcontent.cgi?article=2937&amp;context=tractormuseumlit","Click for test report")</f>
        <v>Click for test report</v>
      </c>
      <c r="C1978">
        <v>1985</v>
      </c>
      <c r="D1978" t="s">
        <v>4390</v>
      </c>
      <c r="F1978" t="s">
        <v>4344</v>
      </c>
      <c r="G1978" t="s">
        <v>4144</v>
      </c>
      <c r="H1978" t="s">
        <v>4392</v>
      </c>
      <c r="I1978" t="s">
        <v>50</v>
      </c>
      <c r="J1978" t="s">
        <v>20</v>
      </c>
      <c r="K1978" t="s">
        <v>21</v>
      </c>
      <c r="L1978" t="s">
        <v>2029</v>
      </c>
      <c r="N1978" t="s">
        <v>735</v>
      </c>
      <c r="O1978" t="s">
        <v>4393</v>
      </c>
    </row>
    <row r="1979" spans="1:15" x14ac:dyDescent="0.25">
      <c r="A1979">
        <v>1978</v>
      </c>
      <c r="B1979" t="str">
        <f>HYPERLINK("https://digitalcommons.unl.edu/cgi/viewcontent.cgi?article=2937&amp;context=tractormuseumlit","Click for test report")</f>
        <v>Click for test report</v>
      </c>
      <c r="C1979">
        <v>1985</v>
      </c>
      <c r="D1979" t="s">
        <v>4390</v>
      </c>
      <c r="F1979" t="s">
        <v>4344</v>
      </c>
      <c r="G1979" t="s">
        <v>4383</v>
      </c>
      <c r="H1979" t="s">
        <v>4391</v>
      </c>
      <c r="I1979" t="s">
        <v>50</v>
      </c>
      <c r="J1979" t="s">
        <v>20</v>
      </c>
      <c r="K1979" t="s">
        <v>21</v>
      </c>
      <c r="L1979" t="s">
        <v>2029</v>
      </c>
      <c r="N1979" t="s">
        <v>735</v>
      </c>
      <c r="O1979" t="s">
        <v>3468</v>
      </c>
    </row>
    <row r="1980" spans="1:15" x14ac:dyDescent="0.25">
      <c r="A1980">
        <v>1979</v>
      </c>
      <c r="B1980" t="str">
        <f>HYPERLINK("https://digitalcommons.unl.edu/cgi/viewcontent.cgi?article=2938&amp;context=tractormuseumlit","Click for test report")</f>
        <v>Click for test report</v>
      </c>
      <c r="C1980">
        <v>1985</v>
      </c>
      <c r="D1980" t="s">
        <v>4386</v>
      </c>
      <c r="F1980" t="s">
        <v>4344</v>
      </c>
      <c r="G1980" t="s">
        <v>4144</v>
      </c>
      <c r="H1980" t="s">
        <v>4388</v>
      </c>
      <c r="I1980" t="s">
        <v>50</v>
      </c>
      <c r="J1980" t="s">
        <v>20</v>
      </c>
      <c r="K1980" t="s">
        <v>21</v>
      </c>
      <c r="L1980" t="s">
        <v>1796</v>
      </c>
      <c r="N1980" t="s">
        <v>58</v>
      </c>
      <c r="O1980" t="s">
        <v>4389</v>
      </c>
    </row>
    <row r="1981" spans="1:15" x14ac:dyDescent="0.25">
      <c r="A1981">
        <v>1980</v>
      </c>
      <c r="B1981" t="str">
        <f>HYPERLINK("https://digitalcommons.unl.edu/cgi/viewcontent.cgi?article=2938&amp;context=tractormuseumlit","Click for test report")</f>
        <v>Click for test report</v>
      </c>
      <c r="C1981">
        <v>1985</v>
      </c>
      <c r="D1981" t="s">
        <v>4386</v>
      </c>
      <c r="F1981" t="s">
        <v>4344</v>
      </c>
      <c r="G1981" t="s">
        <v>4383</v>
      </c>
      <c r="H1981" t="s">
        <v>4387</v>
      </c>
      <c r="I1981" t="s">
        <v>50</v>
      </c>
      <c r="J1981" t="s">
        <v>20</v>
      </c>
      <c r="K1981" t="s">
        <v>21</v>
      </c>
      <c r="L1981" t="s">
        <v>1796</v>
      </c>
      <c r="N1981" t="s">
        <v>58</v>
      </c>
      <c r="O1981" t="s">
        <v>4374</v>
      </c>
    </row>
    <row r="1982" spans="1:15" x14ac:dyDescent="0.25">
      <c r="A1982">
        <v>1981</v>
      </c>
      <c r="B1982" t="str">
        <f>HYPERLINK("https://digitalcommons.unl.edu/cgi/viewcontent.cgi?article=2939&amp;context=tractormuseumlit","Click for test report")</f>
        <v>Click for test report</v>
      </c>
      <c r="C1982">
        <v>1985</v>
      </c>
      <c r="D1982" t="s">
        <v>4382</v>
      </c>
      <c r="F1982" t="s">
        <v>4344</v>
      </c>
      <c r="G1982" t="s">
        <v>4144</v>
      </c>
      <c r="H1982" t="s">
        <v>4212</v>
      </c>
      <c r="I1982" t="s">
        <v>1961</v>
      </c>
      <c r="J1982" t="s">
        <v>20</v>
      </c>
      <c r="K1982" t="s">
        <v>21</v>
      </c>
      <c r="L1982" t="s">
        <v>475</v>
      </c>
      <c r="N1982" t="s">
        <v>130</v>
      </c>
      <c r="O1982" t="s">
        <v>4385</v>
      </c>
    </row>
    <row r="1983" spans="1:15" x14ac:dyDescent="0.25">
      <c r="A1983">
        <v>1982</v>
      </c>
      <c r="B1983" t="str">
        <f>HYPERLINK("https://digitalcommons.unl.edu/cgi/viewcontent.cgi?article=2939&amp;context=tractormuseumlit","Click for test report")</f>
        <v>Click for test report</v>
      </c>
      <c r="C1983">
        <v>1985</v>
      </c>
      <c r="D1983" t="s">
        <v>4382</v>
      </c>
      <c r="F1983" t="s">
        <v>4344</v>
      </c>
      <c r="G1983" t="s">
        <v>4383</v>
      </c>
      <c r="H1983" t="s">
        <v>4384</v>
      </c>
      <c r="I1983" t="s">
        <v>1961</v>
      </c>
      <c r="J1983" t="s">
        <v>20</v>
      </c>
      <c r="K1983" t="s">
        <v>21</v>
      </c>
      <c r="L1983" t="s">
        <v>475</v>
      </c>
      <c r="N1983" t="s">
        <v>130</v>
      </c>
      <c r="O1983" t="s">
        <v>3413</v>
      </c>
    </row>
    <row r="1984" spans="1:15" x14ac:dyDescent="0.25">
      <c r="A1984">
        <v>1983</v>
      </c>
      <c r="B1984" t="str">
        <f>HYPERLINK("https://digitalcommons.unl.edu/cgi/viewcontent.cgi?article=2940&amp;context=tractormuseumlit","Click for test report")</f>
        <v>Click for test report</v>
      </c>
      <c r="C1984">
        <v>1985</v>
      </c>
      <c r="D1984" t="s">
        <v>4380</v>
      </c>
      <c r="F1984" t="s">
        <v>3652</v>
      </c>
      <c r="G1984" t="s">
        <v>3652</v>
      </c>
      <c r="H1984" t="s">
        <v>4381</v>
      </c>
      <c r="I1984" t="s">
        <v>1961</v>
      </c>
      <c r="J1984" t="s">
        <v>29</v>
      </c>
      <c r="K1984" t="s">
        <v>21</v>
      </c>
      <c r="L1984" t="s">
        <v>1124</v>
      </c>
      <c r="N1984" t="s">
        <v>434</v>
      </c>
      <c r="O1984" t="s">
        <v>4379</v>
      </c>
    </row>
    <row r="1985" spans="1:15" x14ac:dyDescent="0.25">
      <c r="A1985">
        <v>1984</v>
      </c>
      <c r="B1985" t="str">
        <f>HYPERLINK("https://digitalcommons.unl.edu/cgi/viewcontent.cgi?article=2941&amp;context=tractormuseumlit","Click for test report")</f>
        <v>Click for test report</v>
      </c>
      <c r="C1985">
        <v>1985</v>
      </c>
      <c r="D1985" t="s">
        <v>4377</v>
      </c>
      <c r="F1985" t="s">
        <v>3652</v>
      </c>
      <c r="G1985" t="s">
        <v>3652</v>
      </c>
      <c r="H1985" t="s">
        <v>4378</v>
      </c>
      <c r="I1985" t="s">
        <v>1961</v>
      </c>
      <c r="J1985" t="s">
        <v>29</v>
      </c>
      <c r="K1985" t="s">
        <v>21</v>
      </c>
      <c r="L1985" t="s">
        <v>399</v>
      </c>
      <c r="N1985" t="s">
        <v>311</v>
      </c>
      <c r="O1985" t="s">
        <v>4379</v>
      </c>
    </row>
    <row r="1986" spans="1:15" x14ac:dyDescent="0.25">
      <c r="A1986">
        <v>1985</v>
      </c>
      <c r="B1986" t="str">
        <f>HYPERLINK("https://digitalcommons.unl.edu/cgi/viewcontent.cgi?article=2942&amp;context=tractormuseumlit","Click for test report")</f>
        <v>Click for test report</v>
      </c>
      <c r="C1986">
        <v>1985</v>
      </c>
      <c r="D1986" t="s">
        <v>4375</v>
      </c>
      <c r="F1986" t="s">
        <v>4290</v>
      </c>
      <c r="G1986" t="s">
        <v>4291</v>
      </c>
      <c r="H1986" t="s">
        <v>4376</v>
      </c>
      <c r="I1986" t="s">
        <v>50</v>
      </c>
      <c r="J1986" t="s">
        <v>20</v>
      </c>
      <c r="K1986" t="s">
        <v>21</v>
      </c>
      <c r="L1986" t="s">
        <v>2826</v>
      </c>
      <c r="N1986" t="s">
        <v>4008</v>
      </c>
      <c r="O1986" t="s">
        <v>3320</v>
      </c>
    </row>
    <row r="1987" spans="1:15" x14ac:dyDescent="0.25">
      <c r="A1987">
        <v>1986</v>
      </c>
      <c r="B1987" t="str">
        <f>HYPERLINK("https://digitalcommons.unl.edu/cgi/viewcontent.cgi?article=2943&amp;context=tractormuseumlit","Click for test report")</f>
        <v>Click for test report</v>
      </c>
      <c r="C1987">
        <v>1985</v>
      </c>
      <c r="D1987" t="s">
        <v>4372</v>
      </c>
      <c r="F1987" t="s">
        <v>4290</v>
      </c>
      <c r="G1987" t="s">
        <v>4291</v>
      </c>
      <c r="H1987" t="s">
        <v>4373</v>
      </c>
      <c r="I1987" t="s">
        <v>50</v>
      </c>
      <c r="J1987" t="s">
        <v>20</v>
      </c>
      <c r="K1987" t="s">
        <v>21</v>
      </c>
      <c r="L1987" t="s">
        <v>457</v>
      </c>
      <c r="N1987" t="s">
        <v>1371</v>
      </c>
      <c r="O1987" t="s">
        <v>4374</v>
      </c>
    </row>
    <row r="1988" spans="1:15" x14ac:dyDescent="0.25">
      <c r="A1988">
        <v>1987</v>
      </c>
      <c r="B1988" t="str">
        <f>HYPERLINK("https://digitalcommons.unl.edu/cgi/viewcontent.cgi?article=2944&amp;context=tractormuseumlit","Click for test report")</f>
        <v>Click for test report</v>
      </c>
      <c r="C1988">
        <v>1985</v>
      </c>
      <c r="D1988" t="s">
        <v>4370</v>
      </c>
      <c r="F1988" t="s">
        <v>4290</v>
      </c>
      <c r="G1988" t="s">
        <v>4291</v>
      </c>
      <c r="H1988" t="s">
        <v>4371</v>
      </c>
      <c r="I1988" t="s">
        <v>19</v>
      </c>
      <c r="J1988" t="s">
        <v>20</v>
      </c>
      <c r="K1988" t="s">
        <v>21</v>
      </c>
      <c r="L1988" t="s">
        <v>1425</v>
      </c>
      <c r="N1988" t="s">
        <v>839</v>
      </c>
      <c r="O1988" t="s">
        <v>3371</v>
      </c>
    </row>
    <row r="1989" spans="1:15" x14ac:dyDescent="0.25">
      <c r="A1989">
        <v>1988</v>
      </c>
      <c r="B1989" t="str">
        <f>HYPERLINK("https://digitalcommons.unl.edu/cgi/viewcontent.cgi?article=2945&amp;context=tractormuseumlit","Click for test report")</f>
        <v>Click for test report</v>
      </c>
      <c r="C1989">
        <v>1985</v>
      </c>
      <c r="D1989" t="s">
        <v>4368</v>
      </c>
      <c r="F1989" t="s">
        <v>3800</v>
      </c>
      <c r="G1989" t="s">
        <v>191</v>
      </c>
      <c r="H1989" t="s">
        <v>4369</v>
      </c>
      <c r="I1989" t="s">
        <v>1808</v>
      </c>
      <c r="J1989" t="s">
        <v>348</v>
      </c>
      <c r="K1989" t="s">
        <v>21</v>
      </c>
      <c r="L1989" t="s">
        <v>1425</v>
      </c>
      <c r="N1989" t="s">
        <v>787</v>
      </c>
      <c r="O1989" t="s">
        <v>3413</v>
      </c>
    </row>
    <row r="1990" spans="1:15" x14ac:dyDescent="0.25">
      <c r="A1990">
        <v>1989</v>
      </c>
      <c r="B1990" t="str">
        <f>HYPERLINK("https://digitalcommons.unl.edu/cgi/viewcontent.cgi?article=2946&amp;context=tractormuseumlit","Click for test report")</f>
        <v>Click for test report</v>
      </c>
      <c r="C1990">
        <v>1985</v>
      </c>
      <c r="D1990" t="s">
        <v>4366</v>
      </c>
      <c r="F1990" t="s">
        <v>3800</v>
      </c>
      <c r="G1990" t="s">
        <v>191</v>
      </c>
      <c r="H1990" t="s">
        <v>4367</v>
      </c>
      <c r="I1990" t="s">
        <v>1808</v>
      </c>
      <c r="J1990" t="s">
        <v>20</v>
      </c>
      <c r="K1990" t="s">
        <v>21</v>
      </c>
      <c r="L1990" t="s">
        <v>1425</v>
      </c>
      <c r="N1990" t="s">
        <v>1262</v>
      </c>
      <c r="O1990" t="s">
        <v>3413</v>
      </c>
    </row>
    <row r="1991" spans="1:15" x14ac:dyDescent="0.25">
      <c r="A1991">
        <v>1990</v>
      </c>
      <c r="B1991" t="str">
        <f>HYPERLINK("https://digitalcommons.unl.edu/cgi/viewcontent.cgi?article=2947&amp;context=tractormuseumlit","Click for test report")</f>
        <v>Click for test report</v>
      </c>
      <c r="C1991">
        <v>1985</v>
      </c>
      <c r="D1991" t="s">
        <v>4364</v>
      </c>
      <c r="F1991" t="s">
        <v>3800</v>
      </c>
      <c r="G1991" t="s">
        <v>191</v>
      </c>
      <c r="H1991" t="s">
        <v>4365</v>
      </c>
      <c r="I1991" t="s">
        <v>1808</v>
      </c>
      <c r="J1991" t="s">
        <v>20</v>
      </c>
      <c r="K1991" t="s">
        <v>21</v>
      </c>
      <c r="L1991" t="s">
        <v>149</v>
      </c>
      <c r="N1991" t="s">
        <v>1821</v>
      </c>
      <c r="O1991" t="s">
        <v>3413</v>
      </c>
    </row>
    <row r="1992" spans="1:15" x14ac:dyDescent="0.25">
      <c r="A1992">
        <v>1991</v>
      </c>
      <c r="B1992" t="str">
        <f>HYPERLINK("https://digitalcommons.unl.edu/cgi/viewcontent.cgi?article=2948&amp;context=tractormuseumlit","Click for test report")</f>
        <v>Click for test report</v>
      </c>
      <c r="C1992">
        <v>1985</v>
      </c>
      <c r="D1992" t="s">
        <v>4360</v>
      </c>
      <c r="F1992" t="s">
        <v>62</v>
      </c>
      <c r="G1992" t="s">
        <v>62</v>
      </c>
      <c r="H1992" t="s">
        <v>4361</v>
      </c>
      <c r="I1992" t="s">
        <v>50</v>
      </c>
      <c r="J1992" t="s">
        <v>348</v>
      </c>
      <c r="K1992" t="s">
        <v>21</v>
      </c>
      <c r="L1992" t="s">
        <v>4362</v>
      </c>
      <c r="N1992" t="s">
        <v>4363</v>
      </c>
      <c r="O1992" t="s">
        <v>3468</v>
      </c>
    </row>
    <row r="1993" spans="1:15" x14ac:dyDescent="0.25">
      <c r="A1993">
        <v>1992</v>
      </c>
      <c r="B1993" t="str">
        <f>HYPERLINK("https://digitalcommons.unl.edu/cgi/viewcontent.cgi?article=2948&amp;context=tractormuseumlit","Click for test report")</f>
        <v>Click for test report</v>
      </c>
      <c r="C1993">
        <v>1985</v>
      </c>
      <c r="D1993" t="s">
        <v>4360</v>
      </c>
      <c r="F1993" t="s">
        <v>62</v>
      </c>
      <c r="G1993" t="s">
        <v>62</v>
      </c>
      <c r="H1993" t="s">
        <v>4361</v>
      </c>
      <c r="I1993" t="s">
        <v>50</v>
      </c>
      <c r="J1993" t="s">
        <v>20</v>
      </c>
      <c r="K1993" t="s">
        <v>21</v>
      </c>
      <c r="L1993" t="s">
        <v>4362</v>
      </c>
      <c r="N1993" t="s">
        <v>4363</v>
      </c>
      <c r="O1993" t="s">
        <v>3468</v>
      </c>
    </row>
    <row r="1994" spans="1:15" x14ac:dyDescent="0.25">
      <c r="A1994">
        <v>1993</v>
      </c>
      <c r="B1994" t="str">
        <f>HYPERLINK("https://digitalcommons.unl.edu/cgi/viewcontent.cgi?article=2949&amp;context=tractormuseumlit","Click for test report")</f>
        <v>Click for test report</v>
      </c>
      <c r="C1994">
        <v>1985</v>
      </c>
      <c r="D1994" t="s">
        <v>4356</v>
      </c>
      <c r="F1994" t="s">
        <v>62</v>
      </c>
      <c r="G1994" t="s">
        <v>62</v>
      </c>
      <c r="H1994" t="s">
        <v>4357</v>
      </c>
      <c r="I1994" t="s">
        <v>50</v>
      </c>
      <c r="J1994" t="s">
        <v>348</v>
      </c>
      <c r="K1994" t="s">
        <v>21</v>
      </c>
      <c r="L1994" t="s">
        <v>4358</v>
      </c>
      <c r="N1994" t="s">
        <v>4359</v>
      </c>
      <c r="O1994" t="s">
        <v>3468</v>
      </c>
    </row>
    <row r="1995" spans="1:15" x14ac:dyDescent="0.25">
      <c r="A1995">
        <v>1994</v>
      </c>
      <c r="B1995" t="str">
        <f>HYPERLINK("https://digitalcommons.unl.edu/cgi/viewcontent.cgi?article=2949&amp;context=tractormuseumlit","Click for test report")</f>
        <v>Click for test report</v>
      </c>
      <c r="C1995">
        <v>1985</v>
      </c>
      <c r="D1995" t="s">
        <v>4356</v>
      </c>
      <c r="F1995" t="s">
        <v>62</v>
      </c>
      <c r="G1995" t="s">
        <v>62</v>
      </c>
      <c r="H1995" t="s">
        <v>4357</v>
      </c>
      <c r="I1995" t="s">
        <v>50</v>
      </c>
      <c r="J1995" t="s">
        <v>20</v>
      </c>
      <c r="K1995" t="s">
        <v>21</v>
      </c>
      <c r="L1995" t="s">
        <v>4358</v>
      </c>
      <c r="N1995" t="s">
        <v>4359</v>
      </c>
      <c r="O1995" t="s">
        <v>3468</v>
      </c>
    </row>
    <row r="1996" spans="1:15" x14ac:dyDescent="0.25">
      <c r="A1996">
        <v>1995</v>
      </c>
      <c r="B1996" t="str">
        <f>HYPERLINK("https://digitalcommons.unl.edu/cgi/viewcontent.cgi?article=2950&amp;context=tractormuseumlit","Click for test report")</f>
        <v>Click for test report</v>
      </c>
      <c r="C1996">
        <v>1985</v>
      </c>
      <c r="D1996" t="s">
        <v>4353</v>
      </c>
      <c r="F1996" t="s">
        <v>62</v>
      </c>
      <c r="G1996" t="s">
        <v>62</v>
      </c>
      <c r="H1996" t="s">
        <v>4354</v>
      </c>
      <c r="I1996" t="s">
        <v>50</v>
      </c>
      <c r="J1996" t="s">
        <v>348</v>
      </c>
      <c r="K1996" t="s">
        <v>21</v>
      </c>
      <c r="L1996" t="s">
        <v>4352</v>
      </c>
      <c r="N1996" t="s">
        <v>4355</v>
      </c>
      <c r="O1996" t="s">
        <v>3468</v>
      </c>
    </row>
    <row r="1997" spans="1:15" x14ac:dyDescent="0.25">
      <c r="A1997">
        <v>1996</v>
      </c>
      <c r="B1997" t="str">
        <f>HYPERLINK("https://digitalcommons.unl.edu/cgi/viewcontent.cgi?article=2950&amp;context=tractormuseumlit","Click for test report")</f>
        <v>Click for test report</v>
      </c>
      <c r="C1997">
        <v>1985</v>
      </c>
      <c r="D1997" t="s">
        <v>4353</v>
      </c>
      <c r="F1997" t="s">
        <v>62</v>
      </c>
      <c r="G1997" t="s">
        <v>62</v>
      </c>
      <c r="H1997" t="s">
        <v>4354</v>
      </c>
      <c r="I1997" t="s">
        <v>50</v>
      </c>
      <c r="J1997" t="s">
        <v>20</v>
      </c>
      <c r="K1997" t="s">
        <v>21</v>
      </c>
      <c r="L1997" t="s">
        <v>4352</v>
      </c>
      <c r="N1997" t="s">
        <v>4355</v>
      </c>
      <c r="O1997" t="s">
        <v>3468</v>
      </c>
    </row>
    <row r="1998" spans="1:15" x14ac:dyDescent="0.25">
      <c r="A1998">
        <v>1997</v>
      </c>
      <c r="B1998" t="str">
        <f>HYPERLINK("https://digitalcommons.unl.edu/cgi/viewcontent.cgi?article=2951&amp;context=tractormuseumlit","Click for test report")</f>
        <v>Click for test report</v>
      </c>
      <c r="C1998">
        <v>1985</v>
      </c>
      <c r="D1998" t="s">
        <v>4350</v>
      </c>
      <c r="F1998" t="s">
        <v>62</v>
      </c>
      <c r="G1998" t="s">
        <v>62</v>
      </c>
      <c r="H1998" t="s">
        <v>4351</v>
      </c>
      <c r="I1998" t="s">
        <v>50</v>
      </c>
      <c r="J1998" t="s">
        <v>348</v>
      </c>
      <c r="K1998" t="s">
        <v>21</v>
      </c>
      <c r="L1998" t="s">
        <v>4012</v>
      </c>
      <c r="N1998" t="s">
        <v>4352</v>
      </c>
      <c r="O1998" t="s">
        <v>3468</v>
      </c>
    </row>
    <row r="1999" spans="1:15" x14ac:dyDescent="0.25">
      <c r="A1999">
        <v>1998</v>
      </c>
      <c r="B1999" t="str">
        <f>HYPERLINK("https://digitalcommons.unl.edu/cgi/viewcontent.cgi?article=2951&amp;context=tractormuseumlit","Click for test report")</f>
        <v>Click for test report</v>
      </c>
      <c r="C1999">
        <v>1985</v>
      </c>
      <c r="D1999" t="s">
        <v>4350</v>
      </c>
      <c r="F1999" t="s">
        <v>62</v>
      </c>
      <c r="G1999" t="s">
        <v>62</v>
      </c>
      <c r="H1999" t="s">
        <v>4351</v>
      </c>
      <c r="I1999" t="s">
        <v>50</v>
      </c>
      <c r="J1999" t="s">
        <v>20</v>
      </c>
      <c r="K1999" t="s">
        <v>21</v>
      </c>
      <c r="L1999" t="s">
        <v>4012</v>
      </c>
      <c r="N1999" t="s">
        <v>4352</v>
      </c>
      <c r="O1999" t="s">
        <v>3468</v>
      </c>
    </row>
    <row r="2000" spans="1:15" x14ac:dyDescent="0.25">
      <c r="A2000">
        <v>1999</v>
      </c>
      <c r="B2000" t="str">
        <f>HYPERLINK("https://digitalcommons.unl.edu/cgi/viewcontent.cgi?article=3690&amp;context=tractormuseumlit","Click for test report")</f>
        <v>Click for test report</v>
      </c>
      <c r="C2000">
        <v>1986</v>
      </c>
      <c r="E2000" t="s">
        <v>4347</v>
      </c>
      <c r="F2000" t="s">
        <v>4344</v>
      </c>
      <c r="G2000" t="s">
        <v>4144</v>
      </c>
      <c r="H2000" t="s">
        <v>4348</v>
      </c>
      <c r="I2000" t="s">
        <v>50</v>
      </c>
      <c r="J2000" t="s">
        <v>20</v>
      </c>
      <c r="K2000" t="s">
        <v>21</v>
      </c>
      <c r="L2000" t="s">
        <v>1009</v>
      </c>
      <c r="N2000" t="s">
        <v>1893</v>
      </c>
      <c r="O2000" t="s">
        <v>4349</v>
      </c>
    </row>
    <row r="2001" spans="1:15" x14ac:dyDescent="0.25">
      <c r="A2001">
        <v>2000</v>
      </c>
      <c r="B2001" t="str">
        <f>HYPERLINK("https://digitalcommons.unl.edu/cgi/viewcontent.cgi?article=3691&amp;context=tractormuseumlit","Click for test report")</f>
        <v>Click for test report</v>
      </c>
      <c r="C2001">
        <v>1986</v>
      </c>
      <c r="E2001" t="s">
        <v>4343</v>
      </c>
      <c r="F2001" t="s">
        <v>4344</v>
      </c>
      <c r="G2001" t="s">
        <v>4144</v>
      </c>
      <c r="H2001" t="s">
        <v>4345</v>
      </c>
      <c r="I2001" t="s">
        <v>50</v>
      </c>
      <c r="J2001" t="s">
        <v>20</v>
      </c>
      <c r="K2001" t="s">
        <v>21</v>
      </c>
      <c r="L2001" t="s">
        <v>735</v>
      </c>
      <c r="N2001" t="s">
        <v>1009</v>
      </c>
      <c r="O2001" t="s">
        <v>4346</v>
      </c>
    </row>
    <row r="2002" spans="1:15" x14ac:dyDescent="0.25">
      <c r="A2002">
        <v>2001</v>
      </c>
      <c r="B2002" t="str">
        <f>HYPERLINK("https://digitalcommons.unl.edu/cgi/viewcontent.cgi?article=3688&amp;context=tractormuseumlit","Click for test report")</f>
        <v>Click for test report</v>
      </c>
      <c r="C2002">
        <v>1986</v>
      </c>
      <c r="E2002" t="s">
        <v>4342</v>
      </c>
      <c r="G2002" t="s">
        <v>322</v>
      </c>
      <c r="H2002" t="s">
        <v>24</v>
      </c>
      <c r="I2002" t="s">
        <v>24</v>
      </c>
      <c r="O2002" t="s">
        <v>24</v>
      </c>
    </row>
    <row r="2003" spans="1:15" x14ac:dyDescent="0.25">
      <c r="A2003">
        <v>2002</v>
      </c>
      <c r="B2003" t="str">
        <f>HYPERLINK("https://digitalcommons.unl.edu/cgi/viewcontent.cgi?article=3688&amp;context=tractormuseumlit","Click for test report")</f>
        <v>Click for test report</v>
      </c>
      <c r="C2003">
        <v>1986</v>
      </c>
      <c r="E2003" t="s">
        <v>4341</v>
      </c>
      <c r="G2003" t="s">
        <v>322</v>
      </c>
      <c r="H2003" t="s">
        <v>24</v>
      </c>
      <c r="I2003" t="s">
        <v>24</v>
      </c>
      <c r="O2003" t="s">
        <v>24</v>
      </c>
    </row>
    <row r="2004" spans="1:15" x14ac:dyDescent="0.25">
      <c r="A2004">
        <v>2003</v>
      </c>
      <c r="B2004" t="str">
        <f>HYPERLINK("https://digitalcommons.unl.edu/cgi/viewcontent.cgi?article=3688&amp;context=tractormuseumlit","Click for test report")</f>
        <v>Click for test report</v>
      </c>
      <c r="C2004">
        <v>1986</v>
      </c>
      <c r="E2004" t="s">
        <v>4340</v>
      </c>
      <c r="G2004" t="s">
        <v>322</v>
      </c>
      <c r="H2004" t="s">
        <v>24</v>
      </c>
      <c r="I2004" t="s">
        <v>24</v>
      </c>
      <c r="O2004" t="s">
        <v>24</v>
      </c>
    </row>
    <row r="2005" spans="1:15" x14ac:dyDescent="0.25">
      <c r="A2005">
        <v>2004</v>
      </c>
      <c r="B2005" t="str">
        <f>HYPERLINK("https://digitalcommons.unl.edu/cgi/viewcontent.cgi?article=3698&amp;context=tractormuseumlit","Click for test report")</f>
        <v>Click for test report</v>
      </c>
      <c r="C2005">
        <v>1986</v>
      </c>
      <c r="E2005" t="s">
        <v>3971</v>
      </c>
      <c r="F2005" t="s">
        <v>3964</v>
      </c>
      <c r="G2005" t="s">
        <v>191</v>
      </c>
      <c r="H2005" t="s">
        <v>4339</v>
      </c>
      <c r="I2005" t="s">
        <v>50</v>
      </c>
      <c r="J2005" t="s">
        <v>20</v>
      </c>
      <c r="K2005" t="s">
        <v>21</v>
      </c>
      <c r="L2005" t="s">
        <v>2090</v>
      </c>
      <c r="N2005" t="s">
        <v>3973</v>
      </c>
      <c r="O2005" t="s">
        <v>4096</v>
      </c>
    </row>
    <row r="2006" spans="1:15" x14ac:dyDescent="0.25">
      <c r="A2006">
        <v>2005</v>
      </c>
      <c r="B2006" t="str">
        <f>HYPERLINK("https://digitalcommons.unl.edu/cgi/viewcontent.cgi?article=3699&amp;context=tractormuseumlit","Click for test report")</f>
        <v>Click for test report</v>
      </c>
      <c r="C2006">
        <v>1986</v>
      </c>
      <c r="E2006" t="s">
        <v>3968</v>
      </c>
      <c r="F2006" t="s">
        <v>3964</v>
      </c>
      <c r="G2006" t="s">
        <v>191</v>
      </c>
      <c r="H2006" t="s">
        <v>4338</v>
      </c>
      <c r="I2006" t="s">
        <v>50</v>
      </c>
      <c r="J2006" t="s">
        <v>20</v>
      </c>
      <c r="K2006" t="s">
        <v>21</v>
      </c>
      <c r="L2006" t="s">
        <v>743</v>
      </c>
      <c r="N2006" t="s">
        <v>1864</v>
      </c>
      <c r="O2006" t="s">
        <v>24</v>
      </c>
    </row>
    <row r="2007" spans="1:15" x14ac:dyDescent="0.25">
      <c r="A2007">
        <v>2006</v>
      </c>
      <c r="B2007" t="str">
        <f>HYPERLINK("https://digitalcommons.unl.edu/cgi/viewcontent.cgi?article=3733&amp;context=tractormuseumlit","Click for test report")</f>
        <v>Click for test report</v>
      </c>
      <c r="C2007">
        <v>1986</v>
      </c>
      <c r="E2007" t="s">
        <v>4075</v>
      </c>
      <c r="F2007" t="s">
        <v>4053</v>
      </c>
      <c r="G2007" t="s">
        <v>4066</v>
      </c>
      <c r="H2007" t="s">
        <v>4337</v>
      </c>
      <c r="I2007" t="s">
        <v>50</v>
      </c>
      <c r="J2007" t="s">
        <v>20</v>
      </c>
      <c r="K2007" t="s">
        <v>21</v>
      </c>
      <c r="L2007" t="s">
        <v>728</v>
      </c>
      <c r="N2007" t="s">
        <v>1970</v>
      </c>
      <c r="O2007" t="s">
        <v>24</v>
      </c>
    </row>
    <row r="2008" spans="1:15" x14ac:dyDescent="0.25">
      <c r="A2008">
        <v>2007</v>
      </c>
      <c r="B2008" t="str">
        <f>HYPERLINK("https://digitalcommons.unl.edu/cgi/viewcontent.cgi?article=2812&amp;context=tractormuseumlit","Click for test report")</f>
        <v>Click for test report</v>
      </c>
      <c r="C2008">
        <v>1986</v>
      </c>
      <c r="D2008" t="s">
        <v>4334</v>
      </c>
      <c r="F2008" t="s">
        <v>4325</v>
      </c>
      <c r="G2008" t="s">
        <v>4144</v>
      </c>
      <c r="H2008" t="s">
        <v>4335</v>
      </c>
      <c r="I2008" t="s">
        <v>1808</v>
      </c>
      <c r="J2008" t="s">
        <v>348</v>
      </c>
      <c r="K2008" t="s">
        <v>21</v>
      </c>
      <c r="L2008" t="s">
        <v>705</v>
      </c>
      <c r="N2008" t="s">
        <v>131</v>
      </c>
      <c r="O2008" t="s">
        <v>4336</v>
      </c>
    </row>
    <row r="2009" spans="1:15" x14ac:dyDescent="0.25">
      <c r="A2009">
        <v>2008</v>
      </c>
      <c r="B2009" t="str">
        <f>HYPERLINK("https://digitalcommons.unl.edu/cgi/viewcontent.cgi?article=2813&amp;context=tractormuseumlit","Click for test report")</f>
        <v>Click for test report</v>
      </c>
      <c r="C2009">
        <v>1986</v>
      </c>
      <c r="D2009" t="s">
        <v>4331</v>
      </c>
      <c r="F2009" t="s">
        <v>4325</v>
      </c>
      <c r="G2009" t="s">
        <v>4144</v>
      </c>
      <c r="H2009" t="s">
        <v>4332</v>
      </c>
      <c r="I2009" t="s">
        <v>1808</v>
      </c>
      <c r="J2009" t="s">
        <v>348</v>
      </c>
      <c r="K2009" t="s">
        <v>21</v>
      </c>
      <c r="L2009" t="s">
        <v>2676</v>
      </c>
      <c r="N2009" t="s">
        <v>122</v>
      </c>
      <c r="O2009" t="s">
        <v>4333</v>
      </c>
    </row>
    <row r="2010" spans="1:15" x14ac:dyDescent="0.25">
      <c r="A2010">
        <v>2009</v>
      </c>
      <c r="B2010" t="str">
        <f>HYPERLINK("https://digitalcommons.unl.edu/cgi/viewcontent.cgi?article=2814&amp;context=tractormuseumlit","Click for test report")</f>
        <v>Click for test report</v>
      </c>
      <c r="C2010">
        <v>1986</v>
      </c>
      <c r="D2010" t="s">
        <v>4328</v>
      </c>
      <c r="F2010" t="s">
        <v>4325</v>
      </c>
      <c r="G2010" t="s">
        <v>4144</v>
      </c>
      <c r="H2010" t="s">
        <v>4329</v>
      </c>
      <c r="I2010" t="s">
        <v>1808</v>
      </c>
      <c r="J2010" t="s">
        <v>348</v>
      </c>
      <c r="K2010" t="s">
        <v>21</v>
      </c>
      <c r="L2010" t="s">
        <v>118</v>
      </c>
      <c r="N2010" t="s">
        <v>329</v>
      </c>
      <c r="O2010" t="s">
        <v>4330</v>
      </c>
    </row>
    <row r="2011" spans="1:15" x14ac:dyDescent="0.25">
      <c r="A2011">
        <v>2010</v>
      </c>
      <c r="B2011" t="str">
        <f>HYPERLINK("https://digitalcommons.unl.edu/cgi/viewcontent.cgi?article=2815&amp;context=tractormuseumlit","Click for test report")</f>
        <v>Click for test report</v>
      </c>
      <c r="C2011">
        <v>1986</v>
      </c>
      <c r="D2011" t="s">
        <v>4324</v>
      </c>
      <c r="F2011" t="s">
        <v>4325</v>
      </c>
      <c r="G2011" t="s">
        <v>4144</v>
      </c>
      <c r="H2011" t="s">
        <v>4326</v>
      </c>
      <c r="I2011" t="s">
        <v>1808</v>
      </c>
      <c r="J2011" t="s">
        <v>348</v>
      </c>
      <c r="K2011" t="s">
        <v>21</v>
      </c>
      <c r="L2011" t="s">
        <v>150</v>
      </c>
      <c r="N2011" t="s">
        <v>325</v>
      </c>
      <c r="O2011" t="s">
        <v>4327</v>
      </c>
    </row>
    <row r="2012" spans="1:15" x14ac:dyDescent="0.25">
      <c r="A2012">
        <v>2011</v>
      </c>
      <c r="B2012" t="str">
        <f>HYPERLINK("https://digitalcommons.unl.edu/cgi/viewcontent.cgi?article=2952&amp;context=tractormuseumlit","Click for test report")</f>
        <v>Click for test report</v>
      </c>
      <c r="C2012">
        <v>1986</v>
      </c>
      <c r="D2012" t="s">
        <v>4226</v>
      </c>
      <c r="F2012" t="s">
        <v>1526</v>
      </c>
      <c r="G2012" t="s">
        <v>17</v>
      </c>
      <c r="H2012" t="s">
        <v>4323</v>
      </c>
      <c r="I2012" t="s">
        <v>1961</v>
      </c>
      <c r="J2012" t="s">
        <v>20</v>
      </c>
      <c r="K2012" t="s">
        <v>21</v>
      </c>
      <c r="L2012" t="s">
        <v>52</v>
      </c>
      <c r="N2012" t="s">
        <v>716</v>
      </c>
      <c r="O2012" t="s">
        <v>3371</v>
      </c>
    </row>
    <row r="2013" spans="1:15" x14ac:dyDescent="0.25">
      <c r="A2013">
        <v>2012</v>
      </c>
      <c r="B2013" t="str">
        <f>HYPERLINK("https://digitalcommons.unl.edu/cgi/viewcontent.cgi?article=2953&amp;context=tractormuseumlit","Click for test report")</f>
        <v>Click for test report</v>
      </c>
      <c r="C2013">
        <v>1986</v>
      </c>
      <c r="D2013" t="s">
        <v>4321</v>
      </c>
      <c r="F2013" t="s">
        <v>17</v>
      </c>
      <c r="G2013" t="s">
        <v>17</v>
      </c>
      <c r="H2013" t="s">
        <v>4319</v>
      </c>
      <c r="I2013" t="s">
        <v>1961</v>
      </c>
      <c r="J2013" t="s">
        <v>348</v>
      </c>
      <c r="K2013" t="s">
        <v>21</v>
      </c>
      <c r="L2013" t="s">
        <v>130</v>
      </c>
      <c r="N2013" t="s">
        <v>52</v>
      </c>
      <c r="O2013" t="s">
        <v>4322</v>
      </c>
    </row>
    <row r="2014" spans="1:15" x14ac:dyDescent="0.25">
      <c r="A2014">
        <v>2013</v>
      </c>
      <c r="B2014" t="str">
        <f>HYPERLINK("https://digitalcommons.unl.edu/cgi/viewcontent.cgi?article=2954&amp;context=tractormuseumlit","Click for test report")</f>
        <v>Click for test report</v>
      </c>
      <c r="C2014">
        <v>1986</v>
      </c>
      <c r="D2014" t="s">
        <v>4318</v>
      </c>
      <c r="F2014" t="s">
        <v>17</v>
      </c>
      <c r="G2014" t="s">
        <v>17</v>
      </c>
      <c r="H2014" t="s">
        <v>4319</v>
      </c>
      <c r="I2014" t="s">
        <v>28</v>
      </c>
      <c r="J2014" t="s">
        <v>348</v>
      </c>
      <c r="K2014" t="s">
        <v>21</v>
      </c>
      <c r="L2014" t="s">
        <v>130</v>
      </c>
      <c r="N2014" t="s">
        <v>457</v>
      </c>
      <c r="O2014" t="s">
        <v>4320</v>
      </c>
    </row>
    <row r="2015" spans="1:15" x14ac:dyDescent="0.25">
      <c r="A2015">
        <v>2014</v>
      </c>
      <c r="B2015" t="str">
        <f>HYPERLINK("https://digitalcommons.unl.edu/cgi/viewcontent.cgi?article=2955&amp;context=tractormuseumlit","Click for test report")</f>
        <v>Click for test report</v>
      </c>
      <c r="C2015">
        <v>1986</v>
      </c>
      <c r="D2015" t="s">
        <v>4316</v>
      </c>
      <c r="F2015" t="s">
        <v>3652</v>
      </c>
      <c r="G2015" t="s">
        <v>3652</v>
      </c>
      <c r="H2015" t="s">
        <v>4317</v>
      </c>
      <c r="I2015" t="s">
        <v>28</v>
      </c>
      <c r="J2015" t="s">
        <v>29</v>
      </c>
      <c r="K2015" t="s">
        <v>21</v>
      </c>
      <c r="L2015" t="s">
        <v>2270</v>
      </c>
      <c r="N2015" t="s">
        <v>510</v>
      </c>
      <c r="O2015" t="s">
        <v>3320</v>
      </c>
    </row>
    <row r="2016" spans="1:15" x14ac:dyDescent="0.25">
      <c r="A2016">
        <v>2015</v>
      </c>
      <c r="B2016" t="str">
        <f>HYPERLINK("https://digitalcommons.unl.edu/cgi/viewcontent.cgi?article=2956&amp;context=tractormuseumlit","Click for test report")</f>
        <v>Click for test report</v>
      </c>
      <c r="C2016">
        <v>1986</v>
      </c>
      <c r="D2016" t="s">
        <v>4313</v>
      </c>
      <c r="F2016" t="s">
        <v>3652</v>
      </c>
      <c r="G2016" t="s">
        <v>3652</v>
      </c>
      <c r="H2016" t="s">
        <v>4314</v>
      </c>
      <c r="I2016" t="s">
        <v>28</v>
      </c>
      <c r="J2016" t="s">
        <v>29</v>
      </c>
      <c r="K2016" t="s">
        <v>21</v>
      </c>
      <c r="L2016" t="s">
        <v>955</v>
      </c>
      <c r="N2016" t="s">
        <v>4315</v>
      </c>
      <c r="O2016" t="s">
        <v>3320</v>
      </c>
    </row>
    <row r="2017" spans="1:15" x14ac:dyDescent="0.25">
      <c r="A2017">
        <v>2016</v>
      </c>
      <c r="B2017" t="str">
        <f>HYPERLINK("https://digitalcommons.unl.edu/cgi/viewcontent.cgi?article=2957&amp;context=tractormuseumlit","Click for test report")</f>
        <v>Click for test report</v>
      </c>
      <c r="C2017">
        <v>1986</v>
      </c>
      <c r="D2017" t="s">
        <v>4311</v>
      </c>
      <c r="F2017" t="s">
        <v>62</v>
      </c>
      <c r="G2017" t="s">
        <v>62</v>
      </c>
      <c r="H2017" t="s">
        <v>4312</v>
      </c>
      <c r="I2017" t="s">
        <v>50</v>
      </c>
      <c r="J2017" t="s">
        <v>348</v>
      </c>
      <c r="K2017" t="s">
        <v>21</v>
      </c>
      <c r="L2017" t="s">
        <v>1009</v>
      </c>
      <c r="N2017" t="s">
        <v>3973</v>
      </c>
      <c r="O2017" t="s">
        <v>3468</v>
      </c>
    </row>
    <row r="2018" spans="1:15" x14ac:dyDescent="0.25">
      <c r="A2018">
        <v>2017</v>
      </c>
      <c r="B2018" t="str">
        <f>HYPERLINK("https://digitalcommons.unl.edu/cgi/viewcontent.cgi?article=2957&amp;context=tractormuseumlit","Click for test report")</f>
        <v>Click for test report</v>
      </c>
      <c r="C2018">
        <v>1986</v>
      </c>
      <c r="D2018" t="s">
        <v>4311</v>
      </c>
      <c r="F2018" t="s">
        <v>62</v>
      </c>
      <c r="G2018" t="s">
        <v>62</v>
      </c>
      <c r="H2018" t="s">
        <v>4312</v>
      </c>
      <c r="I2018" t="s">
        <v>50</v>
      </c>
      <c r="J2018" t="s">
        <v>20</v>
      </c>
      <c r="K2018" t="s">
        <v>21</v>
      </c>
      <c r="L2018" t="s">
        <v>1009</v>
      </c>
      <c r="N2018" t="s">
        <v>3973</v>
      </c>
      <c r="O2018" t="s">
        <v>3468</v>
      </c>
    </row>
    <row r="2019" spans="1:15" x14ac:dyDescent="0.25">
      <c r="A2019">
        <v>2018</v>
      </c>
      <c r="B2019" t="str">
        <f>HYPERLINK("https://digitalcommons.unl.edu/cgi/viewcontent.cgi?article=2958&amp;context=tractormuseumlit","Click for test report")</f>
        <v>Click for test report</v>
      </c>
      <c r="C2019">
        <v>1986</v>
      </c>
      <c r="D2019" t="s">
        <v>4309</v>
      </c>
      <c r="F2019" t="s">
        <v>62</v>
      </c>
      <c r="G2019" t="s">
        <v>62</v>
      </c>
      <c r="H2019" t="s">
        <v>4310</v>
      </c>
      <c r="I2019" t="s">
        <v>50</v>
      </c>
      <c r="J2019" t="s">
        <v>348</v>
      </c>
      <c r="K2019" t="s">
        <v>21</v>
      </c>
      <c r="L2019" t="s">
        <v>1650</v>
      </c>
      <c r="N2019" t="s">
        <v>3152</v>
      </c>
      <c r="O2019" t="s">
        <v>3371</v>
      </c>
    </row>
    <row r="2020" spans="1:15" x14ac:dyDescent="0.25">
      <c r="A2020">
        <v>2019</v>
      </c>
      <c r="B2020" t="str">
        <f>HYPERLINK("https://digitalcommons.unl.edu/cgi/viewcontent.cgi?article=2958&amp;context=tractormuseumlit","Click for test report")</f>
        <v>Click for test report</v>
      </c>
      <c r="C2020">
        <v>1986</v>
      </c>
      <c r="D2020" t="s">
        <v>4309</v>
      </c>
      <c r="F2020" t="s">
        <v>62</v>
      </c>
      <c r="G2020" t="s">
        <v>62</v>
      </c>
      <c r="H2020" t="s">
        <v>4310</v>
      </c>
      <c r="I2020" t="s">
        <v>50</v>
      </c>
      <c r="J2020" t="s">
        <v>20</v>
      </c>
      <c r="K2020" t="s">
        <v>21</v>
      </c>
      <c r="L2020" t="s">
        <v>1650</v>
      </c>
      <c r="N2020" t="s">
        <v>3152</v>
      </c>
      <c r="O2020" t="s">
        <v>3371</v>
      </c>
    </row>
    <row r="2021" spans="1:15" x14ac:dyDescent="0.25">
      <c r="A2021">
        <v>2020</v>
      </c>
      <c r="B2021" t="str">
        <f>HYPERLINK("https://digitalcommons.unl.edu/cgi/viewcontent.cgi?article=2959&amp;context=tractormuseumlit","Click for test report")</f>
        <v>Click for test report</v>
      </c>
      <c r="C2021">
        <v>1986</v>
      </c>
      <c r="D2021" t="s">
        <v>4307</v>
      </c>
      <c r="F2021" t="s">
        <v>62</v>
      </c>
      <c r="G2021" t="s">
        <v>62</v>
      </c>
      <c r="H2021" t="s">
        <v>4308</v>
      </c>
      <c r="I2021" t="s">
        <v>50</v>
      </c>
      <c r="J2021" t="s">
        <v>348</v>
      </c>
      <c r="K2021" t="s">
        <v>21</v>
      </c>
      <c r="L2021" t="s">
        <v>2029</v>
      </c>
      <c r="N2021" t="s">
        <v>2188</v>
      </c>
      <c r="O2021" t="s">
        <v>3371</v>
      </c>
    </row>
    <row r="2022" spans="1:15" x14ac:dyDescent="0.25">
      <c r="A2022">
        <v>2021</v>
      </c>
      <c r="B2022" t="str">
        <f>HYPERLINK("https://digitalcommons.unl.edu/cgi/viewcontent.cgi?article=2959&amp;context=tractormuseumlit","Click for test report")</f>
        <v>Click for test report</v>
      </c>
      <c r="C2022">
        <v>1986</v>
      </c>
      <c r="D2022" t="s">
        <v>4307</v>
      </c>
      <c r="F2022" t="s">
        <v>62</v>
      </c>
      <c r="G2022" t="s">
        <v>62</v>
      </c>
      <c r="H2022" t="s">
        <v>4308</v>
      </c>
      <c r="I2022" t="s">
        <v>50</v>
      </c>
      <c r="J2022" t="s">
        <v>20</v>
      </c>
      <c r="K2022" t="s">
        <v>21</v>
      </c>
      <c r="L2022" t="s">
        <v>2029</v>
      </c>
      <c r="N2022" t="s">
        <v>2188</v>
      </c>
      <c r="O2022" t="s">
        <v>3371</v>
      </c>
    </row>
    <row r="2023" spans="1:15" x14ac:dyDescent="0.25">
      <c r="A2023">
        <v>2022</v>
      </c>
      <c r="B2023" t="str">
        <f>HYPERLINK("https://digitalcommons.unl.edu/cgi/viewcontent.cgi?article=2960&amp;context=tractormuseumlit","Click for test report")</f>
        <v>Click for test report</v>
      </c>
      <c r="C2023">
        <v>1986</v>
      </c>
      <c r="D2023" t="s">
        <v>4305</v>
      </c>
      <c r="F2023" t="s">
        <v>62</v>
      </c>
      <c r="G2023" t="s">
        <v>62</v>
      </c>
      <c r="H2023" t="s">
        <v>4306</v>
      </c>
      <c r="I2023" t="s">
        <v>50</v>
      </c>
      <c r="J2023" t="s">
        <v>348</v>
      </c>
      <c r="K2023" t="s">
        <v>21</v>
      </c>
      <c r="L2023" t="s">
        <v>2030</v>
      </c>
      <c r="N2023" t="s">
        <v>353</v>
      </c>
      <c r="O2023" t="s">
        <v>3371</v>
      </c>
    </row>
    <row r="2024" spans="1:15" x14ac:dyDescent="0.25">
      <c r="A2024">
        <v>2023</v>
      </c>
      <c r="B2024" t="str">
        <f>HYPERLINK("https://digitalcommons.unl.edu/cgi/viewcontent.cgi?article=2960&amp;context=tractormuseumlit","Click for test report")</f>
        <v>Click for test report</v>
      </c>
      <c r="C2024">
        <v>1986</v>
      </c>
      <c r="D2024" t="s">
        <v>4305</v>
      </c>
      <c r="F2024" t="s">
        <v>62</v>
      </c>
      <c r="G2024" t="s">
        <v>62</v>
      </c>
      <c r="H2024" t="s">
        <v>4306</v>
      </c>
      <c r="I2024" t="s">
        <v>50</v>
      </c>
      <c r="J2024" t="s">
        <v>20</v>
      </c>
      <c r="K2024" t="s">
        <v>21</v>
      </c>
      <c r="L2024" t="s">
        <v>2030</v>
      </c>
      <c r="N2024" t="s">
        <v>353</v>
      </c>
      <c r="O2024" t="s">
        <v>3371</v>
      </c>
    </row>
    <row r="2025" spans="1:15" x14ac:dyDescent="0.25">
      <c r="A2025">
        <v>2024</v>
      </c>
      <c r="B2025" t="str">
        <f>HYPERLINK("https://digitalcommons.unl.edu/cgi/viewcontent.cgi?article=2961&amp;context=tractormuseumlit","Click for test report")</f>
        <v>Click for test report</v>
      </c>
      <c r="C2025">
        <v>1986</v>
      </c>
      <c r="D2025" t="s">
        <v>4303</v>
      </c>
      <c r="F2025" t="s">
        <v>62</v>
      </c>
      <c r="G2025" t="s">
        <v>62</v>
      </c>
      <c r="H2025" t="s">
        <v>4304</v>
      </c>
      <c r="I2025" t="s">
        <v>50</v>
      </c>
      <c r="J2025" t="s">
        <v>348</v>
      </c>
      <c r="K2025" t="s">
        <v>21</v>
      </c>
      <c r="L2025" t="s">
        <v>740</v>
      </c>
      <c r="N2025" t="s">
        <v>349</v>
      </c>
      <c r="O2025" t="s">
        <v>3371</v>
      </c>
    </row>
    <row r="2026" spans="1:15" x14ac:dyDescent="0.25">
      <c r="A2026">
        <v>2025</v>
      </c>
      <c r="B2026" t="str">
        <f>HYPERLINK("https://digitalcommons.unl.edu/cgi/viewcontent.cgi?article=2961&amp;context=tractormuseumlit","Click for test report")</f>
        <v>Click for test report</v>
      </c>
      <c r="C2026">
        <v>1986</v>
      </c>
      <c r="D2026" t="s">
        <v>4303</v>
      </c>
      <c r="F2026" t="s">
        <v>62</v>
      </c>
      <c r="G2026" t="s">
        <v>62</v>
      </c>
      <c r="H2026" t="s">
        <v>4304</v>
      </c>
      <c r="I2026" t="s">
        <v>50</v>
      </c>
      <c r="J2026" t="s">
        <v>20</v>
      </c>
      <c r="K2026" t="s">
        <v>21</v>
      </c>
      <c r="L2026" t="s">
        <v>740</v>
      </c>
      <c r="N2026" t="s">
        <v>349</v>
      </c>
      <c r="O2026" t="s">
        <v>3371</v>
      </c>
    </row>
    <row r="2027" spans="1:15" x14ac:dyDescent="0.25">
      <c r="A2027">
        <v>2026</v>
      </c>
      <c r="B2027" t="str">
        <f>HYPERLINK("https://digitalcommons.unl.edu/cgi/viewcontent.cgi?article=2962&amp;context=tractormuseumlit","Click for test report")</f>
        <v>Click for test report</v>
      </c>
      <c r="C2027">
        <v>1986</v>
      </c>
      <c r="D2027" t="s">
        <v>4301</v>
      </c>
      <c r="F2027" t="s">
        <v>4299</v>
      </c>
      <c r="G2027" t="s">
        <v>3677</v>
      </c>
      <c r="H2027" t="s">
        <v>4302</v>
      </c>
      <c r="I2027" t="s">
        <v>50</v>
      </c>
      <c r="J2027" t="s">
        <v>20</v>
      </c>
      <c r="K2027" t="s">
        <v>21</v>
      </c>
      <c r="L2027" t="s">
        <v>461</v>
      </c>
      <c r="N2027" t="s">
        <v>1371</v>
      </c>
      <c r="O2027" t="s">
        <v>24</v>
      </c>
    </row>
    <row r="2028" spans="1:15" x14ac:dyDescent="0.25">
      <c r="A2028">
        <v>2027</v>
      </c>
      <c r="B2028" t="str">
        <f>HYPERLINK("https://digitalcommons.unl.edu/cgi/viewcontent.cgi?article=2963&amp;context=tractormuseumlit","Click for test report")</f>
        <v>Click for test report</v>
      </c>
      <c r="C2028">
        <v>1986</v>
      </c>
      <c r="D2028" t="s">
        <v>4298</v>
      </c>
      <c r="F2028" t="s">
        <v>4299</v>
      </c>
      <c r="G2028" t="s">
        <v>3677</v>
      </c>
      <c r="H2028" t="s">
        <v>4300</v>
      </c>
      <c r="I2028" t="s">
        <v>50</v>
      </c>
      <c r="J2028" t="s">
        <v>20</v>
      </c>
      <c r="K2028" t="s">
        <v>21</v>
      </c>
      <c r="L2028" t="s">
        <v>359</v>
      </c>
      <c r="N2028" t="s">
        <v>23</v>
      </c>
      <c r="O2028" t="s">
        <v>24</v>
      </c>
    </row>
    <row r="2029" spans="1:15" x14ac:dyDescent="0.25">
      <c r="A2029">
        <v>2028</v>
      </c>
      <c r="B2029" t="str">
        <f>HYPERLINK("https://digitalcommons.unl.edu/cgi/viewcontent.cgi?article=2964&amp;context=tractormuseumlit","Click for test report")</f>
        <v>Click for test report</v>
      </c>
      <c r="C2029">
        <v>1986</v>
      </c>
      <c r="D2029" t="s">
        <v>3770</v>
      </c>
      <c r="F2029" t="s">
        <v>3767</v>
      </c>
      <c r="G2029" t="s">
        <v>3472</v>
      </c>
      <c r="H2029" t="s">
        <v>4297</v>
      </c>
      <c r="I2029" t="s">
        <v>50</v>
      </c>
      <c r="J2029" t="s">
        <v>20</v>
      </c>
      <c r="K2029" t="s">
        <v>21</v>
      </c>
      <c r="L2029" t="s">
        <v>3123</v>
      </c>
      <c r="N2029" t="s">
        <v>410</v>
      </c>
      <c r="O2029" t="s">
        <v>3772</v>
      </c>
    </row>
    <row r="2030" spans="1:15" x14ac:dyDescent="0.25">
      <c r="A2030">
        <v>2029</v>
      </c>
      <c r="B2030" t="str">
        <f>HYPERLINK("https://digitalcommons.unl.edu/cgi/viewcontent.cgi?article=2964&amp;context=tractormuseumlit","Click for test report")</f>
        <v>Click for test report</v>
      </c>
      <c r="C2030">
        <v>1986</v>
      </c>
      <c r="D2030" t="s">
        <v>3770</v>
      </c>
      <c r="F2030" t="s">
        <v>3767</v>
      </c>
      <c r="G2030" t="s">
        <v>3472</v>
      </c>
      <c r="H2030" t="s">
        <v>3489</v>
      </c>
      <c r="I2030" t="s">
        <v>50</v>
      </c>
      <c r="J2030" t="s">
        <v>348</v>
      </c>
      <c r="K2030" t="s">
        <v>21</v>
      </c>
      <c r="L2030" t="s">
        <v>3123</v>
      </c>
      <c r="N2030" t="s">
        <v>407</v>
      </c>
    </row>
    <row r="2031" spans="1:15" x14ac:dyDescent="0.25">
      <c r="A2031">
        <v>2030</v>
      </c>
      <c r="B2031" t="str">
        <f>HYPERLINK("https://digitalcommons.unl.edu/cgi/viewcontent.cgi?article=2964&amp;context=tractormuseumlit","Click for test report")</f>
        <v>Click for test report</v>
      </c>
      <c r="C2031">
        <v>1986</v>
      </c>
      <c r="D2031" t="s">
        <v>3770</v>
      </c>
      <c r="F2031" t="s">
        <v>3767</v>
      </c>
      <c r="G2031" t="s">
        <v>3472</v>
      </c>
      <c r="H2031" t="s">
        <v>3489</v>
      </c>
      <c r="I2031" t="s">
        <v>50</v>
      </c>
      <c r="J2031" t="s">
        <v>20</v>
      </c>
      <c r="K2031" t="s">
        <v>21</v>
      </c>
      <c r="L2031" t="s">
        <v>3123</v>
      </c>
      <c r="N2031" t="s">
        <v>407</v>
      </c>
      <c r="O2031" t="s">
        <v>24</v>
      </c>
    </row>
    <row r="2032" spans="1:15" x14ac:dyDescent="0.25">
      <c r="A2032">
        <v>2031</v>
      </c>
      <c r="B2032" t="str">
        <f>HYPERLINK("https://digitalcommons.unl.edu/cgi/viewcontent.cgi?article=2965&amp;context=tractormuseumlit","Click for test report")</f>
        <v>Click for test report</v>
      </c>
      <c r="C2032">
        <v>1986</v>
      </c>
      <c r="D2032" t="s">
        <v>3766</v>
      </c>
      <c r="F2032" t="s">
        <v>3767</v>
      </c>
      <c r="G2032" t="s">
        <v>3472</v>
      </c>
      <c r="H2032" t="s">
        <v>4296</v>
      </c>
      <c r="I2032" t="s">
        <v>50</v>
      </c>
      <c r="J2032" t="s">
        <v>20</v>
      </c>
      <c r="K2032" t="s">
        <v>21</v>
      </c>
      <c r="L2032" t="s">
        <v>1350</v>
      </c>
      <c r="N2032" t="s">
        <v>1970</v>
      </c>
      <c r="O2032" t="s">
        <v>3769</v>
      </c>
    </row>
    <row r="2033" spans="1:15" x14ac:dyDescent="0.25">
      <c r="A2033">
        <v>2032</v>
      </c>
      <c r="B2033" t="str">
        <f>HYPERLINK("https://digitalcommons.unl.edu/cgi/viewcontent.cgi?article=2965&amp;context=tractormuseumlit","Click for test report")</f>
        <v>Click for test report</v>
      </c>
      <c r="C2033">
        <v>1986</v>
      </c>
      <c r="D2033" t="s">
        <v>3766</v>
      </c>
      <c r="F2033" t="s">
        <v>3767</v>
      </c>
      <c r="G2033" t="s">
        <v>3472</v>
      </c>
      <c r="H2033" t="s">
        <v>4293</v>
      </c>
      <c r="I2033" t="s">
        <v>50</v>
      </c>
      <c r="J2033" t="s">
        <v>20</v>
      </c>
      <c r="K2033" t="s">
        <v>21</v>
      </c>
      <c r="L2033" t="s">
        <v>1350</v>
      </c>
      <c r="N2033" t="s">
        <v>2029</v>
      </c>
      <c r="O2033" t="s">
        <v>4295</v>
      </c>
    </row>
    <row r="2034" spans="1:15" x14ac:dyDescent="0.25">
      <c r="A2034">
        <v>2033</v>
      </c>
      <c r="B2034" t="str">
        <f>HYPERLINK("https://digitalcommons.unl.edu/cgi/viewcontent.cgi?article=2965&amp;context=tractormuseumlit","Click for test report")</f>
        <v>Click for test report</v>
      </c>
      <c r="C2034">
        <v>1986</v>
      </c>
      <c r="D2034" t="s">
        <v>3766</v>
      </c>
      <c r="F2034" t="s">
        <v>3767</v>
      </c>
      <c r="G2034" t="s">
        <v>3472</v>
      </c>
      <c r="H2034" t="s">
        <v>4293</v>
      </c>
      <c r="I2034" t="s">
        <v>50</v>
      </c>
      <c r="J2034" t="s">
        <v>348</v>
      </c>
      <c r="K2034" t="s">
        <v>21</v>
      </c>
      <c r="L2034" t="s">
        <v>1350</v>
      </c>
      <c r="N2034" t="s">
        <v>2029</v>
      </c>
      <c r="O2034" t="s">
        <v>4294</v>
      </c>
    </row>
    <row r="2035" spans="1:15" x14ac:dyDescent="0.25">
      <c r="A2035">
        <v>2034</v>
      </c>
      <c r="B2035" t="str">
        <f>HYPERLINK("https://digitalcommons.unl.edu/cgi/viewcontent.cgi?article=2965&amp;context=tractormuseumlit","Click for test report")</f>
        <v>Click for test report</v>
      </c>
      <c r="C2035">
        <v>1986</v>
      </c>
      <c r="D2035" t="s">
        <v>3766</v>
      </c>
      <c r="F2035" t="s">
        <v>3767</v>
      </c>
      <c r="G2035" t="s">
        <v>3472</v>
      </c>
      <c r="H2035" t="s">
        <v>4293</v>
      </c>
      <c r="I2035" t="s">
        <v>50</v>
      </c>
      <c r="J2035" t="s">
        <v>20</v>
      </c>
      <c r="K2035" t="s">
        <v>21</v>
      </c>
      <c r="L2035" t="s">
        <v>1350</v>
      </c>
      <c r="N2035" t="s">
        <v>2029</v>
      </c>
      <c r="O2035" t="s">
        <v>4294</v>
      </c>
    </row>
    <row r="2036" spans="1:15" x14ac:dyDescent="0.25">
      <c r="A2036">
        <v>2035</v>
      </c>
      <c r="B2036" t="str">
        <f>HYPERLINK("https://digitalcommons.unl.edu/cgi/viewcontent.cgi?article=2966&amp;context=tractormuseumlit","Click for test report")</f>
        <v>Click for test report</v>
      </c>
      <c r="C2036">
        <v>1986</v>
      </c>
      <c r="D2036" t="s">
        <v>4289</v>
      </c>
      <c r="F2036" t="s">
        <v>4290</v>
      </c>
      <c r="G2036" t="s">
        <v>4291</v>
      </c>
      <c r="H2036" t="s">
        <v>4292</v>
      </c>
      <c r="I2036" t="s">
        <v>19</v>
      </c>
      <c r="J2036" t="s">
        <v>20</v>
      </c>
      <c r="K2036" t="s">
        <v>21</v>
      </c>
      <c r="L2036" t="s">
        <v>909</v>
      </c>
      <c r="N2036" t="s">
        <v>359</v>
      </c>
      <c r="O2036" t="s">
        <v>3371</v>
      </c>
    </row>
    <row r="2037" spans="1:15" x14ac:dyDescent="0.25">
      <c r="A2037">
        <v>2036</v>
      </c>
      <c r="B2037" t="str">
        <f>HYPERLINK("https://digitalcommons.unl.edu/cgi/viewcontent.cgi?article=2968&amp;context=tractormuseumlit","Click for test report")</f>
        <v>Click for test report</v>
      </c>
      <c r="C2037">
        <v>1986</v>
      </c>
      <c r="D2037" t="s">
        <v>3822</v>
      </c>
      <c r="F2037" t="s">
        <v>3800</v>
      </c>
      <c r="G2037" t="s">
        <v>191</v>
      </c>
      <c r="H2037" t="s">
        <v>4286</v>
      </c>
      <c r="I2037" t="s">
        <v>1961</v>
      </c>
      <c r="J2037" t="s">
        <v>348</v>
      </c>
      <c r="K2037" t="s">
        <v>21</v>
      </c>
      <c r="L2037" t="s">
        <v>725</v>
      </c>
      <c r="N2037" t="s">
        <v>1994</v>
      </c>
      <c r="O2037" t="s">
        <v>4288</v>
      </c>
    </row>
    <row r="2038" spans="1:15" x14ac:dyDescent="0.25">
      <c r="A2038">
        <v>2037</v>
      </c>
      <c r="B2038" t="str">
        <f>HYPERLINK("https://digitalcommons.unl.edu/cgi/viewcontent.cgi?article=2968&amp;context=tractormuseumlit","Click for test report")</f>
        <v>Click for test report</v>
      </c>
      <c r="C2038">
        <v>1986</v>
      </c>
      <c r="D2038" t="s">
        <v>3822</v>
      </c>
      <c r="F2038" t="s">
        <v>3800</v>
      </c>
      <c r="G2038" t="s">
        <v>191</v>
      </c>
      <c r="H2038" t="s">
        <v>4286</v>
      </c>
      <c r="I2038" t="s">
        <v>1961</v>
      </c>
      <c r="J2038" t="s">
        <v>348</v>
      </c>
      <c r="K2038" t="s">
        <v>21</v>
      </c>
      <c r="L2038" t="s">
        <v>725</v>
      </c>
      <c r="N2038" t="s">
        <v>1994</v>
      </c>
      <c r="O2038" t="s">
        <v>4287</v>
      </c>
    </row>
    <row r="2039" spans="1:15" x14ac:dyDescent="0.25">
      <c r="A2039">
        <v>2038</v>
      </c>
      <c r="B2039" t="str">
        <f>HYPERLINK("https://digitalcommons.unl.edu/cgi/viewcontent.cgi?article=2969&amp;context=tractormuseumlit","Click for test report")</f>
        <v>Click for test report</v>
      </c>
      <c r="C2039">
        <v>1986</v>
      </c>
      <c r="D2039" t="s">
        <v>4284</v>
      </c>
      <c r="F2039" t="s">
        <v>1526</v>
      </c>
      <c r="G2039" t="s">
        <v>17</v>
      </c>
      <c r="H2039" t="s">
        <v>4285</v>
      </c>
      <c r="I2039" t="s">
        <v>1961</v>
      </c>
      <c r="J2039" t="s">
        <v>348</v>
      </c>
      <c r="K2039" t="s">
        <v>21</v>
      </c>
      <c r="L2039" t="s">
        <v>740</v>
      </c>
      <c r="N2039" t="s">
        <v>747</v>
      </c>
      <c r="O2039" t="s">
        <v>4283</v>
      </c>
    </row>
    <row r="2040" spans="1:15" x14ac:dyDescent="0.25">
      <c r="A2040">
        <v>2039</v>
      </c>
      <c r="B2040" t="str">
        <f>HYPERLINK("https://digitalcommons.unl.edu/cgi/viewcontent.cgi?article=2970&amp;context=tractormuseumlit","Click for test report")</f>
        <v>Click for test report</v>
      </c>
      <c r="C2040">
        <v>1986</v>
      </c>
      <c r="D2040" t="s">
        <v>4281</v>
      </c>
      <c r="F2040" t="s">
        <v>1526</v>
      </c>
      <c r="G2040" t="s">
        <v>17</v>
      </c>
      <c r="H2040" t="s">
        <v>4282</v>
      </c>
      <c r="I2040" t="s">
        <v>1961</v>
      </c>
      <c r="J2040" t="s">
        <v>20</v>
      </c>
      <c r="K2040" t="s">
        <v>21</v>
      </c>
      <c r="L2040" t="s">
        <v>55</v>
      </c>
      <c r="N2040" t="s">
        <v>1867</v>
      </c>
      <c r="O2040" t="s">
        <v>4283</v>
      </c>
    </row>
    <row r="2041" spans="1:15" x14ac:dyDescent="0.25">
      <c r="A2041">
        <v>2040</v>
      </c>
      <c r="B2041" t="str">
        <f>HYPERLINK("https://digitalcommons.unl.edu/cgi/viewcontent.cgi?article=3694&amp;context=tractormuseumlit","Click for test report")</f>
        <v>Click for test report</v>
      </c>
      <c r="C2041">
        <v>1987</v>
      </c>
      <c r="E2041" t="s">
        <v>4280</v>
      </c>
      <c r="F2041" t="s">
        <v>2062</v>
      </c>
      <c r="G2041" t="s">
        <v>778</v>
      </c>
      <c r="H2041" t="s">
        <v>4279</v>
      </c>
      <c r="I2041" t="s">
        <v>1961</v>
      </c>
      <c r="J2041" t="s">
        <v>348</v>
      </c>
      <c r="K2041" t="s">
        <v>21</v>
      </c>
      <c r="L2041" t="s">
        <v>728</v>
      </c>
      <c r="N2041" t="s">
        <v>1994</v>
      </c>
      <c r="O2041" t="s">
        <v>24</v>
      </c>
    </row>
    <row r="2042" spans="1:15" x14ac:dyDescent="0.25">
      <c r="A2042">
        <v>2041</v>
      </c>
      <c r="B2042" t="str">
        <f>HYPERLINK("https://digitalcommons.unl.edu/cgi/viewcontent.cgi?article=3694&amp;context=tractormuseumlit","Click for test report")</f>
        <v>Click for test report</v>
      </c>
      <c r="C2042">
        <v>1987</v>
      </c>
      <c r="E2042" t="s">
        <v>4278</v>
      </c>
      <c r="F2042" t="s">
        <v>2062</v>
      </c>
      <c r="G2042" t="s">
        <v>778</v>
      </c>
      <c r="H2042" t="s">
        <v>4279</v>
      </c>
      <c r="I2042" t="s">
        <v>1961</v>
      </c>
      <c r="J2042" t="s">
        <v>20</v>
      </c>
      <c r="K2042" t="s">
        <v>21</v>
      </c>
      <c r="L2042" t="s">
        <v>728</v>
      </c>
      <c r="N2042" t="s">
        <v>1994</v>
      </c>
      <c r="O2042" t="s">
        <v>24</v>
      </c>
    </row>
    <row r="2043" spans="1:15" x14ac:dyDescent="0.25">
      <c r="A2043">
        <v>2042</v>
      </c>
      <c r="B2043" t="str">
        <f>HYPERLINK("https://digitalcommons.unl.edu/cgi/viewcontent.cgi?article=3695&amp;context=tractormuseumlit","Click for test report")</f>
        <v>Click for test report</v>
      </c>
      <c r="C2043">
        <v>1987</v>
      </c>
      <c r="E2043" t="s">
        <v>4277</v>
      </c>
      <c r="F2043" t="s">
        <v>2062</v>
      </c>
      <c r="G2043" t="s">
        <v>778</v>
      </c>
      <c r="H2043" t="s">
        <v>4276</v>
      </c>
      <c r="I2043" t="s">
        <v>1961</v>
      </c>
      <c r="J2043" t="s">
        <v>348</v>
      </c>
      <c r="K2043" t="s">
        <v>21</v>
      </c>
      <c r="L2043" t="s">
        <v>2747</v>
      </c>
      <c r="N2043" t="s">
        <v>1970</v>
      </c>
      <c r="O2043" t="s">
        <v>24</v>
      </c>
    </row>
    <row r="2044" spans="1:15" x14ac:dyDescent="0.25">
      <c r="A2044">
        <v>2043</v>
      </c>
      <c r="B2044" t="str">
        <f>HYPERLINK("https://digitalcommons.unl.edu/cgi/viewcontent.cgi?article=3695&amp;context=tractormuseumlit","Click for test report")</f>
        <v>Click for test report</v>
      </c>
      <c r="C2044">
        <v>1987</v>
      </c>
      <c r="E2044" t="s">
        <v>4275</v>
      </c>
      <c r="F2044" t="s">
        <v>2062</v>
      </c>
      <c r="G2044" t="s">
        <v>778</v>
      </c>
      <c r="H2044" t="s">
        <v>4276</v>
      </c>
      <c r="I2044" t="s">
        <v>1961</v>
      </c>
      <c r="J2044" t="s">
        <v>20</v>
      </c>
      <c r="K2044" t="s">
        <v>21</v>
      </c>
      <c r="L2044" t="s">
        <v>2747</v>
      </c>
      <c r="N2044" t="s">
        <v>2029</v>
      </c>
    </row>
    <row r="2045" spans="1:15" x14ac:dyDescent="0.25">
      <c r="A2045">
        <v>2044</v>
      </c>
      <c r="B2045" t="str">
        <f>HYPERLINK("https://digitalcommons.unl.edu/cgi/viewcontent.cgi?article=3696&amp;context=tractormuseumlit","Click for test report")</f>
        <v>Click for test report</v>
      </c>
      <c r="C2045">
        <v>1987</v>
      </c>
      <c r="E2045" t="s">
        <v>4274</v>
      </c>
      <c r="F2045" t="s">
        <v>2062</v>
      </c>
      <c r="G2045" t="s">
        <v>778</v>
      </c>
      <c r="H2045" t="s">
        <v>4273</v>
      </c>
      <c r="I2045" t="s">
        <v>1961</v>
      </c>
      <c r="J2045" t="s">
        <v>348</v>
      </c>
      <c r="K2045" t="s">
        <v>21</v>
      </c>
      <c r="L2045" t="s">
        <v>565</v>
      </c>
      <c r="N2045" t="s">
        <v>1257</v>
      </c>
      <c r="O2045" t="s">
        <v>24</v>
      </c>
    </row>
    <row r="2046" spans="1:15" x14ac:dyDescent="0.25">
      <c r="A2046">
        <v>2045</v>
      </c>
      <c r="B2046" t="str">
        <f>HYPERLINK("https://digitalcommons.unl.edu/cgi/viewcontent.cgi?article=3696&amp;context=tractormuseumlit","Click for test report")</f>
        <v>Click for test report</v>
      </c>
      <c r="C2046">
        <v>1987</v>
      </c>
      <c r="E2046" t="s">
        <v>4272</v>
      </c>
      <c r="F2046" t="s">
        <v>2062</v>
      </c>
      <c r="G2046" t="s">
        <v>778</v>
      </c>
      <c r="H2046" t="s">
        <v>4273</v>
      </c>
      <c r="I2046" t="s">
        <v>1961</v>
      </c>
      <c r="J2046" t="s">
        <v>20</v>
      </c>
      <c r="K2046" t="s">
        <v>21</v>
      </c>
      <c r="L2046" t="s">
        <v>565</v>
      </c>
      <c r="N2046" t="s">
        <v>722</v>
      </c>
      <c r="O2046" t="s">
        <v>24</v>
      </c>
    </row>
    <row r="2047" spans="1:15" x14ac:dyDescent="0.25">
      <c r="A2047">
        <v>2046</v>
      </c>
      <c r="B2047" t="str">
        <f>HYPERLINK("https://digitalcommons.unl.edu/cgi/viewcontent.cgi?article=3697&amp;context=tractormuseumlit","Click for test report")</f>
        <v>Click for test report</v>
      </c>
      <c r="C2047">
        <v>1987</v>
      </c>
      <c r="E2047" t="s">
        <v>4271</v>
      </c>
      <c r="F2047" t="s">
        <v>2062</v>
      </c>
      <c r="G2047" t="s">
        <v>778</v>
      </c>
      <c r="H2047" t="s">
        <v>4270</v>
      </c>
      <c r="I2047" t="s">
        <v>1961</v>
      </c>
      <c r="J2047" t="s">
        <v>348</v>
      </c>
      <c r="K2047" t="s">
        <v>21</v>
      </c>
      <c r="L2047" t="s">
        <v>46</v>
      </c>
      <c r="N2047" t="s">
        <v>340</v>
      </c>
      <c r="O2047" t="s">
        <v>24</v>
      </c>
    </row>
    <row r="2048" spans="1:15" x14ac:dyDescent="0.25">
      <c r="A2048">
        <v>2047</v>
      </c>
      <c r="B2048" t="str">
        <f>HYPERLINK("https://digitalcommons.unl.edu/cgi/viewcontent.cgi?article=3697&amp;context=tractormuseumlit","Click for test report")</f>
        <v>Click for test report</v>
      </c>
      <c r="C2048">
        <v>1987</v>
      </c>
      <c r="E2048" t="s">
        <v>4269</v>
      </c>
      <c r="F2048" t="s">
        <v>2062</v>
      </c>
      <c r="G2048" t="s">
        <v>778</v>
      </c>
      <c r="H2048" t="s">
        <v>4270</v>
      </c>
      <c r="I2048" t="s">
        <v>1961</v>
      </c>
      <c r="J2048" t="s">
        <v>20</v>
      </c>
      <c r="K2048" t="s">
        <v>21</v>
      </c>
      <c r="L2048" t="s">
        <v>46</v>
      </c>
      <c r="N2048" t="s">
        <v>55</v>
      </c>
      <c r="O2048" t="s">
        <v>24</v>
      </c>
    </row>
    <row r="2049" spans="1:15" x14ac:dyDescent="0.25">
      <c r="A2049">
        <v>2048</v>
      </c>
      <c r="B2049" t="str">
        <f>HYPERLINK("https://digitalcommons.unl.edu/cgi/viewcontent.cgi?article=3700&amp;context=tractormuseumlit","Click for test report")</f>
        <v>Click for test report</v>
      </c>
      <c r="C2049">
        <v>1987</v>
      </c>
      <c r="E2049" t="s">
        <v>4268</v>
      </c>
      <c r="F2049" t="s">
        <v>1526</v>
      </c>
      <c r="G2049" t="s">
        <v>17</v>
      </c>
      <c r="H2049" t="s">
        <v>674</v>
      </c>
      <c r="I2049" t="s">
        <v>50</v>
      </c>
      <c r="J2049" t="s">
        <v>348</v>
      </c>
      <c r="K2049" t="s">
        <v>21</v>
      </c>
      <c r="L2049" t="s">
        <v>2511</v>
      </c>
      <c r="N2049" t="s">
        <v>1893</v>
      </c>
      <c r="O2049" t="s">
        <v>4267</v>
      </c>
    </row>
    <row r="2050" spans="1:15" x14ac:dyDescent="0.25">
      <c r="A2050">
        <v>2049</v>
      </c>
      <c r="B2050" t="str">
        <f>HYPERLINK("https://digitalcommons.unl.edu/cgi/viewcontent.cgi?article=3701&amp;context=tractormuseumlit","Click for test report")</f>
        <v>Click for test report</v>
      </c>
      <c r="C2050">
        <v>1987</v>
      </c>
      <c r="E2050" t="s">
        <v>4266</v>
      </c>
      <c r="F2050" t="s">
        <v>1526</v>
      </c>
      <c r="G2050" t="s">
        <v>17</v>
      </c>
      <c r="H2050" t="s">
        <v>4265</v>
      </c>
      <c r="I2050" t="s">
        <v>50</v>
      </c>
      <c r="J2050" t="s">
        <v>348</v>
      </c>
      <c r="K2050" t="s">
        <v>21</v>
      </c>
      <c r="L2050" t="s">
        <v>1970</v>
      </c>
      <c r="N2050" t="s">
        <v>410</v>
      </c>
      <c r="O2050" t="s">
        <v>4267</v>
      </c>
    </row>
    <row r="2051" spans="1:15" x14ac:dyDescent="0.25">
      <c r="A2051">
        <v>2050</v>
      </c>
      <c r="B2051" t="str">
        <f>HYPERLINK("https://digitalcommons.unl.edu/cgi/viewcontent.cgi?article=3702&amp;context=tractormuseumlit","Click for test report")</f>
        <v>Click for test report</v>
      </c>
      <c r="C2051">
        <v>1987</v>
      </c>
      <c r="E2051" t="s">
        <v>4264</v>
      </c>
      <c r="F2051" t="s">
        <v>1526</v>
      </c>
      <c r="G2051" t="s">
        <v>17</v>
      </c>
      <c r="H2051" t="s">
        <v>4265</v>
      </c>
      <c r="I2051" t="s">
        <v>1961</v>
      </c>
      <c r="J2051" t="s">
        <v>20</v>
      </c>
      <c r="K2051" t="s">
        <v>21</v>
      </c>
      <c r="L2051" t="s">
        <v>404</v>
      </c>
      <c r="N2051" t="s">
        <v>2188</v>
      </c>
      <c r="O2051" t="s">
        <v>3371</v>
      </c>
    </row>
    <row r="2052" spans="1:15" x14ac:dyDescent="0.25">
      <c r="A2052">
        <v>2051</v>
      </c>
      <c r="B2052" t="str">
        <f>HYPERLINK("https://digitalcommons.unl.edu/cgi/viewcontent.cgi?article=3703&amp;context=tractormuseumlit","Click for test report")</f>
        <v>Click for test report</v>
      </c>
      <c r="C2052">
        <v>1987</v>
      </c>
      <c r="E2052" t="s">
        <v>4263</v>
      </c>
      <c r="F2052" t="s">
        <v>1526</v>
      </c>
      <c r="G2052" t="s">
        <v>17</v>
      </c>
      <c r="H2052" t="s">
        <v>4262</v>
      </c>
      <c r="I2052" t="s">
        <v>50</v>
      </c>
      <c r="J2052" t="s">
        <v>348</v>
      </c>
      <c r="K2052" t="s">
        <v>21</v>
      </c>
      <c r="L2052" t="s">
        <v>747</v>
      </c>
      <c r="N2052" t="s">
        <v>404</v>
      </c>
      <c r="O2052" t="s">
        <v>3468</v>
      </c>
    </row>
    <row r="2053" spans="1:15" x14ac:dyDescent="0.25">
      <c r="A2053">
        <v>2052</v>
      </c>
      <c r="B2053" t="str">
        <f>HYPERLINK("https://digitalcommons.unl.edu/cgi/viewcontent.cgi?article=3704&amp;context=tractormuseumlit","Click for test report")</f>
        <v>Click for test report</v>
      </c>
      <c r="C2053">
        <v>1987</v>
      </c>
      <c r="E2053" t="s">
        <v>4261</v>
      </c>
      <c r="F2053" t="s">
        <v>1526</v>
      </c>
      <c r="G2053" t="s">
        <v>17</v>
      </c>
      <c r="H2053" t="s">
        <v>4262</v>
      </c>
      <c r="I2053" t="s">
        <v>1961</v>
      </c>
      <c r="J2053" t="s">
        <v>20</v>
      </c>
      <c r="K2053" t="s">
        <v>21</v>
      </c>
      <c r="L2053" t="s">
        <v>1350</v>
      </c>
      <c r="N2053" t="s">
        <v>404</v>
      </c>
      <c r="O2053" t="s">
        <v>3371</v>
      </c>
    </row>
    <row r="2054" spans="1:15" x14ac:dyDescent="0.25">
      <c r="A2054">
        <v>2053</v>
      </c>
      <c r="B2054" t="str">
        <f>HYPERLINK("https://digitalcommons.unl.edu/cgi/viewcontent.cgi?article=3705&amp;context=tractormuseumlit","Click for test report")</f>
        <v>Click for test report</v>
      </c>
      <c r="C2054">
        <v>1987</v>
      </c>
      <c r="E2054" t="s">
        <v>4223</v>
      </c>
      <c r="F2054" t="s">
        <v>2986</v>
      </c>
      <c r="G2054" t="s">
        <v>778</v>
      </c>
      <c r="H2054" t="s">
        <v>4220</v>
      </c>
      <c r="I2054" t="s">
        <v>50</v>
      </c>
      <c r="J2054" t="s">
        <v>348</v>
      </c>
      <c r="K2054" t="s">
        <v>21</v>
      </c>
      <c r="L2054" t="s">
        <v>410</v>
      </c>
      <c r="N2054" t="s">
        <v>1893</v>
      </c>
      <c r="O2054" t="s">
        <v>24</v>
      </c>
    </row>
    <row r="2055" spans="1:15" x14ac:dyDescent="0.25">
      <c r="A2055">
        <v>2054</v>
      </c>
      <c r="B2055" t="str">
        <f>HYPERLINK("https://digitalcommons.unl.edu/cgi/viewcontent.cgi?article=3706&amp;context=tractormuseumlit","Click for test report")</f>
        <v>Click for test report</v>
      </c>
      <c r="C2055">
        <v>1987</v>
      </c>
      <c r="E2055" t="s">
        <v>4219</v>
      </c>
      <c r="F2055" t="s">
        <v>2986</v>
      </c>
      <c r="G2055" t="s">
        <v>778</v>
      </c>
      <c r="H2055" t="s">
        <v>4220</v>
      </c>
      <c r="I2055" t="s">
        <v>50</v>
      </c>
      <c r="J2055" t="s">
        <v>20</v>
      </c>
      <c r="K2055" t="s">
        <v>21</v>
      </c>
      <c r="L2055" t="s">
        <v>1650</v>
      </c>
      <c r="N2055" t="s">
        <v>1893</v>
      </c>
      <c r="O2055" t="s">
        <v>24</v>
      </c>
    </row>
    <row r="2056" spans="1:15" x14ac:dyDescent="0.25">
      <c r="A2056">
        <v>2055</v>
      </c>
      <c r="B2056" t="str">
        <f>HYPERLINK("https://digitalcommons.unl.edu/cgi/viewcontent.cgi?article=3707&amp;context=tractormuseumlit","Click for test report")</f>
        <v>Click for test report</v>
      </c>
      <c r="C2056">
        <v>1987</v>
      </c>
      <c r="E2056" t="s">
        <v>4197</v>
      </c>
      <c r="F2056" t="s">
        <v>2986</v>
      </c>
      <c r="G2056" t="s">
        <v>778</v>
      </c>
      <c r="H2056" t="s">
        <v>1308</v>
      </c>
      <c r="I2056" t="s">
        <v>1961</v>
      </c>
      <c r="J2056" t="s">
        <v>348</v>
      </c>
      <c r="K2056" t="s">
        <v>21</v>
      </c>
      <c r="L2056" t="s">
        <v>353</v>
      </c>
      <c r="N2056" t="s">
        <v>2188</v>
      </c>
      <c r="O2056" t="s">
        <v>4260</v>
      </c>
    </row>
    <row r="2057" spans="1:15" x14ac:dyDescent="0.25">
      <c r="A2057">
        <v>2056</v>
      </c>
      <c r="B2057" t="str">
        <f>HYPERLINK("https://digitalcommons.unl.edu/cgi/viewcontent.cgi?article=3708&amp;context=tractormuseumlit","Click for test report")</f>
        <v>Click for test report</v>
      </c>
      <c r="C2057">
        <v>1987</v>
      </c>
      <c r="E2057" t="s">
        <v>4195</v>
      </c>
      <c r="F2057" t="s">
        <v>2986</v>
      </c>
      <c r="G2057" t="s">
        <v>778</v>
      </c>
      <c r="H2057" t="s">
        <v>1308</v>
      </c>
      <c r="I2057" t="s">
        <v>1961</v>
      </c>
      <c r="J2057" t="s">
        <v>20</v>
      </c>
      <c r="K2057" t="s">
        <v>21</v>
      </c>
      <c r="L2057" t="s">
        <v>353</v>
      </c>
      <c r="N2057" t="s">
        <v>407</v>
      </c>
      <c r="O2057" t="s">
        <v>4259</v>
      </c>
    </row>
    <row r="2058" spans="1:15" x14ac:dyDescent="0.25">
      <c r="A2058">
        <v>2057</v>
      </c>
      <c r="B2058" t="str">
        <f>HYPERLINK("https://digitalcommons.unl.edu/cgi/viewcontent.cgi?article=3709&amp;context=tractormuseumlit","Click for test report")</f>
        <v>Click for test report</v>
      </c>
      <c r="C2058">
        <v>1987</v>
      </c>
      <c r="E2058" t="s">
        <v>4193</v>
      </c>
      <c r="F2058" t="s">
        <v>2986</v>
      </c>
      <c r="G2058" t="s">
        <v>778</v>
      </c>
      <c r="H2058" t="s">
        <v>4191</v>
      </c>
      <c r="I2058" t="s">
        <v>1961</v>
      </c>
      <c r="J2058" t="s">
        <v>348</v>
      </c>
      <c r="K2058" t="s">
        <v>21</v>
      </c>
      <c r="L2058" t="s">
        <v>1257</v>
      </c>
      <c r="N2058" t="s">
        <v>1970</v>
      </c>
      <c r="O2058" t="s">
        <v>4258</v>
      </c>
    </row>
    <row r="2059" spans="1:15" x14ac:dyDescent="0.25">
      <c r="A2059">
        <v>2058</v>
      </c>
      <c r="B2059" t="str">
        <f>HYPERLINK("https://digitalcommons.unl.edu/cgi/viewcontent.cgi?article=3710&amp;context=tractormuseumlit","Click for test report")</f>
        <v>Click for test report</v>
      </c>
      <c r="C2059">
        <v>1987</v>
      </c>
      <c r="E2059" t="s">
        <v>4190</v>
      </c>
      <c r="F2059" t="s">
        <v>2986</v>
      </c>
      <c r="G2059" t="s">
        <v>778</v>
      </c>
      <c r="H2059" t="s">
        <v>4191</v>
      </c>
      <c r="I2059" t="s">
        <v>50</v>
      </c>
      <c r="J2059" t="s">
        <v>20</v>
      </c>
      <c r="K2059" t="s">
        <v>21</v>
      </c>
      <c r="L2059" t="s">
        <v>1257</v>
      </c>
      <c r="N2059" t="s">
        <v>1970</v>
      </c>
      <c r="O2059" t="s">
        <v>4257</v>
      </c>
    </row>
    <row r="2060" spans="1:15" x14ac:dyDescent="0.25">
      <c r="A2060">
        <v>2059</v>
      </c>
      <c r="B2060" t="str">
        <f>HYPERLINK("https://digitalcommons.unl.edu/cgi/viewcontent.cgi?article=3711&amp;context=tractormuseumlit","Click for test report")</f>
        <v>Click for test report</v>
      </c>
      <c r="C2060">
        <v>1987</v>
      </c>
      <c r="E2060" t="s">
        <v>4256</v>
      </c>
      <c r="F2060" t="s">
        <v>2986</v>
      </c>
      <c r="G2060" t="s">
        <v>778</v>
      </c>
      <c r="H2060" t="s">
        <v>4255</v>
      </c>
      <c r="I2060" t="s">
        <v>50</v>
      </c>
      <c r="J2060" t="s">
        <v>348</v>
      </c>
      <c r="K2060" t="s">
        <v>21</v>
      </c>
      <c r="L2060" t="s">
        <v>344</v>
      </c>
      <c r="N2060" t="s">
        <v>747</v>
      </c>
      <c r="O2060" t="s">
        <v>24</v>
      </c>
    </row>
    <row r="2061" spans="1:15" x14ac:dyDescent="0.25">
      <c r="A2061">
        <v>2060</v>
      </c>
      <c r="B2061" t="str">
        <f>HYPERLINK("https://digitalcommons.unl.edu/cgi/viewcontent.cgi?article=3711&amp;context=tractormuseumlit","Click for test report")</f>
        <v>Click for test report</v>
      </c>
      <c r="C2061">
        <v>1987</v>
      </c>
      <c r="E2061" t="s">
        <v>4254</v>
      </c>
      <c r="F2061" t="s">
        <v>2986</v>
      </c>
      <c r="G2061" t="s">
        <v>778</v>
      </c>
      <c r="H2061" t="s">
        <v>4255</v>
      </c>
      <c r="I2061" t="s">
        <v>50</v>
      </c>
      <c r="J2061" t="s">
        <v>20</v>
      </c>
      <c r="K2061" t="s">
        <v>21</v>
      </c>
      <c r="L2061" t="s">
        <v>344</v>
      </c>
      <c r="N2061" t="s">
        <v>1350</v>
      </c>
      <c r="O2061" t="s">
        <v>24</v>
      </c>
    </row>
    <row r="2062" spans="1:15" x14ac:dyDescent="0.25">
      <c r="A2062">
        <v>2061</v>
      </c>
      <c r="B2062" t="str">
        <f>HYPERLINK("https://digitalcommons.unl.edu/cgi/viewcontent.cgi?article=3712&amp;context=tractormuseumlit","Click for test report")</f>
        <v>Click for test report</v>
      </c>
      <c r="C2062">
        <v>1987</v>
      </c>
      <c r="E2062" t="s">
        <v>4253</v>
      </c>
      <c r="F2062" t="s">
        <v>2986</v>
      </c>
      <c r="G2062" t="s">
        <v>778</v>
      </c>
      <c r="H2062" t="s">
        <v>4123</v>
      </c>
      <c r="I2062" t="s">
        <v>50</v>
      </c>
      <c r="J2062" t="s">
        <v>348</v>
      </c>
      <c r="K2062" t="s">
        <v>21</v>
      </c>
      <c r="L2062" t="s">
        <v>562</v>
      </c>
      <c r="N2062" t="s">
        <v>378</v>
      </c>
      <c r="O2062" t="s">
        <v>24</v>
      </c>
    </row>
    <row r="2063" spans="1:15" x14ac:dyDescent="0.25">
      <c r="A2063">
        <v>2062</v>
      </c>
      <c r="B2063" t="str">
        <f>HYPERLINK("https://digitalcommons.unl.edu/cgi/viewcontent.cgi?article=3712&amp;context=tractormuseumlit","Click for test report")</f>
        <v>Click for test report</v>
      </c>
      <c r="C2063">
        <v>1987</v>
      </c>
      <c r="E2063" t="s">
        <v>4252</v>
      </c>
      <c r="F2063" t="s">
        <v>2986</v>
      </c>
      <c r="G2063" t="s">
        <v>778</v>
      </c>
      <c r="H2063" t="s">
        <v>4123</v>
      </c>
      <c r="I2063" t="s">
        <v>50</v>
      </c>
      <c r="J2063" t="s">
        <v>20</v>
      </c>
      <c r="K2063" t="s">
        <v>21</v>
      </c>
      <c r="L2063" t="s">
        <v>562</v>
      </c>
      <c r="N2063" t="s">
        <v>743</v>
      </c>
      <c r="O2063" t="s">
        <v>24</v>
      </c>
    </row>
    <row r="2064" spans="1:15" x14ac:dyDescent="0.25">
      <c r="A2064">
        <v>2063</v>
      </c>
      <c r="B2064" t="str">
        <f>HYPERLINK("https://digitalcommons.unl.edu/cgi/viewcontent.cgi?article=3713&amp;context=tractormuseumlit","Click for test report")</f>
        <v>Click for test report</v>
      </c>
      <c r="C2064">
        <v>1987</v>
      </c>
      <c r="E2064" t="s">
        <v>4249</v>
      </c>
      <c r="F2064" t="s">
        <v>3800</v>
      </c>
      <c r="G2064" t="s">
        <v>191</v>
      </c>
      <c r="H2064" t="s">
        <v>4251</v>
      </c>
      <c r="I2064" t="s">
        <v>28</v>
      </c>
      <c r="J2064" t="s">
        <v>29</v>
      </c>
      <c r="K2064" t="s">
        <v>21</v>
      </c>
      <c r="L2064" t="s">
        <v>520</v>
      </c>
      <c r="N2064" t="s">
        <v>789</v>
      </c>
      <c r="O2064" t="s">
        <v>24</v>
      </c>
    </row>
    <row r="2065" spans="1:15" x14ac:dyDescent="0.25">
      <c r="A2065">
        <v>2064</v>
      </c>
      <c r="B2065" t="str">
        <f>HYPERLINK("https://digitalcommons.unl.edu/cgi/viewcontent.cgi?article=3713&amp;context=tractormuseumlit","Click for test report")</f>
        <v>Click for test report</v>
      </c>
      <c r="C2065">
        <v>1987</v>
      </c>
      <c r="E2065" t="s">
        <v>4249</v>
      </c>
      <c r="F2065" t="s">
        <v>3800</v>
      </c>
      <c r="G2065" t="s">
        <v>3652</v>
      </c>
      <c r="H2065" t="s">
        <v>4250</v>
      </c>
      <c r="I2065" t="s">
        <v>28</v>
      </c>
      <c r="J2065" t="s">
        <v>29</v>
      </c>
      <c r="K2065" t="s">
        <v>21</v>
      </c>
      <c r="L2065" t="s">
        <v>520</v>
      </c>
      <c r="N2065" t="s">
        <v>789</v>
      </c>
      <c r="O2065" t="s">
        <v>24</v>
      </c>
    </row>
    <row r="2066" spans="1:15" x14ac:dyDescent="0.25">
      <c r="A2066">
        <v>2065</v>
      </c>
      <c r="B2066" t="str">
        <f>HYPERLINK("https://digitalcommons.unl.edu/cgi/viewcontent.cgi?article=3714&amp;context=tractormuseumlit","Click for test report")</f>
        <v>Click for test report</v>
      </c>
      <c r="C2066">
        <v>1987</v>
      </c>
      <c r="E2066" t="s">
        <v>4246</v>
      </c>
      <c r="F2066" t="s">
        <v>3800</v>
      </c>
      <c r="G2066" t="s">
        <v>191</v>
      </c>
      <c r="H2066" t="s">
        <v>4248</v>
      </c>
      <c r="I2066" t="s">
        <v>28</v>
      </c>
      <c r="J2066" t="s">
        <v>29</v>
      </c>
      <c r="K2066" t="s">
        <v>21</v>
      </c>
      <c r="L2066" t="s">
        <v>161</v>
      </c>
      <c r="N2066" t="s">
        <v>115</v>
      </c>
      <c r="O2066" t="s">
        <v>24</v>
      </c>
    </row>
    <row r="2067" spans="1:15" x14ac:dyDescent="0.25">
      <c r="A2067">
        <v>2066</v>
      </c>
      <c r="B2067" t="str">
        <f>HYPERLINK("https://digitalcommons.unl.edu/cgi/viewcontent.cgi?article=3714&amp;context=tractormuseumlit","Click for test report")</f>
        <v>Click for test report</v>
      </c>
      <c r="C2067">
        <v>1987</v>
      </c>
      <c r="E2067" t="s">
        <v>4246</v>
      </c>
      <c r="F2067" t="s">
        <v>3800</v>
      </c>
      <c r="G2067" t="s">
        <v>3652</v>
      </c>
      <c r="H2067" t="s">
        <v>4247</v>
      </c>
      <c r="I2067" t="s">
        <v>28</v>
      </c>
      <c r="J2067" t="s">
        <v>29</v>
      </c>
      <c r="K2067" t="s">
        <v>21</v>
      </c>
      <c r="L2067" t="s">
        <v>161</v>
      </c>
      <c r="N2067" t="s">
        <v>115</v>
      </c>
      <c r="O2067" t="s">
        <v>24</v>
      </c>
    </row>
    <row r="2068" spans="1:15" x14ac:dyDescent="0.25">
      <c r="A2068">
        <v>2067</v>
      </c>
      <c r="B2068" t="str">
        <f>HYPERLINK("https://digitalcommons.unl.edu/cgi/viewcontent.cgi?article=3715&amp;context=tractormuseumlit","Click for test report")</f>
        <v>Click for test report</v>
      </c>
      <c r="C2068">
        <v>1987</v>
      </c>
      <c r="E2068" t="s">
        <v>4244</v>
      </c>
      <c r="F2068" t="s">
        <v>3800</v>
      </c>
      <c r="G2068" t="s">
        <v>191</v>
      </c>
      <c r="H2068" t="s">
        <v>4149</v>
      </c>
      <c r="I2068" t="s">
        <v>28</v>
      </c>
      <c r="J2068" t="s">
        <v>29</v>
      </c>
      <c r="K2068" t="s">
        <v>21</v>
      </c>
      <c r="L2068" t="s">
        <v>306</v>
      </c>
      <c r="N2068" t="s">
        <v>2334</v>
      </c>
      <c r="O2068" t="s">
        <v>24</v>
      </c>
    </row>
    <row r="2069" spans="1:15" x14ac:dyDescent="0.25">
      <c r="A2069">
        <v>2068</v>
      </c>
      <c r="B2069" t="str">
        <f>HYPERLINK("https://digitalcommons.unl.edu/cgi/viewcontent.cgi?article=3715&amp;context=tractormuseumlit","Click for test report")</f>
        <v>Click for test report</v>
      </c>
      <c r="C2069">
        <v>1987</v>
      </c>
      <c r="E2069" t="s">
        <v>4244</v>
      </c>
      <c r="F2069" t="s">
        <v>3800</v>
      </c>
      <c r="G2069" t="s">
        <v>3652</v>
      </c>
      <c r="H2069" t="s">
        <v>4245</v>
      </c>
      <c r="I2069" t="s">
        <v>28</v>
      </c>
      <c r="J2069" t="s">
        <v>29</v>
      </c>
      <c r="K2069" t="s">
        <v>21</v>
      </c>
      <c r="L2069" t="s">
        <v>306</v>
      </c>
      <c r="N2069" t="s">
        <v>2334</v>
      </c>
      <c r="O2069" t="s">
        <v>24</v>
      </c>
    </row>
    <row r="2070" spans="1:15" x14ac:dyDescent="0.25">
      <c r="A2070">
        <v>2069</v>
      </c>
      <c r="B2070" t="str">
        <f>HYPERLINK("https://digitalcommons.unl.edu/cgi/viewcontent.cgi?article=3716&amp;context=tractormuseumlit","Click for test report")</f>
        <v>Click for test report</v>
      </c>
      <c r="C2070">
        <v>1987</v>
      </c>
      <c r="E2070" t="s">
        <v>4088</v>
      </c>
      <c r="F2070" t="s">
        <v>3800</v>
      </c>
      <c r="G2070" t="s">
        <v>191</v>
      </c>
      <c r="H2070" t="s">
        <v>4147</v>
      </c>
      <c r="I2070" t="s">
        <v>28</v>
      </c>
      <c r="J2070" t="s">
        <v>29</v>
      </c>
      <c r="K2070" t="s">
        <v>21</v>
      </c>
      <c r="L2070" t="s">
        <v>4089</v>
      </c>
      <c r="N2070" t="s">
        <v>986</v>
      </c>
      <c r="O2070" t="s">
        <v>24</v>
      </c>
    </row>
    <row r="2071" spans="1:15" x14ac:dyDescent="0.25">
      <c r="A2071">
        <v>2070</v>
      </c>
      <c r="B2071" t="str">
        <f>HYPERLINK("https://digitalcommons.unl.edu/cgi/viewcontent.cgi?article=3716&amp;context=tractormuseumlit","Click for test report")</f>
        <v>Click for test report</v>
      </c>
      <c r="C2071">
        <v>1987</v>
      </c>
      <c r="E2071" t="s">
        <v>4088</v>
      </c>
      <c r="F2071" t="s">
        <v>3800</v>
      </c>
      <c r="G2071" t="s">
        <v>3652</v>
      </c>
      <c r="H2071" t="s">
        <v>4243</v>
      </c>
      <c r="I2071" t="s">
        <v>28</v>
      </c>
      <c r="J2071" t="s">
        <v>29</v>
      </c>
      <c r="K2071" t="s">
        <v>21</v>
      </c>
      <c r="L2071" t="s">
        <v>4089</v>
      </c>
      <c r="N2071" t="s">
        <v>986</v>
      </c>
      <c r="O2071" t="s">
        <v>24</v>
      </c>
    </row>
    <row r="2072" spans="1:15" x14ac:dyDescent="0.25">
      <c r="A2072">
        <v>2071</v>
      </c>
      <c r="B2072" t="str">
        <f>HYPERLINK("https://digitalcommons.unl.edu/cgi/viewcontent.cgi?article=3717&amp;context=tractormuseumlit","Click for test report")</f>
        <v>Click for test report</v>
      </c>
      <c r="C2072">
        <v>1987</v>
      </c>
      <c r="E2072" t="s">
        <v>4085</v>
      </c>
      <c r="F2072" t="s">
        <v>3800</v>
      </c>
      <c r="G2072" t="s">
        <v>191</v>
      </c>
      <c r="H2072" t="s">
        <v>4242</v>
      </c>
      <c r="I2072" t="s">
        <v>28</v>
      </c>
      <c r="J2072" t="s">
        <v>29</v>
      </c>
      <c r="K2072" t="s">
        <v>21</v>
      </c>
      <c r="L2072" t="s">
        <v>4087</v>
      </c>
      <c r="N2072" t="s">
        <v>541</v>
      </c>
      <c r="O2072" t="s">
        <v>24</v>
      </c>
    </row>
    <row r="2073" spans="1:15" x14ac:dyDescent="0.25">
      <c r="A2073">
        <v>2072</v>
      </c>
      <c r="B2073" t="str">
        <f>HYPERLINK("https://digitalcommons.unl.edu/cgi/viewcontent.cgi?article=3717&amp;context=tractormuseumlit","Click for test report")</f>
        <v>Click for test report</v>
      </c>
      <c r="C2073">
        <v>1987</v>
      </c>
      <c r="E2073" t="s">
        <v>4085</v>
      </c>
      <c r="F2073" t="s">
        <v>3800</v>
      </c>
      <c r="G2073" t="s">
        <v>3652</v>
      </c>
      <c r="H2073" t="s">
        <v>4241</v>
      </c>
      <c r="I2073" t="s">
        <v>28</v>
      </c>
      <c r="J2073" t="s">
        <v>29</v>
      </c>
      <c r="K2073" t="s">
        <v>21</v>
      </c>
      <c r="L2073" t="s">
        <v>4087</v>
      </c>
      <c r="N2073" t="s">
        <v>541</v>
      </c>
      <c r="O2073" t="s">
        <v>24</v>
      </c>
    </row>
    <row r="2074" spans="1:15" x14ac:dyDescent="0.25">
      <c r="A2074">
        <v>2073</v>
      </c>
      <c r="B2074" t="str">
        <f>HYPERLINK("https://digitalcommons.unl.edu/cgi/viewcontent.cgi?article=3718&amp;context=tractormuseumlit","Click for test report")</f>
        <v>Click for test report</v>
      </c>
      <c r="C2074">
        <v>1987</v>
      </c>
      <c r="E2074" t="s">
        <v>4239</v>
      </c>
      <c r="F2074" t="s">
        <v>2062</v>
      </c>
      <c r="G2074" t="s">
        <v>778</v>
      </c>
      <c r="H2074" t="s">
        <v>4240</v>
      </c>
      <c r="I2074" t="s">
        <v>1961</v>
      </c>
      <c r="J2074" t="s">
        <v>20</v>
      </c>
      <c r="K2074" t="s">
        <v>21</v>
      </c>
      <c r="L2074" t="s">
        <v>567</v>
      </c>
      <c r="N2074" t="s">
        <v>130</v>
      </c>
      <c r="O2074" t="s">
        <v>24</v>
      </c>
    </row>
    <row r="2075" spans="1:15" x14ac:dyDescent="0.25">
      <c r="A2075">
        <v>2074</v>
      </c>
      <c r="B2075" t="str">
        <f>HYPERLINK("https://digitalcommons.unl.edu/cgi/viewcontent.cgi?article=3719&amp;context=tractormuseumlit","Click for test report")</f>
        <v>Click for test report</v>
      </c>
      <c r="C2075">
        <v>1987</v>
      </c>
      <c r="E2075" t="s">
        <v>4237</v>
      </c>
      <c r="F2075" t="s">
        <v>2062</v>
      </c>
      <c r="G2075" t="s">
        <v>778</v>
      </c>
      <c r="H2075" t="s">
        <v>4238</v>
      </c>
      <c r="I2075" t="s">
        <v>1961</v>
      </c>
      <c r="J2075" t="s">
        <v>20</v>
      </c>
      <c r="K2075" t="s">
        <v>21</v>
      </c>
      <c r="L2075" t="s">
        <v>119</v>
      </c>
      <c r="N2075" t="s">
        <v>336</v>
      </c>
      <c r="O2075" t="s">
        <v>24</v>
      </c>
    </row>
    <row r="2076" spans="1:15" x14ac:dyDescent="0.25">
      <c r="A2076">
        <v>2075</v>
      </c>
      <c r="B2076" t="str">
        <f>HYPERLINK("https://digitalcommons.unl.edu/cgi/viewcontent.cgi?article=3688&amp;context=tractormuseumlit","Click for test report")</f>
        <v>Click for test report</v>
      </c>
      <c r="C2076">
        <v>1987</v>
      </c>
      <c r="E2076" t="s">
        <v>4236</v>
      </c>
      <c r="G2076" t="s">
        <v>322</v>
      </c>
      <c r="H2076" t="s">
        <v>24</v>
      </c>
      <c r="I2076" t="s">
        <v>24</v>
      </c>
      <c r="O2076" t="s">
        <v>24</v>
      </c>
    </row>
    <row r="2077" spans="1:15" x14ac:dyDescent="0.25">
      <c r="A2077">
        <v>2076</v>
      </c>
      <c r="B2077" t="str">
        <f>HYPERLINK("https://digitalcommons.unl.edu/cgi/viewcontent.cgi?article=3731&amp;context=tractormuseumlit","Click for test report")</f>
        <v>Click for test report</v>
      </c>
      <c r="C2077">
        <v>1987</v>
      </c>
      <c r="E2077" t="s">
        <v>4082</v>
      </c>
      <c r="F2077" t="s">
        <v>4053</v>
      </c>
      <c r="G2077" t="s">
        <v>4066</v>
      </c>
      <c r="H2077" t="s">
        <v>4235</v>
      </c>
      <c r="I2077" t="s">
        <v>50</v>
      </c>
      <c r="J2077" t="s">
        <v>20</v>
      </c>
      <c r="K2077" t="s">
        <v>21</v>
      </c>
      <c r="L2077" t="s">
        <v>2699</v>
      </c>
      <c r="N2077" t="s">
        <v>1893</v>
      </c>
      <c r="O2077" t="s">
        <v>24</v>
      </c>
    </row>
    <row r="2078" spans="1:15" x14ac:dyDescent="0.25">
      <c r="A2078">
        <v>2077</v>
      </c>
      <c r="B2078" t="str">
        <f>HYPERLINK("https://digitalcommons.unl.edu/cgi/viewcontent.cgi?article=3732&amp;context=tractormuseumlit","Click for test report")</f>
        <v>Click for test report</v>
      </c>
      <c r="C2078">
        <v>1987</v>
      </c>
      <c r="E2078" t="s">
        <v>4079</v>
      </c>
      <c r="F2078" t="s">
        <v>4053</v>
      </c>
      <c r="G2078" t="s">
        <v>4066</v>
      </c>
      <c r="H2078" t="s">
        <v>4234</v>
      </c>
      <c r="I2078" t="s">
        <v>50</v>
      </c>
      <c r="J2078" t="s">
        <v>20</v>
      </c>
      <c r="K2078" t="s">
        <v>21</v>
      </c>
      <c r="L2078" t="s">
        <v>3319</v>
      </c>
      <c r="N2078" t="s">
        <v>1009</v>
      </c>
      <c r="O2078" t="s">
        <v>24</v>
      </c>
    </row>
    <row r="2079" spans="1:15" x14ac:dyDescent="0.25">
      <c r="A2079">
        <v>2078</v>
      </c>
      <c r="B2079" t="str">
        <f>HYPERLINK("https://digitalcommons.unl.edu/cgi/viewcontent.cgi?article=3734&amp;context=tractormuseumlit","Click for test report")</f>
        <v>Click for test report</v>
      </c>
      <c r="C2079">
        <v>1987</v>
      </c>
      <c r="E2079" t="s">
        <v>4071</v>
      </c>
      <c r="F2079" t="s">
        <v>4053</v>
      </c>
      <c r="G2079" t="s">
        <v>4066</v>
      </c>
      <c r="H2079" t="s">
        <v>4233</v>
      </c>
      <c r="I2079" t="s">
        <v>50</v>
      </c>
      <c r="J2079" t="s">
        <v>20</v>
      </c>
      <c r="K2079" t="s">
        <v>21</v>
      </c>
      <c r="L2079" t="s">
        <v>722</v>
      </c>
      <c r="N2079" t="s">
        <v>1864</v>
      </c>
      <c r="O2079" t="s">
        <v>24</v>
      </c>
    </row>
    <row r="2080" spans="1:15" x14ac:dyDescent="0.25">
      <c r="A2080">
        <v>2079</v>
      </c>
      <c r="B2080" t="str">
        <f>HYPERLINK("https://digitalcommons.unl.edu/cgi/viewcontent.cgi?article=3736&amp;context=tractormuseumlit","Click for test report")</f>
        <v>Click for test report</v>
      </c>
      <c r="C2080">
        <v>1987</v>
      </c>
      <c r="E2080" t="s">
        <v>4068</v>
      </c>
      <c r="F2080" t="s">
        <v>4053</v>
      </c>
      <c r="G2080" t="s">
        <v>4066</v>
      </c>
      <c r="H2080" t="s">
        <v>4232</v>
      </c>
      <c r="I2080" t="s">
        <v>50</v>
      </c>
      <c r="J2080" t="s">
        <v>20</v>
      </c>
      <c r="K2080" t="s">
        <v>21</v>
      </c>
      <c r="L2080" t="s">
        <v>722</v>
      </c>
      <c r="N2080" t="s">
        <v>1864</v>
      </c>
      <c r="O2080" t="s">
        <v>24</v>
      </c>
    </row>
    <row r="2081" spans="1:15" x14ac:dyDescent="0.25">
      <c r="A2081">
        <v>2080</v>
      </c>
      <c r="B2081" t="str">
        <f>HYPERLINK("https://digitalcommons.unl.edu/cgi/viewcontent.cgi?article=3743&amp;context=tractormuseumlit","Click for test report")</f>
        <v>Click for test report</v>
      </c>
      <c r="C2081">
        <v>1987</v>
      </c>
      <c r="E2081" t="s">
        <v>3955</v>
      </c>
      <c r="F2081" t="s">
        <v>3949</v>
      </c>
      <c r="G2081" t="s">
        <v>4055</v>
      </c>
      <c r="H2081" t="s">
        <v>4231</v>
      </c>
      <c r="I2081" t="s">
        <v>50</v>
      </c>
      <c r="J2081" t="s">
        <v>20</v>
      </c>
      <c r="K2081" t="s">
        <v>21</v>
      </c>
      <c r="L2081" t="s">
        <v>1864</v>
      </c>
      <c r="N2081" t="s">
        <v>1994</v>
      </c>
      <c r="O2081" t="s">
        <v>24</v>
      </c>
    </row>
    <row r="2082" spans="1:15" x14ac:dyDescent="0.25">
      <c r="A2082">
        <v>2081</v>
      </c>
      <c r="B2082" t="str">
        <f>HYPERLINK("https://digitalcommons.unl.edu/cgi/viewcontent.cgi?article=3744&amp;context=tractormuseumlit","Click for test report")</f>
        <v>Click for test report</v>
      </c>
      <c r="C2082">
        <v>1987</v>
      </c>
      <c r="E2082" t="s">
        <v>3952</v>
      </c>
      <c r="F2082" t="s">
        <v>3949</v>
      </c>
      <c r="G2082" t="s">
        <v>4055</v>
      </c>
      <c r="H2082" t="s">
        <v>4230</v>
      </c>
      <c r="I2082" t="s">
        <v>50</v>
      </c>
      <c r="J2082" t="s">
        <v>20</v>
      </c>
      <c r="K2082" t="s">
        <v>21</v>
      </c>
      <c r="L2082" t="s">
        <v>1864</v>
      </c>
      <c r="N2082" t="s">
        <v>1994</v>
      </c>
      <c r="O2082" t="s">
        <v>24</v>
      </c>
    </row>
    <row r="2083" spans="1:15" x14ac:dyDescent="0.25">
      <c r="A2083">
        <v>2082</v>
      </c>
      <c r="B2083" t="str">
        <f>HYPERLINK("https://digitalcommons.unl.edu/cgi/viewcontent.cgi?article=3745&amp;context=tractormuseumlit","Click for test report")</f>
        <v>Click for test report</v>
      </c>
      <c r="C2083">
        <v>1987</v>
      </c>
      <c r="E2083" t="s">
        <v>3948</v>
      </c>
      <c r="F2083" t="s">
        <v>3949</v>
      </c>
      <c r="G2083" t="s">
        <v>4055</v>
      </c>
      <c r="H2083" t="s">
        <v>4229</v>
      </c>
      <c r="I2083" t="s">
        <v>50</v>
      </c>
      <c r="J2083" t="s">
        <v>20</v>
      </c>
      <c r="K2083" t="s">
        <v>21</v>
      </c>
      <c r="L2083" t="s">
        <v>344</v>
      </c>
      <c r="N2083" t="s">
        <v>2030</v>
      </c>
      <c r="O2083" t="s">
        <v>24</v>
      </c>
    </row>
    <row r="2084" spans="1:15" x14ac:dyDescent="0.25">
      <c r="A2084">
        <v>2083</v>
      </c>
      <c r="B2084" t="str">
        <f>HYPERLINK("https://digitalcommons.unl.edu/cgi/viewcontent.cgi?article=2952&amp;context=tractormuseumlit","Click for test report")</f>
        <v>Click for test report</v>
      </c>
      <c r="C2084">
        <v>1987</v>
      </c>
      <c r="D2084" t="s">
        <v>4226</v>
      </c>
      <c r="F2084" t="s">
        <v>1526</v>
      </c>
      <c r="G2084" t="s">
        <v>17</v>
      </c>
      <c r="H2084" t="s">
        <v>4227</v>
      </c>
      <c r="I2084" t="s">
        <v>1961</v>
      </c>
      <c r="J2084" t="s">
        <v>20</v>
      </c>
      <c r="K2084" t="s">
        <v>21</v>
      </c>
      <c r="L2084" t="s">
        <v>52</v>
      </c>
      <c r="N2084" t="s">
        <v>716</v>
      </c>
      <c r="O2084" t="s">
        <v>4228</v>
      </c>
    </row>
    <row r="2085" spans="1:15" x14ac:dyDescent="0.25">
      <c r="A2085">
        <v>2084</v>
      </c>
      <c r="B2085" t="str">
        <f>HYPERLINK("https://digitalcommons.unl.edu/cgi/viewcontent.cgi?article=3705&amp;context=tractormuseumlit","Click for test report")</f>
        <v>Click for test report</v>
      </c>
      <c r="C2085">
        <v>1988</v>
      </c>
      <c r="E2085" t="s">
        <v>4223</v>
      </c>
      <c r="F2085" t="s">
        <v>2986</v>
      </c>
      <c r="G2085" t="s">
        <v>778</v>
      </c>
      <c r="H2085" t="s">
        <v>4220</v>
      </c>
      <c r="I2085" t="s">
        <v>50</v>
      </c>
      <c r="J2085" t="s">
        <v>348</v>
      </c>
      <c r="K2085" t="s">
        <v>21</v>
      </c>
      <c r="L2085" t="s">
        <v>3319</v>
      </c>
      <c r="N2085" t="s">
        <v>2627</v>
      </c>
      <c r="O2085" t="s">
        <v>4225</v>
      </c>
    </row>
    <row r="2086" spans="1:15" x14ac:dyDescent="0.25">
      <c r="A2086">
        <v>2085</v>
      </c>
      <c r="B2086" t="str">
        <f>HYPERLINK("https://digitalcommons.unl.edu/cgi/viewcontent.cgi?article=3705&amp;context=tractormuseumlit","Click for test report")</f>
        <v>Click for test report</v>
      </c>
      <c r="C2086">
        <v>1988</v>
      </c>
      <c r="E2086" t="s">
        <v>4223</v>
      </c>
      <c r="F2086" t="s">
        <v>2986</v>
      </c>
      <c r="G2086" t="s">
        <v>778</v>
      </c>
      <c r="H2086" t="s">
        <v>4220</v>
      </c>
      <c r="I2086" t="s">
        <v>50</v>
      </c>
      <c r="J2086" t="s">
        <v>348</v>
      </c>
      <c r="K2086" t="s">
        <v>21</v>
      </c>
      <c r="L2086" t="s">
        <v>410</v>
      </c>
      <c r="N2086" t="s">
        <v>3973</v>
      </c>
      <c r="O2086" t="s">
        <v>4224</v>
      </c>
    </row>
    <row r="2087" spans="1:15" x14ac:dyDescent="0.25">
      <c r="A2087">
        <v>2086</v>
      </c>
      <c r="B2087" t="str">
        <f>HYPERLINK("https://digitalcommons.unl.edu/cgi/viewcontent.cgi?article=3706&amp;context=tractormuseumlit","Click for test report")</f>
        <v>Click for test report</v>
      </c>
      <c r="C2087">
        <v>1988</v>
      </c>
      <c r="E2087" t="s">
        <v>4219</v>
      </c>
      <c r="F2087" t="s">
        <v>2986</v>
      </c>
      <c r="G2087" t="s">
        <v>778</v>
      </c>
      <c r="H2087" t="s">
        <v>4220</v>
      </c>
      <c r="I2087" t="s">
        <v>50</v>
      </c>
      <c r="J2087" t="s">
        <v>20</v>
      </c>
      <c r="K2087" t="s">
        <v>21</v>
      </c>
      <c r="L2087" t="s">
        <v>3319</v>
      </c>
      <c r="N2087" t="s">
        <v>2699</v>
      </c>
      <c r="O2087" t="s">
        <v>4222</v>
      </c>
    </row>
    <row r="2088" spans="1:15" x14ac:dyDescent="0.25">
      <c r="A2088">
        <v>2087</v>
      </c>
      <c r="B2088" t="str">
        <f>HYPERLINK("https://digitalcommons.unl.edu/cgi/viewcontent.cgi?article=3706&amp;context=tractormuseumlit","Click for test report")</f>
        <v>Click for test report</v>
      </c>
      <c r="C2088">
        <v>1988</v>
      </c>
      <c r="E2088" t="s">
        <v>4219</v>
      </c>
      <c r="F2088" t="s">
        <v>2986</v>
      </c>
      <c r="G2088" t="s">
        <v>778</v>
      </c>
      <c r="H2088" t="s">
        <v>4220</v>
      </c>
      <c r="I2088" t="s">
        <v>50</v>
      </c>
      <c r="J2088" t="s">
        <v>20</v>
      </c>
      <c r="K2088" t="s">
        <v>21</v>
      </c>
      <c r="L2088" t="s">
        <v>1650</v>
      </c>
      <c r="N2088" t="s">
        <v>1893</v>
      </c>
      <c r="O2088" t="s">
        <v>4221</v>
      </c>
    </row>
    <row r="2089" spans="1:15" x14ac:dyDescent="0.25">
      <c r="A2089">
        <v>2088</v>
      </c>
      <c r="B2089" t="str">
        <f>HYPERLINK("https://digitalcommons.unl.edu/cgi/viewcontent.cgi?article=3720&amp;context=tractormuseumlit","Click for test report")</f>
        <v>Click for test report</v>
      </c>
      <c r="C2089">
        <v>1988</v>
      </c>
      <c r="E2089" t="s">
        <v>4217</v>
      </c>
      <c r="F2089" t="s">
        <v>1526</v>
      </c>
      <c r="G2089" t="s">
        <v>17</v>
      </c>
      <c r="H2089" t="s">
        <v>674</v>
      </c>
      <c r="I2089" t="s">
        <v>1961</v>
      </c>
      <c r="J2089" t="s">
        <v>20</v>
      </c>
      <c r="K2089" t="s">
        <v>21</v>
      </c>
      <c r="L2089" t="s">
        <v>410</v>
      </c>
      <c r="N2089" t="s">
        <v>1893</v>
      </c>
      <c r="O2089" t="s">
        <v>4218</v>
      </c>
    </row>
    <row r="2090" spans="1:15" x14ac:dyDescent="0.25">
      <c r="A2090">
        <v>2089</v>
      </c>
      <c r="B2090" t="str">
        <f>HYPERLINK("https://digitalcommons.unl.edu/cgi/viewcontent.cgi?article=2971&amp;context=tractormuseumlit","Click for test report")</f>
        <v>Click for test report</v>
      </c>
      <c r="C2090">
        <v>1988</v>
      </c>
      <c r="D2090" t="s">
        <v>4034</v>
      </c>
      <c r="F2090" t="s">
        <v>4031</v>
      </c>
      <c r="G2090" t="s">
        <v>3166</v>
      </c>
      <c r="H2090" t="s">
        <v>4216</v>
      </c>
      <c r="I2090" t="s">
        <v>3474</v>
      </c>
      <c r="J2090" t="s">
        <v>20</v>
      </c>
      <c r="K2090" t="s">
        <v>21</v>
      </c>
      <c r="L2090" t="s">
        <v>1425</v>
      </c>
      <c r="N2090" t="s">
        <v>909</v>
      </c>
      <c r="O2090" t="s">
        <v>24</v>
      </c>
    </row>
    <row r="2091" spans="1:15" x14ac:dyDescent="0.25">
      <c r="A2091">
        <v>2090</v>
      </c>
      <c r="B2091" t="str">
        <f>HYPERLINK("https://digitalcommons.unl.edu/cgi/viewcontent.cgi?article=2972&amp;context=tractormuseumlit","Click for test report")</f>
        <v>Click for test report</v>
      </c>
      <c r="C2091">
        <v>1988</v>
      </c>
      <c r="D2091" t="s">
        <v>4030</v>
      </c>
      <c r="F2091" t="s">
        <v>4031</v>
      </c>
      <c r="G2091" t="s">
        <v>3166</v>
      </c>
      <c r="H2091" t="s">
        <v>4215</v>
      </c>
      <c r="I2091" t="s">
        <v>3474</v>
      </c>
      <c r="J2091" t="s">
        <v>20</v>
      </c>
      <c r="K2091" t="s">
        <v>21</v>
      </c>
      <c r="L2091" t="s">
        <v>2880</v>
      </c>
      <c r="N2091" t="s">
        <v>836</v>
      </c>
      <c r="O2091" t="s">
        <v>24</v>
      </c>
    </row>
    <row r="2092" spans="1:15" x14ac:dyDescent="0.25">
      <c r="A2092">
        <v>2091</v>
      </c>
      <c r="B2092" t="str">
        <f>HYPERLINK("https://digitalcommons.unl.edu/cgi/viewcontent.cgi?article=2973&amp;context=tractormuseumlit","Click for test report")</f>
        <v>Click for test report</v>
      </c>
      <c r="C2092">
        <v>1988</v>
      </c>
      <c r="D2092" t="s">
        <v>3865</v>
      </c>
      <c r="E2092" t="s">
        <v>4213</v>
      </c>
      <c r="F2092" t="s">
        <v>3800</v>
      </c>
      <c r="G2092" t="s">
        <v>191</v>
      </c>
      <c r="H2092" t="s">
        <v>4214</v>
      </c>
      <c r="I2092" t="s">
        <v>28</v>
      </c>
      <c r="J2092" t="s">
        <v>20</v>
      </c>
      <c r="K2092" t="s">
        <v>21</v>
      </c>
      <c r="L2092" t="s">
        <v>119</v>
      </c>
      <c r="N2092" t="s">
        <v>122</v>
      </c>
      <c r="O2092" t="s">
        <v>24</v>
      </c>
    </row>
    <row r="2093" spans="1:15" x14ac:dyDescent="0.25">
      <c r="A2093">
        <v>2092</v>
      </c>
      <c r="B2093" t="str">
        <f>HYPERLINK("https://digitalcommons.unl.edu/cgi/viewcontent.cgi?article=2974&amp;context=tractormuseumlit","Click for test report")</f>
        <v>Click for test report</v>
      </c>
      <c r="C2093">
        <v>1988</v>
      </c>
      <c r="D2093" t="s">
        <v>4210</v>
      </c>
      <c r="E2093" t="s">
        <v>4211</v>
      </c>
      <c r="F2093" t="s">
        <v>3800</v>
      </c>
      <c r="G2093" t="s">
        <v>191</v>
      </c>
      <c r="H2093" t="s">
        <v>4212</v>
      </c>
      <c r="I2093" t="s">
        <v>28</v>
      </c>
      <c r="J2093" t="s">
        <v>20</v>
      </c>
      <c r="K2093" t="s">
        <v>21</v>
      </c>
      <c r="L2093" t="s">
        <v>939</v>
      </c>
      <c r="N2093" t="s">
        <v>528</v>
      </c>
      <c r="O2093" t="s">
        <v>24</v>
      </c>
    </row>
    <row r="2094" spans="1:15" x14ac:dyDescent="0.25">
      <c r="A2094">
        <v>2093</v>
      </c>
      <c r="B2094" t="str">
        <f>HYPERLINK("https://digitalcommons.unl.edu/cgi/viewcontent.cgi?article=2975&amp;context=tractormuseumlit","Click for test report")</f>
        <v>Click for test report</v>
      </c>
      <c r="C2094">
        <v>1988</v>
      </c>
      <c r="D2094" t="s">
        <v>3863</v>
      </c>
      <c r="E2094" t="s">
        <v>4209</v>
      </c>
      <c r="F2094" t="s">
        <v>3800</v>
      </c>
      <c r="G2094" t="s">
        <v>191</v>
      </c>
      <c r="H2094" t="s">
        <v>1780</v>
      </c>
      <c r="I2094" t="s">
        <v>28</v>
      </c>
      <c r="J2094" t="s">
        <v>20</v>
      </c>
      <c r="K2094" t="s">
        <v>21</v>
      </c>
      <c r="L2094" t="s">
        <v>1449</v>
      </c>
      <c r="N2094" t="s">
        <v>1037</v>
      </c>
      <c r="O2094" t="s">
        <v>24</v>
      </c>
    </row>
    <row r="2095" spans="1:15" x14ac:dyDescent="0.25">
      <c r="A2095">
        <v>2094</v>
      </c>
      <c r="B2095" t="str">
        <f>HYPERLINK("https://digitalcommons.unl.edu/cgi/viewcontent.cgi?article=2976&amp;context=tractormuseumlit","Click for test report")</f>
        <v>Click for test report</v>
      </c>
      <c r="C2095">
        <v>1988</v>
      </c>
      <c r="D2095" t="s">
        <v>3861</v>
      </c>
      <c r="E2095" t="s">
        <v>4207</v>
      </c>
      <c r="F2095" t="s">
        <v>3800</v>
      </c>
      <c r="G2095" t="s">
        <v>191</v>
      </c>
      <c r="H2095" t="s">
        <v>4208</v>
      </c>
      <c r="I2095" t="s">
        <v>28</v>
      </c>
      <c r="J2095" t="s">
        <v>20</v>
      </c>
      <c r="K2095" t="s">
        <v>21</v>
      </c>
      <c r="L2095" t="s">
        <v>1098</v>
      </c>
      <c r="N2095" t="s">
        <v>1430</v>
      </c>
      <c r="O2095" t="s">
        <v>24</v>
      </c>
    </row>
    <row r="2096" spans="1:15" x14ac:dyDescent="0.25">
      <c r="A2096">
        <v>2095</v>
      </c>
      <c r="B2096" t="str">
        <f>HYPERLINK("https://digitalcommons.unl.edu/cgi/viewcontent.cgi?article=2977&amp;context=tractormuseumlit","Click for test report")</f>
        <v>Click for test report</v>
      </c>
      <c r="C2096">
        <v>1988</v>
      </c>
      <c r="D2096" t="s">
        <v>4203</v>
      </c>
      <c r="E2096" t="s">
        <v>4204</v>
      </c>
      <c r="F2096" t="s">
        <v>3442</v>
      </c>
      <c r="G2096" t="s">
        <v>3442</v>
      </c>
      <c r="H2096" t="s">
        <v>4205</v>
      </c>
      <c r="I2096" t="s">
        <v>28</v>
      </c>
      <c r="J2096" t="s">
        <v>96</v>
      </c>
      <c r="K2096" t="s">
        <v>21</v>
      </c>
      <c r="L2096" t="s">
        <v>4206</v>
      </c>
      <c r="N2096" t="s">
        <v>1564</v>
      </c>
      <c r="O2096" t="s">
        <v>24</v>
      </c>
    </row>
    <row r="2097" spans="1:15" x14ac:dyDescent="0.25">
      <c r="A2097">
        <v>2096</v>
      </c>
      <c r="B2097" t="str">
        <f>HYPERLINK("https://digitalcommons.unl.edu/cgi/viewcontent.cgi?article=2978&amp;context=tractormuseumlit","Click for test report")</f>
        <v>Click for test report</v>
      </c>
      <c r="C2097">
        <v>1988</v>
      </c>
      <c r="D2097" t="s">
        <v>4201</v>
      </c>
      <c r="F2097" t="s">
        <v>4031</v>
      </c>
      <c r="G2097" t="s">
        <v>3166</v>
      </c>
      <c r="H2097" t="s">
        <v>4202</v>
      </c>
      <c r="I2097" t="s">
        <v>3474</v>
      </c>
      <c r="J2097" t="s">
        <v>348</v>
      </c>
      <c r="K2097" t="s">
        <v>21</v>
      </c>
      <c r="L2097" t="s">
        <v>247</v>
      </c>
      <c r="N2097" t="s">
        <v>565</v>
      </c>
      <c r="O2097" t="s">
        <v>24</v>
      </c>
    </row>
    <row r="2098" spans="1:15" x14ac:dyDescent="0.25">
      <c r="A2098">
        <v>2097</v>
      </c>
      <c r="B2098" t="str">
        <f>HYPERLINK("https://digitalcommons.unl.edu/cgi/viewcontent.cgi?article=2979&amp;context=tractormuseumlit","Click for test report")</f>
        <v>Click for test report</v>
      </c>
      <c r="C2098">
        <v>1988</v>
      </c>
      <c r="D2098" t="s">
        <v>4119</v>
      </c>
      <c r="F2098" t="s">
        <v>4031</v>
      </c>
      <c r="G2098" t="s">
        <v>3166</v>
      </c>
      <c r="H2098" t="s">
        <v>4200</v>
      </c>
      <c r="I2098" t="s">
        <v>3474</v>
      </c>
      <c r="J2098" t="s">
        <v>348</v>
      </c>
      <c r="K2098" t="s">
        <v>21</v>
      </c>
      <c r="L2098" t="s">
        <v>567</v>
      </c>
      <c r="N2098" t="s">
        <v>368</v>
      </c>
      <c r="O2098" t="s">
        <v>24</v>
      </c>
    </row>
    <row r="2099" spans="1:15" x14ac:dyDescent="0.25">
      <c r="A2099">
        <v>2098</v>
      </c>
      <c r="B2099" t="str">
        <f>HYPERLINK("https://digitalcommons.unl.edu/cgi/viewcontent.cgi?article=2980&amp;context=tractormuseumlit","Click for test report")</f>
        <v>Click for test report</v>
      </c>
      <c r="C2099">
        <v>1988</v>
      </c>
      <c r="D2099" t="s">
        <v>4116</v>
      </c>
      <c r="F2099" t="s">
        <v>4031</v>
      </c>
      <c r="G2099" t="s">
        <v>3166</v>
      </c>
      <c r="H2099" t="s">
        <v>4199</v>
      </c>
      <c r="I2099" t="s">
        <v>3474</v>
      </c>
      <c r="J2099" t="s">
        <v>348</v>
      </c>
      <c r="K2099" t="s">
        <v>21</v>
      </c>
      <c r="L2099" t="s">
        <v>771</v>
      </c>
      <c r="N2099" t="s">
        <v>363</v>
      </c>
      <c r="O2099" t="s">
        <v>24</v>
      </c>
    </row>
    <row r="2100" spans="1:15" x14ac:dyDescent="0.25">
      <c r="A2100">
        <v>2099</v>
      </c>
      <c r="B2100" t="str">
        <f>HYPERLINK("https://digitalcommons.unl.edu/cgi/viewcontent.cgi?article=3707&amp;context=tractormuseumlit","Click for test report")</f>
        <v>Click for test report</v>
      </c>
      <c r="C2100">
        <v>1989</v>
      </c>
      <c r="E2100" t="s">
        <v>4197</v>
      </c>
      <c r="F2100" t="s">
        <v>2986</v>
      </c>
      <c r="G2100" t="s">
        <v>778</v>
      </c>
      <c r="H2100" t="s">
        <v>1308</v>
      </c>
      <c r="I2100" t="s">
        <v>1961</v>
      </c>
      <c r="J2100" t="s">
        <v>348</v>
      </c>
      <c r="K2100" t="s">
        <v>21</v>
      </c>
      <c r="L2100" t="s">
        <v>1864</v>
      </c>
      <c r="N2100" t="s">
        <v>735</v>
      </c>
      <c r="O2100" t="s">
        <v>4198</v>
      </c>
    </row>
    <row r="2101" spans="1:15" x14ac:dyDescent="0.25">
      <c r="A2101">
        <v>2100</v>
      </c>
      <c r="B2101" t="str">
        <f>HYPERLINK("https://digitalcommons.unl.edu/cgi/viewcontent.cgi?article=3708&amp;context=tractormuseumlit","Click for test report")</f>
        <v>Click for test report</v>
      </c>
      <c r="C2101">
        <v>1989</v>
      </c>
      <c r="E2101" t="s">
        <v>4195</v>
      </c>
      <c r="F2101" t="s">
        <v>2986</v>
      </c>
      <c r="G2101" t="s">
        <v>778</v>
      </c>
      <c r="H2101" t="s">
        <v>1308</v>
      </c>
      <c r="I2101" t="s">
        <v>1961</v>
      </c>
      <c r="J2101" t="s">
        <v>20</v>
      </c>
      <c r="K2101" t="s">
        <v>21</v>
      </c>
      <c r="L2101" t="s">
        <v>1864</v>
      </c>
      <c r="N2101" t="s">
        <v>1650</v>
      </c>
      <c r="O2101" t="s">
        <v>4196</v>
      </c>
    </row>
    <row r="2102" spans="1:15" x14ac:dyDescent="0.25">
      <c r="A2102">
        <v>2101</v>
      </c>
      <c r="B2102" t="str">
        <f>HYPERLINK("https://digitalcommons.unl.edu/cgi/viewcontent.cgi?article=3709&amp;context=tractormuseumlit","Click for test report")</f>
        <v>Click for test report</v>
      </c>
      <c r="C2102">
        <v>1989</v>
      </c>
      <c r="E2102" t="s">
        <v>4193</v>
      </c>
      <c r="F2102" t="s">
        <v>2986</v>
      </c>
      <c r="G2102" t="s">
        <v>778</v>
      </c>
      <c r="H2102" t="s">
        <v>4191</v>
      </c>
      <c r="I2102" t="s">
        <v>1961</v>
      </c>
      <c r="J2102" t="s">
        <v>348</v>
      </c>
      <c r="K2102" t="s">
        <v>21</v>
      </c>
      <c r="L2102" t="s">
        <v>722</v>
      </c>
      <c r="N2102" t="s">
        <v>1051</v>
      </c>
      <c r="O2102" t="s">
        <v>4194</v>
      </c>
    </row>
    <row r="2103" spans="1:15" x14ac:dyDescent="0.25">
      <c r="A2103">
        <v>2102</v>
      </c>
      <c r="B2103" t="str">
        <f>HYPERLINK("https://digitalcommons.unl.edu/cgi/viewcontent.cgi?article=3710&amp;context=tractormuseumlit","Click for test report")</f>
        <v>Click for test report</v>
      </c>
      <c r="C2103">
        <v>1989</v>
      </c>
      <c r="E2103" t="s">
        <v>4190</v>
      </c>
      <c r="F2103" t="s">
        <v>2986</v>
      </c>
      <c r="G2103" t="s">
        <v>778</v>
      </c>
      <c r="H2103" t="s">
        <v>4191</v>
      </c>
      <c r="I2103" t="s">
        <v>50</v>
      </c>
      <c r="J2103" t="s">
        <v>20</v>
      </c>
      <c r="K2103" t="s">
        <v>21</v>
      </c>
      <c r="L2103" t="s">
        <v>764</v>
      </c>
      <c r="N2103" t="s">
        <v>731</v>
      </c>
      <c r="O2103" t="s">
        <v>4192</v>
      </c>
    </row>
    <row r="2104" spans="1:15" x14ac:dyDescent="0.25">
      <c r="A2104">
        <v>2103</v>
      </c>
      <c r="B2104" t="str">
        <f>HYPERLINK("https://digitalcommons.unl.edu/cgi/viewcontent.cgi?article=3722&amp;context=tractormuseumlit","Click for test report")</f>
        <v>Click for test report</v>
      </c>
      <c r="C2104">
        <v>1989</v>
      </c>
      <c r="E2104" t="s">
        <v>4189</v>
      </c>
      <c r="F2104" t="s">
        <v>2986</v>
      </c>
      <c r="G2104" t="s">
        <v>778</v>
      </c>
      <c r="H2104" t="s">
        <v>3942</v>
      </c>
      <c r="I2104" t="s">
        <v>50</v>
      </c>
      <c r="J2104" t="s">
        <v>348</v>
      </c>
      <c r="K2104" t="s">
        <v>21</v>
      </c>
      <c r="L2104" t="s">
        <v>2511</v>
      </c>
      <c r="N2104" t="s">
        <v>3973</v>
      </c>
      <c r="O2104" t="s">
        <v>24</v>
      </c>
    </row>
    <row r="2105" spans="1:15" x14ac:dyDescent="0.25">
      <c r="A2105">
        <v>2104</v>
      </c>
      <c r="B2105" t="str">
        <f>HYPERLINK("https://digitalcommons.unl.edu/cgi/viewcontent.cgi?article=3723&amp;context=tractormuseumlit","Click for test report")</f>
        <v>Click for test report</v>
      </c>
      <c r="C2105">
        <v>1989</v>
      </c>
      <c r="E2105" t="s">
        <v>4187</v>
      </c>
      <c r="F2105" t="s">
        <v>2062</v>
      </c>
      <c r="G2105" t="s">
        <v>778</v>
      </c>
      <c r="H2105" t="s">
        <v>4188</v>
      </c>
      <c r="I2105" t="s">
        <v>1961</v>
      </c>
      <c r="J2105" t="s">
        <v>20</v>
      </c>
      <c r="K2105" t="s">
        <v>21</v>
      </c>
      <c r="L2105" t="s">
        <v>786</v>
      </c>
      <c r="N2105" t="s">
        <v>787</v>
      </c>
      <c r="O2105" t="s">
        <v>24</v>
      </c>
    </row>
    <row r="2106" spans="1:15" x14ac:dyDescent="0.25">
      <c r="A2106">
        <v>2105</v>
      </c>
      <c r="B2106" t="str">
        <f>HYPERLINK("https://digitalcommons.unl.edu/cgi/viewcontent.cgi?article=3725&amp;context=tractormuseumlit","Click for test report")</f>
        <v>Click for test report</v>
      </c>
      <c r="C2106">
        <v>1989</v>
      </c>
      <c r="E2106" t="s">
        <v>4186</v>
      </c>
      <c r="F2106" t="s">
        <v>3964</v>
      </c>
      <c r="G2106" t="s">
        <v>191</v>
      </c>
      <c r="H2106" t="s">
        <v>2413</v>
      </c>
      <c r="I2106" t="s">
        <v>3474</v>
      </c>
      <c r="J2106" t="s">
        <v>20</v>
      </c>
      <c r="K2106" t="s">
        <v>21</v>
      </c>
      <c r="L2106" t="s">
        <v>51</v>
      </c>
      <c r="N2106" t="s">
        <v>378</v>
      </c>
      <c r="O2106" t="s">
        <v>24</v>
      </c>
    </row>
    <row r="2107" spans="1:15" x14ac:dyDescent="0.25">
      <c r="A2107">
        <v>2106</v>
      </c>
      <c r="B2107" t="str">
        <f>HYPERLINK("https://digitalcommons.unl.edu/cgi/viewcontent.cgi?article=3726&amp;context=tractormuseumlit","Click for test report")</f>
        <v>Click for test report</v>
      </c>
      <c r="C2107">
        <v>1989</v>
      </c>
      <c r="E2107" t="s">
        <v>4184</v>
      </c>
      <c r="F2107" t="s">
        <v>3878</v>
      </c>
      <c r="G2107" t="s">
        <v>191</v>
      </c>
      <c r="H2107" t="s">
        <v>4185</v>
      </c>
      <c r="I2107" t="s">
        <v>19</v>
      </c>
      <c r="J2107" t="s">
        <v>20</v>
      </c>
      <c r="K2107" t="s">
        <v>21</v>
      </c>
      <c r="L2107" t="s">
        <v>1371</v>
      </c>
      <c r="N2107" t="s">
        <v>349</v>
      </c>
      <c r="O2107" t="s">
        <v>24</v>
      </c>
    </row>
    <row r="2108" spans="1:15" x14ac:dyDescent="0.25">
      <c r="A2108">
        <v>2107</v>
      </c>
      <c r="B2108" t="str">
        <f>HYPERLINK("https://digitalcommons.unl.edu/cgi/viewcontent.cgi?article=3729&amp;context=tractormuseumlit","Click for test report")</f>
        <v>Click for test report</v>
      </c>
      <c r="C2108">
        <v>1989</v>
      </c>
      <c r="E2108" t="s">
        <v>4182</v>
      </c>
      <c r="F2108" t="s">
        <v>61</v>
      </c>
      <c r="G2108" t="s">
        <v>4049</v>
      </c>
      <c r="H2108" t="s">
        <v>4183</v>
      </c>
      <c r="I2108" t="s">
        <v>2964</v>
      </c>
      <c r="J2108" t="s">
        <v>29</v>
      </c>
      <c r="K2108" t="s">
        <v>21</v>
      </c>
      <c r="L2108" t="s">
        <v>677</v>
      </c>
      <c r="N2108" t="s">
        <v>1347</v>
      </c>
      <c r="O2108" t="s">
        <v>24</v>
      </c>
    </row>
    <row r="2109" spans="1:15" x14ac:dyDescent="0.25">
      <c r="A2109">
        <v>2108</v>
      </c>
      <c r="B2109" t="str">
        <f>HYPERLINK("https://digitalcommons.unl.edu/cgi/viewcontent.cgi?article=3730&amp;context=tractormuseumlit","Click for test report")</f>
        <v>Click for test report</v>
      </c>
      <c r="C2109">
        <v>1989</v>
      </c>
      <c r="E2109" t="s">
        <v>4180</v>
      </c>
      <c r="F2109" t="s">
        <v>2986</v>
      </c>
      <c r="G2109" t="s">
        <v>778</v>
      </c>
      <c r="H2109" t="s">
        <v>4181</v>
      </c>
      <c r="I2109" t="s">
        <v>50</v>
      </c>
      <c r="J2109" t="s">
        <v>20</v>
      </c>
      <c r="K2109" t="s">
        <v>21</v>
      </c>
      <c r="L2109" t="s">
        <v>344</v>
      </c>
      <c r="N2109" t="s">
        <v>1350</v>
      </c>
      <c r="O2109" t="s">
        <v>24</v>
      </c>
    </row>
    <row r="2110" spans="1:15" x14ac:dyDescent="0.25">
      <c r="A2110">
        <v>2109</v>
      </c>
      <c r="B2110" t="str">
        <f>HYPERLINK("https://digitalcommons.unl.edu/cgi/viewcontent.cgi?article=2981&amp;context=tractormuseumlit","Click for test report")</f>
        <v>Click for test report</v>
      </c>
      <c r="C2110">
        <v>1989</v>
      </c>
      <c r="D2110" t="s">
        <v>4178</v>
      </c>
      <c r="E2110" t="s">
        <v>4179</v>
      </c>
      <c r="F2110" t="s">
        <v>17</v>
      </c>
      <c r="G2110" t="s">
        <v>17</v>
      </c>
      <c r="H2110" t="s">
        <v>4165</v>
      </c>
      <c r="I2110" t="s">
        <v>28</v>
      </c>
      <c r="J2110" t="s">
        <v>20</v>
      </c>
      <c r="K2110" t="s">
        <v>21</v>
      </c>
      <c r="L2110" t="s">
        <v>45</v>
      </c>
      <c r="N2110" t="s">
        <v>454</v>
      </c>
      <c r="O2110" t="s">
        <v>24</v>
      </c>
    </row>
    <row r="2111" spans="1:15" x14ac:dyDescent="0.25">
      <c r="A2111">
        <v>2110</v>
      </c>
      <c r="B2111" t="str">
        <f>HYPERLINK("https://digitalcommons.unl.edu/cgi/viewcontent.cgi?article=2982&amp;context=tractormuseumlit","Click for test report")</f>
        <v>Click for test report</v>
      </c>
      <c r="C2111">
        <v>1989</v>
      </c>
      <c r="D2111" t="s">
        <v>4176</v>
      </c>
      <c r="E2111" t="s">
        <v>4177</v>
      </c>
      <c r="F2111" t="s">
        <v>17</v>
      </c>
      <c r="G2111" t="s">
        <v>17</v>
      </c>
      <c r="H2111" t="s">
        <v>3505</v>
      </c>
      <c r="I2111" t="s">
        <v>28</v>
      </c>
      <c r="J2111" t="s">
        <v>20</v>
      </c>
      <c r="K2111" t="s">
        <v>21</v>
      </c>
      <c r="L2111" t="s">
        <v>126</v>
      </c>
      <c r="N2111" t="s">
        <v>368</v>
      </c>
      <c r="O2111" t="s">
        <v>24</v>
      </c>
    </row>
    <row r="2112" spans="1:15" x14ac:dyDescent="0.25">
      <c r="A2112">
        <v>2111</v>
      </c>
      <c r="B2112" t="str">
        <f>HYPERLINK("https://digitalcommons.unl.edu/cgi/viewcontent.cgi?article=2983&amp;context=tractormuseumlit","Click for test report")</f>
        <v>Click for test report</v>
      </c>
      <c r="C2112">
        <v>1989</v>
      </c>
      <c r="D2112" t="s">
        <v>4174</v>
      </c>
      <c r="E2112" t="s">
        <v>4175</v>
      </c>
      <c r="F2112" t="s">
        <v>17</v>
      </c>
      <c r="G2112" t="s">
        <v>17</v>
      </c>
      <c r="H2112" t="s">
        <v>4160</v>
      </c>
      <c r="I2112" t="s">
        <v>28</v>
      </c>
      <c r="J2112" t="s">
        <v>20</v>
      </c>
      <c r="K2112" t="s">
        <v>21</v>
      </c>
      <c r="L2112" t="s">
        <v>853</v>
      </c>
      <c r="N2112" t="s">
        <v>475</v>
      </c>
      <c r="O2112" t="s">
        <v>24</v>
      </c>
    </row>
    <row r="2113" spans="1:15" x14ac:dyDescent="0.25">
      <c r="A2113">
        <v>2112</v>
      </c>
      <c r="B2113" t="str">
        <f>HYPERLINK("https://digitalcommons.unl.edu/cgi/viewcontent.cgi?article=2984&amp;context=tractormuseumlit","Click for test report")</f>
        <v>Click for test report</v>
      </c>
      <c r="C2113">
        <v>1989</v>
      </c>
      <c r="D2113" t="s">
        <v>4028</v>
      </c>
      <c r="E2113" t="s">
        <v>4029</v>
      </c>
      <c r="F2113" t="s">
        <v>17</v>
      </c>
      <c r="G2113" t="s">
        <v>17</v>
      </c>
      <c r="H2113" t="s">
        <v>4157</v>
      </c>
      <c r="I2113" t="s">
        <v>28</v>
      </c>
      <c r="J2113" t="s">
        <v>20</v>
      </c>
      <c r="K2113" t="s">
        <v>21</v>
      </c>
      <c r="L2113" t="s">
        <v>818</v>
      </c>
      <c r="N2113" t="s">
        <v>119</v>
      </c>
      <c r="O2113" t="s">
        <v>24</v>
      </c>
    </row>
    <row r="2114" spans="1:15" x14ac:dyDescent="0.25">
      <c r="A2114">
        <v>2113</v>
      </c>
      <c r="B2114" t="str">
        <f>HYPERLINK("https://digitalcommons.unl.edu/cgi/viewcontent.cgi?article=2985&amp;context=tractormuseumlit","Click for test report")</f>
        <v>Click for test report</v>
      </c>
      <c r="C2114">
        <v>1989</v>
      </c>
      <c r="D2114" t="s">
        <v>4026</v>
      </c>
      <c r="E2114" t="s">
        <v>4027</v>
      </c>
      <c r="F2114" t="s">
        <v>17</v>
      </c>
      <c r="G2114" t="s">
        <v>17</v>
      </c>
      <c r="H2114" t="s">
        <v>4156</v>
      </c>
      <c r="I2114" t="s">
        <v>28</v>
      </c>
      <c r="J2114" t="s">
        <v>20</v>
      </c>
      <c r="K2114" t="s">
        <v>21</v>
      </c>
      <c r="L2114" t="s">
        <v>1240</v>
      </c>
      <c r="N2114" t="s">
        <v>325</v>
      </c>
      <c r="O2114" t="s">
        <v>24</v>
      </c>
    </row>
    <row r="2115" spans="1:15" x14ac:dyDescent="0.25">
      <c r="A2115">
        <v>2114</v>
      </c>
      <c r="B2115" t="str">
        <f>HYPERLINK("https://digitalcommons.unl.edu/cgi/viewcontent.cgi?article=2986&amp;context=tractormuseumlit","Click for test report")</f>
        <v>Click for test report</v>
      </c>
      <c r="C2115">
        <v>1989</v>
      </c>
      <c r="D2115" t="s">
        <v>4022</v>
      </c>
      <c r="E2115" t="s">
        <v>4023</v>
      </c>
      <c r="F2115" t="s">
        <v>17</v>
      </c>
      <c r="G2115" t="s">
        <v>17</v>
      </c>
      <c r="H2115" t="s">
        <v>4173</v>
      </c>
      <c r="I2115" t="s">
        <v>28</v>
      </c>
      <c r="J2115" t="s">
        <v>20</v>
      </c>
      <c r="K2115" t="s">
        <v>21</v>
      </c>
      <c r="L2115" t="s">
        <v>892</v>
      </c>
      <c r="N2115" t="s">
        <v>821</v>
      </c>
      <c r="O2115" t="s">
        <v>24</v>
      </c>
    </row>
    <row r="2116" spans="1:15" x14ac:dyDescent="0.25">
      <c r="A2116">
        <v>2115</v>
      </c>
      <c r="B2116" t="str">
        <f>HYPERLINK("https://digitalcommons.unl.edu/cgi/viewcontent.cgi?article=2987&amp;context=tractormuseumlit","Click for test report")</f>
        <v>Click for test report</v>
      </c>
      <c r="C2116">
        <v>1989</v>
      </c>
      <c r="D2116" t="s">
        <v>4170</v>
      </c>
      <c r="E2116" t="s">
        <v>4171</v>
      </c>
      <c r="F2116" t="s">
        <v>17</v>
      </c>
      <c r="G2116" t="s">
        <v>17</v>
      </c>
      <c r="H2116" t="s">
        <v>4172</v>
      </c>
      <c r="I2116" t="s">
        <v>1961</v>
      </c>
      <c r="J2116" t="s">
        <v>29</v>
      </c>
      <c r="K2116" t="s">
        <v>21</v>
      </c>
      <c r="L2116" t="s">
        <v>892</v>
      </c>
      <c r="N2116" t="s">
        <v>1430</v>
      </c>
      <c r="O2116" t="s">
        <v>24</v>
      </c>
    </row>
    <row r="2117" spans="1:15" x14ac:dyDescent="0.25">
      <c r="A2117">
        <v>2116</v>
      </c>
      <c r="B2117" t="str">
        <f>HYPERLINK("https://digitalcommons.unl.edu/cgi/viewcontent.cgi?article=2988&amp;context=tractormuseumlit","Click for test report")</f>
        <v>Click for test report</v>
      </c>
      <c r="C2117">
        <v>1989</v>
      </c>
      <c r="D2117" t="s">
        <v>4168</v>
      </c>
      <c r="E2117" t="s">
        <v>4169</v>
      </c>
      <c r="F2117" t="s">
        <v>17</v>
      </c>
      <c r="G2117" t="s">
        <v>17</v>
      </c>
      <c r="H2117" t="s">
        <v>4155</v>
      </c>
      <c r="I2117" t="s">
        <v>1961</v>
      </c>
      <c r="J2117" t="s">
        <v>29</v>
      </c>
      <c r="K2117" t="s">
        <v>21</v>
      </c>
      <c r="L2117" t="s">
        <v>1683</v>
      </c>
      <c r="N2117" t="s">
        <v>1870</v>
      </c>
      <c r="O2117" t="s">
        <v>24</v>
      </c>
    </row>
    <row r="2118" spans="1:15" x14ac:dyDescent="0.25">
      <c r="A2118">
        <v>2117</v>
      </c>
      <c r="B2118" t="str">
        <f>HYPERLINK("https://digitalcommons.unl.edu/cgi/viewcontent.cgi?article=2989&amp;context=tractormuseumlit","Click for test report")</f>
        <v>Click for test report</v>
      </c>
      <c r="C2118">
        <v>1989</v>
      </c>
      <c r="D2118" t="s">
        <v>4166</v>
      </c>
      <c r="E2118" t="s">
        <v>4167</v>
      </c>
      <c r="F2118" t="s">
        <v>17</v>
      </c>
      <c r="G2118" t="s">
        <v>17</v>
      </c>
      <c r="H2118" t="s">
        <v>4152</v>
      </c>
      <c r="I2118" t="s">
        <v>1961</v>
      </c>
      <c r="J2118" t="s">
        <v>29</v>
      </c>
      <c r="K2118" t="s">
        <v>21</v>
      </c>
      <c r="L2118" t="s">
        <v>990</v>
      </c>
      <c r="N2118" t="s">
        <v>4089</v>
      </c>
      <c r="O2118" t="s">
        <v>24</v>
      </c>
    </row>
    <row r="2119" spans="1:15" x14ac:dyDescent="0.25">
      <c r="A2119">
        <v>2118</v>
      </c>
      <c r="B2119" t="str">
        <f>HYPERLINK("https://digitalcommons.unl.edu/cgi/viewcontent.cgi?article=2990&amp;context=tractormuseumlit","Click for test report")</f>
        <v>Click for test report</v>
      </c>
      <c r="C2119">
        <v>1989</v>
      </c>
      <c r="D2119" t="s">
        <v>4163</v>
      </c>
      <c r="E2119" t="s">
        <v>4164</v>
      </c>
      <c r="F2119" t="s">
        <v>17</v>
      </c>
      <c r="G2119" t="s">
        <v>17</v>
      </c>
      <c r="H2119" t="s">
        <v>4165</v>
      </c>
      <c r="I2119" t="s">
        <v>1961</v>
      </c>
      <c r="J2119" t="s">
        <v>348</v>
      </c>
      <c r="K2119" t="s">
        <v>21</v>
      </c>
      <c r="L2119" t="s">
        <v>364</v>
      </c>
      <c r="N2119" t="s">
        <v>46</v>
      </c>
      <c r="O2119" t="s">
        <v>24</v>
      </c>
    </row>
    <row r="2120" spans="1:15" x14ac:dyDescent="0.25">
      <c r="A2120">
        <v>2119</v>
      </c>
      <c r="B2120" t="str">
        <f>HYPERLINK("https://digitalcommons.unl.edu/cgi/viewcontent.cgi?article=2991&amp;context=tractormuseumlit","Click for test report")</f>
        <v>Click for test report</v>
      </c>
      <c r="C2120">
        <v>1989</v>
      </c>
      <c r="D2120" t="s">
        <v>4161</v>
      </c>
      <c r="E2120" t="s">
        <v>4162</v>
      </c>
      <c r="F2120" t="s">
        <v>17</v>
      </c>
      <c r="G2120" t="s">
        <v>17</v>
      </c>
      <c r="H2120" t="s">
        <v>3505</v>
      </c>
      <c r="I2120" t="s">
        <v>1961</v>
      </c>
      <c r="J2120" t="s">
        <v>348</v>
      </c>
      <c r="K2120" t="s">
        <v>21</v>
      </c>
      <c r="L2120" t="s">
        <v>126</v>
      </c>
      <c r="N2120" t="s">
        <v>22</v>
      </c>
      <c r="O2120" t="s">
        <v>24</v>
      </c>
    </row>
    <row r="2121" spans="1:15" x14ac:dyDescent="0.25">
      <c r="A2121">
        <v>2120</v>
      </c>
      <c r="B2121" t="str">
        <f>HYPERLINK("https://digitalcommons.unl.edu/cgi/viewcontent.cgi?article=2992&amp;context=tractormuseumlit","Click for test report")</f>
        <v>Click for test report</v>
      </c>
      <c r="C2121">
        <v>1989</v>
      </c>
      <c r="D2121" t="s">
        <v>4158</v>
      </c>
      <c r="E2121" t="s">
        <v>4159</v>
      </c>
      <c r="F2121" t="s">
        <v>17</v>
      </c>
      <c r="G2121" t="s">
        <v>17</v>
      </c>
      <c r="H2121" t="s">
        <v>4160</v>
      </c>
      <c r="I2121" t="s">
        <v>1961</v>
      </c>
      <c r="J2121" t="s">
        <v>348</v>
      </c>
      <c r="K2121" t="s">
        <v>21</v>
      </c>
      <c r="L2121" t="s">
        <v>909</v>
      </c>
      <c r="N2121" t="s">
        <v>1397</v>
      </c>
      <c r="O2121" t="s">
        <v>24</v>
      </c>
    </row>
    <row r="2122" spans="1:15" x14ac:dyDescent="0.25">
      <c r="A2122">
        <v>2121</v>
      </c>
      <c r="B2122" t="str">
        <f>HYPERLINK("https://digitalcommons.unl.edu/cgi/viewcontent.cgi?article=2993&amp;context=tractormuseumlit","Click for test report")</f>
        <v>Click for test report</v>
      </c>
      <c r="C2122">
        <v>1989</v>
      </c>
      <c r="D2122" t="s">
        <v>4018</v>
      </c>
      <c r="E2122" t="s">
        <v>4019</v>
      </c>
      <c r="F2122" t="s">
        <v>17</v>
      </c>
      <c r="G2122" t="s">
        <v>17</v>
      </c>
      <c r="H2122" t="s">
        <v>4157</v>
      </c>
      <c r="I2122" t="s">
        <v>1961</v>
      </c>
      <c r="J2122" t="s">
        <v>348</v>
      </c>
      <c r="K2122" t="s">
        <v>21</v>
      </c>
      <c r="L2122" t="s">
        <v>818</v>
      </c>
      <c r="N2122" t="s">
        <v>1042</v>
      </c>
      <c r="O2122" t="s">
        <v>24</v>
      </c>
    </row>
    <row r="2123" spans="1:15" x14ac:dyDescent="0.25">
      <c r="A2123">
        <v>2122</v>
      </c>
      <c r="B2123" t="str">
        <f>HYPERLINK("https://digitalcommons.unl.edu/cgi/viewcontent.cgi?article=2994&amp;context=tractormuseumlit","Click for test report")</f>
        <v>Click for test report</v>
      </c>
      <c r="C2123">
        <v>1989</v>
      </c>
      <c r="D2123" t="s">
        <v>4014</v>
      </c>
      <c r="E2123" t="s">
        <v>4015</v>
      </c>
      <c r="F2123" t="s">
        <v>17</v>
      </c>
      <c r="G2123" t="s">
        <v>17</v>
      </c>
      <c r="H2123" t="s">
        <v>4156</v>
      </c>
      <c r="I2123" t="s">
        <v>1961</v>
      </c>
      <c r="J2123" t="s">
        <v>348</v>
      </c>
      <c r="K2123" t="s">
        <v>21</v>
      </c>
      <c r="L2123" t="s">
        <v>1240</v>
      </c>
      <c r="N2123" t="s">
        <v>818</v>
      </c>
      <c r="O2123" t="s">
        <v>24</v>
      </c>
    </row>
    <row r="2124" spans="1:15" x14ac:dyDescent="0.25">
      <c r="A2124">
        <v>2123</v>
      </c>
      <c r="B2124" t="str">
        <f>HYPERLINK("https://digitalcommons.unl.edu/cgi/viewcontent.cgi?article=2995&amp;context=tractormuseumlit","Click for test report")</f>
        <v>Click for test report</v>
      </c>
      <c r="C2124">
        <v>1989</v>
      </c>
      <c r="D2124" t="s">
        <v>4153</v>
      </c>
      <c r="E2124" t="s">
        <v>4154</v>
      </c>
      <c r="F2124" t="s">
        <v>17</v>
      </c>
      <c r="G2124" t="s">
        <v>17</v>
      </c>
      <c r="H2124" t="s">
        <v>4155</v>
      </c>
      <c r="I2124" t="s">
        <v>28</v>
      </c>
      <c r="J2124" t="s">
        <v>29</v>
      </c>
      <c r="K2124" t="s">
        <v>21</v>
      </c>
      <c r="L2124" t="s">
        <v>1181</v>
      </c>
      <c r="N2124" t="s">
        <v>1000</v>
      </c>
    </row>
    <row r="2125" spans="1:15" x14ac:dyDescent="0.25">
      <c r="A2125">
        <v>2124</v>
      </c>
      <c r="B2125" t="str">
        <f>HYPERLINK("https://digitalcommons.unl.edu/cgi/viewcontent.cgi?article=2996&amp;context=tractormuseumlit","Click for test report")</f>
        <v>Click for test report</v>
      </c>
      <c r="C2125">
        <v>1989</v>
      </c>
      <c r="D2125" t="s">
        <v>4150</v>
      </c>
      <c r="E2125" t="s">
        <v>4151</v>
      </c>
      <c r="F2125" t="s">
        <v>17</v>
      </c>
      <c r="G2125" t="s">
        <v>17</v>
      </c>
      <c r="H2125" t="s">
        <v>4152</v>
      </c>
      <c r="I2125" t="s">
        <v>28</v>
      </c>
      <c r="J2125" t="s">
        <v>29</v>
      </c>
      <c r="K2125" t="s">
        <v>21</v>
      </c>
      <c r="L2125" t="s">
        <v>2118</v>
      </c>
      <c r="N2125" t="s">
        <v>429</v>
      </c>
      <c r="O2125" t="s">
        <v>24</v>
      </c>
    </row>
    <row r="2126" spans="1:15" x14ac:dyDescent="0.25">
      <c r="A2126">
        <v>2125</v>
      </c>
      <c r="B2126" t="str">
        <f>HYPERLINK("https://digitalcommons.unl.edu/cgi/viewcontent.cgi?article=2997&amp;context=tractormuseumlit","Click for test report")</f>
        <v>Click for test report</v>
      </c>
      <c r="C2126">
        <v>1989</v>
      </c>
      <c r="D2126" t="s">
        <v>4148</v>
      </c>
      <c r="F2126" t="s">
        <v>4031</v>
      </c>
      <c r="G2126" t="s">
        <v>4144</v>
      </c>
      <c r="H2126" t="s">
        <v>4149</v>
      </c>
      <c r="I2126" t="s">
        <v>3474</v>
      </c>
      <c r="J2126" t="s">
        <v>348</v>
      </c>
      <c r="K2126" t="s">
        <v>21</v>
      </c>
      <c r="L2126" t="s">
        <v>939</v>
      </c>
      <c r="N2126" t="s">
        <v>1514</v>
      </c>
      <c r="O2126" t="s">
        <v>24</v>
      </c>
    </row>
    <row r="2127" spans="1:15" x14ac:dyDescent="0.25">
      <c r="A2127">
        <v>2126</v>
      </c>
      <c r="B2127" t="str">
        <f>HYPERLINK("https://digitalcommons.unl.edu/cgi/viewcontent.cgi?article=2998&amp;context=tractormuseumlit","Click for test report")</f>
        <v>Click for test report</v>
      </c>
      <c r="C2127">
        <v>1989</v>
      </c>
      <c r="D2127" t="s">
        <v>4146</v>
      </c>
      <c r="F2127" t="s">
        <v>4031</v>
      </c>
      <c r="G2127" t="s">
        <v>4144</v>
      </c>
      <c r="H2127" t="s">
        <v>4147</v>
      </c>
      <c r="I2127" t="s">
        <v>3474</v>
      </c>
      <c r="J2127" t="s">
        <v>348</v>
      </c>
      <c r="K2127" t="s">
        <v>21</v>
      </c>
      <c r="L2127" t="s">
        <v>814</v>
      </c>
      <c r="N2127" t="s">
        <v>320</v>
      </c>
      <c r="O2127" t="s">
        <v>24</v>
      </c>
    </row>
    <row r="2128" spans="1:15" x14ac:dyDescent="0.25">
      <c r="A2128">
        <v>2127</v>
      </c>
      <c r="B2128" t="str">
        <f>HYPERLINK("https://digitalcommons.unl.edu/cgi/viewcontent.cgi?article=2999&amp;context=tractormuseumlit","Click for test report")</f>
        <v>Click for test report</v>
      </c>
      <c r="C2128">
        <v>1989</v>
      </c>
      <c r="D2128" t="s">
        <v>4143</v>
      </c>
      <c r="F2128" t="s">
        <v>4031</v>
      </c>
      <c r="G2128" t="s">
        <v>4144</v>
      </c>
      <c r="H2128" t="s">
        <v>4145</v>
      </c>
      <c r="I2128" t="s">
        <v>3474</v>
      </c>
      <c r="J2128" t="s">
        <v>20</v>
      </c>
      <c r="K2128" t="s">
        <v>21</v>
      </c>
      <c r="L2128" t="s">
        <v>1546</v>
      </c>
      <c r="N2128" t="s">
        <v>814</v>
      </c>
      <c r="O2128" t="s">
        <v>24</v>
      </c>
    </row>
    <row r="2129" spans="1:15" x14ac:dyDescent="0.25">
      <c r="A2129">
        <v>2128</v>
      </c>
      <c r="B2129" t="str">
        <f>HYPERLINK("https://digitalcommons.unl.edu/cgi/viewcontent.cgi?article=3724&amp;context=tractormuseumlit","Click for test report")</f>
        <v>Click for test report</v>
      </c>
      <c r="C2129">
        <v>1990</v>
      </c>
      <c r="E2129" t="s">
        <v>4141</v>
      </c>
      <c r="F2129" t="s">
        <v>2986</v>
      </c>
      <c r="G2129" t="s">
        <v>778</v>
      </c>
      <c r="H2129" t="s">
        <v>4142</v>
      </c>
      <c r="I2129" t="s">
        <v>50</v>
      </c>
      <c r="J2129" t="s">
        <v>20</v>
      </c>
      <c r="K2129" t="s">
        <v>21</v>
      </c>
      <c r="L2129" t="s">
        <v>1970</v>
      </c>
      <c r="N2129" t="s">
        <v>1009</v>
      </c>
      <c r="O2129" t="s">
        <v>24</v>
      </c>
    </row>
    <row r="2130" spans="1:15" x14ac:dyDescent="0.25">
      <c r="A2130">
        <v>2129</v>
      </c>
      <c r="B2130" t="str">
        <f>HYPERLINK("https://digitalcommons.unl.edu/cgi/viewcontent.cgi?article=3727&amp;context=tractormuseumlit","Click for test report")</f>
        <v>Click for test report</v>
      </c>
      <c r="C2130">
        <v>1990</v>
      </c>
      <c r="E2130" t="s">
        <v>4139</v>
      </c>
      <c r="F2130" t="s">
        <v>3878</v>
      </c>
      <c r="G2130" t="s">
        <v>191</v>
      </c>
      <c r="H2130" t="s">
        <v>4140</v>
      </c>
      <c r="I2130" t="s">
        <v>19</v>
      </c>
      <c r="J2130" t="s">
        <v>20</v>
      </c>
      <c r="K2130" t="s">
        <v>21</v>
      </c>
      <c r="L2130" t="s">
        <v>713</v>
      </c>
      <c r="N2130" t="s">
        <v>1867</v>
      </c>
      <c r="O2130" t="s">
        <v>24</v>
      </c>
    </row>
    <row r="2131" spans="1:15" x14ac:dyDescent="0.25">
      <c r="A2131">
        <v>2130</v>
      </c>
      <c r="B2131" t="str">
        <f>HYPERLINK("https://digitalcommons.unl.edu/cgi/viewcontent.cgi?article=3728&amp;context=tractormuseumlit","Click for test report")</f>
        <v>Click for test report</v>
      </c>
      <c r="C2131">
        <v>1990</v>
      </c>
      <c r="E2131" t="s">
        <v>4137</v>
      </c>
      <c r="F2131" t="s">
        <v>3878</v>
      </c>
      <c r="G2131" t="s">
        <v>191</v>
      </c>
      <c r="H2131" t="s">
        <v>4138</v>
      </c>
      <c r="I2131" t="s">
        <v>19</v>
      </c>
      <c r="J2131" t="s">
        <v>20</v>
      </c>
      <c r="K2131" t="s">
        <v>21</v>
      </c>
      <c r="L2131" t="s">
        <v>375</v>
      </c>
      <c r="N2131" t="s">
        <v>574</v>
      </c>
      <c r="O2131" t="s">
        <v>24</v>
      </c>
    </row>
    <row r="2132" spans="1:15" x14ac:dyDescent="0.25">
      <c r="A2132">
        <v>2131</v>
      </c>
      <c r="B2132" t="str">
        <f>HYPERLINK("https://digitalcommons.unl.edu/cgi/viewcontent.cgi?article=3737&amp;context=tractormuseumlit","Click for test report")</f>
        <v>Click for test report</v>
      </c>
      <c r="C2132">
        <v>1990</v>
      </c>
      <c r="E2132" t="s">
        <v>3958</v>
      </c>
      <c r="F2132" t="s">
        <v>3704</v>
      </c>
      <c r="G2132" t="s">
        <v>4066</v>
      </c>
      <c r="H2132" t="s">
        <v>4136</v>
      </c>
      <c r="I2132" t="s">
        <v>1961</v>
      </c>
      <c r="J2132" t="s">
        <v>20</v>
      </c>
      <c r="K2132" t="s">
        <v>21</v>
      </c>
      <c r="L2132" t="s">
        <v>567</v>
      </c>
      <c r="N2132" t="s">
        <v>375</v>
      </c>
      <c r="O2132" t="s">
        <v>24</v>
      </c>
    </row>
    <row r="2133" spans="1:15" x14ac:dyDescent="0.25">
      <c r="A2133">
        <v>2132</v>
      </c>
      <c r="B2133" t="str">
        <f>HYPERLINK("https://digitalcommons.unl.edu/cgi/viewcontent.cgi?article=3748&amp;context=tractormuseumlit","Click for test report")</f>
        <v>Click for test report</v>
      </c>
      <c r="C2133">
        <v>1990</v>
      </c>
      <c r="E2133" t="s">
        <v>4134</v>
      </c>
      <c r="F2133" t="s">
        <v>4048</v>
      </c>
      <c r="G2133" t="s">
        <v>4049</v>
      </c>
      <c r="H2133" t="s">
        <v>4135</v>
      </c>
      <c r="I2133" t="s">
        <v>1008</v>
      </c>
      <c r="J2133" t="s">
        <v>29</v>
      </c>
      <c r="K2133" t="s">
        <v>21</v>
      </c>
      <c r="L2133" t="s">
        <v>571</v>
      </c>
      <c r="N2133" t="s">
        <v>722</v>
      </c>
      <c r="O2133" t="s">
        <v>24</v>
      </c>
    </row>
    <row r="2134" spans="1:15" x14ac:dyDescent="0.25">
      <c r="A2134">
        <v>2133</v>
      </c>
      <c r="B2134" t="str">
        <f>HYPERLINK("https://digitalcommons.unl.edu/cgi/viewcontent.cgi?article=3749&amp;context=tractormuseumlit","Click for test report")</f>
        <v>Click for test report</v>
      </c>
      <c r="C2134">
        <v>1990</v>
      </c>
      <c r="E2134" t="s">
        <v>4132</v>
      </c>
      <c r="F2134" t="s">
        <v>4048</v>
      </c>
      <c r="G2134" t="s">
        <v>4049</v>
      </c>
      <c r="H2134" t="s">
        <v>4133</v>
      </c>
      <c r="I2134" t="s">
        <v>50</v>
      </c>
      <c r="J2134" t="s">
        <v>29</v>
      </c>
      <c r="K2134" t="s">
        <v>21</v>
      </c>
      <c r="L2134" t="s">
        <v>813</v>
      </c>
      <c r="N2134" t="s">
        <v>1771</v>
      </c>
      <c r="O2134" t="s">
        <v>24</v>
      </c>
    </row>
    <row r="2135" spans="1:15" x14ac:dyDescent="0.25">
      <c r="A2135">
        <v>2134</v>
      </c>
      <c r="B2135" t="str">
        <f>HYPERLINK("https://digitalcommons.unl.edu/cgi/viewcontent.cgi?article=3751&amp;context=tractormuseumlit","Click for test report")</f>
        <v>Click for test report</v>
      </c>
      <c r="C2135">
        <v>1990</v>
      </c>
      <c r="E2135" t="s">
        <v>4130</v>
      </c>
      <c r="F2135" t="s">
        <v>2062</v>
      </c>
      <c r="G2135" t="s">
        <v>778</v>
      </c>
      <c r="H2135" t="s">
        <v>4131</v>
      </c>
      <c r="I2135" t="s">
        <v>1961</v>
      </c>
      <c r="J2135" t="s">
        <v>20</v>
      </c>
      <c r="K2135" t="s">
        <v>21</v>
      </c>
      <c r="L2135" t="s">
        <v>368</v>
      </c>
      <c r="N2135" t="s">
        <v>562</v>
      </c>
      <c r="O2135" t="s">
        <v>24</v>
      </c>
    </row>
    <row r="2136" spans="1:15" x14ac:dyDescent="0.25">
      <c r="A2136">
        <v>2135</v>
      </c>
      <c r="B2136" t="str">
        <f>HYPERLINK("https://digitalcommons.unl.edu/cgi/viewcontent.cgi?article=3751&amp;context=tractormuseumlit","Click for test report")</f>
        <v>Click for test report</v>
      </c>
      <c r="C2136">
        <v>1990</v>
      </c>
      <c r="E2136" t="s">
        <v>4130</v>
      </c>
      <c r="F2136" t="s">
        <v>2062</v>
      </c>
      <c r="G2136" t="s">
        <v>778</v>
      </c>
      <c r="H2136" t="s">
        <v>4131</v>
      </c>
      <c r="I2136" t="s">
        <v>1961</v>
      </c>
      <c r="J2136" t="s">
        <v>348</v>
      </c>
      <c r="K2136" t="s">
        <v>21</v>
      </c>
      <c r="L2136" t="s">
        <v>368</v>
      </c>
      <c r="N2136" t="s">
        <v>457</v>
      </c>
      <c r="O2136" t="s">
        <v>24</v>
      </c>
    </row>
    <row r="2137" spans="1:15" x14ac:dyDescent="0.25">
      <c r="A2137">
        <v>2136</v>
      </c>
      <c r="B2137" t="str">
        <f>HYPERLINK("https://digitalcommons.unl.edu/cgi/viewcontent.cgi?article=3752&amp;context=tractormuseumlit","Click for test report")</f>
        <v>Click for test report</v>
      </c>
      <c r="C2137">
        <v>1990</v>
      </c>
      <c r="E2137" t="s">
        <v>4128</v>
      </c>
      <c r="F2137" t="s">
        <v>2062</v>
      </c>
      <c r="G2137" t="s">
        <v>778</v>
      </c>
      <c r="H2137" t="s">
        <v>4129</v>
      </c>
      <c r="I2137" t="s">
        <v>1961</v>
      </c>
      <c r="J2137" t="s">
        <v>348</v>
      </c>
      <c r="K2137" t="s">
        <v>21</v>
      </c>
      <c r="L2137" t="s">
        <v>336</v>
      </c>
      <c r="N2137" t="s">
        <v>130</v>
      </c>
      <c r="O2137" t="s">
        <v>24</v>
      </c>
    </row>
    <row r="2138" spans="1:15" x14ac:dyDescent="0.25">
      <c r="A2138">
        <v>2137</v>
      </c>
      <c r="B2138" t="str">
        <f>HYPERLINK("https://digitalcommons.unl.edu/cgi/viewcontent.cgi?article=3752&amp;context=tractormuseumlit","Click for test report")</f>
        <v>Click for test report</v>
      </c>
      <c r="C2138">
        <v>1990</v>
      </c>
      <c r="E2138" t="s">
        <v>4128</v>
      </c>
      <c r="F2138" t="s">
        <v>2062</v>
      </c>
      <c r="G2138" t="s">
        <v>778</v>
      </c>
      <c r="H2138" t="s">
        <v>4129</v>
      </c>
      <c r="I2138" t="s">
        <v>1961</v>
      </c>
      <c r="J2138" t="s">
        <v>20</v>
      </c>
      <c r="K2138" t="s">
        <v>21</v>
      </c>
      <c r="L2138" t="s">
        <v>336</v>
      </c>
      <c r="N2138" t="s">
        <v>46</v>
      </c>
      <c r="O2138" t="s">
        <v>24</v>
      </c>
    </row>
    <row r="2139" spans="1:15" x14ac:dyDescent="0.25">
      <c r="A2139">
        <v>2138</v>
      </c>
      <c r="B2139" t="str">
        <f>HYPERLINK("https://digitalcommons.unl.edu/cgi/viewcontent.cgi?article=3753&amp;context=tractormuseumlit","Click for test report")</f>
        <v>Click for test report</v>
      </c>
      <c r="C2139">
        <v>1990</v>
      </c>
      <c r="E2139" t="s">
        <v>4126</v>
      </c>
      <c r="F2139" t="s">
        <v>2062</v>
      </c>
      <c r="G2139" t="s">
        <v>778</v>
      </c>
      <c r="H2139" t="s">
        <v>4127</v>
      </c>
      <c r="I2139" t="s">
        <v>1961</v>
      </c>
      <c r="J2139" t="s">
        <v>348</v>
      </c>
      <c r="K2139" t="s">
        <v>21</v>
      </c>
      <c r="L2139" t="s">
        <v>853</v>
      </c>
      <c r="N2139" t="s">
        <v>569</v>
      </c>
      <c r="O2139" t="s">
        <v>24</v>
      </c>
    </row>
    <row r="2140" spans="1:15" x14ac:dyDescent="0.25">
      <c r="A2140">
        <v>2139</v>
      </c>
      <c r="B2140" t="str">
        <f>HYPERLINK("https://digitalcommons.unl.edu/cgi/viewcontent.cgi?article=3753&amp;context=tractormuseumlit","Click for test report")</f>
        <v>Click for test report</v>
      </c>
      <c r="C2140">
        <v>1990</v>
      </c>
      <c r="E2140" t="s">
        <v>4126</v>
      </c>
      <c r="F2140" t="s">
        <v>2062</v>
      </c>
      <c r="G2140" t="s">
        <v>778</v>
      </c>
      <c r="H2140" t="s">
        <v>4127</v>
      </c>
      <c r="I2140" t="s">
        <v>1961</v>
      </c>
      <c r="J2140" t="s">
        <v>20</v>
      </c>
      <c r="K2140" t="s">
        <v>21</v>
      </c>
      <c r="L2140" t="s">
        <v>853</v>
      </c>
      <c r="N2140" t="s">
        <v>569</v>
      </c>
      <c r="O2140" t="s">
        <v>24</v>
      </c>
    </row>
    <row r="2141" spans="1:15" x14ac:dyDescent="0.25">
      <c r="A2141">
        <v>2140</v>
      </c>
      <c r="B2141" t="str">
        <f>HYPERLINK("https://digitalcommons.unl.edu/cgi/viewcontent.cgi?article=3758&amp;context=tractormuseumlit","Click for test report")</f>
        <v>Click for test report</v>
      </c>
      <c r="C2141">
        <v>1990</v>
      </c>
      <c r="E2141" t="s">
        <v>4122</v>
      </c>
      <c r="F2141" t="s">
        <v>2986</v>
      </c>
      <c r="G2141" t="s">
        <v>778</v>
      </c>
      <c r="H2141" t="s">
        <v>4123</v>
      </c>
      <c r="I2141" t="s">
        <v>50</v>
      </c>
      <c r="J2141" t="s">
        <v>20</v>
      </c>
      <c r="K2141" t="s">
        <v>21</v>
      </c>
      <c r="L2141" t="s">
        <v>375</v>
      </c>
      <c r="N2141" t="s">
        <v>562</v>
      </c>
      <c r="O2141" t="s">
        <v>4125</v>
      </c>
    </row>
    <row r="2142" spans="1:15" x14ac:dyDescent="0.25">
      <c r="A2142">
        <v>2141</v>
      </c>
      <c r="B2142" t="str">
        <f>HYPERLINK("https://digitalcommons.unl.edu/cgi/viewcontent.cgi?article=3758&amp;context=tractormuseumlit","Click for test report")</f>
        <v>Click for test report</v>
      </c>
      <c r="C2142">
        <v>1990</v>
      </c>
      <c r="E2142" t="s">
        <v>4122</v>
      </c>
      <c r="F2142" t="s">
        <v>2986</v>
      </c>
      <c r="G2142" t="s">
        <v>778</v>
      </c>
      <c r="H2142" t="s">
        <v>4123</v>
      </c>
      <c r="I2142" t="s">
        <v>50</v>
      </c>
      <c r="J2142" t="s">
        <v>20</v>
      </c>
      <c r="K2142" t="s">
        <v>21</v>
      </c>
      <c r="L2142" t="s">
        <v>339</v>
      </c>
      <c r="N2142" t="s">
        <v>562</v>
      </c>
      <c r="O2142" t="s">
        <v>4124</v>
      </c>
    </row>
    <row r="2143" spans="1:15" x14ac:dyDescent="0.25">
      <c r="A2143">
        <v>2142</v>
      </c>
      <c r="B2143" t="str">
        <f>HYPERLINK("https://digitalcommons.unl.edu/cgi/viewcontent.cgi?article=2979&amp;context=tractormuseumlit","Click for test report")</f>
        <v>Click for test report</v>
      </c>
      <c r="C2143">
        <v>1990</v>
      </c>
      <c r="D2143" t="s">
        <v>4119</v>
      </c>
      <c r="F2143" t="s">
        <v>4031</v>
      </c>
      <c r="G2143" t="s">
        <v>3166</v>
      </c>
      <c r="H2143" t="s">
        <v>4120</v>
      </c>
      <c r="I2143" t="s">
        <v>3474</v>
      </c>
      <c r="J2143" t="s">
        <v>348</v>
      </c>
      <c r="K2143" t="s">
        <v>21</v>
      </c>
      <c r="L2143" t="s">
        <v>567</v>
      </c>
      <c r="N2143" t="s">
        <v>368</v>
      </c>
      <c r="O2143" t="s">
        <v>4121</v>
      </c>
    </row>
    <row r="2144" spans="1:15" x14ac:dyDescent="0.25">
      <c r="A2144">
        <v>2143</v>
      </c>
      <c r="B2144" t="str">
        <f>HYPERLINK("https://digitalcommons.unl.edu/cgi/viewcontent.cgi?article=2980&amp;context=tractormuseumlit","Click for test report")</f>
        <v>Click for test report</v>
      </c>
      <c r="C2144">
        <v>1990</v>
      </c>
      <c r="D2144" t="s">
        <v>4116</v>
      </c>
      <c r="F2144" t="s">
        <v>4031</v>
      </c>
      <c r="G2144" t="s">
        <v>3166</v>
      </c>
      <c r="H2144" t="s">
        <v>4117</v>
      </c>
      <c r="I2144" t="s">
        <v>3474</v>
      </c>
      <c r="J2144" t="s">
        <v>348</v>
      </c>
      <c r="K2144" t="s">
        <v>21</v>
      </c>
      <c r="L2144" t="s">
        <v>771</v>
      </c>
      <c r="N2144" t="s">
        <v>363</v>
      </c>
      <c r="O2144" t="s">
        <v>4118</v>
      </c>
    </row>
    <row r="2145" spans="1:15" x14ac:dyDescent="0.25">
      <c r="A2145">
        <v>2144</v>
      </c>
      <c r="B2145" t="str">
        <f>HYPERLINK("https://digitalcommons.unl.edu/cgi/viewcontent.cgi?article=3000&amp;context=tractormuseumlit","Click for test report")</f>
        <v>Click for test report</v>
      </c>
      <c r="C2145">
        <v>1990</v>
      </c>
      <c r="D2145" t="s">
        <v>4114</v>
      </c>
      <c r="F2145" t="s">
        <v>4031</v>
      </c>
      <c r="G2145" t="s">
        <v>3166</v>
      </c>
      <c r="H2145" t="s">
        <v>4115</v>
      </c>
      <c r="I2145" t="s">
        <v>3474</v>
      </c>
      <c r="J2145" t="s">
        <v>20</v>
      </c>
      <c r="K2145" t="s">
        <v>21</v>
      </c>
      <c r="L2145" t="s">
        <v>725</v>
      </c>
      <c r="N2145" t="s">
        <v>3319</v>
      </c>
      <c r="O2145" t="s">
        <v>4113</v>
      </c>
    </row>
    <row r="2146" spans="1:15" x14ac:dyDescent="0.25">
      <c r="A2146">
        <v>2145</v>
      </c>
      <c r="B2146" t="str">
        <f>HYPERLINK("https://digitalcommons.unl.edu/cgi/viewcontent.cgi?article=3001&amp;context=tractormuseumlit","Click for test report")</f>
        <v>Click for test report</v>
      </c>
      <c r="C2146">
        <v>1990</v>
      </c>
      <c r="D2146" t="s">
        <v>4111</v>
      </c>
      <c r="F2146" t="s">
        <v>4031</v>
      </c>
      <c r="G2146" t="s">
        <v>3166</v>
      </c>
      <c r="H2146" t="s">
        <v>4112</v>
      </c>
      <c r="I2146" t="s">
        <v>3474</v>
      </c>
      <c r="J2146" t="s">
        <v>20</v>
      </c>
      <c r="K2146" t="s">
        <v>21</v>
      </c>
      <c r="L2146" t="s">
        <v>574</v>
      </c>
      <c r="N2146" t="s">
        <v>764</v>
      </c>
      <c r="O2146" t="s">
        <v>4113</v>
      </c>
    </row>
    <row r="2147" spans="1:15" x14ac:dyDescent="0.25">
      <c r="A2147">
        <v>2146</v>
      </c>
      <c r="B2147" t="str">
        <f>HYPERLINK("https://digitalcommons.unl.edu/cgi/viewcontent.cgi?article=3002&amp;context=tractormuseumlit","Click for test report")</f>
        <v>Click for test report</v>
      </c>
      <c r="C2147">
        <v>1990</v>
      </c>
      <c r="D2147" t="s">
        <v>4107</v>
      </c>
      <c r="F2147" t="s">
        <v>4108</v>
      </c>
      <c r="G2147" t="s">
        <v>3514</v>
      </c>
      <c r="H2147" t="s">
        <v>4110</v>
      </c>
      <c r="I2147" t="s">
        <v>50</v>
      </c>
      <c r="J2147" t="s">
        <v>20</v>
      </c>
      <c r="K2147" t="s">
        <v>21</v>
      </c>
      <c r="L2147" t="s">
        <v>735</v>
      </c>
      <c r="N2147" t="s">
        <v>1009</v>
      </c>
      <c r="O2147" t="s">
        <v>24</v>
      </c>
    </row>
    <row r="2148" spans="1:15" x14ac:dyDescent="0.25">
      <c r="A2148">
        <v>2147</v>
      </c>
      <c r="B2148" t="str">
        <f>HYPERLINK("https://digitalcommons.unl.edu/cgi/viewcontent.cgi?article=3002&amp;context=tractormuseumlit","Click for test report")</f>
        <v>Click for test report</v>
      </c>
      <c r="C2148">
        <v>1990</v>
      </c>
      <c r="D2148" t="s">
        <v>4107</v>
      </c>
      <c r="F2148" t="s">
        <v>4108</v>
      </c>
      <c r="G2148" t="s">
        <v>3514</v>
      </c>
      <c r="H2148" t="s">
        <v>4109</v>
      </c>
      <c r="I2148" t="s">
        <v>50</v>
      </c>
      <c r="J2148" t="s">
        <v>20</v>
      </c>
      <c r="K2148" t="s">
        <v>21</v>
      </c>
      <c r="L2148" t="s">
        <v>735</v>
      </c>
      <c r="N2148" t="s">
        <v>1009</v>
      </c>
    </row>
    <row r="2149" spans="1:15" x14ac:dyDescent="0.25">
      <c r="A2149">
        <v>2148</v>
      </c>
      <c r="B2149" t="str">
        <f>HYPERLINK("https://digitalcommons.unl.edu/cgi/viewcontent.cgi?article=3688&amp;context=tractormuseumlit","Click for test report")</f>
        <v>Click for test report</v>
      </c>
      <c r="C2149">
        <v>1990</v>
      </c>
      <c r="D2149" t="s">
        <v>4106</v>
      </c>
      <c r="G2149" t="s">
        <v>322</v>
      </c>
      <c r="H2149" t="s">
        <v>24</v>
      </c>
      <c r="I2149" t="s">
        <v>24</v>
      </c>
      <c r="O2149" t="s">
        <v>24</v>
      </c>
    </row>
    <row r="2150" spans="1:15" x14ac:dyDescent="0.25">
      <c r="A2150">
        <v>2149</v>
      </c>
      <c r="B2150" t="str">
        <f>HYPERLINK("https://digitalcommons.unl.edu/cgi/viewcontent.cgi?article=3003&amp;context=tractormuseumlit","Click for test report")</f>
        <v>Click for test report</v>
      </c>
      <c r="C2150">
        <v>1990</v>
      </c>
      <c r="D2150" t="s">
        <v>4099</v>
      </c>
      <c r="F2150" t="s">
        <v>3583</v>
      </c>
      <c r="G2150" t="s">
        <v>3514</v>
      </c>
      <c r="H2150" t="s">
        <v>4105</v>
      </c>
      <c r="I2150" t="s">
        <v>50</v>
      </c>
      <c r="J2150" t="s">
        <v>20</v>
      </c>
      <c r="K2150" t="s">
        <v>21</v>
      </c>
      <c r="L2150" t="s">
        <v>58</v>
      </c>
      <c r="N2150" t="s">
        <v>349</v>
      </c>
      <c r="O2150" t="s">
        <v>4102</v>
      </c>
    </row>
    <row r="2151" spans="1:15" x14ac:dyDescent="0.25">
      <c r="A2151">
        <v>2150</v>
      </c>
      <c r="B2151" t="str">
        <f>HYPERLINK("https://digitalcommons.unl.edu/cgi/viewcontent.cgi?article=3003&amp;context=tractormuseumlit","Click for test report")</f>
        <v>Click for test report</v>
      </c>
      <c r="C2151">
        <v>1990</v>
      </c>
      <c r="D2151" t="s">
        <v>4099</v>
      </c>
      <c r="F2151" t="s">
        <v>3583</v>
      </c>
      <c r="G2151" t="s">
        <v>3514</v>
      </c>
      <c r="H2151" t="s">
        <v>4105</v>
      </c>
      <c r="I2151" t="s">
        <v>50</v>
      </c>
      <c r="J2151" t="s">
        <v>20</v>
      </c>
      <c r="K2151" t="s">
        <v>21</v>
      </c>
      <c r="L2151" t="s">
        <v>58</v>
      </c>
      <c r="N2151" t="s">
        <v>349</v>
      </c>
      <c r="O2151" t="s">
        <v>4101</v>
      </c>
    </row>
    <row r="2152" spans="1:15" x14ac:dyDescent="0.25">
      <c r="A2152">
        <v>2151</v>
      </c>
      <c r="B2152" t="str">
        <f>HYPERLINK("https://digitalcommons.unl.edu/cgi/viewcontent.cgi?article=3003&amp;context=tractormuseumlit","Click for test report")</f>
        <v>Click for test report</v>
      </c>
      <c r="C2152">
        <v>1990</v>
      </c>
      <c r="D2152" t="s">
        <v>4099</v>
      </c>
      <c r="F2152" t="s">
        <v>3583</v>
      </c>
      <c r="G2152" t="s">
        <v>3514</v>
      </c>
      <c r="H2152" t="s">
        <v>4104</v>
      </c>
      <c r="I2152" t="s">
        <v>50</v>
      </c>
      <c r="J2152" t="s">
        <v>20</v>
      </c>
      <c r="K2152" t="s">
        <v>21</v>
      </c>
      <c r="L2152" t="s">
        <v>58</v>
      </c>
      <c r="N2152" t="s">
        <v>349</v>
      </c>
      <c r="O2152" t="s">
        <v>4102</v>
      </c>
    </row>
    <row r="2153" spans="1:15" x14ac:dyDescent="0.25">
      <c r="A2153">
        <v>2152</v>
      </c>
      <c r="B2153" t="str">
        <f>HYPERLINK("https://digitalcommons.unl.edu/cgi/viewcontent.cgi?article=3003&amp;context=tractormuseumlit","Click for test report")</f>
        <v>Click for test report</v>
      </c>
      <c r="C2153">
        <v>1990</v>
      </c>
      <c r="D2153" t="s">
        <v>4099</v>
      </c>
      <c r="F2153" t="s">
        <v>3583</v>
      </c>
      <c r="G2153" t="s">
        <v>3514</v>
      </c>
      <c r="H2153" t="s">
        <v>4104</v>
      </c>
      <c r="I2153" t="s">
        <v>50</v>
      </c>
      <c r="J2153" t="s">
        <v>20</v>
      </c>
      <c r="K2153" t="s">
        <v>21</v>
      </c>
      <c r="L2153" t="s">
        <v>58</v>
      </c>
      <c r="N2153" t="s">
        <v>349</v>
      </c>
      <c r="O2153" t="s">
        <v>4101</v>
      </c>
    </row>
    <row r="2154" spans="1:15" x14ac:dyDescent="0.25">
      <c r="A2154">
        <v>2153</v>
      </c>
      <c r="B2154" t="str">
        <f>HYPERLINK("https://digitalcommons.unl.edu/cgi/viewcontent.cgi?article=3003&amp;context=tractormuseumlit","Click for test report")</f>
        <v>Click for test report</v>
      </c>
      <c r="C2154">
        <v>1990</v>
      </c>
      <c r="D2154" t="s">
        <v>4099</v>
      </c>
      <c r="F2154" t="s">
        <v>3583</v>
      </c>
      <c r="G2154" t="s">
        <v>3514</v>
      </c>
      <c r="H2154" t="s">
        <v>4103</v>
      </c>
      <c r="I2154" t="s">
        <v>50</v>
      </c>
      <c r="J2154" t="s">
        <v>20</v>
      </c>
      <c r="K2154" t="s">
        <v>21</v>
      </c>
      <c r="L2154" t="s">
        <v>58</v>
      </c>
      <c r="N2154" t="s">
        <v>349</v>
      </c>
      <c r="O2154" t="s">
        <v>4102</v>
      </c>
    </row>
    <row r="2155" spans="1:15" x14ac:dyDescent="0.25">
      <c r="A2155">
        <v>2154</v>
      </c>
      <c r="B2155" t="str">
        <f>HYPERLINK("https://digitalcommons.unl.edu/cgi/viewcontent.cgi?article=3003&amp;context=tractormuseumlit","Click for test report")</f>
        <v>Click for test report</v>
      </c>
      <c r="C2155">
        <v>1990</v>
      </c>
      <c r="D2155" t="s">
        <v>4099</v>
      </c>
      <c r="F2155" t="s">
        <v>3583</v>
      </c>
      <c r="G2155" t="s">
        <v>3514</v>
      </c>
      <c r="H2155" t="s">
        <v>4103</v>
      </c>
      <c r="I2155" t="s">
        <v>50</v>
      </c>
      <c r="J2155" t="s">
        <v>20</v>
      </c>
      <c r="K2155" t="s">
        <v>21</v>
      </c>
      <c r="L2155" t="s">
        <v>58</v>
      </c>
      <c r="N2155" t="s">
        <v>349</v>
      </c>
      <c r="O2155" t="s">
        <v>4101</v>
      </c>
    </row>
    <row r="2156" spans="1:15" x14ac:dyDescent="0.25">
      <c r="A2156">
        <v>2155</v>
      </c>
      <c r="B2156" t="str">
        <f>HYPERLINK("https://digitalcommons.unl.edu/cgi/viewcontent.cgi?article=3003&amp;context=tractormuseumlit","Click for test report")</f>
        <v>Click for test report</v>
      </c>
      <c r="C2156">
        <v>1990</v>
      </c>
      <c r="D2156" t="s">
        <v>4099</v>
      </c>
      <c r="F2156" t="s">
        <v>3583</v>
      </c>
      <c r="G2156" t="s">
        <v>3514</v>
      </c>
      <c r="H2156" t="s">
        <v>4100</v>
      </c>
      <c r="I2156" t="s">
        <v>50</v>
      </c>
      <c r="J2156" t="s">
        <v>20</v>
      </c>
      <c r="K2156" t="s">
        <v>21</v>
      </c>
      <c r="L2156" t="s">
        <v>58</v>
      </c>
      <c r="N2156" t="s">
        <v>349</v>
      </c>
      <c r="O2156" t="s">
        <v>4102</v>
      </c>
    </row>
    <row r="2157" spans="1:15" x14ac:dyDescent="0.25">
      <c r="A2157">
        <v>2156</v>
      </c>
      <c r="B2157" t="str">
        <f>HYPERLINK("https://digitalcommons.unl.edu/cgi/viewcontent.cgi?article=3003&amp;context=tractormuseumlit","Click for test report")</f>
        <v>Click for test report</v>
      </c>
      <c r="C2157">
        <v>1990</v>
      </c>
      <c r="D2157" t="s">
        <v>4099</v>
      </c>
      <c r="F2157" t="s">
        <v>3583</v>
      </c>
      <c r="G2157" t="s">
        <v>3514</v>
      </c>
      <c r="H2157" t="s">
        <v>4100</v>
      </c>
      <c r="I2157" t="s">
        <v>50</v>
      </c>
      <c r="J2157" t="s">
        <v>20</v>
      </c>
      <c r="K2157" t="s">
        <v>21</v>
      </c>
      <c r="L2157" t="s">
        <v>58</v>
      </c>
      <c r="N2157" t="s">
        <v>349</v>
      </c>
      <c r="O2157" t="s">
        <v>4101</v>
      </c>
    </row>
    <row r="2158" spans="1:15" x14ac:dyDescent="0.25">
      <c r="A2158">
        <v>2157</v>
      </c>
      <c r="B2158" t="str">
        <f>HYPERLINK("https://digitalcommons.unl.edu/cgi/viewcontent.cgi?article=3004&amp;context=tractormuseumlit","Click for test report")</f>
        <v>Click for test report</v>
      </c>
      <c r="C2158">
        <v>1990</v>
      </c>
      <c r="D2158" t="s">
        <v>4097</v>
      </c>
      <c r="F2158" t="s">
        <v>4098</v>
      </c>
      <c r="G2158" t="s">
        <v>3514</v>
      </c>
      <c r="H2158" t="s">
        <v>3313</v>
      </c>
      <c r="I2158" t="s">
        <v>19</v>
      </c>
      <c r="J2158" t="s">
        <v>29</v>
      </c>
      <c r="K2158" t="s">
        <v>21</v>
      </c>
      <c r="L2158" t="s">
        <v>836</v>
      </c>
      <c r="N2158" t="s">
        <v>939</v>
      </c>
      <c r="O2158" t="s">
        <v>24</v>
      </c>
    </row>
    <row r="2159" spans="1:15" x14ac:dyDescent="0.25">
      <c r="A2159">
        <v>2158</v>
      </c>
      <c r="B2159" t="str">
        <f>HYPERLINK("https://digitalcommons.unl.edu/cgi/viewcontent.cgi?article=3698&amp;context=tractormuseumlit","Click for test report")</f>
        <v>Click for test report</v>
      </c>
      <c r="C2159">
        <v>1991</v>
      </c>
      <c r="E2159" t="s">
        <v>3971</v>
      </c>
      <c r="F2159" t="s">
        <v>3964</v>
      </c>
      <c r="G2159" t="s">
        <v>191</v>
      </c>
      <c r="H2159" t="s">
        <v>4095</v>
      </c>
      <c r="I2159" t="s">
        <v>50</v>
      </c>
      <c r="J2159" t="s">
        <v>20</v>
      </c>
      <c r="K2159" t="s">
        <v>21</v>
      </c>
      <c r="L2159" t="s">
        <v>2090</v>
      </c>
      <c r="N2159" t="s">
        <v>3973</v>
      </c>
      <c r="O2159" t="s">
        <v>4096</v>
      </c>
    </row>
    <row r="2160" spans="1:15" x14ac:dyDescent="0.25">
      <c r="A2160">
        <v>2159</v>
      </c>
      <c r="B2160" t="str">
        <f>HYPERLINK("https://digitalcommons.unl.edu/cgi/viewcontent.cgi?article=3699&amp;context=tractormuseumlit","Click for test report")</f>
        <v>Click for test report</v>
      </c>
      <c r="C2160">
        <v>1991</v>
      </c>
      <c r="E2160" t="s">
        <v>3968</v>
      </c>
      <c r="F2160" t="s">
        <v>3964</v>
      </c>
      <c r="G2160" t="s">
        <v>191</v>
      </c>
      <c r="H2160" t="s">
        <v>4093</v>
      </c>
      <c r="I2160" t="s">
        <v>50</v>
      </c>
      <c r="J2160" t="s">
        <v>20</v>
      </c>
      <c r="K2160" t="s">
        <v>21</v>
      </c>
      <c r="L2160" t="s">
        <v>743</v>
      </c>
      <c r="N2160" t="s">
        <v>1864</v>
      </c>
      <c r="O2160" t="s">
        <v>4094</v>
      </c>
    </row>
    <row r="2161" spans="1:15" x14ac:dyDescent="0.25">
      <c r="A2161">
        <v>2160</v>
      </c>
      <c r="B2161" t="str">
        <f>HYPERLINK("https://digitalcommons.unl.edu/cgi/viewcontent.cgi?article=3324&amp;context=tractormuseumlit","Click for test report")</f>
        <v>Click for test report</v>
      </c>
      <c r="C2161">
        <v>1991</v>
      </c>
      <c r="E2161" t="s">
        <v>3963</v>
      </c>
      <c r="F2161" t="s">
        <v>3964</v>
      </c>
      <c r="G2161" t="s">
        <v>191</v>
      </c>
      <c r="H2161" t="s">
        <v>4090</v>
      </c>
      <c r="I2161" t="s">
        <v>50</v>
      </c>
      <c r="J2161" t="s">
        <v>348</v>
      </c>
      <c r="K2161" t="s">
        <v>21</v>
      </c>
      <c r="L2161" t="s">
        <v>3319</v>
      </c>
      <c r="N2161" t="s">
        <v>2188</v>
      </c>
      <c r="O2161" t="s">
        <v>4092</v>
      </c>
    </row>
    <row r="2162" spans="1:15" x14ac:dyDescent="0.25">
      <c r="A2162">
        <v>2161</v>
      </c>
      <c r="B2162" t="str">
        <f>HYPERLINK("https://digitalcommons.unl.edu/cgi/viewcontent.cgi?article=3324&amp;context=tractormuseumlit","Click for test report")</f>
        <v>Click for test report</v>
      </c>
      <c r="C2162">
        <v>1991</v>
      </c>
      <c r="E2162" t="s">
        <v>3963</v>
      </c>
      <c r="F2162" t="s">
        <v>3964</v>
      </c>
      <c r="G2162" t="s">
        <v>191</v>
      </c>
      <c r="H2162" t="s">
        <v>4090</v>
      </c>
      <c r="I2162" t="s">
        <v>50</v>
      </c>
      <c r="J2162" t="s">
        <v>348</v>
      </c>
      <c r="K2162" t="s">
        <v>21</v>
      </c>
      <c r="L2162" t="s">
        <v>1650</v>
      </c>
      <c r="N2162" t="s">
        <v>2188</v>
      </c>
      <c r="O2162" t="s">
        <v>4091</v>
      </c>
    </row>
    <row r="2163" spans="1:15" x14ac:dyDescent="0.25">
      <c r="A2163">
        <v>2162</v>
      </c>
      <c r="B2163" t="str">
        <f>HYPERLINK("https://digitalcommons.unl.edu/cgi/viewcontent.cgi?article=3716&amp;context=tractormuseumlit","Click for test report")</f>
        <v>Click for test report</v>
      </c>
      <c r="C2163">
        <v>1991</v>
      </c>
      <c r="E2163" t="s">
        <v>4088</v>
      </c>
      <c r="F2163" t="s">
        <v>3800</v>
      </c>
      <c r="G2163" t="s">
        <v>191</v>
      </c>
      <c r="H2163" t="s">
        <v>3897</v>
      </c>
      <c r="I2163" t="s">
        <v>28</v>
      </c>
      <c r="J2163" t="s">
        <v>29</v>
      </c>
      <c r="K2163" t="s">
        <v>21</v>
      </c>
      <c r="L2163" t="s">
        <v>4089</v>
      </c>
      <c r="N2163" t="s">
        <v>986</v>
      </c>
      <c r="O2163" t="s">
        <v>24</v>
      </c>
    </row>
    <row r="2164" spans="1:15" x14ac:dyDescent="0.25">
      <c r="A2164">
        <v>2163</v>
      </c>
      <c r="B2164" t="str">
        <f>HYPERLINK("https://digitalcommons.unl.edu/cgi/viewcontent.cgi?article=3716&amp;context=tractormuseumlit","Click for test report")</f>
        <v>Click for test report</v>
      </c>
      <c r="C2164">
        <v>1991</v>
      </c>
      <c r="E2164" t="s">
        <v>4088</v>
      </c>
      <c r="F2164" t="s">
        <v>3800</v>
      </c>
      <c r="G2164" t="s">
        <v>3652</v>
      </c>
      <c r="H2164" t="s">
        <v>3897</v>
      </c>
      <c r="I2164" t="s">
        <v>28</v>
      </c>
      <c r="J2164" t="s">
        <v>29</v>
      </c>
      <c r="K2164" t="s">
        <v>21</v>
      </c>
      <c r="L2164" t="s">
        <v>4089</v>
      </c>
      <c r="N2164" t="s">
        <v>986</v>
      </c>
      <c r="O2164" t="s">
        <v>24</v>
      </c>
    </row>
    <row r="2165" spans="1:15" x14ac:dyDescent="0.25">
      <c r="A2165">
        <v>2164</v>
      </c>
      <c r="B2165" t="str">
        <f>HYPERLINK("https://digitalcommons.unl.edu/cgi/viewcontent.cgi?article=3717&amp;context=tractormuseumlit","Click for test report")</f>
        <v>Click for test report</v>
      </c>
      <c r="C2165">
        <v>1991</v>
      </c>
      <c r="E2165" t="s">
        <v>4085</v>
      </c>
      <c r="F2165" t="s">
        <v>3800</v>
      </c>
      <c r="G2165" t="s">
        <v>191</v>
      </c>
      <c r="H2165" t="s">
        <v>4086</v>
      </c>
      <c r="I2165" t="s">
        <v>28</v>
      </c>
      <c r="J2165" t="s">
        <v>29</v>
      </c>
      <c r="K2165" t="s">
        <v>21</v>
      </c>
      <c r="L2165" t="s">
        <v>4087</v>
      </c>
      <c r="N2165" t="s">
        <v>541</v>
      </c>
      <c r="O2165" t="s">
        <v>24</v>
      </c>
    </row>
    <row r="2166" spans="1:15" x14ac:dyDescent="0.25">
      <c r="A2166">
        <v>2165</v>
      </c>
      <c r="B2166" t="str">
        <f>HYPERLINK("https://digitalcommons.unl.edu/cgi/viewcontent.cgi?article=3717&amp;context=tractormuseumlit","Click for test report")</f>
        <v>Click for test report</v>
      </c>
      <c r="C2166">
        <v>1991</v>
      </c>
      <c r="E2166" t="s">
        <v>4085</v>
      </c>
      <c r="F2166" t="s">
        <v>3800</v>
      </c>
      <c r="G2166" t="s">
        <v>3652</v>
      </c>
      <c r="H2166" t="s">
        <v>4086</v>
      </c>
      <c r="I2166" t="s">
        <v>28</v>
      </c>
      <c r="J2166" t="s">
        <v>29</v>
      </c>
      <c r="K2166" t="s">
        <v>21</v>
      </c>
      <c r="L2166" t="s">
        <v>4087</v>
      </c>
      <c r="N2166" t="s">
        <v>541</v>
      </c>
      <c r="O2166" t="s">
        <v>24</v>
      </c>
    </row>
    <row r="2167" spans="1:15" x14ac:dyDescent="0.25">
      <c r="A2167">
        <v>2166</v>
      </c>
      <c r="B2167" t="str">
        <f>HYPERLINK("https://digitalcommons.unl.edu/cgi/viewcontent.cgi?article=3731&amp;context=tractormuseumlit","Click for test report")</f>
        <v>Click for test report</v>
      </c>
      <c r="C2167">
        <v>1991</v>
      </c>
      <c r="E2167" t="s">
        <v>4082</v>
      </c>
      <c r="F2167" t="s">
        <v>4053</v>
      </c>
      <c r="G2167" t="s">
        <v>3168</v>
      </c>
      <c r="H2167" t="s">
        <v>4083</v>
      </c>
      <c r="I2167" t="s">
        <v>50</v>
      </c>
      <c r="J2167" t="s">
        <v>20</v>
      </c>
      <c r="K2167" t="s">
        <v>21</v>
      </c>
      <c r="L2167" t="s">
        <v>2699</v>
      </c>
      <c r="N2167" t="s">
        <v>1893</v>
      </c>
      <c r="O2167" t="s">
        <v>4084</v>
      </c>
    </row>
    <row r="2168" spans="1:15" x14ac:dyDescent="0.25">
      <c r="A2168">
        <v>2167</v>
      </c>
      <c r="B2168" t="str">
        <f>HYPERLINK("https://digitalcommons.unl.edu/cgi/viewcontent.cgi?article=3732&amp;context=tractormuseumlit","Click for test report")</f>
        <v>Click for test report</v>
      </c>
      <c r="C2168">
        <v>1991</v>
      </c>
      <c r="E2168" t="s">
        <v>4079</v>
      </c>
      <c r="F2168" t="s">
        <v>4053</v>
      </c>
      <c r="G2168" t="s">
        <v>3168</v>
      </c>
      <c r="H2168" t="s">
        <v>4080</v>
      </c>
      <c r="I2168" t="s">
        <v>50</v>
      </c>
      <c r="J2168" t="s">
        <v>20</v>
      </c>
      <c r="K2168" t="s">
        <v>21</v>
      </c>
      <c r="L2168" t="s">
        <v>3319</v>
      </c>
      <c r="N2168" t="s">
        <v>1009</v>
      </c>
      <c r="O2168" t="s">
        <v>4081</v>
      </c>
    </row>
    <row r="2169" spans="1:15" x14ac:dyDescent="0.25">
      <c r="A2169">
        <v>2168</v>
      </c>
      <c r="B2169" t="str">
        <f>HYPERLINK("https://digitalcommons.unl.edu/cgi/viewcontent.cgi?article=3733&amp;context=tractormuseumlit","Click for test report")</f>
        <v>Click for test report</v>
      </c>
      <c r="C2169">
        <v>1991</v>
      </c>
      <c r="E2169" t="s">
        <v>4075</v>
      </c>
      <c r="F2169" t="s">
        <v>4053</v>
      </c>
      <c r="G2169" t="s">
        <v>3168</v>
      </c>
      <c r="H2169" t="s">
        <v>4078</v>
      </c>
      <c r="I2169" t="s">
        <v>50</v>
      </c>
      <c r="J2169" t="s">
        <v>20</v>
      </c>
      <c r="K2169" t="s">
        <v>21</v>
      </c>
      <c r="L2169" t="s">
        <v>728</v>
      </c>
      <c r="N2169" t="s">
        <v>1970</v>
      </c>
      <c r="O2169" t="s">
        <v>4077</v>
      </c>
    </row>
    <row r="2170" spans="1:15" x14ac:dyDescent="0.25">
      <c r="A2170">
        <v>2169</v>
      </c>
      <c r="B2170" t="str">
        <f>HYPERLINK("https://digitalcommons.unl.edu/cgi/viewcontent.cgi?article=3733&amp;context=tractormuseumlit","Click for test report")</f>
        <v>Click for test report</v>
      </c>
      <c r="C2170">
        <v>1991</v>
      </c>
      <c r="E2170" t="s">
        <v>4075</v>
      </c>
      <c r="F2170" t="s">
        <v>4053</v>
      </c>
      <c r="G2170" t="s">
        <v>3168</v>
      </c>
      <c r="H2170" t="s">
        <v>4076</v>
      </c>
      <c r="I2170" t="s">
        <v>50</v>
      </c>
      <c r="J2170" t="s">
        <v>20</v>
      </c>
      <c r="K2170" t="s">
        <v>21</v>
      </c>
      <c r="L2170" t="s">
        <v>728</v>
      </c>
      <c r="N2170" t="s">
        <v>1970</v>
      </c>
      <c r="O2170" t="s">
        <v>4077</v>
      </c>
    </row>
    <row r="2171" spans="1:15" x14ac:dyDescent="0.25">
      <c r="A2171">
        <v>2170</v>
      </c>
      <c r="B2171" t="str">
        <f>HYPERLINK("https://digitalcommons.unl.edu/cgi/viewcontent.cgi?article=3734&amp;context=tractormuseumlit","Click for test report")</f>
        <v>Click for test report</v>
      </c>
      <c r="C2171">
        <v>1991</v>
      </c>
      <c r="E2171" t="s">
        <v>4071</v>
      </c>
      <c r="F2171" t="s">
        <v>4053</v>
      </c>
      <c r="G2171" t="s">
        <v>3168</v>
      </c>
      <c r="H2171" t="s">
        <v>4074</v>
      </c>
      <c r="I2171" t="s">
        <v>50</v>
      </c>
      <c r="J2171" t="s">
        <v>20</v>
      </c>
      <c r="K2171" t="s">
        <v>21</v>
      </c>
      <c r="L2171" t="s">
        <v>722</v>
      </c>
      <c r="N2171" t="s">
        <v>1864</v>
      </c>
      <c r="O2171" t="s">
        <v>4073</v>
      </c>
    </row>
    <row r="2172" spans="1:15" x14ac:dyDescent="0.25">
      <c r="A2172">
        <v>2171</v>
      </c>
      <c r="B2172" t="str">
        <f>HYPERLINK("https://digitalcommons.unl.edu/cgi/viewcontent.cgi?article=3734&amp;context=tractormuseumlit","Click for test report")</f>
        <v>Click for test report</v>
      </c>
      <c r="C2172">
        <v>1991</v>
      </c>
      <c r="E2172" t="s">
        <v>4071</v>
      </c>
      <c r="F2172" t="s">
        <v>4053</v>
      </c>
      <c r="G2172" t="s">
        <v>3168</v>
      </c>
      <c r="H2172" t="s">
        <v>4072</v>
      </c>
      <c r="I2172" t="s">
        <v>50</v>
      </c>
      <c r="J2172" t="s">
        <v>20</v>
      </c>
      <c r="K2172" t="s">
        <v>21</v>
      </c>
      <c r="L2172" t="s">
        <v>722</v>
      </c>
      <c r="N2172" t="s">
        <v>1864</v>
      </c>
      <c r="O2172" t="s">
        <v>4073</v>
      </c>
    </row>
    <row r="2173" spans="1:15" x14ac:dyDescent="0.25">
      <c r="A2173">
        <v>2172</v>
      </c>
      <c r="B2173" t="str">
        <f>HYPERLINK("https://digitalcommons.unl.edu/cgi/viewcontent.cgi?article=3736&amp;context=tractormuseumlit","Click for test report")</f>
        <v>Click for test report</v>
      </c>
      <c r="C2173">
        <v>1991</v>
      </c>
      <c r="E2173" t="s">
        <v>4068</v>
      </c>
      <c r="F2173" t="s">
        <v>4053</v>
      </c>
      <c r="G2173" t="s">
        <v>3168</v>
      </c>
      <c r="H2173" t="s">
        <v>4069</v>
      </c>
      <c r="I2173" t="s">
        <v>50</v>
      </c>
      <c r="J2173" t="s">
        <v>20</v>
      </c>
      <c r="K2173" t="s">
        <v>21</v>
      </c>
      <c r="L2173" t="s">
        <v>344</v>
      </c>
      <c r="N2173" t="s">
        <v>2030</v>
      </c>
      <c r="O2173" t="s">
        <v>4070</v>
      </c>
    </row>
    <row r="2174" spans="1:15" x14ac:dyDescent="0.25">
      <c r="A2174">
        <v>2173</v>
      </c>
      <c r="B2174" t="str">
        <f>HYPERLINK("https://digitalcommons.unl.edu/cgi/viewcontent.cgi?article=3735&amp;context=tractormuseumlit","Click for test report")</f>
        <v>Click for test report</v>
      </c>
      <c r="C2174">
        <v>1991</v>
      </c>
      <c r="E2174" t="s">
        <v>3961</v>
      </c>
      <c r="F2174" t="s">
        <v>3704</v>
      </c>
      <c r="G2174" t="s">
        <v>4066</v>
      </c>
      <c r="H2174" t="s">
        <v>4067</v>
      </c>
      <c r="I2174" t="s">
        <v>50</v>
      </c>
      <c r="J2174" t="s">
        <v>20</v>
      </c>
      <c r="K2174" t="s">
        <v>21</v>
      </c>
      <c r="L2174" t="s">
        <v>571</v>
      </c>
      <c r="N2174" t="s">
        <v>716</v>
      </c>
      <c r="O2174" t="s">
        <v>24</v>
      </c>
    </row>
    <row r="2175" spans="1:15" x14ac:dyDescent="0.25">
      <c r="A2175">
        <v>2174</v>
      </c>
      <c r="B2175" t="str">
        <f>HYPERLINK("https://digitalcommons.unl.edu/cgi/viewcontent.cgi?article=3738&amp;context=tractormuseumlit","Click for test report")</f>
        <v>Click for test report</v>
      </c>
      <c r="C2175">
        <v>1991</v>
      </c>
      <c r="E2175" t="s">
        <v>4064</v>
      </c>
      <c r="F2175" t="s">
        <v>1526</v>
      </c>
      <c r="G2175" t="s">
        <v>17</v>
      </c>
      <c r="H2175" t="s">
        <v>4065</v>
      </c>
      <c r="I2175" t="s">
        <v>1961</v>
      </c>
      <c r="J2175" t="s">
        <v>348</v>
      </c>
      <c r="K2175" t="s">
        <v>21</v>
      </c>
      <c r="L2175" t="s">
        <v>247</v>
      </c>
      <c r="N2175" t="s">
        <v>574</v>
      </c>
      <c r="O2175" t="s">
        <v>24</v>
      </c>
    </row>
    <row r="2176" spans="1:15" x14ac:dyDescent="0.25">
      <c r="A2176">
        <v>2175</v>
      </c>
      <c r="B2176" t="str">
        <f>HYPERLINK("https://digitalcommons.unl.edu/cgi/viewcontent.cgi?article=3739&amp;context=tractormuseumlit","Click for test report")</f>
        <v>Click for test report</v>
      </c>
      <c r="C2176">
        <v>1991</v>
      </c>
      <c r="E2176" t="s">
        <v>4062</v>
      </c>
      <c r="F2176" t="s">
        <v>17</v>
      </c>
      <c r="G2176" t="s">
        <v>17</v>
      </c>
      <c r="H2176" t="s">
        <v>4063</v>
      </c>
      <c r="I2176" t="s">
        <v>1961</v>
      </c>
      <c r="J2176" t="s">
        <v>20</v>
      </c>
      <c r="K2176" t="s">
        <v>21</v>
      </c>
      <c r="L2176" t="s">
        <v>127</v>
      </c>
      <c r="N2176" t="s">
        <v>713</v>
      </c>
      <c r="O2176" t="s">
        <v>24</v>
      </c>
    </row>
    <row r="2177" spans="1:15" x14ac:dyDescent="0.25">
      <c r="A2177">
        <v>2176</v>
      </c>
      <c r="B2177" t="str">
        <f>HYPERLINK("https://digitalcommons.unl.edu/cgi/viewcontent.cgi?article=3740&amp;context=tractormuseumlit","Click for test report")</f>
        <v>Click for test report</v>
      </c>
      <c r="C2177">
        <v>1991</v>
      </c>
      <c r="E2177" t="s">
        <v>4060</v>
      </c>
      <c r="F2177" t="s">
        <v>3919</v>
      </c>
      <c r="G2177" t="s">
        <v>3708</v>
      </c>
      <c r="H2177" t="s">
        <v>4061</v>
      </c>
      <c r="I2177" t="s">
        <v>50</v>
      </c>
      <c r="J2177" t="s">
        <v>20</v>
      </c>
      <c r="K2177" t="s">
        <v>21</v>
      </c>
      <c r="L2177" t="s">
        <v>2826</v>
      </c>
      <c r="N2177" t="s">
        <v>4012</v>
      </c>
      <c r="O2177" t="s">
        <v>24</v>
      </c>
    </row>
    <row r="2178" spans="1:15" x14ac:dyDescent="0.25">
      <c r="A2178">
        <v>2177</v>
      </c>
      <c r="B2178" t="str">
        <f>HYPERLINK("https://digitalcommons.unl.edu/cgi/viewcontent.cgi?article=3741&amp;context=tractormuseumlit","Click for test report")</f>
        <v>Click for test report</v>
      </c>
      <c r="C2178">
        <v>1991</v>
      </c>
      <c r="E2178" t="s">
        <v>4059</v>
      </c>
      <c r="F2178" t="s">
        <v>3919</v>
      </c>
      <c r="G2178" t="s">
        <v>3708</v>
      </c>
      <c r="H2178" t="s">
        <v>3426</v>
      </c>
      <c r="I2178" t="s">
        <v>50</v>
      </c>
      <c r="J2178" t="s">
        <v>20</v>
      </c>
      <c r="K2178" t="s">
        <v>21</v>
      </c>
      <c r="L2178" t="s">
        <v>1009</v>
      </c>
      <c r="N2178" t="s">
        <v>2825</v>
      </c>
      <c r="O2178" t="s">
        <v>24</v>
      </c>
    </row>
    <row r="2179" spans="1:15" x14ac:dyDescent="0.25">
      <c r="A2179">
        <v>2178</v>
      </c>
      <c r="B2179" t="str">
        <f>HYPERLINK("https://digitalcommons.unl.edu/cgi/viewcontent.cgi?article=3742&amp;context=tractormuseumlit","Click for test report")</f>
        <v>Click for test report</v>
      </c>
      <c r="C2179">
        <v>1991</v>
      </c>
      <c r="E2179" t="s">
        <v>4057</v>
      </c>
      <c r="F2179" t="s">
        <v>3919</v>
      </c>
      <c r="G2179" t="s">
        <v>3708</v>
      </c>
      <c r="H2179" t="s">
        <v>4058</v>
      </c>
      <c r="I2179" t="s">
        <v>50</v>
      </c>
      <c r="J2179" t="s">
        <v>20</v>
      </c>
      <c r="K2179" t="s">
        <v>21</v>
      </c>
      <c r="L2179" t="s">
        <v>2029</v>
      </c>
      <c r="N2179" t="s">
        <v>2511</v>
      </c>
      <c r="O2179" t="s">
        <v>24</v>
      </c>
    </row>
    <row r="2180" spans="1:15" x14ac:dyDescent="0.25">
      <c r="A2180">
        <v>2179</v>
      </c>
      <c r="B2180" t="str">
        <f>HYPERLINK("https://digitalcommons.unl.edu/cgi/viewcontent.cgi?article=4314&amp;context=tractormuseumlit","Click for test report")</f>
        <v>Click for test report</v>
      </c>
      <c r="C2180">
        <v>1991</v>
      </c>
      <c r="E2180" t="s">
        <v>3945</v>
      </c>
      <c r="F2180" t="s">
        <v>3704</v>
      </c>
      <c r="G2180" t="s">
        <v>4055</v>
      </c>
      <c r="H2180" t="s">
        <v>4056</v>
      </c>
      <c r="I2180" t="s">
        <v>50</v>
      </c>
      <c r="J2180" t="s">
        <v>20</v>
      </c>
      <c r="K2180" t="s">
        <v>21</v>
      </c>
      <c r="L2180" t="s">
        <v>677</v>
      </c>
      <c r="N2180" t="s">
        <v>461</v>
      </c>
      <c r="O2180" t="s">
        <v>24</v>
      </c>
    </row>
    <row r="2181" spans="1:15" x14ac:dyDescent="0.25">
      <c r="A2181">
        <v>2180</v>
      </c>
      <c r="B2181" t="str">
        <f>HYPERLINK("https://digitalcommons.unl.edu/cgi/viewcontent.cgi?article=3747&amp;context=tractormuseumlit","Click for test report")</f>
        <v>Click for test report</v>
      </c>
      <c r="C2181">
        <v>1991</v>
      </c>
      <c r="E2181" t="s">
        <v>4052</v>
      </c>
      <c r="F2181" t="s">
        <v>4053</v>
      </c>
      <c r="G2181" t="s">
        <v>3168</v>
      </c>
      <c r="H2181" t="s">
        <v>3855</v>
      </c>
      <c r="I2181" t="s">
        <v>50</v>
      </c>
      <c r="J2181" t="s">
        <v>20</v>
      </c>
      <c r="K2181" t="s">
        <v>21</v>
      </c>
      <c r="L2181" t="s">
        <v>713</v>
      </c>
      <c r="N2181" t="s">
        <v>1371</v>
      </c>
      <c r="O2181" t="s">
        <v>4054</v>
      </c>
    </row>
    <row r="2182" spans="1:15" x14ac:dyDescent="0.25">
      <c r="A2182">
        <v>2181</v>
      </c>
      <c r="B2182" t="str">
        <f>HYPERLINK("https://digitalcommons.unl.edu/cgi/viewcontent.cgi?article=3750&amp;context=tractormuseumlit","Click for test report")</f>
        <v>Click for test report</v>
      </c>
      <c r="C2182">
        <v>1991</v>
      </c>
      <c r="E2182" t="s">
        <v>4047</v>
      </c>
      <c r="F2182" t="s">
        <v>4048</v>
      </c>
      <c r="G2182" t="s">
        <v>4049</v>
      </c>
      <c r="H2182" t="s">
        <v>4050</v>
      </c>
      <c r="I2182" t="s">
        <v>50</v>
      </c>
      <c r="J2182" t="s">
        <v>29</v>
      </c>
      <c r="K2182" t="s">
        <v>21</v>
      </c>
      <c r="N2182" t="s">
        <v>3987</v>
      </c>
      <c r="O2182" t="s">
        <v>4051</v>
      </c>
    </row>
    <row r="2183" spans="1:15" x14ac:dyDescent="0.25">
      <c r="A2183">
        <v>2182</v>
      </c>
      <c r="B2183" t="str">
        <f>HYPERLINK("https://digitalcommons.unl.edu/cgi/viewcontent.cgi?article=3754&amp;context=tractormuseumlit","Click for test report")</f>
        <v>Click for test report</v>
      </c>
      <c r="C2183">
        <v>1991</v>
      </c>
      <c r="E2183" t="s">
        <v>4045</v>
      </c>
      <c r="F2183" t="s">
        <v>2062</v>
      </c>
      <c r="G2183" t="s">
        <v>778</v>
      </c>
      <c r="H2183" t="s">
        <v>4046</v>
      </c>
      <c r="I2183" t="s">
        <v>19</v>
      </c>
      <c r="J2183" t="s">
        <v>348</v>
      </c>
      <c r="K2183" t="s">
        <v>21</v>
      </c>
      <c r="L2183" t="s">
        <v>118</v>
      </c>
      <c r="N2183" t="s">
        <v>1042</v>
      </c>
      <c r="O2183" t="s">
        <v>24</v>
      </c>
    </row>
    <row r="2184" spans="1:15" x14ac:dyDescent="0.25">
      <c r="A2184">
        <v>2183</v>
      </c>
      <c r="B2184" t="str">
        <f>HYPERLINK("https://digitalcommons.unl.edu/cgi/viewcontent.cgi?article=3754&amp;context=tractormuseumlit","Click for test report")</f>
        <v>Click for test report</v>
      </c>
      <c r="C2184">
        <v>1991</v>
      </c>
      <c r="E2184" t="s">
        <v>4045</v>
      </c>
      <c r="F2184" t="s">
        <v>2062</v>
      </c>
      <c r="G2184" t="s">
        <v>778</v>
      </c>
      <c r="H2184" t="s">
        <v>4046</v>
      </c>
      <c r="I2184" t="s">
        <v>19</v>
      </c>
      <c r="J2184" t="s">
        <v>20</v>
      </c>
      <c r="K2184" t="s">
        <v>21</v>
      </c>
      <c r="L2184" t="s">
        <v>118</v>
      </c>
      <c r="N2184" t="s">
        <v>1042</v>
      </c>
      <c r="O2184" t="s">
        <v>24</v>
      </c>
    </row>
    <row r="2185" spans="1:15" x14ac:dyDescent="0.25">
      <c r="A2185">
        <v>2184</v>
      </c>
      <c r="B2185" t="str">
        <f>HYPERLINK("https://digitalcommons.unl.edu/cgi/viewcontent.cgi?article=3759&amp;context=tractormuseumlit","Click for test report")</f>
        <v>Click for test report</v>
      </c>
      <c r="C2185">
        <v>1991</v>
      </c>
      <c r="E2185" t="s">
        <v>4043</v>
      </c>
      <c r="F2185" t="s">
        <v>3472</v>
      </c>
      <c r="G2185" t="s">
        <v>3472</v>
      </c>
      <c r="H2185" t="s">
        <v>4044</v>
      </c>
      <c r="I2185" t="s">
        <v>1961</v>
      </c>
      <c r="J2185" t="s">
        <v>20</v>
      </c>
      <c r="K2185" t="s">
        <v>21</v>
      </c>
      <c r="L2185" t="s">
        <v>1796</v>
      </c>
      <c r="N2185" t="s">
        <v>747</v>
      </c>
      <c r="O2185" t="s">
        <v>24</v>
      </c>
    </row>
    <row r="2186" spans="1:15" x14ac:dyDescent="0.25">
      <c r="A2186">
        <v>2185</v>
      </c>
      <c r="B2186" t="str">
        <f>HYPERLINK("https://digitalcommons.unl.edu/cgi/viewcontent.cgi?article=3840&amp;context=tractormuseumlit","Click for test report")</f>
        <v>Click for test report</v>
      </c>
      <c r="C2186">
        <v>1991</v>
      </c>
      <c r="E2186" t="s">
        <v>4040</v>
      </c>
      <c r="F2186" t="s">
        <v>3704</v>
      </c>
      <c r="G2186" t="s">
        <v>4041</v>
      </c>
      <c r="H2186" t="s">
        <v>4042</v>
      </c>
      <c r="I2186" t="s">
        <v>1961</v>
      </c>
      <c r="J2186" t="s">
        <v>20</v>
      </c>
      <c r="K2186" t="s">
        <v>21</v>
      </c>
      <c r="L2186" t="s">
        <v>363</v>
      </c>
      <c r="N2186" t="s">
        <v>123</v>
      </c>
      <c r="O2186" t="s">
        <v>24</v>
      </c>
    </row>
    <row r="2187" spans="1:15" x14ac:dyDescent="0.25">
      <c r="A2187">
        <v>2186</v>
      </c>
      <c r="B2187" t="str">
        <f>HYPERLINK("https://digitalcommons.unl.edu/cgi/viewcontent.cgi?article=2968&amp;context=tractormuseumlit","Click for test report")</f>
        <v>Click for test report</v>
      </c>
      <c r="C2187">
        <v>1991</v>
      </c>
      <c r="D2187" t="s">
        <v>3822</v>
      </c>
      <c r="F2187" t="s">
        <v>3800</v>
      </c>
      <c r="G2187" t="s">
        <v>191</v>
      </c>
      <c r="H2187" t="s">
        <v>4037</v>
      </c>
      <c r="I2187" t="s">
        <v>1961</v>
      </c>
      <c r="J2187" t="s">
        <v>348</v>
      </c>
      <c r="K2187" t="s">
        <v>21</v>
      </c>
      <c r="L2187" t="s">
        <v>1864</v>
      </c>
      <c r="N2187" t="s">
        <v>1994</v>
      </c>
      <c r="O2187" t="s">
        <v>4039</v>
      </c>
    </row>
    <row r="2188" spans="1:15" x14ac:dyDescent="0.25">
      <c r="A2188">
        <v>2187</v>
      </c>
      <c r="B2188" t="str">
        <f>HYPERLINK("https://digitalcommons.unl.edu/cgi/viewcontent.cgi?article=2968&amp;context=tractormuseumlit","Click for test report")</f>
        <v>Click for test report</v>
      </c>
      <c r="C2188">
        <v>1991</v>
      </c>
      <c r="D2188" t="s">
        <v>3822</v>
      </c>
      <c r="F2188" t="s">
        <v>3800</v>
      </c>
      <c r="G2188" t="s">
        <v>191</v>
      </c>
      <c r="H2188" t="s">
        <v>4037</v>
      </c>
      <c r="I2188" t="s">
        <v>1961</v>
      </c>
      <c r="J2188" t="s">
        <v>348</v>
      </c>
      <c r="K2188" t="s">
        <v>21</v>
      </c>
      <c r="L2188" t="s">
        <v>725</v>
      </c>
      <c r="N2188" t="s">
        <v>1994</v>
      </c>
      <c r="O2188" t="s">
        <v>4038</v>
      </c>
    </row>
    <row r="2189" spans="1:15" x14ac:dyDescent="0.25">
      <c r="A2189">
        <v>2188</v>
      </c>
      <c r="B2189" t="str">
        <f>HYPERLINK("https://digitalcommons.unl.edu/cgi/viewcontent.cgi?article=2971&amp;context=tractormuseumlit","Click for test report")</f>
        <v>Click for test report</v>
      </c>
      <c r="C2189">
        <v>1991</v>
      </c>
      <c r="D2189" t="s">
        <v>4034</v>
      </c>
      <c r="F2189" t="s">
        <v>4031</v>
      </c>
      <c r="G2189" t="s">
        <v>3166</v>
      </c>
      <c r="H2189" t="s">
        <v>4035</v>
      </c>
      <c r="I2189" t="s">
        <v>3474</v>
      </c>
      <c r="J2189" t="s">
        <v>20</v>
      </c>
      <c r="K2189" t="s">
        <v>21</v>
      </c>
      <c r="L2189" t="s">
        <v>1425</v>
      </c>
      <c r="N2189" t="s">
        <v>909</v>
      </c>
      <c r="O2189" t="s">
        <v>4036</v>
      </c>
    </row>
    <row r="2190" spans="1:15" x14ac:dyDescent="0.25">
      <c r="A2190">
        <v>2189</v>
      </c>
      <c r="B2190" t="str">
        <f>HYPERLINK("https://digitalcommons.unl.edu/cgi/viewcontent.cgi?article=2972&amp;context=tractormuseumlit","Click for test report")</f>
        <v>Click for test report</v>
      </c>
      <c r="C2190">
        <v>1991</v>
      </c>
      <c r="D2190" t="s">
        <v>4030</v>
      </c>
      <c r="F2190" t="s">
        <v>4031</v>
      </c>
      <c r="G2190" t="s">
        <v>3166</v>
      </c>
      <c r="H2190" t="s">
        <v>4032</v>
      </c>
      <c r="I2190" t="s">
        <v>3474</v>
      </c>
      <c r="J2190" t="s">
        <v>20</v>
      </c>
      <c r="K2190" t="s">
        <v>21</v>
      </c>
      <c r="L2190" t="s">
        <v>2880</v>
      </c>
      <c r="N2190" t="s">
        <v>836</v>
      </c>
      <c r="O2190" t="s">
        <v>4033</v>
      </c>
    </row>
    <row r="2191" spans="1:15" x14ac:dyDescent="0.25">
      <c r="A2191">
        <v>2190</v>
      </c>
      <c r="B2191" t="str">
        <f>HYPERLINK("https://digitalcommons.unl.edu/cgi/viewcontent.cgi?article=2984&amp;context=tractormuseumlit","Click for test report")</f>
        <v>Click for test report</v>
      </c>
      <c r="C2191">
        <v>1991</v>
      </c>
      <c r="D2191" t="s">
        <v>4028</v>
      </c>
      <c r="E2191" t="s">
        <v>4029</v>
      </c>
      <c r="F2191" t="s">
        <v>17</v>
      </c>
      <c r="G2191" t="s">
        <v>17</v>
      </c>
      <c r="H2191" t="s">
        <v>4020</v>
      </c>
      <c r="I2191" t="s">
        <v>28</v>
      </c>
      <c r="J2191" t="s">
        <v>20</v>
      </c>
      <c r="K2191" t="s">
        <v>21</v>
      </c>
      <c r="L2191" t="s">
        <v>818</v>
      </c>
      <c r="N2191" t="s">
        <v>119</v>
      </c>
      <c r="O2191" t="s">
        <v>4021</v>
      </c>
    </row>
    <row r="2192" spans="1:15" x14ac:dyDescent="0.25">
      <c r="A2192">
        <v>2191</v>
      </c>
      <c r="B2192" t="str">
        <f>HYPERLINK("https://digitalcommons.unl.edu/cgi/viewcontent.cgi?article=2985&amp;context=tractormuseumlit","Click for test report")</f>
        <v>Click for test report</v>
      </c>
      <c r="C2192">
        <v>1991</v>
      </c>
      <c r="D2192" t="s">
        <v>4026</v>
      </c>
      <c r="E2192" t="s">
        <v>4027</v>
      </c>
      <c r="F2192" t="s">
        <v>17</v>
      </c>
      <c r="G2192" t="s">
        <v>17</v>
      </c>
      <c r="H2192" t="s">
        <v>4016</v>
      </c>
      <c r="I2192" t="s">
        <v>28</v>
      </c>
      <c r="J2192" t="s">
        <v>20</v>
      </c>
      <c r="K2192" t="s">
        <v>21</v>
      </c>
      <c r="L2192" t="s">
        <v>1240</v>
      </c>
      <c r="N2192" t="s">
        <v>325</v>
      </c>
      <c r="O2192" t="s">
        <v>4017</v>
      </c>
    </row>
    <row r="2193" spans="1:15" x14ac:dyDescent="0.25">
      <c r="A2193">
        <v>2192</v>
      </c>
      <c r="B2193" t="str">
        <f>HYPERLINK("https://digitalcommons.unl.edu/cgi/viewcontent.cgi?article=2986&amp;context=tractormuseumlit","Click for test report")</f>
        <v>Click for test report</v>
      </c>
      <c r="C2193">
        <v>1991</v>
      </c>
      <c r="D2193" t="s">
        <v>4022</v>
      </c>
      <c r="E2193" t="s">
        <v>4023</v>
      </c>
      <c r="F2193" t="s">
        <v>17</v>
      </c>
      <c r="G2193" t="s">
        <v>17</v>
      </c>
      <c r="H2193" t="s">
        <v>4024</v>
      </c>
      <c r="I2193" t="s">
        <v>28</v>
      </c>
      <c r="J2193" t="s">
        <v>20</v>
      </c>
      <c r="K2193" t="s">
        <v>21</v>
      </c>
      <c r="L2193" t="s">
        <v>892</v>
      </c>
      <c r="N2193" t="s">
        <v>821</v>
      </c>
      <c r="O2193" t="s">
        <v>4025</v>
      </c>
    </row>
    <row r="2194" spans="1:15" x14ac:dyDescent="0.25">
      <c r="A2194">
        <v>2193</v>
      </c>
      <c r="B2194" t="str">
        <f>HYPERLINK("https://digitalcommons.unl.edu/cgi/viewcontent.cgi?article=2993&amp;context=tractormuseumlit","Click for test report")</f>
        <v>Click for test report</v>
      </c>
      <c r="C2194">
        <v>1991</v>
      </c>
      <c r="D2194" t="s">
        <v>4018</v>
      </c>
      <c r="E2194" t="s">
        <v>4019</v>
      </c>
      <c r="F2194" t="s">
        <v>17</v>
      </c>
      <c r="G2194" t="s">
        <v>17</v>
      </c>
      <c r="H2194" t="s">
        <v>4020</v>
      </c>
      <c r="I2194" t="s">
        <v>1961</v>
      </c>
      <c r="J2194" t="s">
        <v>348</v>
      </c>
      <c r="K2194" t="s">
        <v>21</v>
      </c>
      <c r="L2194" t="s">
        <v>818</v>
      </c>
      <c r="N2194" t="s">
        <v>1042</v>
      </c>
      <c r="O2194" t="s">
        <v>4021</v>
      </c>
    </row>
    <row r="2195" spans="1:15" x14ac:dyDescent="0.25">
      <c r="A2195">
        <v>2194</v>
      </c>
      <c r="B2195" t="str">
        <f>HYPERLINK("https://digitalcommons.unl.edu/cgi/viewcontent.cgi?article=2994&amp;context=tractormuseumlit","Click for test report")</f>
        <v>Click for test report</v>
      </c>
      <c r="C2195">
        <v>1991</v>
      </c>
      <c r="D2195" t="s">
        <v>4014</v>
      </c>
      <c r="E2195" t="s">
        <v>4015</v>
      </c>
      <c r="F2195" t="s">
        <v>17</v>
      </c>
      <c r="G2195" t="s">
        <v>17</v>
      </c>
      <c r="H2195" t="s">
        <v>4016</v>
      </c>
      <c r="I2195" t="s">
        <v>1961</v>
      </c>
      <c r="J2195" t="s">
        <v>348</v>
      </c>
      <c r="K2195" t="s">
        <v>21</v>
      </c>
      <c r="L2195" t="s">
        <v>1240</v>
      </c>
      <c r="N2195" t="s">
        <v>818</v>
      </c>
      <c r="O2195" t="s">
        <v>4017</v>
      </c>
    </row>
    <row r="2196" spans="1:15" x14ac:dyDescent="0.25">
      <c r="A2196">
        <v>2195</v>
      </c>
      <c r="B2196" t="str">
        <f>HYPERLINK("https://digitalcommons.unl.edu/cgi/viewcontent.cgi?article=3005&amp;context=tractormuseumlit","Click for test report")</f>
        <v>Click for test report</v>
      </c>
      <c r="C2196">
        <v>1991</v>
      </c>
      <c r="D2196" t="s">
        <v>4009</v>
      </c>
      <c r="E2196" t="s">
        <v>4010</v>
      </c>
      <c r="F2196" t="s">
        <v>3900</v>
      </c>
      <c r="G2196" t="s">
        <v>3708</v>
      </c>
      <c r="H2196" t="s">
        <v>4011</v>
      </c>
      <c r="I2196" t="s">
        <v>50</v>
      </c>
      <c r="J2196" t="s">
        <v>20</v>
      </c>
      <c r="K2196" t="s">
        <v>21</v>
      </c>
      <c r="L2196" t="s">
        <v>4012</v>
      </c>
      <c r="N2196" t="s">
        <v>4013</v>
      </c>
      <c r="O2196" t="s">
        <v>24</v>
      </c>
    </row>
    <row r="2197" spans="1:15" x14ac:dyDescent="0.25">
      <c r="A2197">
        <v>2196</v>
      </c>
      <c r="B2197" t="str">
        <f>HYPERLINK("https://digitalcommons.unl.edu/cgi/viewcontent.cgi?article=3006&amp;context=tractormuseumlit","Click for test report")</f>
        <v>Click for test report</v>
      </c>
      <c r="C2197">
        <v>1991</v>
      </c>
      <c r="D2197" t="s">
        <v>4005</v>
      </c>
      <c r="E2197" t="s">
        <v>4006</v>
      </c>
      <c r="F2197" t="s">
        <v>3900</v>
      </c>
      <c r="G2197" t="s">
        <v>3708</v>
      </c>
      <c r="H2197" t="s">
        <v>4007</v>
      </c>
      <c r="I2197" t="s">
        <v>50</v>
      </c>
      <c r="J2197" t="s">
        <v>20</v>
      </c>
      <c r="K2197" t="s">
        <v>21</v>
      </c>
      <c r="L2197" t="s">
        <v>1802</v>
      </c>
      <c r="N2197" t="s">
        <v>4008</v>
      </c>
      <c r="O2197" t="s">
        <v>24</v>
      </c>
    </row>
    <row r="2198" spans="1:15" x14ac:dyDescent="0.25">
      <c r="A2198">
        <v>2197</v>
      </c>
      <c r="B2198" t="str">
        <f>HYPERLINK("https://digitalcommons.unl.edu/cgi/viewcontent.cgi?article=3007&amp;context=tractormuseumlit","Click for test report")</f>
        <v>Click for test report</v>
      </c>
      <c r="C2198">
        <v>1991</v>
      </c>
      <c r="D2198" t="s">
        <v>4003</v>
      </c>
      <c r="E2198" t="s">
        <v>4004</v>
      </c>
      <c r="F2198" t="s">
        <v>3900</v>
      </c>
      <c r="G2198" t="s">
        <v>3708</v>
      </c>
      <c r="H2198" t="s">
        <v>3719</v>
      </c>
      <c r="I2198" t="s">
        <v>50</v>
      </c>
      <c r="J2198" t="s">
        <v>20</v>
      </c>
      <c r="K2198" t="s">
        <v>21</v>
      </c>
      <c r="L2198" t="s">
        <v>2511</v>
      </c>
      <c r="N2198" t="s">
        <v>1802</v>
      </c>
      <c r="O2198" t="s">
        <v>24</v>
      </c>
    </row>
    <row r="2199" spans="1:15" x14ac:dyDescent="0.25">
      <c r="A2199">
        <v>2198</v>
      </c>
      <c r="B2199" t="str">
        <f>HYPERLINK("https://digitalcommons.unl.edu/cgi/viewcontent.cgi?article=3008&amp;context=tractormuseumlit","Click for test report")</f>
        <v>Click for test report</v>
      </c>
      <c r="C2199">
        <v>1991</v>
      </c>
      <c r="D2199" t="s">
        <v>4000</v>
      </c>
      <c r="E2199" t="s">
        <v>4001</v>
      </c>
      <c r="F2199" t="s">
        <v>3900</v>
      </c>
      <c r="G2199" t="s">
        <v>3708</v>
      </c>
      <c r="H2199" t="s">
        <v>4002</v>
      </c>
      <c r="I2199" t="s">
        <v>50</v>
      </c>
      <c r="J2199" t="s">
        <v>20</v>
      </c>
      <c r="K2199" t="s">
        <v>21</v>
      </c>
      <c r="L2199" t="s">
        <v>1970</v>
      </c>
      <c r="N2199" t="s">
        <v>410</v>
      </c>
      <c r="O2199" t="s">
        <v>24</v>
      </c>
    </row>
    <row r="2200" spans="1:15" x14ac:dyDescent="0.25">
      <c r="A2200">
        <v>2199</v>
      </c>
      <c r="B2200" t="str">
        <f>HYPERLINK("https://digitalcommons.unl.edu/cgi/viewcontent.cgi?article=3009&amp;context=tractormuseumlit","Click for test report")</f>
        <v>Click for test report</v>
      </c>
      <c r="C2200">
        <v>1991</v>
      </c>
      <c r="D2200" t="s">
        <v>3997</v>
      </c>
      <c r="E2200" t="s">
        <v>3998</v>
      </c>
      <c r="F2200" t="s">
        <v>3900</v>
      </c>
      <c r="G2200" t="s">
        <v>3708</v>
      </c>
      <c r="H2200" t="s">
        <v>3999</v>
      </c>
      <c r="I2200" t="s">
        <v>28</v>
      </c>
      <c r="J2200" t="s">
        <v>20</v>
      </c>
      <c r="K2200" t="s">
        <v>21</v>
      </c>
      <c r="L2200" t="s">
        <v>794</v>
      </c>
      <c r="N2200" t="s">
        <v>368</v>
      </c>
      <c r="O2200" t="s">
        <v>24</v>
      </c>
    </row>
    <row r="2201" spans="1:15" x14ac:dyDescent="0.25">
      <c r="A2201">
        <v>2200</v>
      </c>
      <c r="B2201" t="str">
        <f>HYPERLINK("https://digitalcommons.unl.edu/cgi/viewcontent.cgi?article=3010&amp;context=tractormuseumlit","Click for test report")</f>
        <v>Click for test report</v>
      </c>
      <c r="C2201">
        <v>1991</v>
      </c>
      <c r="D2201" t="s">
        <v>3995</v>
      </c>
      <c r="E2201" t="s">
        <v>3996</v>
      </c>
      <c r="F2201" t="s">
        <v>3900</v>
      </c>
      <c r="G2201" t="s">
        <v>3708</v>
      </c>
      <c r="H2201" t="s">
        <v>1118</v>
      </c>
      <c r="I2201" t="s">
        <v>28</v>
      </c>
      <c r="J2201" t="s">
        <v>20</v>
      </c>
      <c r="K2201" t="s">
        <v>21</v>
      </c>
      <c r="L2201" t="s">
        <v>474</v>
      </c>
      <c r="N2201" t="s">
        <v>126</v>
      </c>
      <c r="O2201" t="s">
        <v>24</v>
      </c>
    </row>
    <row r="2202" spans="1:15" x14ac:dyDescent="0.25">
      <c r="A2202">
        <v>2201</v>
      </c>
      <c r="B2202" t="str">
        <f>HYPERLINK("https://digitalcommons.unl.edu/cgi/viewcontent.cgi?article=3011&amp;context=tractormuseumlit","Click for test report")</f>
        <v>Click for test report</v>
      </c>
      <c r="C2202">
        <v>1991</v>
      </c>
      <c r="D2202" t="s">
        <v>3992</v>
      </c>
      <c r="E2202" t="s">
        <v>3993</v>
      </c>
      <c r="F2202" t="s">
        <v>3900</v>
      </c>
      <c r="G2202" t="s">
        <v>3708</v>
      </c>
      <c r="H2202" t="s">
        <v>3994</v>
      </c>
      <c r="I2202" t="s">
        <v>28</v>
      </c>
      <c r="J2202" t="s">
        <v>20</v>
      </c>
      <c r="K2202" t="s">
        <v>21</v>
      </c>
      <c r="L2202" t="s">
        <v>76</v>
      </c>
      <c r="N2202" t="s">
        <v>1262</v>
      </c>
      <c r="O2202" t="s">
        <v>24</v>
      </c>
    </row>
    <row r="2203" spans="1:15" x14ac:dyDescent="0.25">
      <c r="A2203">
        <v>2202</v>
      </c>
      <c r="B2203" t="str">
        <f>HYPERLINK("https://digitalcommons.unl.edu/cgi/viewcontent.cgi?article=3012&amp;context=tractormuseumlit","Click for test report")</f>
        <v>Click for test report</v>
      </c>
      <c r="C2203">
        <v>1991</v>
      </c>
      <c r="D2203" t="s">
        <v>3990</v>
      </c>
      <c r="E2203" t="s">
        <v>3991</v>
      </c>
      <c r="F2203" t="s">
        <v>3800</v>
      </c>
      <c r="G2203" t="s">
        <v>191</v>
      </c>
      <c r="H2203" t="s">
        <v>2121</v>
      </c>
      <c r="I2203" t="s">
        <v>28</v>
      </c>
      <c r="J2203" t="s">
        <v>29</v>
      </c>
      <c r="K2203" t="s">
        <v>21</v>
      </c>
      <c r="L2203" t="s">
        <v>66</v>
      </c>
      <c r="N2203" t="s">
        <v>1240</v>
      </c>
      <c r="O2203" t="s">
        <v>24</v>
      </c>
    </row>
    <row r="2204" spans="1:15" x14ac:dyDescent="0.25">
      <c r="A2204">
        <v>2203</v>
      </c>
      <c r="B2204" t="str">
        <f>HYPERLINK("https://digitalcommons.unl.edu/cgi/viewcontent.cgi?article=3012&amp;context=tractormuseumlit","Click for test report")</f>
        <v>Click for test report</v>
      </c>
      <c r="C2204">
        <v>1991</v>
      </c>
      <c r="D2204" t="s">
        <v>3990</v>
      </c>
      <c r="E2204" t="s">
        <v>3991</v>
      </c>
      <c r="F2204" t="s">
        <v>3800</v>
      </c>
      <c r="G2204" t="s">
        <v>3652</v>
      </c>
      <c r="H2204" t="s">
        <v>2121</v>
      </c>
      <c r="I2204" t="s">
        <v>28</v>
      </c>
      <c r="J2204" t="s">
        <v>29</v>
      </c>
      <c r="K2204" t="s">
        <v>21</v>
      </c>
      <c r="L2204" t="s">
        <v>66</v>
      </c>
      <c r="N2204" t="s">
        <v>1240</v>
      </c>
      <c r="O2204" t="s">
        <v>24</v>
      </c>
    </row>
    <row r="2205" spans="1:15" x14ac:dyDescent="0.25">
      <c r="A2205">
        <v>2204</v>
      </c>
      <c r="B2205" t="str">
        <f>HYPERLINK("https://digitalcommons.unl.edu/cgi/viewcontent.cgi?article=3013&amp;context=tractormuseumlit","Click for test report")</f>
        <v>Click for test report</v>
      </c>
      <c r="C2205">
        <v>1991</v>
      </c>
      <c r="D2205" t="s">
        <v>3988</v>
      </c>
      <c r="E2205" t="s">
        <v>3989</v>
      </c>
      <c r="F2205" t="s">
        <v>3800</v>
      </c>
      <c r="G2205" t="s">
        <v>191</v>
      </c>
      <c r="H2205" t="s">
        <v>3734</v>
      </c>
      <c r="I2205" t="s">
        <v>28</v>
      </c>
      <c r="J2205" t="s">
        <v>29</v>
      </c>
      <c r="K2205" t="s">
        <v>21</v>
      </c>
      <c r="L2205" t="s">
        <v>75</v>
      </c>
      <c r="N2205" t="s">
        <v>115</v>
      </c>
      <c r="O2205" t="s">
        <v>24</v>
      </c>
    </row>
    <row r="2206" spans="1:15" x14ac:dyDescent="0.25">
      <c r="A2206">
        <v>2205</v>
      </c>
      <c r="B2206" t="str">
        <f>HYPERLINK("https://digitalcommons.unl.edu/cgi/viewcontent.cgi?article=3013&amp;context=tractormuseumlit","Click for test report")</f>
        <v>Click for test report</v>
      </c>
      <c r="C2206">
        <v>1991</v>
      </c>
      <c r="D2206" t="s">
        <v>3988</v>
      </c>
      <c r="E2206" t="s">
        <v>3989</v>
      </c>
      <c r="F2206" t="s">
        <v>3800</v>
      </c>
      <c r="G2206" t="s">
        <v>3652</v>
      </c>
      <c r="H2206" t="s">
        <v>3734</v>
      </c>
      <c r="I2206" t="s">
        <v>28</v>
      </c>
      <c r="J2206" t="s">
        <v>29</v>
      </c>
      <c r="K2206" t="s">
        <v>21</v>
      </c>
      <c r="L2206" t="s">
        <v>75</v>
      </c>
      <c r="N2206" t="s">
        <v>115</v>
      </c>
      <c r="O2206" t="s">
        <v>24</v>
      </c>
    </row>
    <row r="2207" spans="1:15" x14ac:dyDescent="0.25">
      <c r="A2207">
        <v>2206</v>
      </c>
      <c r="B2207" t="str">
        <f>HYPERLINK("https://digitalcommons.unl.edu/cgi/viewcontent.cgi?article=3014&amp;context=tractormuseumlit","Click for test report")</f>
        <v>Click for test report</v>
      </c>
      <c r="C2207">
        <v>1991</v>
      </c>
      <c r="D2207" t="s">
        <v>3984</v>
      </c>
      <c r="E2207" t="s">
        <v>3985</v>
      </c>
      <c r="F2207" t="s">
        <v>3800</v>
      </c>
      <c r="G2207" t="s">
        <v>191</v>
      </c>
      <c r="H2207" t="s">
        <v>3986</v>
      </c>
      <c r="I2207" t="s">
        <v>28</v>
      </c>
      <c r="J2207" t="s">
        <v>29</v>
      </c>
      <c r="K2207" t="s">
        <v>21</v>
      </c>
      <c r="L2207" t="s">
        <v>3987</v>
      </c>
      <c r="N2207" t="s">
        <v>212</v>
      </c>
      <c r="O2207" t="s">
        <v>24</v>
      </c>
    </row>
    <row r="2208" spans="1:15" x14ac:dyDescent="0.25">
      <c r="A2208">
        <v>2207</v>
      </c>
      <c r="B2208" t="str">
        <f>HYPERLINK("https://digitalcommons.unl.edu/cgi/viewcontent.cgi?article=3014&amp;context=tractormuseumlit","Click for test report")</f>
        <v>Click for test report</v>
      </c>
      <c r="C2208">
        <v>1991</v>
      </c>
      <c r="D2208" t="s">
        <v>3984</v>
      </c>
      <c r="E2208" t="s">
        <v>3985</v>
      </c>
      <c r="F2208" t="s">
        <v>3800</v>
      </c>
      <c r="G2208" t="s">
        <v>3652</v>
      </c>
      <c r="H2208" t="s">
        <v>3986</v>
      </c>
      <c r="I2208" t="s">
        <v>28</v>
      </c>
      <c r="J2208" t="s">
        <v>29</v>
      </c>
      <c r="K2208" t="s">
        <v>21</v>
      </c>
      <c r="L2208" t="s">
        <v>3987</v>
      </c>
      <c r="N2208" t="s">
        <v>212</v>
      </c>
      <c r="O2208" t="s">
        <v>24</v>
      </c>
    </row>
    <row r="2209" spans="1:15" x14ac:dyDescent="0.25">
      <c r="A2209">
        <v>2208</v>
      </c>
      <c r="B2209" t="str">
        <f>HYPERLINK("https://digitalcommons.unl.edu/cgi/viewcontent.cgi?article=3015&amp;context=tractormuseumlit","Click for test report")</f>
        <v>Click for test report</v>
      </c>
      <c r="C2209">
        <v>1991</v>
      </c>
      <c r="D2209" t="s">
        <v>3981</v>
      </c>
      <c r="E2209" t="s">
        <v>3982</v>
      </c>
      <c r="F2209" t="s">
        <v>3800</v>
      </c>
      <c r="G2209" t="s">
        <v>191</v>
      </c>
      <c r="H2209" t="s">
        <v>3983</v>
      </c>
      <c r="I2209" t="s">
        <v>28</v>
      </c>
      <c r="J2209" t="s">
        <v>29</v>
      </c>
      <c r="K2209" t="s">
        <v>21</v>
      </c>
      <c r="L2209" t="s">
        <v>1947</v>
      </c>
      <c r="N2209" t="s">
        <v>1590</v>
      </c>
      <c r="O2209" t="s">
        <v>24</v>
      </c>
    </row>
    <row r="2210" spans="1:15" x14ac:dyDescent="0.25">
      <c r="A2210">
        <v>2209</v>
      </c>
      <c r="B2210" t="str">
        <f>HYPERLINK("https://digitalcommons.unl.edu/cgi/viewcontent.cgi?article=3015&amp;context=tractormuseumlit","Click for test report")</f>
        <v>Click for test report</v>
      </c>
      <c r="C2210">
        <v>1991</v>
      </c>
      <c r="D2210" t="s">
        <v>3981</v>
      </c>
      <c r="E2210" t="s">
        <v>3982</v>
      </c>
      <c r="F2210" t="s">
        <v>3800</v>
      </c>
      <c r="G2210" t="s">
        <v>3652</v>
      </c>
      <c r="H2210" t="s">
        <v>3983</v>
      </c>
      <c r="I2210" t="s">
        <v>28</v>
      </c>
      <c r="J2210" t="s">
        <v>29</v>
      </c>
      <c r="K2210" t="s">
        <v>21</v>
      </c>
      <c r="L2210" t="s">
        <v>1947</v>
      </c>
      <c r="N2210" t="s">
        <v>1590</v>
      </c>
      <c r="O2210" t="s">
        <v>24</v>
      </c>
    </row>
    <row r="2211" spans="1:15" x14ac:dyDescent="0.25">
      <c r="A2211">
        <v>2210</v>
      </c>
      <c r="B2211" t="str">
        <f>HYPERLINK("https://digitalcommons.unl.edu/cgi/viewcontent.cgi?article=3016&amp;context=tractormuseumlit","Click for test report")</f>
        <v>Click for test report</v>
      </c>
      <c r="C2211">
        <v>1991</v>
      </c>
      <c r="D2211" t="s">
        <v>3912</v>
      </c>
      <c r="E2211" t="s">
        <v>3913</v>
      </c>
      <c r="F2211" t="s">
        <v>3442</v>
      </c>
      <c r="G2211" t="s">
        <v>3442</v>
      </c>
      <c r="H2211" t="s">
        <v>3980</v>
      </c>
      <c r="I2211" t="s">
        <v>28</v>
      </c>
      <c r="J2211" t="s">
        <v>96</v>
      </c>
      <c r="K2211" t="s">
        <v>21</v>
      </c>
      <c r="L2211" t="s">
        <v>1237</v>
      </c>
      <c r="N2211" t="s">
        <v>1543</v>
      </c>
      <c r="O2211" t="s">
        <v>24</v>
      </c>
    </row>
    <row r="2212" spans="1:15" x14ac:dyDescent="0.25">
      <c r="A2212">
        <v>2211</v>
      </c>
      <c r="B2212" t="str">
        <f>HYPERLINK("https://digitalcommons.unl.edu/cgi/viewcontent.cgi?article=3017&amp;context=tractormuseumlit","Click for test report")</f>
        <v>Click for test report</v>
      </c>
      <c r="C2212">
        <v>1991</v>
      </c>
      <c r="D2212" t="s">
        <v>3908</v>
      </c>
      <c r="E2212" t="s">
        <v>3909</v>
      </c>
      <c r="F2212" t="s">
        <v>3442</v>
      </c>
      <c r="G2212" t="s">
        <v>3442</v>
      </c>
      <c r="H2212" t="s">
        <v>3979</v>
      </c>
      <c r="I2212" t="s">
        <v>28</v>
      </c>
      <c r="J2212" t="s">
        <v>96</v>
      </c>
      <c r="K2212" t="s">
        <v>21</v>
      </c>
      <c r="L2212" t="s">
        <v>1176</v>
      </c>
      <c r="N2212" t="s">
        <v>609</v>
      </c>
      <c r="O2212" t="s">
        <v>24</v>
      </c>
    </row>
    <row r="2213" spans="1:15" x14ac:dyDescent="0.25">
      <c r="A2213">
        <v>2212</v>
      </c>
      <c r="B2213" t="str">
        <f>HYPERLINK("https://digitalcommons.unl.edu/cgi/viewcontent.cgi?article=3018&amp;context=tractormuseumlit","Click for test report")</f>
        <v>Click for test report</v>
      </c>
      <c r="C2213">
        <v>1991</v>
      </c>
      <c r="D2213" t="s">
        <v>3582</v>
      </c>
      <c r="F2213" t="s">
        <v>3583</v>
      </c>
      <c r="G2213" t="s">
        <v>3514</v>
      </c>
      <c r="H2213" t="s">
        <v>3978</v>
      </c>
      <c r="I2213" t="s">
        <v>50</v>
      </c>
      <c r="J2213" t="s">
        <v>20</v>
      </c>
      <c r="K2213" t="s">
        <v>21</v>
      </c>
      <c r="L2213" t="s">
        <v>725</v>
      </c>
      <c r="N2213" t="s">
        <v>1970</v>
      </c>
      <c r="O2213" t="s">
        <v>3587</v>
      </c>
    </row>
    <row r="2214" spans="1:15" x14ac:dyDescent="0.25">
      <c r="A2214">
        <v>2213</v>
      </c>
      <c r="B2214" t="str">
        <f>HYPERLINK("https://digitalcommons.unl.edu/cgi/viewcontent.cgi?article=3018&amp;context=tractormuseumlit","Click for test report")</f>
        <v>Click for test report</v>
      </c>
      <c r="C2214">
        <v>1991</v>
      </c>
      <c r="D2214" t="s">
        <v>3582</v>
      </c>
      <c r="F2214" t="s">
        <v>3583</v>
      </c>
      <c r="G2214" t="s">
        <v>3514</v>
      </c>
      <c r="H2214" t="s">
        <v>3977</v>
      </c>
      <c r="I2214" t="s">
        <v>50</v>
      </c>
      <c r="J2214" t="s">
        <v>20</v>
      </c>
      <c r="K2214" t="s">
        <v>21</v>
      </c>
      <c r="L2214" t="s">
        <v>725</v>
      </c>
      <c r="N2214" t="s">
        <v>1970</v>
      </c>
      <c r="O2214" t="s">
        <v>3585</v>
      </c>
    </row>
    <row r="2215" spans="1:15" x14ac:dyDescent="0.25">
      <c r="A2215">
        <v>2214</v>
      </c>
      <c r="B2215" t="str">
        <f>HYPERLINK("https://digitalcommons.unl.edu/cgi/viewcontent.cgi?article=3018&amp;context=tractormuseumlit","Click for test report")</f>
        <v>Click for test report</v>
      </c>
      <c r="C2215">
        <v>1991</v>
      </c>
      <c r="D2215" t="s">
        <v>3582</v>
      </c>
      <c r="F2215" t="s">
        <v>3583</v>
      </c>
      <c r="G2215" t="s">
        <v>3514</v>
      </c>
      <c r="H2215" t="s">
        <v>3976</v>
      </c>
      <c r="I2215" t="s">
        <v>50</v>
      </c>
      <c r="J2215" t="s">
        <v>20</v>
      </c>
      <c r="K2215" t="s">
        <v>21</v>
      </c>
      <c r="L2215" t="s">
        <v>725</v>
      </c>
      <c r="N2215" t="s">
        <v>1970</v>
      </c>
      <c r="O2215" t="s">
        <v>24</v>
      </c>
    </row>
    <row r="2216" spans="1:15" x14ac:dyDescent="0.25">
      <c r="A2216">
        <v>2215</v>
      </c>
      <c r="B2216" t="str">
        <f>HYPERLINK("https://digitalcommons.unl.edu/cgi/viewcontent.cgi?article=3018&amp;context=tractormuseumlit","Click for test report")</f>
        <v>Click for test report</v>
      </c>
      <c r="C2216">
        <v>1991</v>
      </c>
      <c r="D2216" t="s">
        <v>3582</v>
      </c>
      <c r="F2216" t="s">
        <v>3583</v>
      </c>
      <c r="G2216" t="s">
        <v>3514</v>
      </c>
      <c r="H2216" t="s">
        <v>3975</v>
      </c>
      <c r="I2216" t="s">
        <v>50</v>
      </c>
      <c r="J2216" t="s">
        <v>20</v>
      </c>
      <c r="K2216" t="s">
        <v>21</v>
      </c>
      <c r="L2216" t="s">
        <v>725</v>
      </c>
      <c r="N2216" t="s">
        <v>1970</v>
      </c>
      <c r="O2216" t="s">
        <v>24</v>
      </c>
    </row>
    <row r="2217" spans="1:15" x14ac:dyDescent="0.25">
      <c r="A2217">
        <v>2216</v>
      </c>
      <c r="B2217" t="str">
        <f>HYPERLINK("https://digitalcommons.unl.edu/cgi/viewcontent.cgi?article=3698&amp;context=tractormuseumlit","Click for test report")</f>
        <v>Click for test report</v>
      </c>
      <c r="C2217">
        <v>1992</v>
      </c>
      <c r="E2217" t="s">
        <v>3971</v>
      </c>
      <c r="F2217" t="s">
        <v>3964</v>
      </c>
      <c r="G2217" t="s">
        <v>191</v>
      </c>
      <c r="H2217" t="s">
        <v>3972</v>
      </c>
      <c r="I2217" t="s">
        <v>50</v>
      </c>
      <c r="J2217" t="s">
        <v>20</v>
      </c>
      <c r="K2217" t="s">
        <v>21</v>
      </c>
      <c r="L2217" t="s">
        <v>2090</v>
      </c>
      <c r="N2217" t="s">
        <v>3973</v>
      </c>
      <c r="O2217" t="s">
        <v>3974</v>
      </c>
    </row>
    <row r="2218" spans="1:15" x14ac:dyDescent="0.25">
      <c r="A2218">
        <v>2217</v>
      </c>
      <c r="B2218" t="str">
        <f>HYPERLINK("https://digitalcommons.unl.edu/cgi/viewcontent.cgi?article=3699&amp;context=tractormuseumlit","Click for test report")</f>
        <v>Click for test report</v>
      </c>
      <c r="C2218">
        <v>1992</v>
      </c>
      <c r="E2218" t="s">
        <v>3968</v>
      </c>
      <c r="F2218" t="s">
        <v>3964</v>
      </c>
      <c r="G2218" t="s">
        <v>191</v>
      </c>
      <c r="H2218" t="s">
        <v>3969</v>
      </c>
      <c r="I2218" t="s">
        <v>50</v>
      </c>
      <c r="J2218" t="s">
        <v>20</v>
      </c>
      <c r="K2218" t="s">
        <v>21</v>
      </c>
      <c r="L2218" t="s">
        <v>743</v>
      </c>
      <c r="N2218" t="s">
        <v>1864</v>
      </c>
      <c r="O2218" t="s">
        <v>3970</v>
      </c>
    </row>
    <row r="2219" spans="1:15" x14ac:dyDescent="0.25">
      <c r="A2219">
        <v>2218</v>
      </c>
      <c r="B2219" t="str">
        <f>HYPERLINK("https://digitalcommons.unl.edu/cgi/viewcontent.cgi?article=3324&amp;context=tractormuseumlit","Click for test report")</f>
        <v>Click for test report</v>
      </c>
      <c r="C2219">
        <v>1992</v>
      </c>
      <c r="E2219" t="s">
        <v>3963</v>
      </c>
      <c r="F2219" t="s">
        <v>3964</v>
      </c>
      <c r="G2219" t="s">
        <v>191</v>
      </c>
      <c r="H2219" t="s">
        <v>3965</v>
      </c>
      <c r="I2219" t="s">
        <v>50</v>
      </c>
      <c r="J2219" t="s">
        <v>348</v>
      </c>
      <c r="K2219" t="s">
        <v>21</v>
      </c>
      <c r="L2219" t="s">
        <v>3319</v>
      </c>
      <c r="N2219" t="s">
        <v>2188</v>
      </c>
      <c r="O2219" t="s">
        <v>3967</v>
      </c>
    </row>
    <row r="2220" spans="1:15" x14ac:dyDescent="0.25">
      <c r="A2220">
        <v>2219</v>
      </c>
      <c r="B2220" t="str">
        <f>HYPERLINK("https://digitalcommons.unl.edu/cgi/viewcontent.cgi?article=3324&amp;context=tractormuseumlit","Click for test report")</f>
        <v>Click for test report</v>
      </c>
      <c r="C2220">
        <v>1992</v>
      </c>
      <c r="E2220" t="s">
        <v>3963</v>
      </c>
      <c r="F2220" t="s">
        <v>3964</v>
      </c>
      <c r="G2220" t="s">
        <v>191</v>
      </c>
      <c r="H2220" t="s">
        <v>3965</v>
      </c>
      <c r="I2220" t="s">
        <v>50</v>
      </c>
      <c r="J2220" t="s">
        <v>348</v>
      </c>
      <c r="K2220" t="s">
        <v>21</v>
      </c>
      <c r="L2220" t="s">
        <v>1650</v>
      </c>
      <c r="N2220" t="s">
        <v>2188</v>
      </c>
      <c r="O2220" t="s">
        <v>3966</v>
      </c>
    </row>
    <row r="2221" spans="1:15" x14ac:dyDescent="0.25">
      <c r="A2221">
        <v>2220</v>
      </c>
      <c r="B2221" t="str">
        <f>HYPERLINK("https://digitalcommons.unl.edu/cgi/viewcontent.cgi?article=3735&amp;context=tractormuseumlit","Click for test report")</f>
        <v>Click for test report</v>
      </c>
      <c r="C2221">
        <v>1992</v>
      </c>
      <c r="E2221" t="s">
        <v>3961</v>
      </c>
      <c r="F2221" t="s">
        <v>3704</v>
      </c>
      <c r="G2221" t="s">
        <v>3168</v>
      </c>
      <c r="H2221" t="s">
        <v>3289</v>
      </c>
      <c r="I2221" t="s">
        <v>50</v>
      </c>
      <c r="J2221" t="s">
        <v>20</v>
      </c>
      <c r="K2221" t="s">
        <v>21</v>
      </c>
      <c r="L2221" t="s">
        <v>571</v>
      </c>
      <c r="N2221" t="s">
        <v>716</v>
      </c>
      <c r="O2221" t="s">
        <v>3962</v>
      </c>
    </row>
    <row r="2222" spans="1:15" x14ac:dyDescent="0.25">
      <c r="A2222">
        <v>2221</v>
      </c>
      <c r="B2222" t="str">
        <f>HYPERLINK("https://digitalcommons.unl.edu/cgi/viewcontent.cgi?article=3737&amp;context=tractormuseumlit","Click for test report")</f>
        <v>Click for test report</v>
      </c>
      <c r="C2222">
        <v>1992</v>
      </c>
      <c r="E2222" t="s">
        <v>3958</v>
      </c>
      <c r="F2222" t="s">
        <v>3704</v>
      </c>
      <c r="G2222" t="s">
        <v>3168</v>
      </c>
      <c r="H2222" t="s">
        <v>3959</v>
      </c>
      <c r="I2222" t="s">
        <v>1961</v>
      </c>
      <c r="J2222" t="s">
        <v>20</v>
      </c>
      <c r="K2222" t="s">
        <v>21</v>
      </c>
      <c r="L2222" t="s">
        <v>567</v>
      </c>
      <c r="N2222" t="s">
        <v>375</v>
      </c>
      <c r="O2222" t="s">
        <v>3960</v>
      </c>
    </row>
    <row r="2223" spans="1:15" x14ac:dyDescent="0.25">
      <c r="A2223">
        <v>2222</v>
      </c>
      <c r="B2223" t="str">
        <f>HYPERLINK("https://digitalcommons.unl.edu/cgi/viewcontent.cgi?article=3743&amp;context=tractormuseumlit","Click for test report")</f>
        <v>Click for test report</v>
      </c>
      <c r="C2223">
        <v>1992</v>
      </c>
      <c r="E2223" t="s">
        <v>3955</v>
      </c>
      <c r="F2223" t="s">
        <v>3949</v>
      </c>
      <c r="G2223" t="s">
        <v>3166</v>
      </c>
      <c r="H2223" t="s">
        <v>3956</v>
      </c>
      <c r="I2223" t="s">
        <v>50</v>
      </c>
      <c r="J2223" t="s">
        <v>20</v>
      </c>
      <c r="K2223" t="s">
        <v>21</v>
      </c>
      <c r="L2223" t="s">
        <v>1864</v>
      </c>
      <c r="N2223" t="s">
        <v>1994</v>
      </c>
      <c r="O2223" t="s">
        <v>3957</v>
      </c>
    </row>
    <row r="2224" spans="1:15" x14ac:dyDescent="0.25">
      <c r="A2224">
        <v>2223</v>
      </c>
      <c r="B2224" t="str">
        <f>HYPERLINK("https://digitalcommons.unl.edu/cgi/viewcontent.cgi?article=3744&amp;context=tractormuseumlit","Click for test report")</f>
        <v>Click for test report</v>
      </c>
      <c r="C2224">
        <v>1992</v>
      </c>
      <c r="E2224" t="s">
        <v>3952</v>
      </c>
      <c r="F2224" t="s">
        <v>3949</v>
      </c>
      <c r="G2224" t="s">
        <v>3166</v>
      </c>
      <c r="H2224" t="s">
        <v>3953</v>
      </c>
      <c r="I2224" t="s">
        <v>50</v>
      </c>
      <c r="J2224" t="s">
        <v>20</v>
      </c>
      <c r="K2224" t="s">
        <v>21</v>
      </c>
      <c r="L2224" t="s">
        <v>1864</v>
      </c>
      <c r="N2224" t="s">
        <v>1970</v>
      </c>
      <c r="O2224" t="s">
        <v>3954</v>
      </c>
    </row>
    <row r="2225" spans="1:15" x14ac:dyDescent="0.25">
      <c r="A2225">
        <v>2224</v>
      </c>
      <c r="B2225" t="str">
        <f>HYPERLINK("https://digitalcommons.unl.edu/cgi/viewcontent.cgi?article=3745&amp;context=tractormuseumlit","Click for test report")</f>
        <v>Click for test report</v>
      </c>
      <c r="C2225">
        <v>1992</v>
      </c>
      <c r="E2225" t="s">
        <v>3948</v>
      </c>
      <c r="F2225" t="s">
        <v>3949</v>
      </c>
      <c r="G2225" t="s">
        <v>3166</v>
      </c>
      <c r="H2225" t="s">
        <v>3950</v>
      </c>
      <c r="I2225" t="s">
        <v>50</v>
      </c>
      <c r="J2225" t="s">
        <v>20</v>
      </c>
      <c r="K2225" t="s">
        <v>21</v>
      </c>
      <c r="L2225" t="s">
        <v>344</v>
      </c>
      <c r="N2225" t="s">
        <v>2030</v>
      </c>
      <c r="O2225" t="s">
        <v>3951</v>
      </c>
    </row>
    <row r="2226" spans="1:15" x14ac:dyDescent="0.25">
      <c r="A2226">
        <v>2225</v>
      </c>
      <c r="B2226" t="str">
        <f>HYPERLINK("https://digitalcommons.unl.edu/cgi/viewcontent.cgi?article=4314&amp;context=tractormuseumlit","Click for test report")</f>
        <v>Click for test report</v>
      </c>
      <c r="C2226">
        <v>1992</v>
      </c>
      <c r="E2226" t="s">
        <v>3945</v>
      </c>
      <c r="F2226" t="s">
        <v>3704</v>
      </c>
      <c r="G2226" t="s">
        <v>3166</v>
      </c>
      <c r="H2226" t="s">
        <v>3946</v>
      </c>
      <c r="I2226" t="s">
        <v>50</v>
      </c>
      <c r="J2226" t="s">
        <v>20</v>
      </c>
      <c r="K2226" t="s">
        <v>21</v>
      </c>
      <c r="L2226" t="s">
        <v>677</v>
      </c>
      <c r="N2226" t="s">
        <v>461</v>
      </c>
      <c r="O2226" t="s">
        <v>3947</v>
      </c>
    </row>
    <row r="2227" spans="1:15" x14ac:dyDescent="0.25">
      <c r="A2227">
        <v>2226</v>
      </c>
      <c r="B2227" t="str">
        <f>HYPERLINK("https://digitalcommons.unl.edu/cgi/viewcontent.cgi?article=3755&amp;context=tractormuseumlit","Click for test report")</f>
        <v>Click for test report</v>
      </c>
      <c r="C2227">
        <v>1992</v>
      </c>
      <c r="E2227" t="s">
        <v>3943</v>
      </c>
      <c r="F2227" t="s">
        <v>2062</v>
      </c>
      <c r="G2227" t="s">
        <v>778</v>
      </c>
      <c r="H2227" t="s">
        <v>3944</v>
      </c>
      <c r="I2227" t="s">
        <v>19</v>
      </c>
      <c r="J2227" t="s">
        <v>348</v>
      </c>
      <c r="K2227" t="s">
        <v>21</v>
      </c>
      <c r="L2227" t="s">
        <v>520</v>
      </c>
      <c r="N2227" t="s">
        <v>1830</v>
      </c>
      <c r="O2227" t="s">
        <v>24</v>
      </c>
    </row>
    <row r="2228" spans="1:15" x14ac:dyDescent="0.25">
      <c r="A2228">
        <v>2227</v>
      </c>
      <c r="B2228" t="str">
        <f>HYPERLINK("https://digitalcommons.unl.edu/cgi/viewcontent.cgi?article=3755&amp;context=tractormuseumlit","Click for test report")</f>
        <v>Click for test report</v>
      </c>
      <c r="C2228">
        <v>1992</v>
      </c>
      <c r="E2228" t="s">
        <v>3943</v>
      </c>
      <c r="F2228" t="s">
        <v>2062</v>
      </c>
      <c r="G2228" t="s">
        <v>778</v>
      </c>
      <c r="H2228" t="s">
        <v>3944</v>
      </c>
      <c r="I2228" t="s">
        <v>19</v>
      </c>
      <c r="J2228" t="s">
        <v>20</v>
      </c>
      <c r="K2228" t="s">
        <v>21</v>
      </c>
      <c r="L2228" t="s">
        <v>520</v>
      </c>
      <c r="N2228" t="s">
        <v>325</v>
      </c>
      <c r="O2228" t="s">
        <v>24</v>
      </c>
    </row>
    <row r="2229" spans="1:15" x14ac:dyDescent="0.25">
      <c r="A2229">
        <v>2228</v>
      </c>
      <c r="B2229" t="str">
        <f>HYPERLINK("https://digitalcommons.unl.edu/cgi/viewcontent.cgi?article=3756&amp;context=tractormuseumlit","Click for test report")</f>
        <v>Click for test report</v>
      </c>
      <c r="C2229">
        <v>1992</v>
      </c>
      <c r="E2229" t="s">
        <v>3941</v>
      </c>
      <c r="F2229" t="s">
        <v>2986</v>
      </c>
      <c r="G2229" t="s">
        <v>778</v>
      </c>
      <c r="H2229" t="s">
        <v>3942</v>
      </c>
      <c r="I2229" t="s">
        <v>50</v>
      </c>
      <c r="J2229" t="s">
        <v>348</v>
      </c>
      <c r="K2229" t="s">
        <v>21</v>
      </c>
      <c r="L2229" t="s">
        <v>735</v>
      </c>
      <c r="N2229" t="s">
        <v>3152</v>
      </c>
      <c r="O2229" t="s">
        <v>24</v>
      </c>
    </row>
    <row r="2230" spans="1:15" x14ac:dyDescent="0.25">
      <c r="A2230">
        <v>2229</v>
      </c>
      <c r="B2230" t="str">
        <f>HYPERLINK("https://digitalcommons.unl.edu/cgi/viewcontent.cgi?article=3757&amp;context=tractormuseumlit","Click for test report")</f>
        <v>Click for test report</v>
      </c>
      <c r="C2230">
        <v>1992</v>
      </c>
      <c r="E2230" t="s">
        <v>3937</v>
      </c>
      <c r="F2230" t="s">
        <v>2986</v>
      </c>
      <c r="G2230" t="s">
        <v>778</v>
      </c>
      <c r="H2230" t="s">
        <v>3938</v>
      </c>
      <c r="I2230" t="s">
        <v>50</v>
      </c>
      <c r="J2230" t="s">
        <v>20</v>
      </c>
      <c r="K2230" t="s">
        <v>21</v>
      </c>
      <c r="L2230" t="s">
        <v>343</v>
      </c>
      <c r="N2230" t="s">
        <v>764</v>
      </c>
      <c r="O2230" t="s">
        <v>3940</v>
      </c>
    </row>
    <row r="2231" spans="1:15" x14ac:dyDescent="0.25">
      <c r="A2231">
        <v>2230</v>
      </c>
      <c r="B2231" t="str">
        <f>HYPERLINK("https://digitalcommons.unl.edu/cgi/viewcontent.cgi?article=3757&amp;context=tractormuseumlit","Click for test report")</f>
        <v>Click for test report</v>
      </c>
      <c r="C2231">
        <v>1992</v>
      </c>
      <c r="E2231" t="s">
        <v>3937</v>
      </c>
      <c r="F2231" t="s">
        <v>2986</v>
      </c>
      <c r="G2231" t="s">
        <v>778</v>
      </c>
      <c r="H2231" t="s">
        <v>3938</v>
      </c>
      <c r="I2231" t="s">
        <v>50</v>
      </c>
      <c r="J2231" t="s">
        <v>20</v>
      </c>
      <c r="K2231" t="s">
        <v>21</v>
      </c>
      <c r="L2231" t="s">
        <v>55</v>
      </c>
      <c r="N2231" t="s">
        <v>764</v>
      </c>
      <c r="O2231" t="s">
        <v>3939</v>
      </c>
    </row>
    <row r="2232" spans="1:15" x14ac:dyDescent="0.25">
      <c r="A2232">
        <v>2231</v>
      </c>
      <c r="B2232" t="str">
        <f>HYPERLINK("https://digitalcommons.unl.edu/cgi/viewcontent.cgi?article=3761&amp;context=tractormuseumlit","Click for test report")</f>
        <v>Click for test report</v>
      </c>
      <c r="C2232">
        <v>1992</v>
      </c>
      <c r="E2232" t="s">
        <v>3933</v>
      </c>
      <c r="F2232" t="s">
        <v>2986</v>
      </c>
      <c r="G2232" t="s">
        <v>778</v>
      </c>
      <c r="H2232" t="s">
        <v>3934</v>
      </c>
      <c r="I2232" t="s">
        <v>50</v>
      </c>
      <c r="J2232" t="s">
        <v>20</v>
      </c>
      <c r="K2232" t="s">
        <v>21</v>
      </c>
      <c r="L2232" t="s">
        <v>461</v>
      </c>
      <c r="N2232" t="s">
        <v>743</v>
      </c>
      <c r="O2232" t="s">
        <v>3936</v>
      </c>
    </row>
    <row r="2233" spans="1:15" x14ac:dyDescent="0.25">
      <c r="A2233">
        <v>2232</v>
      </c>
      <c r="B2233" t="str">
        <f>HYPERLINK("https://digitalcommons.unl.edu/cgi/viewcontent.cgi?article=3761&amp;context=tractormuseumlit","Click for test report")</f>
        <v>Click for test report</v>
      </c>
      <c r="C2233">
        <v>1992</v>
      </c>
      <c r="E2233" t="s">
        <v>3933</v>
      </c>
      <c r="F2233" t="s">
        <v>2986</v>
      </c>
      <c r="G2233" t="s">
        <v>778</v>
      </c>
      <c r="H2233" t="s">
        <v>3934</v>
      </c>
      <c r="I2233" t="s">
        <v>50</v>
      </c>
      <c r="J2233" t="s">
        <v>20</v>
      </c>
      <c r="K2233" t="s">
        <v>21</v>
      </c>
      <c r="L2233" t="s">
        <v>713</v>
      </c>
      <c r="N2233" t="s">
        <v>743</v>
      </c>
      <c r="O2233" t="s">
        <v>3935</v>
      </c>
    </row>
    <row r="2234" spans="1:15" x14ac:dyDescent="0.25">
      <c r="A2234">
        <v>2233</v>
      </c>
      <c r="B2234" t="str">
        <f>HYPERLINK("https://digitalcommons.unl.edu/cgi/viewcontent.cgi?article=3771&amp;context=tractormuseumlit","Click for test report")</f>
        <v>Click for test report</v>
      </c>
      <c r="C2234">
        <v>1992</v>
      </c>
      <c r="E2234" t="s">
        <v>3931</v>
      </c>
      <c r="F2234" t="s">
        <v>2986</v>
      </c>
      <c r="G2234" t="s">
        <v>3708</v>
      </c>
      <c r="H2234" t="s">
        <v>3932</v>
      </c>
      <c r="I2234" t="s">
        <v>50</v>
      </c>
      <c r="J2234" t="s">
        <v>20</v>
      </c>
      <c r="K2234" t="s">
        <v>21</v>
      </c>
      <c r="L2234" t="s">
        <v>2030</v>
      </c>
      <c r="N2234" t="s">
        <v>2029</v>
      </c>
      <c r="O2234" t="s">
        <v>3921</v>
      </c>
    </row>
    <row r="2235" spans="1:15" x14ac:dyDescent="0.25">
      <c r="A2235">
        <v>2234</v>
      </c>
      <c r="B2235" t="str">
        <f>HYPERLINK("https://digitalcommons.unl.edu/cgi/viewcontent.cgi?article=3771&amp;context=tractormuseumlit","Click for test report")</f>
        <v>Click for test report</v>
      </c>
      <c r="C2235">
        <v>1992</v>
      </c>
      <c r="E2235" t="s">
        <v>3931</v>
      </c>
      <c r="F2235" t="s">
        <v>2986</v>
      </c>
      <c r="G2235" t="s">
        <v>3708</v>
      </c>
      <c r="H2235" t="s">
        <v>3932</v>
      </c>
      <c r="I2235" t="s">
        <v>50</v>
      </c>
      <c r="J2235" t="s">
        <v>20</v>
      </c>
      <c r="K2235" t="s">
        <v>21</v>
      </c>
      <c r="L2235" t="s">
        <v>1257</v>
      </c>
      <c r="N2235" t="s">
        <v>2029</v>
      </c>
      <c r="O2235" t="s">
        <v>3922</v>
      </c>
    </row>
    <row r="2236" spans="1:15" x14ac:dyDescent="0.25">
      <c r="A2236">
        <v>2235</v>
      </c>
      <c r="B2236" t="str">
        <f>HYPERLINK("https://digitalcommons.unl.edu/cgi/viewcontent.cgi?article=3772&amp;context=tractormuseumlit","Click for test report")</f>
        <v>Click for test report</v>
      </c>
      <c r="C2236">
        <v>1992</v>
      </c>
      <c r="E2236" t="s">
        <v>3929</v>
      </c>
      <c r="F2236" t="s">
        <v>3919</v>
      </c>
      <c r="G2236" t="s">
        <v>3708</v>
      </c>
      <c r="H2236" t="s">
        <v>3930</v>
      </c>
      <c r="I2236" t="s">
        <v>50</v>
      </c>
      <c r="J2236" t="s">
        <v>20</v>
      </c>
      <c r="K2236" t="s">
        <v>21</v>
      </c>
      <c r="L2236" t="s">
        <v>740</v>
      </c>
      <c r="N2236" t="s">
        <v>747</v>
      </c>
      <c r="O2236" t="s">
        <v>3922</v>
      </c>
    </row>
    <row r="2237" spans="1:15" x14ac:dyDescent="0.25">
      <c r="A2237">
        <v>2236</v>
      </c>
      <c r="B2237" t="str">
        <f>HYPERLINK("https://digitalcommons.unl.edu/cgi/viewcontent.cgi?article=3772&amp;context=tractormuseumlit","Click for test report")</f>
        <v>Click for test report</v>
      </c>
      <c r="C2237">
        <v>1992</v>
      </c>
      <c r="E2237" t="s">
        <v>3929</v>
      </c>
      <c r="F2237" t="s">
        <v>3919</v>
      </c>
      <c r="G2237" t="s">
        <v>3708</v>
      </c>
      <c r="H2237" t="s">
        <v>3930</v>
      </c>
      <c r="I2237" t="s">
        <v>50</v>
      </c>
      <c r="J2237" t="s">
        <v>20</v>
      </c>
      <c r="K2237" t="s">
        <v>21</v>
      </c>
      <c r="L2237" t="s">
        <v>378</v>
      </c>
      <c r="N2237" t="s">
        <v>747</v>
      </c>
      <c r="O2237" t="s">
        <v>3921</v>
      </c>
    </row>
    <row r="2238" spans="1:15" x14ac:dyDescent="0.25">
      <c r="A2238">
        <v>2237</v>
      </c>
      <c r="B2238" t="str">
        <f>HYPERLINK("https://digitalcommons.unl.edu/cgi/viewcontent.cgi?article=3773&amp;context=tractormuseumlit","Click for test report")</f>
        <v>Click for test report</v>
      </c>
      <c r="C2238">
        <v>1992</v>
      </c>
      <c r="E2238" t="s">
        <v>3927</v>
      </c>
      <c r="F2238" t="s">
        <v>3919</v>
      </c>
      <c r="G2238" t="s">
        <v>3708</v>
      </c>
      <c r="H2238" t="s">
        <v>3928</v>
      </c>
      <c r="I2238" t="s">
        <v>50</v>
      </c>
      <c r="J2238" t="s">
        <v>20</v>
      </c>
      <c r="K2238" t="s">
        <v>21</v>
      </c>
      <c r="L2238" t="s">
        <v>55</v>
      </c>
      <c r="N2238" t="s">
        <v>743</v>
      </c>
      <c r="O2238" t="s">
        <v>3922</v>
      </c>
    </row>
    <row r="2239" spans="1:15" x14ac:dyDescent="0.25">
      <c r="A2239">
        <v>2238</v>
      </c>
      <c r="B2239" t="str">
        <f>HYPERLINK("https://digitalcommons.unl.edu/cgi/viewcontent.cgi?article=3773&amp;context=tractormuseumlit","Click for test report")</f>
        <v>Click for test report</v>
      </c>
      <c r="C2239">
        <v>1992</v>
      </c>
      <c r="E2239" t="s">
        <v>3927</v>
      </c>
      <c r="F2239" t="s">
        <v>3919</v>
      </c>
      <c r="G2239" t="s">
        <v>3708</v>
      </c>
      <c r="H2239" t="s">
        <v>3928</v>
      </c>
      <c r="I2239" t="s">
        <v>50</v>
      </c>
      <c r="J2239" t="s">
        <v>20</v>
      </c>
      <c r="K2239" t="s">
        <v>21</v>
      </c>
      <c r="L2239" t="s">
        <v>55</v>
      </c>
      <c r="N2239" t="s">
        <v>743</v>
      </c>
      <c r="O2239" t="s">
        <v>3921</v>
      </c>
    </row>
    <row r="2240" spans="1:15" x14ac:dyDescent="0.25">
      <c r="A2240">
        <v>2239</v>
      </c>
      <c r="B2240" t="str">
        <f>HYPERLINK("https://digitalcommons.unl.edu/cgi/viewcontent.cgi?article=3774&amp;context=tractormuseumlit","Click for test report")</f>
        <v>Click for test report</v>
      </c>
      <c r="C2240">
        <v>1992</v>
      </c>
      <c r="E2240" t="s">
        <v>3925</v>
      </c>
      <c r="F2240" t="s">
        <v>3919</v>
      </c>
      <c r="G2240" t="s">
        <v>3708</v>
      </c>
      <c r="H2240" t="s">
        <v>3926</v>
      </c>
      <c r="I2240" t="s">
        <v>19</v>
      </c>
      <c r="J2240" t="s">
        <v>20</v>
      </c>
      <c r="K2240" t="s">
        <v>21</v>
      </c>
      <c r="L2240" t="s">
        <v>562</v>
      </c>
      <c r="N2240" t="s">
        <v>58</v>
      </c>
      <c r="O2240" t="s">
        <v>3922</v>
      </c>
    </row>
    <row r="2241" spans="1:15" x14ac:dyDescent="0.25">
      <c r="A2241">
        <v>2240</v>
      </c>
      <c r="B2241" t="str">
        <f>HYPERLINK("https://digitalcommons.unl.edu/cgi/viewcontent.cgi?article=3774&amp;context=tractormuseumlit","Click for test report")</f>
        <v>Click for test report</v>
      </c>
      <c r="C2241">
        <v>1992</v>
      </c>
      <c r="E2241" t="s">
        <v>3925</v>
      </c>
      <c r="F2241" t="s">
        <v>3919</v>
      </c>
      <c r="G2241" t="s">
        <v>3708</v>
      </c>
      <c r="H2241" t="s">
        <v>3926</v>
      </c>
      <c r="I2241" t="s">
        <v>19</v>
      </c>
      <c r="J2241" t="s">
        <v>20</v>
      </c>
      <c r="K2241" t="s">
        <v>21</v>
      </c>
      <c r="L2241" t="s">
        <v>562</v>
      </c>
      <c r="N2241" t="s">
        <v>58</v>
      </c>
      <c r="O2241" t="s">
        <v>3921</v>
      </c>
    </row>
    <row r="2242" spans="1:15" x14ac:dyDescent="0.25">
      <c r="A2242">
        <v>2241</v>
      </c>
      <c r="B2242" t="str">
        <f>HYPERLINK("https://digitalcommons.unl.edu/cgi/viewcontent.cgi?article=3775&amp;context=tractormuseumlit","Click for test report")</f>
        <v>Click for test report</v>
      </c>
      <c r="C2242">
        <v>1992</v>
      </c>
      <c r="E2242" t="s">
        <v>3923</v>
      </c>
      <c r="F2242" t="s">
        <v>3919</v>
      </c>
      <c r="G2242" t="s">
        <v>3708</v>
      </c>
      <c r="H2242" t="s">
        <v>3924</v>
      </c>
      <c r="I2242" t="s">
        <v>19</v>
      </c>
      <c r="J2242" t="s">
        <v>20</v>
      </c>
      <c r="K2242" t="s">
        <v>21</v>
      </c>
      <c r="L2242" t="s">
        <v>561</v>
      </c>
      <c r="N2242" t="s">
        <v>343</v>
      </c>
      <c r="O2242" t="s">
        <v>3922</v>
      </c>
    </row>
    <row r="2243" spans="1:15" x14ac:dyDescent="0.25">
      <c r="A2243">
        <v>2242</v>
      </c>
      <c r="B2243" t="str">
        <f>HYPERLINK("https://digitalcommons.unl.edu/cgi/viewcontent.cgi?article=3775&amp;context=tractormuseumlit","Click for test report")</f>
        <v>Click for test report</v>
      </c>
      <c r="C2243">
        <v>1992</v>
      </c>
      <c r="E2243" t="s">
        <v>3923</v>
      </c>
      <c r="F2243" t="s">
        <v>3919</v>
      </c>
      <c r="G2243" t="s">
        <v>3708</v>
      </c>
      <c r="H2243" t="s">
        <v>3924</v>
      </c>
      <c r="I2243" t="s">
        <v>19</v>
      </c>
      <c r="J2243" t="s">
        <v>20</v>
      </c>
      <c r="K2243" t="s">
        <v>21</v>
      </c>
      <c r="L2243" t="s">
        <v>46</v>
      </c>
      <c r="N2243" t="s">
        <v>343</v>
      </c>
      <c r="O2243" t="s">
        <v>3921</v>
      </c>
    </row>
    <row r="2244" spans="1:15" x14ac:dyDescent="0.25">
      <c r="A2244">
        <v>2243</v>
      </c>
      <c r="B2244" t="str">
        <f>HYPERLINK("https://digitalcommons.unl.edu/cgi/viewcontent.cgi?article=3776&amp;context=tractormuseumlit","Click for test report")</f>
        <v>Click for test report</v>
      </c>
      <c r="C2244">
        <v>1992</v>
      </c>
      <c r="E2244" t="s">
        <v>3918</v>
      </c>
      <c r="F2244" t="s">
        <v>3919</v>
      </c>
      <c r="G2244" t="s">
        <v>3708</v>
      </c>
      <c r="H2244" t="s">
        <v>3920</v>
      </c>
      <c r="I2244" t="s">
        <v>19</v>
      </c>
      <c r="J2244" t="s">
        <v>20</v>
      </c>
      <c r="K2244" t="s">
        <v>21</v>
      </c>
      <c r="L2244" t="s">
        <v>45</v>
      </c>
      <c r="N2244" t="s">
        <v>52</v>
      </c>
      <c r="O2244" t="s">
        <v>3922</v>
      </c>
    </row>
    <row r="2245" spans="1:15" x14ac:dyDescent="0.25">
      <c r="A2245">
        <v>2244</v>
      </c>
      <c r="B2245" t="str">
        <f>HYPERLINK("https://digitalcommons.unl.edu/cgi/viewcontent.cgi?article=3776&amp;context=tractormuseumlit","Click for test report")</f>
        <v>Click for test report</v>
      </c>
      <c r="C2245">
        <v>1992</v>
      </c>
      <c r="E2245" t="s">
        <v>3918</v>
      </c>
      <c r="F2245" t="s">
        <v>3919</v>
      </c>
      <c r="G2245" t="s">
        <v>3708</v>
      </c>
      <c r="H2245" t="s">
        <v>3920</v>
      </c>
      <c r="I2245" t="s">
        <v>19</v>
      </c>
      <c r="J2245" t="s">
        <v>20</v>
      </c>
      <c r="K2245" t="s">
        <v>21</v>
      </c>
      <c r="L2245" t="s">
        <v>23</v>
      </c>
      <c r="N2245" t="s">
        <v>52</v>
      </c>
      <c r="O2245" t="s">
        <v>3921</v>
      </c>
    </row>
    <row r="2246" spans="1:15" x14ac:dyDescent="0.25">
      <c r="A2246">
        <v>2245</v>
      </c>
      <c r="B2246" t="str">
        <f>HYPERLINK("https://digitalcommons.unl.edu/cgi/viewcontent.cgi?article=3781&amp;context=tractormuseumlit","Click for test report")</f>
        <v>Click for test report</v>
      </c>
      <c r="C2246">
        <v>1992</v>
      </c>
      <c r="E2246" t="s">
        <v>3916</v>
      </c>
      <c r="F2246" t="s">
        <v>2062</v>
      </c>
      <c r="G2246" t="s">
        <v>778</v>
      </c>
      <c r="H2246" t="s">
        <v>3917</v>
      </c>
      <c r="I2246" t="s">
        <v>19</v>
      </c>
      <c r="J2246" t="s">
        <v>20</v>
      </c>
      <c r="K2246" t="s">
        <v>21</v>
      </c>
      <c r="L2246" t="s">
        <v>375</v>
      </c>
      <c r="N2246" t="s">
        <v>1796</v>
      </c>
      <c r="O2246" t="s">
        <v>24</v>
      </c>
    </row>
    <row r="2247" spans="1:15" x14ac:dyDescent="0.25">
      <c r="A2247">
        <v>2246</v>
      </c>
      <c r="B2247" t="str">
        <f>HYPERLINK("https://digitalcommons.unl.edu/cgi/viewcontent.cgi?article=3781&amp;context=tractormuseumlit","Click for test report")</f>
        <v>Click for test report</v>
      </c>
      <c r="C2247">
        <v>1992</v>
      </c>
      <c r="E2247" t="s">
        <v>3916</v>
      </c>
      <c r="F2247" t="s">
        <v>2062</v>
      </c>
      <c r="G2247" t="s">
        <v>778</v>
      </c>
      <c r="H2247" t="s">
        <v>3917</v>
      </c>
      <c r="I2247" t="s">
        <v>19</v>
      </c>
      <c r="J2247" t="s">
        <v>348</v>
      </c>
      <c r="K2247" t="s">
        <v>21</v>
      </c>
      <c r="L2247" t="s">
        <v>375</v>
      </c>
      <c r="N2247" t="s">
        <v>343</v>
      </c>
      <c r="O2247" t="s">
        <v>24</v>
      </c>
    </row>
    <row r="2248" spans="1:15" x14ac:dyDescent="0.25">
      <c r="A2248">
        <v>2247</v>
      </c>
      <c r="B2248" t="str">
        <f>HYPERLINK("https://digitalcommons.unl.edu/cgi/viewcontent.cgi?article=3016&amp;context=tractormuseumlit","Click for test report")</f>
        <v>Click for test report</v>
      </c>
      <c r="C2248">
        <v>1992</v>
      </c>
      <c r="D2248" t="s">
        <v>3912</v>
      </c>
      <c r="E2248" t="s">
        <v>3913</v>
      </c>
      <c r="F2248" t="s">
        <v>3442</v>
      </c>
      <c r="G2248" t="s">
        <v>3442</v>
      </c>
      <c r="H2248" t="s">
        <v>3914</v>
      </c>
      <c r="I2248" t="s">
        <v>28</v>
      </c>
      <c r="J2248" t="s">
        <v>96</v>
      </c>
      <c r="K2248" t="s">
        <v>21</v>
      </c>
      <c r="L2248" t="s">
        <v>1237</v>
      </c>
      <c r="N2248" t="s">
        <v>1543</v>
      </c>
      <c r="O2248" t="s">
        <v>3915</v>
      </c>
    </row>
    <row r="2249" spans="1:15" x14ac:dyDescent="0.25">
      <c r="A2249">
        <v>2248</v>
      </c>
      <c r="B2249" t="str">
        <f>HYPERLINK("https://digitalcommons.unl.edu/cgi/viewcontent.cgi?article=3017&amp;context=tractormuseumlit","Click for test report")</f>
        <v>Click for test report</v>
      </c>
      <c r="C2249">
        <v>1992</v>
      </c>
      <c r="D2249" t="s">
        <v>3908</v>
      </c>
      <c r="E2249" t="s">
        <v>3909</v>
      </c>
      <c r="F2249" t="s">
        <v>3442</v>
      </c>
      <c r="G2249" t="s">
        <v>3442</v>
      </c>
      <c r="H2249" t="s">
        <v>3910</v>
      </c>
      <c r="I2249" t="s">
        <v>28</v>
      </c>
      <c r="J2249" t="s">
        <v>96</v>
      </c>
      <c r="K2249" t="s">
        <v>21</v>
      </c>
      <c r="L2249" t="s">
        <v>1176</v>
      </c>
      <c r="N2249" t="s">
        <v>609</v>
      </c>
      <c r="O2249" t="s">
        <v>3911</v>
      </c>
    </row>
    <row r="2250" spans="1:15" x14ac:dyDescent="0.25">
      <c r="A2250">
        <v>2249</v>
      </c>
      <c r="B2250" t="str">
        <f>HYPERLINK("https://digitalcommons.unl.edu/cgi/viewcontent.cgi?article=3019&amp;context=tractormuseumlit","Click for test report")</f>
        <v>Click for test report</v>
      </c>
      <c r="C2250">
        <v>1992</v>
      </c>
      <c r="D2250" t="s">
        <v>3905</v>
      </c>
      <c r="E2250" t="s">
        <v>3906</v>
      </c>
      <c r="F2250" t="s">
        <v>3900</v>
      </c>
      <c r="G2250" t="s">
        <v>3708</v>
      </c>
      <c r="H2250" t="s">
        <v>3907</v>
      </c>
      <c r="I2250" t="s">
        <v>1961</v>
      </c>
      <c r="J2250" t="s">
        <v>20</v>
      </c>
      <c r="K2250" t="s">
        <v>21</v>
      </c>
      <c r="L2250" t="s">
        <v>747</v>
      </c>
      <c r="N2250" t="s">
        <v>731</v>
      </c>
      <c r="O2250" t="s">
        <v>24</v>
      </c>
    </row>
    <row r="2251" spans="1:15" x14ac:dyDescent="0.25">
      <c r="A2251">
        <v>2250</v>
      </c>
      <c r="B2251" t="str">
        <f>HYPERLINK("https://digitalcommons.unl.edu/cgi/viewcontent.cgi?article=3020&amp;context=tractormuseumlit","Click for test report")</f>
        <v>Click for test report</v>
      </c>
      <c r="C2251">
        <v>1992</v>
      </c>
      <c r="D2251" t="s">
        <v>3902</v>
      </c>
      <c r="E2251" t="s">
        <v>3903</v>
      </c>
      <c r="F2251" t="s">
        <v>3900</v>
      </c>
      <c r="G2251" t="s">
        <v>3708</v>
      </c>
      <c r="H2251" t="s">
        <v>3904</v>
      </c>
      <c r="I2251" t="s">
        <v>1961</v>
      </c>
      <c r="J2251" t="s">
        <v>20</v>
      </c>
      <c r="K2251" t="s">
        <v>21</v>
      </c>
      <c r="L2251" t="s">
        <v>740</v>
      </c>
      <c r="N2251" t="s">
        <v>1257</v>
      </c>
      <c r="O2251" t="s">
        <v>24</v>
      </c>
    </row>
    <row r="2252" spans="1:15" x14ac:dyDescent="0.25">
      <c r="A2252">
        <v>2251</v>
      </c>
      <c r="B2252" t="str">
        <f>HYPERLINK("https://digitalcommons.unl.edu/cgi/viewcontent.cgi?article=3021&amp;context=tractormuseumlit","Click for test report")</f>
        <v>Click for test report</v>
      </c>
      <c r="C2252">
        <v>1992</v>
      </c>
      <c r="D2252" t="s">
        <v>3898</v>
      </c>
      <c r="E2252" t="s">
        <v>3899</v>
      </c>
      <c r="F2252" t="s">
        <v>3900</v>
      </c>
      <c r="G2252" t="s">
        <v>3708</v>
      </c>
      <c r="H2252" t="s">
        <v>3901</v>
      </c>
      <c r="I2252" t="s">
        <v>1961</v>
      </c>
      <c r="J2252" t="s">
        <v>20</v>
      </c>
      <c r="K2252" t="s">
        <v>21</v>
      </c>
      <c r="L2252" t="s">
        <v>55</v>
      </c>
      <c r="N2252" t="s">
        <v>740</v>
      </c>
      <c r="O2252" t="s">
        <v>24</v>
      </c>
    </row>
    <row r="2253" spans="1:15" x14ac:dyDescent="0.25">
      <c r="A2253">
        <v>2252</v>
      </c>
      <c r="B2253" t="str">
        <f>HYPERLINK("https://digitalcommons.unl.edu/cgi/viewcontent.cgi?article=3022&amp;context=tractormuseumlit","Click for test report")</f>
        <v>Click for test report</v>
      </c>
      <c r="C2253">
        <v>1992</v>
      </c>
      <c r="D2253" t="s">
        <v>3895</v>
      </c>
      <c r="E2253" t="s">
        <v>3896</v>
      </c>
      <c r="F2253" t="s">
        <v>3800</v>
      </c>
      <c r="G2253" t="s">
        <v>191</v>
      </c>
      <c r="H2253" t="s">
        <v>3897</v>
      </c>
      <c r="I2253" t="s">
        <v>50</v>
      </c>
      <c r="J2253" t="s">
        <v>29</v>
      </c>
      <c r="K2253" t="s">
        <v>21</v>
      </c>
      <c r="L2253" t="s">
        <v>3059</v>
      </c>
      <c r="N2253" t="s">
        <v>301</v>
      </c>
      <c r="O2253" t="s">
        <v>24</v>
      </c>
    </row>
    <row r="2254" spans="1:15" x14ac:dyDescent="0.25">
      <c r="A2254">
        <v>2253</v>
      </c>
      <c r="B2254" t="str">
        <f>HYPERLINK("https://digitalcommons.unl.edu/cgi/viewcontent.cgi?article=3022&amp;context=tractormuseumlit","Click for test report")</f>
        <v>Click for test report</v>
      </c>
      <c r="C2254">
        <v>1992</v>
      </c>
      <c r="D2254" t="s">
        <v>3895</v>
      </c>
      <c r="E2254" t="s">
        <v>3896</v>
      </c>
      <c r="F2254" t="s">
        <v>3800</v>
      </c>
      <c r="G2254" t="s">
        <v>3652</v>
      </c>
      <c r="H2254" t="s">
        <v>3897</v>
      </c>
      <c r="I2254" t="s">
        <v>50</v>
      </c>
      <c r="J2254" t="s">
        <v>29</v>
      </c>
      <c r="K2254" t="s">
        <v>21</v>
      </c>
      <c r="L2254" t="s">
        <v>3059</v>
      </c>
      <c r="N2254" t="s">
        <v>301</v>
      </c>
      <c r="O2254" t="s">
        <v>24</v>
      </c>
    </row>
    <row r="2255" spans="1:15" x14ac:dyDescent="0.25">
      <c r="A2255">
        <v>2254</v>
      </c>
      <c r="B2255" t="str">
        <f>HYPERLINK("https://digitalcommons.unl.edu/cgi/viewcontent.cgi?article=3023&amp;context=tractormuseumlit","Click for test report")</f>
        <v>Click for test report</v>
      </c>
      <c r="C2255">
        <v>1992</v>
      </c>
      <c r="D2255" t="s">
        <v>3892</v>
      </c>
      <c r="E2255" t="s">
        <v>3893</v>
      </c>
      <c r="F2255" t="s">
        <v>17</v>
      </c>
      <c r="G2255" t="s">
        <v>17</v>
      </c>
      <c r="H2255" t="s">
        <v>3894</v>
      </c>
      <c r="I2255" t="s">
        <v>50</v>
      </c>
      <c r="J2255" t="s">
        <v>20</v>
      </c>
      <c r="K2255" t="s">
        <v>21</v>
      </c>
      <c r="L2255" t="s">
        <v>2627</v>
      </c>
      <c r="N2255" t="s">
        <v>2825</v>
      </c>
      <c r="O2255" t="s">
        <v>24</v>
      </c>
    </row>
    <row r="2256" spans="1:15" x14ac:dyDescent="0.25">
      <c r="A2256">
        <v>2255</v>
      </c>
      <c r="B2256" t="str">
        <f>HYPERLINK("https://digitalcommons.unl.edu/cgi/viewcontent.cgi?article=3024&amp;context=tractormuseumlit","Click for test report")</f>
        <v>Click for test report</v>
      </c>
      <c r="C2256">
        <v>1992</v>
      </c>
      <c r="D2256" t="s">
        <v>3889</v>
      </c>
      <c r="E2256" t="s">
        <v>3890</v>
      </c>
      <c r="F2256" t="s">
        <v>17</v>
      </c>
      <c r="G2256" t="s">
        <v>17</v>
      </c>
      <c r="H2256" t="s">
        <v>3891</v>
      </c>
      <c r="I2256" t="s">
        <v>50</v>
      </c>
      <c r="J2256" t="s">
        <v>20</v>
      </c>
      <c r="K2256" t="s">
        <v>21</v>
      </c>
      <c r="L2256" t="s">
        <v>735</v>
      </c>
      <c r="N2256" t="s">
        <v>2090</v>
      </c>
      <c r="O2256" t="s">
        <v>24</v>
      </c>
    </row>
    <row r="2257" spans="1:15" x14ac:dyDescent="0.25">
      <c r="A2257">
        <v>2256</v>
      </c>
      <c r="B2257" t="str">
        <f>HYPERLINK("https://digitalcommons.unl.edu/cgi/viewcontent.cgi?article=3025&amp;context=tractormuseumlit","Click for test report")</f>
        <v>Click for test report</v>
      </c>
      <c r="C2257">
        <v>1992</v>
      </c>
      <c r="D2257" t="s">
        <v>3886</v>
      </c>
      <c r="E2257" t="s">
        <v>3887</v>
      </c>
      <c r="F2257" t="s">
        <v>17</v>
      </c>
      <c r="G2257" t="s">
        <v>17</v>
      </c>
      <c r="H2257" t="s">
        <v>3888</v>
      </c>
      <c r="I2257" t="s">
        <v>50</v>
      </c>
      <c r="J2257" t="s">
        <v>20</v>
      </c>
      <c r="K2257" t="s">
        <v>21</v>
      </c>
      <c r="L2257" t="s">
        <v>1051</v>
      </c>
      <c r="N2257" t="s">
        <v>3319</v>
      </c>
      <c r="O2257" t="s">
        <v>24</v>
      </c>
    </row>
    <row r="2258" spans="1:15" x14ac:dyDescent="0.25">
      <c r="A2258">
        <v>2257</v>
      </c>
      <c r="B2258" t="str">
        <f>HYPERLINK("https://digitalcommons.unl.edu/cgi/viewcontent.cgi?article=3026&amp;context=tractormuseumlit","Click for test report")</f>
        <v>Click for test report</v>
      </c>
      <c r="C2258">
        <v>1992</v>
      </c>
      <c r="D2258" t="s">
        <v>3858</v>
      </c>
      <c r="E2258" t="s">
        <v>3859</v>
      </c>
      <c r="F2258" t="s">
        <v>3800</v>
      </c>
      <c r="G2258" t="s">
        <v>191</v>
      </c>
      <c r="H2258" t="s">
        <v>3885</v>
      </c>
      <c r="I2258" t="s">
        <v>28</v>
      </c>
      <c r="J2258" t="s">
        <v>20</v>
      </c>
      <c r="K2258" t="s">
        <v>21</v>
      </c>
      <c r="L2258" t="s">
        <v>1597</v>
      </c>
      <c r="N2258" t="s">
        <v>1739</v>
      </c>
      <c r="O2258" t="s">
        <v>24</v>
      </c>
    </row>
    <row r="2259" spans="1:15" x14ac:dyDescent="0.25">
      <c r="A2259">
        <v>2258</v>
      </c>
      <c r="B2259" t="str">
        <f>HYPERLINK("https://digitalcommons.unl.edu/cgi/viewcontent.cgi?article=3762&amp;context=tractormuseumlit","Click for test report")</f>
        <v>Click for test report</v>
      </c>
      <c r="C2259">
        <v>1993</v>
      </c>
      <c r="E2259" t="s">
        <v>3884</v>
      </c>
      <c r="F2259" t="s">
        <v>3878</v>
      </c>
      <c r="G2259" t="s">
        <v>191</v>
      </c>
      <c r="H2259" t="s">
        <v>3246</v>
      </c>
      <c r="I2259" t="s">
        <v>19</v>
      </c>
      <c r="J2259" t="s">
        <v>20</v>
      </c>
      <c r="K2259" t="s">
        <v>21</v>
      </c>
      <c r="L2259" t="s">
        <v>344</v>
      </c>
      <c r="N2259" t="s">
        <v>1257</v>
      </c>
      <c r="O2259" t="s">
        <v>24</v>
      </c>
    </row>
    <row r="2260" spans="1:15" x14ac:dyDescent="0.25">
      <c r="A2260">
        <v>2259</v>
      </c>
      <c r="B2260" t="str">
        <f>HYPERLINK("https://digitalcommons.unl.edu/cgi/viewcontent.cgi?article=3760&amp;context=tractormuseumlit","Click for test report")</f>
        <v>Click for test report</v>
      </c>
      <c r="C2260">
        <v>1993</v>
      </c>
      <c r="E2260" t="s">
        <v>3882</v>
      </c>
      <c r="F2260" t="s">
        <v>3878</v>
      </c>
      <c r="G2260" t="s">
        <v>191</v>
      </c>
      <c r="H2260" t="s">
        <v>3883</v>
      </c>
      <c r="I2260" t="s">
        <v>19</v>
      </c>
      <c r="J2260" t="s">
        <v>20</v>
      </c>
      <c r="K2260" t="s">
        <v>21</v>
      </c>
      <c r="L2260" t="s">
        <v>562</v>
      </c>
      <c r="N2260" t="s">
        <v>378</v>
      </c>
      <c r="O2260" t="s">
        <v>24</v>
      </c>
    </row>
    <row r="2261" spans="1:15" x14ac:dyDescent="0.25">
      <c r="A2261">
        <v>2260</v>
      </c>
      <c r="B2261" t="str">
        <f>HYPERLINK("https://digitalcommons.unl.edu/cgi/viewcontent.cgi?article=3763&amp;context=tractormuseumlit","Click for test report")</f>
        <v>Click for test report</v>
      </c>
      <c r="C2261">
        <v>1993</v>
      </c>
      <c r="E2261" t="s">
        <v>3880</v>
      </c>
      <c r="F2261" t="s">
        <v>3878</v>
      </c>
      <c r="G2261" t="s">
        <v>191</v>
      </c>
      <c r="H2261" t="s">
        <v>3881</v>
      </c>
      <c r="I2261" t="s">
        <v>19</v>
      </c>
      <c r="J2261" t="s">
        <v>20</v>
      </c>
      <c r="K2261" t="s">
        <v>21</v>
      </c>
      <c r="L2261" t="s">
        <v>51</v>
      </c>
      <c r="N2261" t="s">
        <v>713</v>
      </c>
      <c r="O2261" t="s">
        <v>24</v>
      </c>
    </row>
    <row r="2262" spans="1:15" x14ac:dyDescent="0.25">
      <c r="A2262">
        <v>2261</v>
      </c>
      <c r="B2262" t="str">
        <f>HYPERLINK("https://digitalcommons.unl.edu/cgi/viewcontent.cgi?article=3764&amp;context=tractormuseumlit","Click for test report")</f>
        <v>Click for test report</v>
      </c>
      <c r="C2262">
        <v>1993</v>
      </c>
      <c r="E2262" t="s">
        <v>3877</v>
      </c>
      <c r="F2262" t="s">
        <v>3878</v>
      </c>
      <c r="G2262" t="s">
        <v>191</v>
      </c>
      <c r="H2262" t="s">
        <v>3879</v>
      </c>
      <c r="I2262" t="s">
        <v>19</v>
      </c>
      <c r="J2262" t="s">
        <v>20</v>
      </c>
      <c r="K2262" t="s">
        <v>21</v>
      </c>
      <c r="L2262" t="s">
        <v>22</v>
      </c>
      <c r="N2262" t="s">
        <v>368</v>
      </c>
      <c r="O2262" t="s">
        <v>24</v>
      </c>
    </row>
    <row r="2263" spans="1:15" x14ac:dyDescent="0.25">
      <c r="A2263">
        <v>2262</v>
      </c>
      <c r="B2263" t="str">
        <f>HYPERLINK("https://digitalcommons.unl.edu/cgi/viewcontent.cgi?article=3777&amp;context=tractormuseumlit","Click for test report")</f>
        <v>Click for test report</v>
      </c>
      <c r="C2263">
        <v>1993</v>
      </c>
      <c r="E2263" t="s">
        <v>3875</v>
      </c>
      <c r="F2263" t="s">
        <v>2062</v>
      </c>
      <c r="G2263" t="s">
        <v>778</v>
      </c>
      <c r="H2263" t="s">
        <v>3876</v>
      </c>
      <c r="I2263" t="s">
        <v>19</v>
      </c>
      <c r="J2263" t="s">
        <v>20</v>
      </c>
      <c r="K2263" t="s">
        <v>21</v>
      </c>
      <c r="L2263" t="s">
        <v>55</v>
      </c>
      <c r="N2263" t="s">
        <v>565</v>
      </c>
      <c r="O2263" t="s">
        <v>24</v>
      </c>
    </row>
    <row r="2264" spans="1:15" x14ac:dyDescent="0.25">
      <c r="A2264">
        <v>2263</v>
      </c>
      <c r="B2264" t="str">
        <f>HYPERLINK("https://digitalcommons.unl.edu/cgi/viewcontent.cgi?article=3777&amp;context=tractormuseumlit","Click for test report")</f>
        <v>Click for test report</v>
      </c>
      <c r="C2264">
        <v>1993</v>
      </c>
      <c r="E2264" t="s">
        <v>3875</v>
      </c>
      <c r="F2264" t="s">
        <v>2062</v>
      </c>
      <c r="G2264" t="s">
        <v>778</v>
      </c>
      <c r="H2264" t="s">
        <v>3876</v>
      </c>
      <c r="I2264" t="s">
        <v>19</v>
      </c>
      <c r="J2264" t="s">
        <v>348</v>
      </c>
      <c r="K2264" t="s">
        <v>21</v>
      </c>
      <c r="L2264" t="s">
        <v>55</v>
      </c>
      <c r="N2264" t="s">
        <v>343</v>
      </c>
      <c r="O2264" t="s">
        <v>24</v>
      </c>
    </row>
    <row r="2265" spans="1:15" x14ac:dyDescent="0.25">
      <c r="A2265">
        <v>2264</v>
      </c>
      <c r="B2265" t="str">
        <f>HYPERLINK("https://digitalcommons.unl.edu/cgi/viewcontent.cgi?article=3778&amp;context=tractormuseumlit","Click for test report")</f>
        <v>Click for test report</v>
      </c>
      <c r="C2265">
        <v>1993</v>
      </c>
      <c r="E2265" t="s">
        <v>3873</v>
      </c>
      <c r="F2265" t="s">
        <v>2062</v>
      </c>
      <c r="G2265" t="s">
        <v>778</v>
      </c>
      <c r="H2265" t="s">
        <v>3874</v>
      </c>
      <c r="I2265" t="s">
        <v>19</v>
      </c>
      <c r="J2265" t="s">
        <v>20</v>
      </c>
      <c r="K2265" t="s">
        <v>21</v>
      </c>
      <c r="L2265" t="s">
        <v>23</v>
      </c>
      <c r="N2265" t="s">
        <v>123</v>
      </c>
      <c r="O2265" t="s">
        <v>24</v>
      </c>
    </row>
    <row r="2266" spans="1:15" x14ac:dyDescent="0.25">
      <c r="A2266">
        <v>2265</v>
      </c>
      <c r="B2266" t="str">
        <f>HYPERLINK("https://digitalcommons.unl.edu/cgi/viewcontent.cgi?article=3778&amp;context=tractormuseumlit","Click for test report")</f>
        <v>Click for test report</v>
      </c>
      <c r="C2266">
        <v>1993</v>
      </c>
      <c r="E2266" t="s">
        <v>3873</v>
      </c>
      <c r="F2266" t="s">
        <v>2062</v>
      </c>
      <c r="G2266" t="s">
        <v>778</v>
      </c>
      <c r="H2266" t="s">
        <v>3874</v>
      </c>
      <c r="I2266" t="s">
        <v>19</v>
      </c>
      <c r="J2266" t="s">
        <v>348</v>
      </c>
      <c r="K2266" t="s">
        <v>21</v>
      </c>
      <c r="L2266" t="s">
        <v>23</v>
      </c>
      <c r="N2266" t="s">
        <v>375</v>
      </c>
      <c r="O2266" t="s">
        <v>24</v>
      </c>
    </row>
    <row r="2267" spans="1:15" x14ac:dyDescent="0.25">
      <c r="A2267">
        <v>2266</v>
      </c>
      <c r="B2267" t="str">
        <f>HYPERLINK("https://digitalcommons.unl.edu/cgi/viewcontent.cgi?article=3822&amp;context=tractormuseumlit","Click for test report")</f>
        <v>Click for test report</v>
      </c>
      <c r="C2267">
        <v>1993</v>
      </c>
      <c r="E2267" t="s">
        <v>3870</v>
      </c>
      <c r="F2267" t="s">
        <v>3704</v>
      </c>
      <c r="G2267" t="s">
        <v>3168</v>
      </c>
      <c r="H2267" t="s">
        <v>3871</v>
      </c>
      <c r="I2267" t="s">
        <v>50</v>
      </c>
      <c r="J2267" t="s">
        <v>20</v>
      </c>
      <c r="K2267" t="s">
        <v>21</v>
      </c>
      <c r="L2267" t="s">
        <v>410</v>
      </c>
      <c r="N2267" t="s">
        <v>2090</v>
      </c>
      <c r="O2267" t="s">
        <v>3872</v>
      </c>
    </row>
    <row r="2268" spans="1:15" x14ac:dyDescent="0.25">
      <c r="A2268">
        <v>2267</v>
      </c>
      <c r="B2268" t="str">
        <f>HYPERLINK("https://digitalcommons.unl.edu/cgi/viewcontent.cgi?article=3823&amp;context=tractormuseumlit","Click for test report")</f>
        <v>Click for test report</v>
      </c>
      <c r="C2268">
        <v>1993</v>
      </c>
      <c r="E2268" t="s">
        <v>3867</v>
      </c>
      <c r="F2268" t="s">
        <v>3704</v>
      </c>
      <c r="G2268" t="s">
        <v>3168</v>
      </c>
      <c r="H2268" t="s">
        <v>3868</v>
      </c>
      <c r="I2268" t="s">
        <v>50</v>
      </c>
      <c r="J2268" t="s">
        <v>20</v>
      </c>
      <c r="K2268" t="s">
        <v>21</v>
      </c>
      <c r="L2268" t="s">
        <v>2029</v>
      </c>
      <c r="N2268" t="s">
        <v>2188</v>
      </c>
      <c r="O2268" t="s">
        <v>3869</v>
      </c>
    </row>
    <row r="2269" spans="1:15" x14ac:dyDescent="0.25">
      <c r="A2269">
        <v>2268</v>
      </c>
      <c r="B2269" t="str">
        <f>HYPERLINK("https://digitalcommons.unl.edu/cgi/viewcontent.cgi?article=2973&amp;context=tractormuseumlit","Click for test report")</f>
        <v>Click for test report</v>
      </c>
      <c r="C2269">
        <v>1993</v>
      </c>
      <c r="D2269" t="s">
        <v>3865</v>
      </c>
      <c r="F2269" t="s">
        <v>3800</v>
      </c>
      <c r="G2269" t="s">
        <v>191</v>
      </c>
      <c r="H2269" t="s">
        <v>3535</v>
      </c>
      <c r="I2269" t="s">
        <v>28</v>
      </c>
      <c r="J2269" t="s">
        <v>20</v>
      </c>
      <c r="K2269" t="s">
        <v>21</v>
      </c>
      <c r="L2269" t="s">
        <v>119</v>
      </c>
      <c r="N2269" t="s">
        <v>122</v>
      </c>
      <c r="O2269" t="s">
        <v>3866</v>
      </c>
    </row>
    <row r="2270" spans="1:15" x14ac:dyDescent="0.25">
      <c r="A2270">
        <v>2269</v>
      </c>
      <c r="B2270" t="str">
        <f>HYPERLINK("https://digitalcommons.unl.edu/cgi/viewcontent.cgi?article=2975&amp;context=tractormuseumlit","Click for test report")</f>
        <v>Click for test report</v>
      </c>
      <c r="C2270">
        <v>1993</v>
      </c>
      <c r="D2270" t="s">
        <v>3863</v>
      </c>
      <c r="F2270" t="s">
        <v>3800</v>
      </c>
      <c r="G2270" t="s">
        <v>191</v>
      </c>
      <c r="H2270" t="s">
        <v>2180</v>
      </c>
      <c r="I2270" t="s">
        <v>28</v>
      </c>
      <c r="J2270" t="s">
        <v>20</v>
      </c>
      <c r="K2270" t="s">
        <v>21</v>
      </c>
      <c r="L2270" t="s">
        <v>1449</v>
      </c>
      <c r="N2270" t="s">
        <v>1037</v>
      </c>
      <c r="O2270" t="s">
        <v>3864</v>
      </c>
    </row>
    <row r="2271" spans="1:15" x14ac:dyDescent="0.25">
      <c r="A2271">
        <v>2270</v>
      </c>
      <c r="B2271" t="str">
        <f>HYPERLINK("https://digitalcommons.unl.edu/cgi/viewcontent.cgi?article=2976&amp;context=tractormuseumlit","Click for test report")</f>
        <v>Click for test report</v>
      </c>
      <c r="C2271">
        <v>1993</v>
      </c>
      <c r="D2271" t="s">
        <v>3861</v>
      </c>
      <c r="F2271" t="s">
        <v>3800</v>
      </c>
      <c r="G2271" t="s">
        <v>191</v>
      </c>
      <c r="H2271" t="s">
        <v>3663</v>
      </c>
      <c r="I2271" t="s">
        <v>28</v>
      </c>
      <c r="J2271" t="s">
        <v>20</v>
      </c>
      <c r="K2271" t="s">
        <v>21</v>
      </c>
      <c r="L2271" t="s">
        <v>1098</v>
      </c>
      <c r="N2271" t="s">
        <v>1430</v>
      </c>
      <c r="O2271" t="s">
        <v>3862</v>
      </c>
    </row>
    <row r="2272" spans="1:15" x14ac:dyDescent="0.25">
      <c r="A2272">
        <v>2271</v>
      </c>
      <c r="B2272" t="str">
        <f>HYPERLINK("https://digitalcommons.unl.edu/cgi/viewcontent.cgi?article=3026&amp;context=tractormuseumlit","Click for test report")</f>
        <v>Click for test report</v>
      </c>
      <c r="C2272">
        <v>1993</v>
      </c>
      <c r="D2272" t="s">
        <v>3858</v>
      </c>
      <c r="E2272" t="s">
        <v>3859</v>
      </c>
      <c r="F2272" t="s">
        <v>3800</v>
      </c>
      <c r="G2272" t="s">
        <v>191</v>
      </c>
      <c r="H2272" t="s">
        <v>3659</v>
      </c>
      <c r="I2272" t="s">
        <v>28</v>
      </c>
      <c r="J2272" t="s">
        <v>20</v>
      </c>
      <c r="K2272" t="s">
        <v>21</v>
      </c>
      <c r="L2272" t="s">
        <v>1597</v>
      </c>
      <c r="N2272" t="s">
        <v>1739</v>
      </c>
      <c r="O2272" t="s">
        <v>3860</v>
      </c>
    </row>
    <row r="2273" spans="1:15" x14ac:dyDescent="0.25">
      <c r="A2273">
        <v>2272</v>
      </c>
      <c r="B2273" t="str">
        <f>HYPERLINK("https://digitalcommons.unl.edu/cgi/viewcontent.cgi?article=3027&amp;context=tractormuseumlit","Click for test report")</f>
        <v>Click for test report</v>
      </c>
      <c r="C2273">
        <v>1993</v>
      </c>
      <c r="D2273" t="s">
        <v>3856</v>
      </c>
      <c r="E2273" t="s">
        <v>3857</v>
      </c>
      <c r="F2273" t="s">
        <v>17</v>
      </c>
      <c r="G2273" t="s">
        <v>17</v>
      </c>
      <c r="H2273" t="s">
        <v>3855</v>
      </c>
      <c r="I2273" t="s">
        <v>19</v>
      </c>
      <c r="J2273" t="s">
        <v>20</v>
      </c>
      <c r="K2273" t="s">
        <v>21</v>
      </c>
      <c r="L2273" t="s">
        <v>23</v>
      </c>
      <c r="N2273" t="s">
        <v>46</v>
      </c>
      <c r="O2273" t="s">
        <v>24</v>
      </c>
    </row>
    <row r="2274" spans="1:15" x14ac:dyDescent="0.25">
      <c r="A2274">
        <v>2273</v>
      </c>
      <c r="B2274" t="str">
        <f>HYPERLINK("https://digitalcommons.unl.edu/cgi/viewcontent.cgi?article=3028&amp;context=tractormuseumlit","Click for test report")</f>
        <v>Click for test report</v>
      </c>
      <c r="C2274">
        <v>1993</v>
      </c>
      <c r="D2274" t="s">
        <v>3853</v>
      </c>
      <c r="E2274" t="s">
        <v>3854</v>
      </c>
      <c r="F2274" t="s">
        <v>17</v>
      </c>
      <c r="G2274" t="s">
        <v>17</v>
      </c>
      <c r="H2274" t="s">
        <v>3855</v>
      </c>
      <c r="I2274" t="s">
        <v>28</v>
      </c>
      <c r="J2274" t="s">
        <v>20</v>
      </c>
      <c r="K2274" t="s">
        <v>21</v>
      </c>
      <c r="L2274" t="s">
        <v>558</v>
      </c>
      <c r="N2274" t="s">
        <v>131</v>
      </c>
      <c r="O2274" t="s">
        <v>24</v>
      </c>
    </row>
    <row r="2275" spans="1:15" x14ac:dyDescent="0.25">
      <c r="A2275">
        <v>2274</v>
      </c>
      <c r="B2275" t="str">
        <f>HYPERLINK("https://digitalcommons.unl.edu/cgi/viewcontent.cgi?article=3029&amp;context=tractormuseumlit","Click for test report")</f>
        <v>Click for test report</v>
      </c>
      <c r="C2275">
        <v>1993</v>
      </c>
      <c r="D2275" t="s">
        <v>3851</v>
      </c>
      <c r="E2275" t="s">
        <v>3852</v>
      </c>
      <c r="F2275" t="s">
        <v>17</v>
      </c>
      <c r="G2275" t="s">
        <v>17</v>
      </c>
      <c r="H2275" t="s">
        <v>3850</v>
      </c>
      <c r="I2275" t="s">
        <v>19</v>
      </c>
      <c r="J2275" t="s">
        <v>20</v>
      </c>
      <c r="K2275" t="s">
        <v>21</v>
      </c>
      <c r="L2275" t="s">
        <v>359</v>
      </c>
      <c r="N2275" t="s">
        <v>336</v>
      </c>
      <c r="O2275" t="s">
        <v>24</v>
      </c>
    </row>
    <row r="2276" spans="1:15" x14ac:dyDescent="0.25">
      <c r="A2276">
        <v>2275</v>
      </c>
      <c r="B2276" t="str">
        <f>HYPERLINK("https://digitalcommons.unl.edu/cgi/viewcontent.cgi?article=3030&amp;context=tractormuseumlit","Click for test report")</f>
        <v>Click for test report</v>
      </c>
      <c r="C2276">
        <v>1993</v>
      </c>
      <c r="D2276" t="s">
        <v>3848</v>
      </c>
      <c r="E2276" t="s">
        <v>3849</v>
      </c>
      <c r="F2276" t="s">
        <v>17</v>
      </c>
      <c r="G2276" t="s">
        <v>17</v>
      </c>
      <c r="H2276" t="s">
        <v>3850</v>
      </c>
      <c r="I2276" t="s">
        <v>28</v>
      </c>
      <c r="J2276" t="s">
        <v>20</v>
      </c>
      <c r="K2276" t="s">
        <v>21</v>
      </c>
      <c r="L2276" t="s">
        <v>359</v>
      </c>
      <c r="N2276" t="s">
        <v>558</v>
      </c>
      <c r="O2276" t="s">
        <v>24</v>
      </c>
    </row>
    <row r="2277" spans="1:15" x14ac:dyDescent="0.25">
      <c r="A2277">
        <v>2276</v>
      </c>
      <c r="B2277" t="str">
        <f>HYPERLINK("https://digitalcommons.unl.edu/cgi/viewcontent.cgi?article=3031&amp;context=tractormuseumlit","Click for test report")</f>
        <v>Click for test report</v>
      </c>
      <c r="C2277">
        <v>1993</v>
      </c>
      <c r="D2277" t="s">
        <v>3846</v>
      </c>
      <c r="E2277" t="s">
        <v>3847</v>
      </c>
      <c r="F2277" t="s">
        <v>17</v>
      </c>
      <c r="G2277" t="s">
        <v>17</v>
      </c>
      <c r="H2277" t="s">
        <v>3845</v>
      </c>
      <c r="I2277" t="s">
        <v>19</v>
      </c>
      <c r="J2277" t="s">
        <v>20</v>
      </c>
      <c r="K2277" t="s">
        <v>21</v>
      </c>
      <c r="L2277" t="s">
        <v>325</v>
      </c>
      <c r="N2277" t="s">
        <v>119</v>
      </c>
      <c r="O2277" t="s">
        <v>24</v>
      </c>
    </row>
    <row r="2278" spans="1:15" x14ac:dyDescent="0.25">
      <c r="A2278">
        <v>2277</v>
      </c>
      <c r="B2278" t="str">
        <f>HYPERLINK("https://digitalcommons.unl.edu/cgi/viewcontent.cgi?article=3032&amp;context=tractormuseumlit","Click for test report")</f>
        <v>Click for test report</v>
      </c>
      <c r="C2278">
        <v>1993</v>
      </c>
      <c r="D2278" t="s">
        <v>3843</v>
      </c>
      <c r="E2278" t="s">
        <v>3844</v>
      </c>
      <c r="F2278" t="s">
        <v>17</v>
      </c>
      <c r="G2278" t="s">
        <v>17</v>
      </c>
      <c r="H2278" t="s">
        <v>3845</v>
      </c>
      <c r="I2278" t="s">
        <v>28</v>
      </c>
      <c r="J2278" t="s">
        <v>20</v>
      </c>
      <c r="K2278" t="s">
        <v>21</v>
      </c>
      <c r="L2278" t="s">
        <v>328</v>
      </c>
      <c r="N2278" t="s">
        <v>1266</v>
      </c>
      <c r="O2278" t="s">
        <v>24</v>
      </c>
    </row>
    <row r="2279" spans="1:15" x14ac:dyDescent="0.25">
      <c r="A2279">
        <v>2278</v>
      </c>
      <c r="B2279" t="str">
        <f>HYPERLINK("https://digitalcommons.unl.edu/cgi/viewcontent.cgi?article=3033&amp;context=tractormuseumlit","Click for test report")</f>
        <v>Click for test report</v>
      </c>
      <c r="C2279">
        <v>1993</v>
      </c>
      <c r="D2279" t="s">
        <v>3840</v>
      </c>
      <c r="E2279" t="s">
        <v>3841</v>
      </c>
      <c r="F2279" t="s">
        <v>17</v>
      </c>
      <c r="G2279" t="s">
        <v>17</v>
      </c>
      <c r="H2279" t="s">
        <v>3842</v>
      </c>
      <c r="I2279" t="s">
        <v>1961</v>
      </c>
      <c r="J2279" t="s">
        <v>29</v>
      </c>
      <c r="K2279" t="s">
        <v>21</v>
      </c>
      <c r="L2279" t="s">
        <v>1124</v>
      </c>
      <c r="N2279" t="s">
        <v>161</v>
      </c>
      <c r="O2279" t="s">
        <v>24</v>
      </c>
    </row>
    <row r="2280" spans="1:15" x14ac:dyDescent="0.25">
      <c r="A2280">
        <v>2279</v>
      </c>
      <c r="B2280" t="str">
        <f>HYPERLINK("https://digitalcommons.unl.edu/cgi/viewcontent.cgi?article=3034&amp;context=tractormuseumlit","Click for test report")</f>
        <v>Click for test report</v>
      </c>
      <c r="C2280">
        <v>1993</v>
      </c>
      <c r="D2280" t="s">
        <v>3838</v>
      </c>
      <c r="E2280" t="s">
        <v>3839</v>
      </c>
      <c r="F2280" t="s">
        <v>17</v>
      </c>
      <c r="G2280" t="s">
        <v>17</v>
      </c>
      <c r="H2280" t="s">
        <v>3701</v>
      </c>
      <c r="I2280" t="s">
        <v>1961</v>
      </c>
      <c r="J2280" t="s">
        <v>29</v>
      </c>
      <c r="K2280" t="s">
        <v>21</v>
      </c>
      <c r="L2280" t="s">
        <v>955</v>
      </c>
      <c r="N2280" t="s">
        <v>964</v>
      </c>
      <c r="O2280" t="s">
        <v>24</v>
      </c>
    </row>
    <row r="2281" spans="1:15" x14ac:dyDescent="0.25">
      <c r="A2281">
        <v>2280</v>
      </c>
      <c r="B2281" t="str">
        <f>HYPERLINK("https://digitalcommons.unl.edu/cgi/viewcontent.cgi?article=3035&amp;context=tractormuseumlit","Click for test report")</f>
        <v>Click for test report</v>
      </c>
      <c r="C2281">
        <v>1993</v>
      </c>
      <c r="D2281" t="s">
        <v>3836</v>
      </c>
      <c r="E2281" t="s">
        <v>3837</v>
      </c>
      <c r="F2281" t="s">
        <v>17</v>
      </c>
      <c r="G2281" t="s">
        <v>17</v>
      </c>
      <c r="H2281" t="s">
        <v>3699</v>
      </c>
      <c r="I2281" t="s">
        <v>1961</v>
      </c>
      <c r="J2281" t="s">
        <v>29</v>
      </c>
      <c r="K2281" t="s">
        <v>21</v>
      </c>
      <c r="L2281" t="s">
        <v>429</v>
      </c>
      <c r="N2281" t="s">
        <v>226</v>
      </c>
      <c r="O2281" t="s">
        <v>24</v>
      </c>
    </row>
    <row r="2282" spans="1:15" x14ac:dyDescent="0.25">
      <c r="A2282">
        <v>2281</v>
      </c>
      <c r="B2282" t="str">
        <f>HYPERLINK("https://digitalcommons.unl.edu/cgi/viewcontent.cgi?article=3036&amp;context=tractormuseumlit","Click for test report")</f>
        <v>Click for test report</v>
      </c>
      <c r="C2282">
        <v>1993</v>
      </c>
      <c r="D2282" t="s">
        <v>3834</v>
      </c>
      <c r="E2282" t="s">
        <v>3835</v>
      </c>
      <c r="F2282" t="s">
        <v>17</v>
      </c>
      <c r="G2282" t="s">
        <v>17</v>
      </c>
      <c r="H2282" t="s">
        <v>3697</v>
      </c>
      <c r="I2282" t="s">
        <v>1961</v>
      </c>
      <c r="J2282" t="s">
        <v>29</v>
      </c>
      <c r="K2282" t="s">
        <v>21</v>
      </c>
      <c r="L2282" t="s">
        <v>1418</v>
      </c>
      <c r="N2282" t="s">
        <v>981</v>
      </c>
      <c r="O2282" t="s">
        <v>24</v>
      </c>
    </row>
    <row r="2283" spans="1:15" x14ac:dyDescent="0.25">
      <c r="A2283">
        <v>2282</v>
      </c>
      <c r="B2283" t="str">
        <f>HYPERLINK("https://digitalcommons.unl.edu/cgi/viewcontent.cgi?article=3765&amp;context=tractormuseumlit","Click for test report")</f>
        <v>Click for test report</v>
      </c>
      <c r="C2283">
        <v>1994</v>
      </c>
      <c r="E2283" t="s">
        <v>3833</v>
      </c>
      <c r="F2283" t="s">
        <v>1526</v>
      </c>
      <c r="G2283" t="s">
        <v>17</v>
      </c>
      <c r="H2283" t="s">
        <v>3832</v>
      </c>
      <c r="I2283" t="s">
        <v>50</v>
      </c>
      <c r="J2283" t="s">
        <v>348</v>
      </c>
      <c r="K2283" t="s">
        <v>21</v>
      </c>
      <c r="L2283" t="s">
        <v>2030</v>
      </c>
      <c r="N2283" t="s">
        <v>3123</v>
      </c>
      <c r="O2283" t="s">
        <v>24</v>
      </c>
    </row>
    <row r="2284" spans="1:15" x14ac:dyDescent="0.25">
      <c r="A2284">
        <v>2283</v>
      </c>
      <c r="B2284" t="str">
        <f>HYPERLINK("https://digitalcommons.unl.edu/cgi/viewcontent.cgi?article=3766&amp;context=tractormuseumlit","Click for test report")</f>
        <v>Click for test report</v>
      </c>
      <c r="C2284">
        <v>1994</v>
      </c>
      <c r="E2284" t="s">
        <v>3831</v>
      </c>
      <c r="F2284" t="s">
        <v>1526</v>
      </c>
      <c r="G2284" t="s">
        <v>17</v>
      </c>
      <c r="H2284" t="s">
        <v>3832</v>
      </c>
      <c r="I2284" t="s">
        <v>19</v>
      </c>
      <c r="J2284" t="s">
        <v>348</v>
      </c>
      <c r="K2284" t="s">
        <v>21</v>
      </c>
      <c r="L2284" t="s">
        <v>747</v>
      </c>
      <c r="N2284" t="s">
        <v>3123</v>
      </c>
      <c r="O2284" t="s">
        <v>24</v>
      </c>
    </row>
    <row r="2285" spans="1:15" x14ac:dyDescent="0.25">
      <c r="A2285">
        <v>2284</v>
      </c>
      <c r="B2285" t="str">
        <f>HYPERLINK("https://digitalcommons.unl.edu/cgi/viewcontent.cgi?article=3767&amp;context=tractormuseumlit","Click for test report")</f>
        <v>Click for test report</v>
      </c>
      <c r="C2285">
        <v>1994</v>
      </c>
      <c r="E2285" t="s">
        <v>3830</v>
      </c>
      <c r="F2285" t="s">
        <v>1526</v>
      </c>
      <c r="G2285" t="s">
        <v>17</v>
      </c>
      <c r="H2285" t="s">
        <v>3829</v>
      </c>
      <c r="I2285" t="s">
        <v>50</v>
      </c>
      <c r="J2285" t="s">
        <v>20</v>
      </c>
      <c r="K2285" t="s">
        <v>21</v>
      </c>
      <c r="L2285" t="s">
        <v>378</v>
      </c>
      <c r="N2285" t="s">
        <v>1864</v>
      </c>
      <c r="O2285" t="s">
        <v>24</v>
      </c>
    </row>
    <row r="2286" spans="1:15" x14ac:dyDescent="0.25">
      <c r="A2286">
        <v>2285</v>
      </c>
      <c r="B2286" t="str">
        <f>HYPERLINK("https://digitalcommons.unl.edu/cgi/viewcontent.cgi?article=3768&amp;context=tractormuseumlit","Click for test report")</f>
        <v>Click for test report</v>
      </c>
      <c r="C2286">
        <v>1994</v>
      </c>
      <c r="E2286" t="s">
        <v>3828</v>
      </c>
      <c r="F2286" t="s">
        <v>1526</v>
      </c>
      <c r="G2286" t="s">
        <v>17</v>
      </c>
      <c r="H2286" t="s">
        <v>3829</v>
      </c>
      <c r="I2286" t="s">
        <v>19</v>
      </c>
      <c r="J2286" t="s">
        <v>20</v>
      </c>
      <c r="K2286" t="s">
        <v>21</v>
      </c>
      <c r="L2286" t="s">
        <v>740</v>
      </c>
      <c r="N2286" t="s">
        <v>725</v>
      </c>
      <c r="O2286" t="s">
        <v>24</v>
      </c>
    </row>
    <row r="2287" spans="1:15" x14ac:dyDescent="0.25">
      <c r="A2287">
        <v>2286</v>
      </c>
      <c r="B2287" t="str">
        <f>HYPERLINK("https://digitalcommons.unl.edu/cgi/viewcontent.cgi?article=3769&amp;context=tractormuseumlit","Click for test report")</f>
        <v>Click for test report</v>
      </c>
      <c r="C2287">
        <v>1994</v>
      </c>
      <c r="E2287" t="s">
        <v>3827</v>
      </c>
      <c r="F2287" t="s">
        <v>1526</v>
      </c>
      <c r="G2287" t="s">
        <v>17</v>
      </c>
      <c r="H2287" t="s">
        <v>3826</v>
      </c>
      <c r="I2287" t="s">
        <v>50</v>
      </c>
      <c r="J2287" t="s">
        <v>20</v>
      </c>
      <c r="K2287" t="s">
        <v>21</v>
      </c>
      <c r="L2287" t="s">
        <v>55</v>
      </c>
      <c r="N2287" t="s">
        <v>764</v>
      </c>
      <c r="O2287" t="s">
        <v>24</v>
      </c>
    </row>
    <row r="2288" spans="1:15" x14ac:dyDescent="0.25">
      <c r="A2288">
        <v>2287</v>
      </c>
      <c r="B2288" t="str">
        <f>HYPERLINK("https://digitalcommons.unl.edu/cgi/viewcontent.cgi?article=3770&amp;context=tractormuseumlit","Click for test report")</f>
        <v>Click for test report</v>
      </c>
      <c r="C2288">
        <v>1994</v>
      </c>
      <c r="E2288" t="s">
        <v>3825</v>
      </c>
      <c r="F2288" t="s">
        <v>1526</v>
      </c>
      <c r="G2288" t="s">
        <v>17</v>
      </c>
      <c r="H2288" t="s">
        <v>3826</v>
      </c>
      <c r="I2288" t="s">
        <v>19</v>
      </c>
      <c r="J2288" t="s">
        <v>20</v>
      </c>
      <c r="K2288" t="s">
        <v>21</v>
      </c>
      <c r="L2288" t="s">
        <v>1796</v>
      </c>
      <c r="N2288" t="s">
        <v>743</v>
      </c>
      <c r="O2288" t="s">
        <v>24</v>
      </c>
    </row>
    <row r="2289" spans="1:15" x14ac:dyDescent="0.25">
      <c r="A2289">
        <v>2288</v>
      </c>
      <c r="B2289" t="str">
        <f>HYPERLINK("https://digitalcommons.unl.edu/cgi/viewcontent.cgi?article=2968&amp;context=tractormuseumlit","Click for test report")</f>
        <v>Click for test report</v>
      </c>
      <c r="C2289">
        <v>1994</v>
      </c>
      <c r="D2289" t="s">
        <v>3822</v>
      </c>
      <c r="F2289" t="s">
        <v>3800</v>
      </c>
      <c r="G2289" t="s">
        <v>191</v>
      </c>
      <c r="H2289" t="s">
        <v>3823</v>
      </c>
      <c r="I2289" t="s">
        <v>1961</v>
      </c>
      <c r="J2289" t="s">
        <v>348</v>
      </c>
      <c r="K2289" t="s">
        <v>21</v>
      </c>
      <c r="L2289" t="s">
        <v>725</v>
      </c>
      <c r="N2289" t="s">
        <v>1994</v>
      </c>
      <c r="O2289" t="s">
        <v>3824</v>
      </c>
    </row>
    <row r="2290" spans="1:15" x14ac:dyDescent="0.25">
      <c r="A2290">
        <v>2289</v>
      </c>
      <c r="B2290" t="str">
        <f>HYPERLINK("https://digitalcommons.unl.edu/cgi/viewcontent.cgi?article=3037&amp;context=tractormuseumlit","Click for test report")</f>
        <v>Click for test report</v>
      </c>
      <c r="C2290">
        <v>1994</v>
      </c>
      <c r="D2290" t="s">
        <v>3820</v>
      </c>
      <c r="E2290" t="s">
        <v>3821</v>
      </c>
      <c r="F2290" t="s">
        <v>111</v>
      </c>
      <c r="G2290" t="s">
        <v>3168</v>
      </c>
      <c r="H2290" t="s">
        <v>2166</v>
      </c>
      <c r="I2290" t="s">
        <v>28</v>
      </c>
      <c r="J2290" t="s">
        <v>20</v>
      </c>
      <c r="K2290" t="s">
        <v>21</v>
      </c>
      <c r="L2290" t="s">
        <v>1514</v>
      </c>
      <c r="N2290" t="s">
        <v>2652</v>
      </c>
      <c r="O2290" t="s">
        <v>24</v>
      </c>
    </row>
    <row r="2291" spans="1:15" x14ac:dyDescent="0.25">
      <c r="A2291">
        <v>2290</v>
      </c>
      <c r="B2291" t="str">
        <f>HYPERLINK("https://digitalcommons.unl.edu/cgi/viewcontent.cgi?article=3038&amp;context=tractormuseumlit","Click for test report")</f>
        <v>Click for test report</v>
      </c>
      <c r="C2291">
        <v>1994</v>
      </c>
      <c r="D2291" t="s">
        <v>3817</v>
      </c>
      <c r="E2291" t="s">
        <v>3818</v>
      </c>
      <c r="F2291" t="s">
        <v>111</v>
      </c>
      <c r="G2291" t="s">
        <v>3168</v>
      </c>
      <c r="H2291" t="s">
        <v>3819</v>
      </c>
      <c r="I2291" t="s">
        <v>28</v>
      </c>
      <c r="J2291" t="s">
        <v>20</v>
      </c>
      <c r="K2291" t="s">
        <v>21</v>
      </c>
      <c r="L2291" t="s">
        <v>1037</v>
      </c>
      <c r="N2291" t="s">
        <v>771</v>
      </c>
      <c r="O2291" t="s">
        <v>24</v>
      </c>
    </row>
    <row r="2292" spans="1:15" x14ac:dyDescent="0.25">
      <c r="A2292">
        <v>2291</v>
      </c>
      <c r="B2292" t="str">
        <f>HYPERLINK("https://digitalcommons.unl.edu/cgi/viewcontent.cgi?article=3039&amp;context=tractormuseumlit","Click for test report")</f>
        <v>Click for test report</v>
      </c>
      <c r="C2292">
        <v>1994</v>
      </c>
      <c r="D2292" t="s">
        <v>3814</v>
      </c>
      <c r="E2292" t="s">
        <v>3815</v>
      </c>
      <c r="F2292" t="s">
        <v>111</v>
      </c>
      <c r="G2292" t="s">
        <v>3166</v>
      </c>
      <c r="H2292" t="s">
        <v>3816</v>
      </c>
      <c r="I2292" t="s">
        <v>28</v>
      </c>
      <c r="J2292" t="s">
        <v>20</v>
      </c>
      <c r="K2292" t="s">
        <v>21</v>
      </c>
      <c r="L2292" t="s">
        <v>1266</v>
      </c>
      <c r="N2292" t="s">
        <v>23</v>
      </c>
      <c r="O2292" t="s">
        <v>24</v>
      </c>
    </row>
    <row r="2293" spans="1:15" x14ac:dyDescent="0.25">
      <c r="A2293">
        <v>2292</v>
      </c>
      <c r="B2293" t="str">
        <f>HYPERLINK("https://digitalcommons.unl.edu/cgi/viewcontent.cgi?article=3040&amp;context=tractormuseumlit","Click for test report")</f>
        <v>Click for test report</v>
      </c>
      <c r="C2293">
        <v>1994</v>
      </c>
      <c r="D2293" t="s">
        <v>3811</v>
      </c>
      <c r="E2293" t="s">
        <v>3812</v>
      </c>
      <c r="F2293" t="s">
        <v>111</v>
      </c>
      <c r="G2293" t="s">
        <v>3166</v>
      </c>
      <c r="H2293" t="s">
        <v>3813</v>
      </c>
      <c r="I2293" t="s">
        <v>28</v>
      </c>
      <c r="J2293" t="s">
        <v>20</v>
      </c>
      <c r="K2293" t="s">
        <v>21</v>
      </c>
      <c r="L2293" t="s">
        <v>909</v>
      </c>
      <c r="N2293" t="s">
        <v>363</v>
      </c>
      <c r="O2293" t="s">
        <v>24</v>
      </c>
    </row>
    <row r="2294" spans="1:15" x14ac:dyDescent="0.25">
      <c r="A2294">
        <v>2293</v>
      </c>
      <c r="B2294" t="str">
        <f>HYPERLINK("https://digitalcommons.unl.edu/cgi/viewcontent.cgi?article=3041&amp;context=tractormuseumlit","Click for test report")</f>
        <v>Click for test report</v>
      </c>
      <c r="C2294">
        <v>1994</v>
      </c>
      <c r="D2294" t="s">
        <v>3809</v>
      </c>
      <c r="E2294" t="s">
        <v>3810</v>
      </c>
      <c r="F2294" t="s">
        <v>17</v>
      </c>
      <c r="G2294" t="s">
        <v>17</v>
      </c>
      <c r="H2294" t="s">
        <v>3808</v>
      </c>
      <c r="I2294" t="s">
        <v>50</v>
      </c>
      <c r="J2294" t="s">
        <v>20</v>
      </c>
      <c r="K2294" t="s">
        <v>21</v>
      </c>
      <c r="L2294" t="s">
        <v>247</v>
      </c>
      <c r="N2294" t="s">
        <v>565</v>
      </c>
      <c r="O2294" t="s">
        <v>24</v>
      </c>
    </row>
    <row r="2295" spans="1:15" x14ac:dyDescent="0.25">
      <c r="A2295">
        <v>2294</v>
      </c>
      <c r="B2295" t="str">
        <f>HYPERLINK("https://digitalcommons.unl.edu/cgi/viewcontent.cgi?article=3042&amp;context=tractormuseumlit","Click for test report")</f>
        <v>Click for test report</v>
      </c>
      <c r="C2295">
        <v>1994</v>
      </c>
      <c r="D2295" t="s">
        <v>3806</v>
      </c>
      <c r="E2295" t="s">
        <v>3807</v>
      </c>
      <c r="F2295" t="s">
        <v>17</v>
      </c>
      <c r="G2295" t="s">
        <v>17</v>
      </c>
      <c r="H2295" t="s">
        <v>3808</v>
      </c>
      <c r="I2295" t="s">
        <v>19</v>
      </c>
      <c r="J2295" t="s">
        <v>20</v>
      </c>
      <c r="K2295" t="s">
        <v>21</v>
      </c>
      <c r="L2295" t="s">
        <v>247</v>
      </c>
      <c r="N2295" t="s">
        <v>1796</v>
      </c>
      <c r="O2295" t="s">
        <v>24</v>
      </c>
    </row>
    <row r="2296" spans="1:15" x14ac:dyDescent="0.25">
      <c r="A2296">
        <v>2295</v>
      </c>
      <c r="B2296" t="str">
        <f>HYPERLINK("https://digitalcommons.unl.edu/cgi/viewcontent.cgi?article=3043&amp;context=tractormuseumlit","Click for test report")</f>
        <v>Click for test report</v>
      </c>
      <c r="C2296">
        <v>1994</v>
      </c>
      <c r="D2296" t="s">
        <v>3804</v>
      </c>
      <c r="E2296" t="s">
        <v>3805</v>
      </c>
      <c r="F2296" t="s">
        <v>17</v>
      </c>
      <c r="G2296" t="s">
        <v>17</v>
      </c>
      <c r="H2296" t="s">
        <v>3803</v>
      </c>
      <c r="I2296" t="s">
        <v>50</v>
      </c>
      <c r="J2296" t="s">
        <v>20</v>
      </c>
      <c r="K2296" t="s">
        <v>21</v>
      </c>
      <c r="L2296" t="s">
        <v>127</v>
      </c>
      <c r="N2296" t="s">
        <v>562</v>
      </c>
      <c r="O2296" t="s">
        <v>24</v>
      </c>
    </row>
    <row r="2297" spans="1:15" x14ac:dyDescent="0.25">
      <c r="A2297">
        <v>2296</v>
      </c>
      <c r="B2297" t="str">
        <f>HYPERLINK("https://digitalcommons.unl.edu/cgi/viewcontent.cgi?article=3044&amp;context=tractormuseumlit","Click for test report")</f>
        <v>Click for test report</v>
      </c>
      <c r="C2297">
        <v>1994</v>
      </c>
      <c r="D2297" t="s">
        <v>3801</v>
      </c>
      <c r="E2297" t="s">
        <v>3802</v>
      </c>
      <c r="F2297" t="s">
        <v>17</v>
      </c>
      <c r="G2297" t="s">
        <v>17</v>
      </c>
      <c r="H2297" t="s">
        <v>3803</v>
      </c>
      <c r="I2297" t="s">
        <v>19</v>
      </c>
      <c r="J2297" t="s">
        <v>20</v>
      </c>
      <c r="K2297" t="s">
        <v>21</v>
      </c>
      <c r="L2297" t="s">
        <v>127</v>
      </c>
      <c r="N2297" t="s">
        <v>457</v>
      </c>
      <c r="O2297" t="s">
        <v>24</v>
      </c>
    </row>
    <row r="2298" spans="1:15" x14ac:dyDescent="0.25">
      <c r="A2298">
        <v>2297</v>
      </c>
      <c r="B2298" t="str">
        <f>HYPERLINK("https://digitalcommons.unl.edu/cgi/viewcontent.cgi?article=3045&amp;context=tractormuseumlit","Click for test report")</f>
        <v>Click for test report</v>
      </c>
      <c r="C2298">
        <v>1994</v>
      </c>
      <c r="D2298" t="s">
        <v>3798</v>
      </c>
      <c r="E2298" t="s">
        <v>3799</v>
      </c>
      <c r="F2298" t="s">
        <v>3800</v>
      </c>
      <c r="G2298" t="s">
        <v>191</v>
      </c>
      <c r="H2298" t="s">
        <v>2913</v>
      </c>
      <c r="I2298" t="s">
        <v>28</v>
      </c>
      <c r="J2298" t="s">
        <v>20</v>
      </c>
      <c r="K2298" t="s">
        <v>21</v>
      </c>
      <c r="L2298" t="s">
        <v>818</v>
      </c>
      <c r="N2298" t="s">
        <v>329</v>
      </c>
      <c r="O2298" t="s">
        <v>24</v>
      </c>
    </row>
    <row r="2299" spans="1:15" x14ac:dyDescent="0.25">
      <c r="A2299">
        <v>2298</v>
      </c>
      <c r="B2299" t="str">
        <f>HYPERLINK("https://digitalcommons.unl.edu/cgi/viewcontent.cgi?article=3046&amp;context=tractormuseumlit","Click for test report")</f>
        <v>Click for test report</v>
      </c>
      <c r="C2299">
        <v>1994</v>
      </c>
      <c r="D2299" t="s">
        <v>3795</v>
      </c>
      <c r="E2299" t="s">
        <v>3796</v>
      </c>
      <c r="F2299" t="s">
        <v>111</v>
      </c>
      <c r="G2299" t="s">
        <v>3168</v>
      </c>
      <c r="H2299" t="s">
        <v>3797</v>
      </c>
      <c r="I2299" t="s">
        <v>28</v>
      </c>
      <c r="J2299" t="s">
        <v>20</v>
      </c>
      <c r="K2299" t="s">
        <v>21</v>
      </c>
      <c r="L2299" t="s">
        <v>115</v>
      </c>
      <c r="N2299" t="s">
        <v>118</v>
      </c>
      <c r="O2299" t="s">
        <v>24</v>
      </c>
    </row>
    <row r="2300" spans="1:15" x14ac:dyDescent="0.25">
      <c r="A2300">
        <v>2299</v>
      </c>
      <c r="B2300" t="str">
        <f>HYPERLINK("https://digitalcommons.unl.edu/cgi/viewcontent.cgi?article=3047&amp;context=tractormuseumlit","Click for test report")</f>
        <v>Click for test report</v>
      </c>
      <c r="C2300">
        <v>1994</v>
      </c>
      <c r="D2300" t="s">
        <v>3792</v>
      </c>
      <c r="E2300" t="s">
        <v>3793</v>
      </c>
      <c r="F2300" t="s">
        <v>111</v>
      </c>
      <c r="G2300" t="s">
        <v>3168</v>
      </c>
      <c r="H2300" t="s">
        <v>3794</v>
      </c>
      <c r="I2300" t="s">
        <v>28</v>
      </c>
      <c r="J2300" t="s">
        <v>20</v>
      </c>
      <c r="K2300" t="s">
        <v>21</v>
      </c>
      <c r="L2300" t="s">
        <v>510</v>
      </c>
      <c r="N2300" t="s">
        <v>150</v>
      </c>
      <c r="O2300" t="s">
        <v>24</v>
      </c>
    </row>
    <row r="2301" spans="1:15" x14ac:dyDescent="0.25">
      <c r="A2301">
        <v>2300</v>
      </c>
      <c r="B2301" t="str">
        <f>HYPERLINK("https://digitalcommons.unl.edu/cgi/viewcontent.cgi?article=3048&amp;context=tractormuseumlit","Click for test report")</f>
        <v>Click for test report</v>
      </c>
      <c r="C2301">
        <v>1994</v>
      </c>
      <c r="D2301" t="s">
        <v>3789</v>
      </c>
      <c r="E2301" t="s">
        <v>3790</v>
      </c>
      <c r="F2301" t="s">
        <v>111</v>
      </c>
      <c r="G2301" t="s">
        <v>3166</v>
      </c>
      <c r="H2301" t="s">
        <v>3791</v>
      </c>
      <c r="I2301" t="s">
        <v>28</v>
      </c>
      <c r="J2301" t="s">
        <v>20</v>
      </c>
      <c r="K2301" t="s">
        <v>21</v>
      </c>
      <c r="L2301" t="s">
        <v>115</v>
      </c>
      <c r="N2301" t="s">
        <v>439</v>
      </c>
      <c r="O2301" t="s">
        <v>24</v>
      </c>
    </row>
    <row r="2302" spans="1:15" x14ac:dyDescent="0.25">
      <c r="A2302">
        <v>2301</v>
      </c>
      <c r="B2302" t="str">
        <f>HYPERLINK("https://digitalcommons.unl.edu/cgi/viewcontent.cgi?article=3049&amp;context=tractormuseumlit","Click for test report")</f>
        <v>Click for test report</v>
      </c>
      <c r="C2302">
        <v>1994</v>
      </c>
      <c r="D2302" t="s">
        <v>3786</v>
      </c>
      <c r="E2302" t="s">
        <v>3787</v>
      </c>
      <c r="F2302" t="s">
        <v>111</v>
      </c>
      <c r="G2302" t="s">
        <v>3166</v>
      </c>
      <c r="H2302" t="s">
        <v>3788</v>
      </c>
      <c r="I2302" t="s">
        <v>28</v>
      </c>
      <c r="J2302" t="s">
        <v>20</v>
      </c>
      <c r="K2302" t="s">
        <v>21</v>
      </c>
      <c r="L2302" t="s">
        <v>75</v>
      </c>
      <c r="N2302" t="s">
        <v>1767</v>
      </c>
      <c r="O2302" t="s">
        <v>24</v>
      </c>
    </row>
    <row r="2303" spans="1:15" x14ac:dyDescent="0.25">
      <c r="A2303">
        <v>2302</v>
      </c>
      <c r="B2303" t="str">
        <f>HYPERLINK("https://digitalcommons.unl.edu/cgi/viewcontent.cgi?article=3688&amp;context=tractormuseumlit","Click for test report")</f>
        <v>Click for test report</v>
      </c>
      <c r="C2303">
        <v>1995</v>
      </c>
      <c r="E2303" t="s">
        <v>3785</v>
      </c>
      <c r="G2303" t="s">
        <v>322</v>
      </c>
      <c r="H2303" t="s">
        <v>24</v>
      </c>
      <c r="I2303" t="s">
        <v>24</v>
      </c>
      <c r="O2303" t="s">
        <v>24</v>
      </c>
    </row>
    <row r="2304" spans="1:15" x14ac:dyDescent="0.25">
      <c r="A2304">
        <v>2303</v>
      </c>
      <c r="B2304" t="str">
        <f>HYPERLINK("https://digitalcommons.unl.edu/cgi/viewcontent.cgi?article=3688&amp;context=tractormuseumlit","Click for test report")</f>
        <v>Click for test report</v>
      </c>
      <c r="C2304">
        <v>1995</v>
      </c>
      <c r="E2304" t="s">
        <v>3784</v>
      </c>
      <c r="G2304" t="s">
        <v>322</v>
      </c>
      <c r="H2304" t="s">
        <v>24</v>
      </c>
      <c r="I2304" t="s">
        <v>24</v>
      </c>
      <c r="O2304" t="s">
        <v>24</v>
      </c>
    </row>
    <row r="2305" spans="1:15" x14ac:dyDescent="0.25">
      <c r="A2305">
        <v>2304</v>
      </c>
      <c r="B2305" t="str">
        <f>HYPERLINK("https://digitalcommons.unl.edu/cgi/viewcontent.cgi?article=3779&amp;context=tractormuseumlit","Click for test report")</f>
        <v>Click for test report</v>
      </c>
      <c r="C2305">
        <v>1995</v>
      </c>
      <c r="E2305" t="s">
        <v>3782</v>
      </c>
      <c r="F2305" t="s">
        <v>3442</v>
      </c>
      <c r="G2305" t="s">
        <v>3442</v>
      </c>
      <c r="H2305" t="s">
        <v>3783</v>
      </c>
      <c r="I2305" t="s">
        <v>28</v>
      </c>
      <c r="J2305" t="s">
        <v>96</v>
      </c>
      <c r="K2305" t="s">
        <v>21</v>
      </c>
      <c r="L2305" t="s">
        <v>821</v>
      </c>
      <c r="N2305" t="s">
        <v>320</v>
      </c>
      <c r="O2305" t="s">
        <v>24</v>
      </c>
    </row>
    <row r="2306" spans="1:15" x14ac:dyDescent="0.25">
      <c r="A2306">
        <v>2305</v>
      </c>
      <c r="B2306" t="str">
        <f>HYPERLINK("https://digitalcommons.unl.edu/cgi/viewcontent.cgi?article=3780&amp;context=tractormuseumlit","Click for test report")</f>
        <v>Click for test report</v>
      </c>
      <c r="C2306">
        <v>1995</v>
      </c>
      <c r="E2306" t="s">
        <v>3780</v>
      </c>
      <c r="F2306" t="s">
        <v>3442</v>
      </c>
      <c r="G2306" t="s">
        <v>3442</v>
      </c>
      <c r="H2306" t="s">
        <v>3781</v>
      </c>
      <c r="I2306" t="s">
        <v>28</v>
      </c>
      <c r="J2306" t="s">
        <v>96</v>
      </c>
      <c r="K2306" t="s">
        <v>21</v>
      </c>
      <c r="L2306" t="s">
        <v>114</v>
      </c>
      <c r="N2306" t="s">
        <v>149</v>
      </c>
      <c r="O2306" t="s">
        <v>24</v>
      </c>
    </row>
    <row r="2307" spans="1:15" x14ac:dyDescent="0.25">
      <c r="A2307">
        <v>2306</v>
      </c>
      <c r="B2307" t="str">
        <f>HYPERLINK("https://digitalcommons.unl.edu/cgi/viewcontent.cgi?article=3782&amp;context=tractormuseumlit","Click for test report")</f>
        <v>Click for test report</v>
      </c>
      <c r="C2307">
        <v>1995</v>
      </c>
      <c r="E2307" t="s">
        <v>3779</v>
      </c>
      <c r="F2307" t="s">
        <v>2062</v>
      </c>
      <c r="G2307" t="s">
        <v>778</v>
      </c>
      <c r="H2307" t="s">
        <v>2904</v>
      </c>
      <c r="I2307" t="s">
        <v>19</v>
      </c>
      <c r="J2307" t="s">
        <v>348</v>
      </c>
      <c r="K2307" t="s">
        <v>21</v>
      </c>
      <c r="L2307" t="s">
        <v>1397</v>
      </c>
      <c r="N2307" t="s">
        <v>336</v>
      </c>
      <c r="O2307" t="s">
        <v>24</v>
      </c>
    </row>
    <row r="2308" spans="1:15" x14ac:dyDescent="0.25">
      <c r="A2308">
        <v>2307</v>
      </c>
      <c r="B2308" t="str">
        <f>HYPERLINK("https://digitalcommons.unl.edu/cgi/viewcontent.cgi?article=3782&amp;context=tractormuseumlit","Click for test report")</f>
        <v>Click for test report</v>
      </c>
      <c r="C2308">
        <v>1995</v>
      </c>
      <c r="E2308" t="s">
        <v>3779</v>
      </c>
      <c r="F2308" t="s">
        <v>2062</v>
      </c>
      <c r="G2308" t="s">
        <v>778</v>
      </c>
      <c r="H2308" t="s">
        <v>2904</v>
      </c>
      <c r="I2308" t="s">
        <v>19</v>
      </c>
      <c r="J2308" t="s">
        <v>20</v>
      </c>
      <c r="K2308" t="s">
        <v>21</v>
      </c>
      <c r="L2308" t="s">
        <v>1397</v>
      </c>
      <c r="N2308" t="s">
        <v>22</v>
      </c>
      <c r="O2308" t="s">
        <v>24</v>
      </c>
    </row>
    <row r="2309" spans="1:15" x14ac:dyDescent="0.25">
      <c r="A2309">
        <v>2308</v>
      </c>
      <c r="B2309" t="str">
        <f>HYPERLINK("https://digitalcommons.unl.edu/cgi/viewcontent.cgi?article=3783&amp;context=tractormuseumlit","Click for test report")</f>
        <v>Click for test report</v>
      </c>
      <c r="C2309">
        <v>1995</v>
      </c>
      <c r="E2309" t="s">
        <v>3777</v>
      </c>
      <c r="F2309" t="s">
        <v>2062</v>
      </c>
      <c r="G2309" t="s">
        <v>778</v>
      </c>
      <c r="H2309" t="s">
        <v>3778</v>
      </c>
      <c r="I2309" t="s">
        <v>19</v>
      </c>
      <c r="J2309" t="s">
        <v>348</v>
      </c>
      <c r="K2309" t="s">
        <v>21</v>
      </c>
      <c r="L2309" t="s">
        <v>527</v>
      </c>
      <c r="N2309" t="s">
        <v>329</v>
      </c>
      <c r="O2309" t="s">
        <v>24</v>
      </c>
    </row>
    <row r="2310" spans="1:15" x14ac:dyDescent="0.25">
      <c r="A2310">
        <v>2309</v>
      </c>
      <c r="B2310" t="str">
        <f>HYPERLINK("https://digitalcommons.unl.edu/cgi/viewcontent.cgi?article=3783&amp;context=tractormuseumlit","Click for test report")</f>
        <v>Click for test report</v>
      </c>
      <c r="C2310">
        <v>1995</v>
      </c>
      <c r="E2310" t="s">
        <v>3777</v>
      </c>
      <c r="F2310" t="s">
        <v>2062</v>
      </c>
      <c r="G2310" t="s">
        <v>778</v>
      </c>
      <c r="H2310" t="s">
        <v>3778</v>
      </c>
      <c r="I2310" t="s">
        <v>19</v>
      </c>
      <c r="J2310" t="s">
        <v>20</v>
      </c>
      <c r="K2310" t="s">
        <v>21</v>
      </c>
      <c r="L2310" t="s">
        <v>527</v>
      </c>
      <c r="N2310" t="s">
        <v>1397</v>
      </c>
      <c r="O2310" t="s">
        <v>24</v>
      </c>
    </row>
    <row r="2311" spans="1:15" x14ac:dyDescent="0.25">
      <c r="A2311">
        <v>2310</v>
      </c>
      <c r="B2311" t="str">
        <f>HYPERLINK("https://digitalcommons.unl.edu/cgi/viewcontent.cgi?article=2934&amp;context=tractormuseumlit","Click for test report")</f>
        <v>Click for test report</v>
      </c>
      <c r="C2311">
        <v>1995</v>
      </c>
      <c r="D2311" t="s">
        <v>3773</v>
      </c>
      <c r="F2311" t="s">
        <v>3767</v>
      </c>
      <c r="G2311" t="s">
        <v>3472</v>
      </c>
      <c r="H2311" t="s">
        <v>3776</v>
      </c>
      <c r="I2311" t="s">
        <v>50</v>
      </c>
      <c r="J2311" t="s">
        <v>20</v>
      </c>
      <c r="K2311" t="s">
        <v>21</v>
      </c>
      <c r="L2311" t="s">
        <v>3152</v>
      </c>
      <c r="N2311" t="s">
        <v>1893</v>
      </c>
      <c r="O2311" t="s">
        <v>3775</v>
      </c>
    </row>
    <row r="2312" spans="1:15" x14ac:dyDescent="0.25">
      <c r="A2312">
        <v>2311</v>
      </c>
      <c r="B2312" t="str">
        <f>HYPERLINK("https://digitalcommons.unl.edu/cgi/viewcontent.cgi?article=2934&amp;context=tractormuseumlit","Click for test report")</f>
        <v>Click for test report</v>
      </c>
      <c r="C2312">
        <v>1995</v>
      </c>
      <c r="D2312" t="s">
        <v>3773</v>
      </c>
      <c r="F2312" t="s">
        <v>3767</v>
      </c>
      <c r="G2312" t="s">
        <v>3472</v>
      </c>
      <c r="H2312" t="s">
        <v>3774</v>
      </c>
      <c r="I2312" t="s">
        <v>50</v>
      </c>
      <c r="J2312" t="s">
        <v>20</v>
      </c>
      <c r="K2312" t="s">
        <v>21</v>
      </c>
      <c r="L2312" t="s">
        <v>3152</v>
      </c>
      <c r="N2312" t="s">
        <v>1802</v>
      </c>
      <c r="O2312" t="s">
        <v>3775</v>
      </c>
    </row>
    <row r="2313" spans="1:15" x14ac:dyDescent="0.25">
      <c r="A2313">
        <v>2312</v>
      </c>
      <c r="B2313" t="str">
        <f>HYPERLINK("https://digitalcommons.unl.edu/cgi/viewcontent.cgi?article=2964&amp;context=tractormuseumlit","Click for test report")</f>
        <v>Click for test report</v>
      </c>
      <c r="C2313">
        <v>1995</v>
      </c>
      <c r="D2313" t="s">
        <v>3770</v>
      </c>
      <c r="F2313" t="s">
        <v>3767</v>
      </c>
      <c r="G2313" t="s">
        <v>3472</v>
      </c>
      <c r="H2313" t="s">
        <v>2626</v>
      </c>
      <c r="I2313" t="s">
        <v>50</v>
      </c>
      <c r="J2313" t="s">
        <v>20</v>
      </c>
      <c r="K2313" t="s">
        <v>21</v>
      </c>
      <c r="L2313" t="s">
        <v>3123</v>
      </c>
      <c r="N2313" t="s">
        <v>410</v>
      </c>
      <c r="O2313" t="s">
        <v>3772</v>
      </c>
    </row>
    <row r="2314" spans="1:15" x14ac:dyDescent="0.25">
      <c r="A2314">
        <v>2313</v>
      </c>
      <c r="B2314" t="str">
        <f>HYPERLINK("https://digitalcommons.unl.edu/cgi/viewcontent.cgi?article=2964&amp;context=tractormuseumlit","Click for test report")</f>
        <v>Click for test report</v>
      </c>
      <c r="C2314">
        <v>1995</v>
      </c>
      <c r="D2314" t="s">
        <v>3770</v>
      </c>
      <c r="F2314" t="s">
        <v>3767</v>
      </c>
      <c r="G2314" t="s">
        <v>3472</v>
      </c>
      <c r="H2314" t="s">
        <v>3771</v>
      </c>
      <c r="I2314" t="s">
        <v>50</v>
      </c>
      <c r="J2314" t="s">
        <v>20</v>
      </c>
      <c r="K2314" t="s">
        <v>21</v>
      </c>
      <c r="L2314" t="s">
        <v>3123</v>
      </c>
      <c r="N2314" t="s">
        <v>407</v>
      </c>
      <c r="O2314" t="s">
        <v>3772</v>
      </c>
    </row>
    <row r="2315" spans="1:15" x14ac:dyDescent="0.25">
      <c r="A2315">
        <v>2314</v>
      </c>
      <c r="B2315" t="str">
        <f>HYPERLINK("https://digitalcommons.unl.edu/cgi/viewcontent.cgi?article=2965&amp;context=tractormuseumlit","Click for test report")</f>
        <v>Click for test report</v>
      </c>
      <c r="C2315">
        <v>1995</v>
      </c>
      <c r="D2315" t="s">
        <v>3766</v>
      </c>
      <c r="F2315" t="s">
        <v>3767</v>
      </c>
      <c r="G2315" t="s">
        <v>3472</v>
      </c>
      <c r="H2315" t="s">
        <v>3118</v>
      </c>
      <c r="I2315" t="s">
        <v>50</v>
      </c>
      <c r="J2315" t="s">
        <v>20</v>
      </c>
      <c r="K2315" t="s">
        <v>21</v>
      </c>
      <c r="L2315" t="s">
        <v>1350</v>
      </c>
      <c r="N2315" t="s">
        <v>1970</v>
      </c>
      <c r="O2315" t="s">
        <v>3769</v>
      </c>
    </row>
    <row r="2316" spans="1:15" x14ac:dyDescent="0.25">
      <c r="A2316">
        <v>2315</v>
      </c>
      <c r="B2316" t="str">
        <f>HYPERLINK("https://digitalcommons.unl.edu/cgi/viewcontent.cgi?article=2965&amp;context=tractormuseumlit","Click for test report")</f>
        <v>Click for test report</v>
      </c>
      <c r="C2316">
        <v>1995</v>
      </c>
      <c r="D2316" t="s">
        <v>3766</v>
      </c>
      <c r="F2316" t="s">
        <v>3767</v>
      </c>
      <c r="G2316" t="s">
        <v>3472</v>
      </c>
      <c r="H2316" t="s">
        <v>3768</v>
      </c>
      <c r="I2316" t="s">
        <v>50</v>
      </c>
      <c r="J2316" t="s">
        <v>20</v>
      </c>
      <c r="K2316" t="s">
        <v>21</v>
      </c>
      <c r="L2316" t="s">
        <v>1350</v>
      </c>
      <c r="N2316" t="s">
        <v>2029</v>
      </c>
      <c r="O2316" t="s">
        <v>3769</v>
      </c>
    </row>
    <row r="2317" spans="1:15" x14ac:dyDescent="0.25">
      <c r="A2317">
        <v>2316</v>
      </c>
      <c r="B2317" t="str">
        <f>HYPERLINK("https://digitalcommons.unl.edu/cgi/viewcontent.cgi?article=3050&amp;context=tractormuseumlit","Click for test report")</f>
        <v>Click for test report</v>
      </c>
      <c r="C2317">
        <v>1995</v>
      </c>
      <c r="D2317" t="s">
        <v>3763</v>
      </c>
      <c r="E2317" t="s">
        <v>3764</v>
      </c>
      <c r="F2317" t="s">
        <v>3442</v>
      </c>
      <c r="G2317" t="s">
        <v>3442</v>
      </c>
      <c r="H2317" t="s">
        <v>3765</v>
      </c>
      <c r="I2317" t="s">
        <v>28</v>
      </c>
      <c r="J2317" t="s">
        <v>96</v>
      </c>
      <c r="K2317" t="s">
        <v>21</v>
      </c>
      <c r="L2317" t="s">
        <v>211</v>
      </c>
      <c r="N2317" t="s">
        <v>1055</v>
      </c>
      <c r="O2317" t="s">
        <v>24</v>
      </c>
    </row>
    <row r="2318" spans="1:15" x14ac:dyDescent="0.25">
      <c r="A2318">
        <v>2317</v>
      </c>
      <c r="B2318" t="str">
        <f>HYPERLINK("https://digitalcommons.unl.edu/cgi/viewcontent.cgi?article=3051&amp;context=tractormuseumlit","Click for test report")</f>
        <v>Click for test report</v>
      </c>
      <c r="C2318">
        <v>1995</v>
      </c>
      <c r="D2318" t="s">
        <v>3759</v>
      </c>
      <c r="E2318" t="s">
        <v>3760</v>
      </c>
      <c r="F2318" t="s">
        <v>17</v>
      </c>
      <c r="G2318" t="s">
        <v>17</v>
      </c>
      <c r="H2318" t="s">
        <v>3761</v>
      </c>
      <c r="I2318" t="s">
        <v>28</v>
      </c>
      <c r="J2318" t="s">
        <v>20</v>
      </c>
      <c r="K2318" t="s">
        <v>21</v>
      </c>
      <c r="L2318" t="s">
        <v>1041</v>
      </c>
      <c r="N2318" t="s">
        <v>853</v>
      </c>
      <c r="O2318" t="s">
        <v>24</v>
      </c>
    </row>
    <row r="2319" spans="1:15" x14ac:dyDescent="0.25">
      <c r="A2319">
        <v>2318</v>
      </c>
      <c r="B2319" t="str">
        <f>HYPERLINK("https://digitalcommons.unl.edu/cgi/viewcontent.cgi?article=3051&amp;context=tractormuseumlit","Click for test report")</f>
        <v>Click for test report</v>
      </c>
      <c r="C2319">
        <v>1995</v>
      </c>
      <c r="D2319" t="s">
        <v>3759</v>
      </c>
      <c r="E2319" t="s">
        <v>3760</v>
      </c>
      <c r="F2319" t="s">
        <v>17</v>
      </c>
      <c r="G2319" t="s">
        <v>17</v>
      </c>
      <c r="H2319" t="s">
        <v>3761</v>
      </c>
      <c r="I2319" t="s">
        <v>28</v>
      </c>
      <c r="J2319" t="s">
        <v>20</v>
      </c>
      <c r="K2319" t="s">
        <v>21</v>
      </c>
      <c r="L2319" t="s">
        <v>315</v>
      </c>
      <c r="N2319" t="s">
        <v>853</v>
      </c>
      <c r="O2319" t="s">
        <v>3762</v>
      </c>
    </row>
    <row r="2320" spans="1:15" x14ac:dyDescent="0.25">
      <c r="A2320">
        <v>2319</v>
      </c>
      <c r="B2320" t="str">
        <f>HYPERLINK("https://digitalcommons.unl.edu/cgi/viewcontent.cgi?article=3052&amp;context=tractormuseumlit","Click for test report")</f>
        <v>Click for test report</v>
      </c>
      <c r="C2320">
        <v>1995</v>
      </c>
      <c r="D2320" t="s">
        <v>3755</v>
      </c>
      <c r="E2320" t="s">
        <v>3756</v>
      </c>
      <c r="F2320" t="s">
        <v>17</v>
      </c>
      <c r="G2320" t="s">
        <v>17</v>
      </c>
      <c r="H2320" t="s">
        <v>3757</v>
      </c>
      <c r="I2320" t="s">
        <v>28</v>
      </c>
      <c r="J2320" t="s">
        <v>20</v>
      </c>
      <c r="K2320" t="s">
        <v>21</v>
      </c>
      <c r="L2320" t="s">
        <v>469</v>
      </c>
      <c r="N2320" t="s">
        <v>824</v>
      </c>
      <c r="O2320" t="s">
        <v>24</v>
      </c>
    </row>
    <row r="2321" spans="1:15" x14ac:dyDescent="0.25">
      <c r="A2321">
        <v>2320</v>
      </c>
      <c r="B2321" t="str">
        <f>HYPERLINK("https://digitalcommons.unl.edu/cgi/viewcontent.cgi?article=3052&amp;context=tractormuseumlit","Click for test report")</f>
        <v>Click for test report</v>
      </c>
      <c r="C2321">
        <v>1995</v>
      </c>
      <c r="D2321" t="s">
        <v>3755</v>
      </c>
      <c r="E2321" t="s">
        <v>3756</v>
      </c>
      <c r="F2321" t="s">
        <v>17</v>
      </c>
      <c r="G2321" t="s">
        <v>17</v>
      </c>
      <c r="H2321" t="s">
        <v>3757</v>
      </c>
      <c r="I2321" t="s">
        <v>28</v>
      </c>
      <c r="J2321" t="s">
        <v>20</v>
      </c>
      <c r="K2321" t="s">
        <v>21</v>
      </c>
      <c r="L2321" t="s">
        <v>71</v>
      </c>
      <c r="N2321" t="s">
        <v>824</v>
      </c>
      <c r="O2321" t="s">
        <v>3758</v>
      </c>
    </row>
    <row r="2322" spans="1:15" x14ac:dyDescent="0.25">
      <c r="A2322">
        <v>2321</v>
      </c>
      <c r="B2322" t="str">
        <f>HYPERLINK("https://digitalcommons.unl.edu/cgi/viewcontent.cgi?article=3053&amp;context=tractormuseumlit","Click for test report")</f>
        <v>Click for test report</v>
      </c>
      <c r="C2322">
        <v>1995</v>
      </c>
      <c r="D2322" t="s">
        <v>3751</v>
      </c>
      <c r="E2322" t="s">
        <v>3752</v>
      </c>
      <c r="F2322" t="s">
        <v>17</v>
      </c>
      <c r="G2322" t="s">
        <v>17</v>
      </c>
      <c r="H2322" t="s">
        <v>3753</v>
      </c>
      <c r="I2322" t="s">
        <v>28</v>
      </c>
      <c r="J2322" t="s">
        <v>20</v>
      </c>
      <c r="K2322" t="s">
        <v>21</v>
      </c>
      <c r="L2322" t="s">
        <v>892</v>
      </c>
      <c r="N2322" t="s">
        <v>155</v>
      </c>
      <c r="O2322" t="s">
        <v>24</v>
      </c>
    </row>
    <row r="2323" spans="1:15" x14ac:dyDescent="0.25">
      <c r="A2323">
        <v>2322</v>
      </c>
      <c r="B2323" t="str">
        <f>HYPERLINK("https://digitalcommons.unl.edu/cgi/viewcontent.cgi?article=3053&amp;context=tractormuseumlit","Click for test report")</f>
        <v>Click for test report</v>
      </c>
      <c r="C2323">
        <v>1995</v>
      </c>
      <c r="D2323" t="s">
        <v>3751</v>
      </c>
      <c r="E2323" t="s">
        <v>3752</v>
      </c>
      <c r="F2323" t="s">
        <v>17</v>
      </c>
      <c r="G2323" t="s">
        <v>17</v>
      </c>
      <c r="H2323" t="s">
        <v>3753</v>
      </c>
      <c r="I2323" t="s">
        <v>28</v>
      </c>
      <c r="J2323" t="s">
        <v>20</v>
      </c>
      <c r="K2323" t="s">
        <v>21</v>
      </c>
      <c r="L2323" t="s">
        <v>1564</v>
      </c>
      <c r="N2323" t="s">
        <v>155</v>
      </c>
      <c r="O2323" t="s">
        <v>3754</v>
      </c>
    </row>
    <row r="2324" spans="1:15" x14ac:dyDescent="0.25">
      <c r="A2324">
        <v>2323</v>
      </c>
      <c r="B2324" t="str">
        <f>HYPERLINK("https://digitalcommons.unl.edu/cgi/viewcontent.cgi?article=3054&amp;context=tractormuseumlit","Click for test report")</f>
        <v>Click for test report</v>
      </c>
      <c r="C2324">
        <v>1995</v>
      </c>
      <c r="D2324" t="s">
        <v>3748</v>
      </c>
      <c r="E2324" t="s">
        <v>3749</v>
      </c>
      <c r="F2324" t="s">
        <v>17</v>
      </c>
      <c r="G2324" t="s">
        <v>17</v>
      </c>
      <c r="H2324" t="s">
        <v>3750</v>
      </c>
      <c r="I2324" t="s">
        <v>28</v>
      </c>
      <c r="J2324" t="s">
        <v>20</v>
      </c>
      <c r="K2324" t="s">
        <v>21</v>
      </c>
      <c r="L2324" t="s">
        <v>504</v>
      </c>
      <c r="N2324" t="s">
        <v>892</v>
      </c>
      <c r="O2324" t="s">
        <v>24</v>
      </c>
    </row>
    <row r="2325" spans="1:15" x14ac:dyDescent="0.25">
      <c r="A2325">
        <v>2324</v>
      </c>
      <c r="B2325" t="str">
        <f>HYPERLINK("https://digitalcommons.unl.edu/cgi/viewcontent.cgi?article=3055&amp;context=tractormuseumlit","Click for test report")</f>
        <v>Click for test report</v>
      </c>
      <c r="C2325">
        <v>1995</v>
      </c>
      <c r="D2325" t="s">
        <v>3745</v>
      </c>
      <c r="E2325" t="s">
        <v>3746</v>
      </c>
      <c r="F2325" t="s">
        <v>111</v>
      </c>
      <c r="G2325" t="s">
        <v>3168</v>
      </c>
      <c r="H2325" t="s">
        <v>3747</v>
      </c>
      <c r="I2325" t="s">
        <v>19</v>
      </c>
      <c r="J2325" t="s">
        <v>20</v>
      </c>
      <c r="K2325" t="s">
        <v>21</v>
      </c>
      <c r="L2325" t="s">
        <v>1514</v>
      </c>
      <c r="N2325" t="s">
        <v>2652</v>
      </c>
      <c r="O2325" t="s">
        <v>24</v>
      </c>
    </row>
    <row r="2326" spans="1:15" x14ac:dyDescent="0.25">
      <c r="A2326">
        <v>2325</v>
      </c>
      <c r="B2326" t="str">
        <f>HYPERLINK("https://digitalcommons.unl.edu/cgi/viewcontent.cgi?article=3056&amp;context=tractormuseumlit","Click for test report")</f>
        <v>Click for test report</v>
      </c>
      <c r="C2326">
        <v>1995</v>
      </c>
      <c r="D2326" t="s">
        <v>3742</v>
      </c>
      <c r="E2326" t="s">
        <v>3743</v>
      </c>
      <c r="F2326" t="s">
        <v>111</v>
      </c>
      <c r="G2326" t="s">
        <v>3168</v>
      </c>
      <c r="H2326" t="s">
        <v>3744</v>
      </c>
      <c r="I2326" t="s">
        <v>19</v>
      </c>
      <c r="J2326" t="s">
        <v>20</v>
      </c>
      <c r="K2326" t="s">
        <v>21</v>
      </c>
      <c r="L2326" t="s">
        <v>1037</v>
      </c>
      <c r="N2326" t="s">
        <v>858</v>
      </c>
      <c r="O2326" t="s">
        <v>24</v>
      </c>
    </row>
    <row r="2327" spans="1:15" x14ac:dyDescent="0.25">
      <c r="A2327">
        <v>2326</v>
      </c>
      <c r="B2327" t="str">
        <f>HYPERLINK("https://digitalcommons.unl.edu/cgi/viewcontent.cgi?article=3057&amp;context=tractormuseumlit","Click for test report")</f>
        <v>Click for test report</v>
      </c>
      <c r="C2327">
        <v>1995</v>
      </c>
      <c r="D2327" t="s">
        <v>3739</v>
      </c>
      <c r="E2327" t="s">
        <v>3740</v>
      </c>
      <c r="F2327" t="s">
        <v>111</v>
      </c>
      <c r="G2327" t="s">
        <v>3166</v>
      </c>
      <c r="H2327" t="s">
        <v>3741</v>
      </c>
      <c r="I2327" t="s">
        <v>19</v>
      </c>
      <c r="J2327" t="s">
        <v>20</v>
      </c>
      <c r="K2327" t="s">
        <v>21</v>
      </c>
      <c r="L2327" t="s">
        <v>1266</v>
      </c>
      <c r="N2327" t="s">
        <v>22</v>
      </c>
      <c r="O2327" t="s">
        <v>24</v>
      </c>
    </row>
    <row r="2328" spans="1:15" x14ac:dyDescent="0.25">
      <c r="A2328">
        <v>2327</v>
      </c>
      <c r="B2328" t="str">
        <f>HYPERLINK("https://digitalcommons.unl.edu/cgi/viewcontent.cgi?article=3058&amp;context=tractormuseumlit","Click for test report")</f>
        <v>Click for test report</v>
      </c>
      <c r="C2328">
        <v>1995</v>
      </c>
      <c r="D2328" t="s">
        <v>3736</v>
      </c>
      <c r="E2328" t="s">
        <v>3737</v>
      </c>
      <c r="F2328" t="s">
        <v>111</v>
      </c>
      <c r="G2328" t="s">
        <v>3166</v>
      </c>
      <c r="H2328" t="s">
        <v>3738</v>
      </c>
      <c r="I2328" t="s">
        <v>19</v>
      </c>
      <c r="J2328" t="s">
        <v>20</v>
      </c>
      <c r="K2328" t="s">
        <v>21</v>
      </c>
      <c r="L2328" t="s">
        <v>909</v>
      </c>
      <c r="N2328" t="s">
        <v>359</v>
      </c>
      <c r="O2328" t="s">
        <v>24</v>
      </c>
    </row>
    <row r="2329" spans="1:15" x14ac:dyDescent="0.25">
      <c r="A2329">
        <v>2328</v>
      </c>
      <c r="B2329" t="str">
        <f>HYPERLINK("https://digitalcommons.unl.edu/cgi/viewcontent.cgi?article=3059&amp;context=tractormuseumlit","Click for test report")</f>
        <v>Click for test report</v>
      </c>
      <c r="C2329">
        <v>1995</v>
      </c>
      <c r="D2329" t="s">
        <v>3732</v>
      </c>
      <c r="E2329" t="s">
        <v>3733</v>
      </c>
      <c r="F2329" t="s">
        <v>111</v>
      </c>
      <c r="G2329" t="s">
        <v>778</v>
      </c>
      <c r="H2329" t="s">
        <v>3734</v>
      </c>
      <c r="I2329" t="s">
        <v>28</v>
      </c>
      <c r="J2329" t="s">
        <v>20</v>
      </c>
      <c r="K2329" t="s">
        <v>21</v>
      </c>
      <c r="L2329" t="s">
        <v>3735</v>
      </c>
      <c r="N2329" t="s">
        <v>115</v>
      </c>
      <c r="O2329" t="s">
        <v>24</v>
      </c>
    </row>
    <row r="2330" spans="1:15" x14ac:dyDescent="0.25">
      <c r="A2330">
        <v>2329</v>
      </c>
      <c r="B2330" t="str">
        <f>HYPERLINK("https://digitalcommons.unl.edu/cgi/viewcontent.cgi?article=3060&amp;context=tractormuseumlit","Click for test report")</f>
        <v>Click for test report</v>
      </c>
      <c r="C2330">
        <v>1995</v>
      </c>
      <c r="D2330" t="s">
        <v>3729</v>
      </c>
      <c r="E2330" t="s">
        <v>3730</v>
      </c>
      <c r="F2330" t="s">
        <v>111</v>
      </c>
      <c r="G2330" t="s">
        <v>3168</v>
      </c>
      <c r="H2330" t="s">
        <v>3731</v>
      </c>
      <c r="I2330" t="s">
        <v>28</v>
      </c>
      <c r="J2330" t="s">
        <v>20</v>
      </c>
      <c r="K2330" t="s">
        <v>21</v>
      </c>
      <c r="L2330" t="s">
        <v>1514</v>
      </c>
      <c r="N2330" t="s">
        <v>22</v>
      </c>
      <c r="O2330" t="s">
        <v>24</v>
      </c>
    </row>
    <row r="2331" spans="1:15" x14ac:dyDescent="0.25">
      <c r="A2331">
        <v>2330</v>
      </c>
      <c r="B2331" t="str">
        <f>HYPERLINK("https://digitalcommons.unl.edu/cgi/viewcontent.cgi?article=3061&amp;context=tractormuseumlit","Click for test report")</f>
        <v>Click for test report</v>
      </c>
      <c r="C2331">
        <v>1995</v>
      </c>
      <c r="D2331" t="s">
        <v>3726</v>
      </c>
      <c r="E2331" t="s">
        <v>3727</v>
      </c>
      <c r="F2331" t="s">
        <v>111</v>
      </c>
      <c r="G2331" t="s">
        <v>3168</v>
      </c>
      <c r="H2331" t="s">
        <v>3728</v>
      </c>
      <c r="I2331" t="s">
        <v>28</v>
      </c>
      <c r="J2331" t="s">
        <v>20</v>
      </c>
      <c r="K2331" t="s">
        <v>21</v>
      </c>
      <c r="L2331" t="s">
        <v>1037</v>
      </c>
      <c r="N2331" t="s">
        <v>1514</v>
      </c>
      <c r="O2331" t="s">
        <v>24</v>
      </c>
    </row>
    <row r="2332" spans="1:15" x14ac:dyDescent="0.25">
      <c r="A2332">
        <v>2331</v>
      </c>
      <c r="B2332" t="str">
        <f>HYPERLINK("https://digitalcommons.unl.edu/cgi/viewcontent.cgi?article=3062&amp;context=tractormuseumlit","Click for test report")</f>
        <v>Click for test report</v>
      </c>
      <c r="C2332">
        <v>1995</v>
      </c>
      <c r="D2332" t="s">
        <v>3723</v>
      </c>
      <c r="E2332" t="s">
        <v>3724</v>
      </c>
      <c r="F2332" t="s">
        <v>111</v>
      </c>
      <c r="G2332" t="s">
        <v>3168</v>
      </c>
      <c r="H2332" t="s">
        <v>3725</v>
      </c>
      <c r="I2332" t="s">
        <v>28</v>
      </c>
      <c r="J2332" t="s">
        <v>20</v>
      </c>
      <c r="K2332" t="s">
        <v>21</v>
      </c>
      <c r="L2332" t="s">
        <v>821</v>
      </c>
      <c r="N2332" t="s">
        <v>789</v>
      </c>
      <c r="O2332" t="s">
        <v>24</v>
      </c>
    </row>
    <row r="2333" spans="1:15" x14ac:dyDescent="0.25">
      <c r="A2333">
        <v>2332</v>
      </c>
      <c r="B2333" t="str">
        <f>HYPERLINK("https://digitalcommons.unl.edu/cgi/viewcontent.cgi?article=3063&amp;context=tractormuseumlit","Click for test report")</f>
        <v>Click for test report</v>
      </c>
      <c r="C2333">
        <v>1995</v>
      </c>
      <c r="D2333" t="s">
        <v>3720</v>
      </c>
      <c r="E2333" t="s">
        <v>3721</v>
      </c>
      <c r="F2333" t="s">
        <v>111</v>
      </c>
      <c r="G2333" t="s">
        <v>3168</v>
      </c>
      <c r="H2333" t="s">
        <v>3722</v>
      </c>
      <c r="I2333" t="s">
        <v>28</v>
      </c>
      <c r="J2333" t="s">
        <v>20</v>
      </c>
      <c r="K2333" t="s">
        <v>21</v>
      </c>
      <c r="L2333" t="s">
        <v>1424</v>
      </c>
      <c r="N2333" t="s">
        <v>150</v>
      </c>
      <c r="O2333" t="s">
        <v>24</v>
      </c>
    </row>
    <row r="2334" spans="1:15" x14ac:dyDescent="0.25">
      <c r="A2334">
        <v>2333</v>
      </c>
      <c r="B2334" t="str">
        <f>HYPERLINK("https://digitalcommons.unl.edu/cgi/viewcontent.cgi?article=3064&amp;context=tractormuseumlit","Click for test report")</f>
        <v>Click for test report</v>
      </c>
      <c r="C2334">
        <v>1995</v>
      </c>
      <c r="D2334" t="s">
        <v>3717</v>
      </c>
      <c r="E2334" t="s">
        <v>3718</v>
      </c>
      <c r="F2334" t="s">
        <v>135</v>
      </c>
      <c r="G2334" t="s">
        <v>3708</v>
      </c>
      <c r="H2334" t="s">
        <v>3719</v>
      </c>
      <c r="I2334" t="s">
        <v>50</v>
      </c>
      <c r="J2334" t="s">
        <v>20</v>
      </c>
      <c r="K2334" t="s">
        <v>21</v>
      </c>
      <c r="L2334" t="s">
        <v>2511</v>
      </c>
      <c r="N2334" t="s">
        <v>1893</v>
      </c>
      <c r="O2334" t="s">
        <v>24</v>
      </c>
    </row>
    <row r="2335" spans="1:15" x14ac:dyDescent="0.25">
      <c r="A2335">
        <v>2334</v>
      </c>
      <c r="B2335" t="str">
        <f>HYPERLINK("https://digitalcommons.unl.edu/cgi/viewcontent.cgi?article=3065&amp;context=tractormuseumlit","Click for test report")</f>
        <v>Click for test report</v>
      </c>
      <c r="C2335">
        <v>1995</v>
      </c>
      <c r="D2335" t="s">
        <v>3715</v>
      </c>
      <c r="E2335" t="s">
        <v>3425</v>
      </c>
      <c r="F2335" t="s">
        <v>135</v>
      </c>
      <c r="G2335" t="s">
        <v>3708</v>
      </c>
      <c r="H2335" t="s">
        <v>3426</v>
      </c>
      <c r="I2335" t="s">
        <v>50</v>
      </c>
      <c r="J2335" t="s">
        <v>20</v>
      </c>
      <c r="K2335" t="s">
        <v>21</v>
      </c>
      <c r="L2335" t="s">
        <v>410</v>
      </c>
      <c r="N2335" t="s">
        <v>1893</v>
      </c>
      <c r="O2335" t="s">
        <v>3716</v>
      </c>
    </row>
    <row r="2336" spans="1:15" x14ac:dyDescent="0.25">
      <c r="A2336">
        <v>2335</v>
      </c>
      <c r="B2336" t="str">
        <f>HYPERLINK("https://digitalcommons.unl.edu/cgi/viewcontent.cgi?article=3066&amp;context=tractormuseumlit","Click for test report")</f>
        <v>Click for test report</v>
      </c>
      <c r="C2336">
        <v>1995</v>
      </c>
      <c r="D2336" t="s">
        <v>3713</v>
      </c>
      <c r="E2336" t="s">
        <v>3421</v>
      </c>
      <c r="F2336" t="s">
        <v>135</v>
      </c>
      <c r="G2336" t="s">
        <v>3708</v>
      </c>
      <c r="H2336" t="s">
        <v>3422</v>
      </c>
      <c r="I2336" t="s">
        <v>1961</v>
      </c>
      <c r="J2336" t="s">
        <v>20</v>
      </c>
      <c r="K2336" t="s">
        <v>21</v>
      </c>
      <c r="L2336" t="s">
        <v>404</v>
      </c>
      <c r="N2336" t="s">
        <v>2188</v>
      </c>
      <c r="O2336" t="s">
        <v>3714</v>
      </c>
    </row>
    <row r="2337" spans="1:15" x14ac:dyDescent="0.25">
      <c r="A2337">
        <v>2336</v>
      </c>
      <c r="B2337" t="str">
        <f>HYPERLINK("https://digitalcommons.unl.edu/cgi/viewcontent.cgi?article=3067&amp;context=tractormuseumlit","Click for test report")</f>
        <v>Click for test report</v>
      </c>
      <c r="C2337">
        <v>1995</v>
      </c>
      <c r="D2337" t="s">
        <v>3710</v>
      </c>
      <c r="E2337" t="s">
        <v>3711</v>
      </c>
      <c r="F2337" t="s">
        <v>135</v>
      </c>
      <c r="G2337" t="s">
        <v>3708</v>
      </c>
      <c r="H2337" t="s">
        <v>3712</v>
      </c>
      <c r="I2337" t="s">
        <v>1961</v>
      </c>
      <c r="J2337" t="s">
        <v>20</v>
      </c>
      <c r="K2337" t="s">
        <v>21</v>
      </c>
      <c r="L2337" t="s">
        <v>728</v>
      </c>
      <c r="N2337" t="s">
        <v>3123</v>
      </c>
      <c r="O2337" t="s">
        <v>24</v>
      </c>
    </row>
    <row r="2338" spans="1:15" x14ac:dyDescent="0.25">
      <c r="A2338">
        <v>2337</v>
      </c>
      <c r="B2338" t="str">
        <f>HYPERLINK("https://digitalcommons.unl.edu/cgi/viewcontent.cgi?article=3068&amp;context=tractormuseumlit","Click for test report")</f>
        <v>Click for test report</v>
      </c>
      <c r="C2338">
        <v>1995</v>
      </c>
      <c r="D2338" t="s">
        <v>3706</v>
      </c>
      <c r="E2338" t="s">
        <v>3707</v>
      </c>
      <c r="F2338" t="s">
        <v>135</v>
      </c>
      <c r="G2338" t="s">
        <v>3708</v>
      </c>
      <c r="H2338" t="s">
        <v>3709</v>
      </c>
      <c r="I2338" t="s">
        <v>19</v>
      </c>
      <c r="J2338" t="s">
        <v>20</v>
      </c>
      <c r="K2338" t="s">
        <v>21</v>
      </c>
      <c r="L2338" t="s">
        <v>55</v>
      </c>
      <c r="N2338" t="s">
        <v>1867</v>
      </c>
      <c r="O2338" t="s">
        <v>24</v>
      </c>
    </row>
    <row r="2339" spans="1:15" x14ac:dyDescent="0.25">
      <c r="A2339">
        <v>2338</v>
      </c>
      <c r="B2339" t="str">
        <f>HYPERLINK("https://digitalcommons.unl.edu/cgi/viewcontent.cgi?article=3786&amp;context=tractormuseumlit","Click for test report")</f>
        <v>Click for test report</v>
      </c>
      <c r="C2339">
        <v>1996</v>
      </c>
      <c r="E2339" t="s">
        <v>3703</v>
      </c>
      <c r="F2339" t="s">
        <v>3704</v>
      </c>
      <c r="G2339" t="s">
        <v>3166</v>
      </c>
      <c r="H2339" t="s">
        <v>3705</v>
      </c>
      <c r="I2339" t="s">
        <v>50</v>
      </c>
      <c r="J2339" t="s">
        <v>20</v>
      </c>
      <c r="K2339" t="s">
        <v>21</v>
      </c>
      <c r="L2339" t="s">
        <v>2511</v>
      </c>
      <c r="N2339" t="s">
        <v>2826</v>
      </c>
      <c r="O2339" t="s">
        <v>24</v>
      </c>
    </row>
    <row r="2340" spans="1:15" x14ac:dyDescent="0.25">
      <c r="A2340">
        <v>2339</v>
      </c>
      <c r="B2340" t="str">
        <f>HYPERLINK("https://digitalcommons.unl.edu/cgi/viewcontent.cgi?article=3787&amp;context=tractormuseumlit","Click for test report")</f>
        <v>Click for test report</v>
      </c>
      <c r="C2340">
        <v>1996</v>
      </c>
      <c r="E2340" t="s">
        <v>3702</v>
      </c>
      <c r="F2340" t="s">
        <v>3336</v>
      </c>
      <c r="G2340" t="s">
        <v>135</v>
      </c>
      <c r="H2340" t="s">
        <v>1603</v>
      </c>
      <c r="I2340" t="s">
        <v>28</v>
      </c>
      <c r="J2340" t="s">
        <v>20</v>
      </c>
      <c r="K2340" t="s">
        <v>21</v>
      </c>
      <c r="L2340" t="s">
        <v>325</v>
      </c>
      <c r="N2340" t="s">
        <v>774</v>
      </c>
      <c r="O2340" t="s">
        <v>24</v>
      </c>
    </row>
    <row r="2341" spans="1:15" x14ac:dyDescent="0.25">
      <c r="A2341">
        <v>2340</v>
      </c>
      <c r="B2341" t="str">
        <f>HYPERLINK("https://digitalcommons.unl.edu/cgi/viewcontent.cgi?article=3788&amp;context=tractormuseumlit","Click for test report")</f>
        <v>Click for test report</v>
      </c>
      <c r="C2341">
        <v>1996</v>
      </c>
      <c r="E2341" t="s">
        <v>3700</v>
      </c>
      <c r="F2341" t="s">
        <v>3336</v>
      </c>
      <c r="G2341" t="s">
        <v>135</v>
      </c>
      <c r="H2341" t="s">
        <v>3701</v>
      </c>
      <c r="I2341" t="s">
        <v>28</v>
      </c>
      <c r="J2341" t="s">
        <v>20</v>
      </c>
      <c r="K2341" t="s">
        <v>21</v>
      </c>
      <c r="L2341" t="s">
        <v>315</v>
      </c>
      <c r="N2341" t="s">
        <v>909</v>
      </c>
      <c r="O2341" t="s">
        <v>24</v>
      </c>
    </row>
    <row r="2342" spans="1:15" x14ac:dyDescent="0.25">
      <c r="A2342">
        <v>2341</v>
      </c>
      <c r="B2342" t="str">
        <f>HYPERLINK("https://digitalcommons.unl.edu/cgi/viewcontent.cgi?article=3789&amp;context=tractormuseumlit","Click for test report")</f>
        <v>Click for test report</v>
      </c>
      <c r="C2342">
        <v>1996</v>
      </c>
      <c r="E2342" t="s">
        <v>3698</v>
      </c>
      <c r="F2342" t="s">
        <v>3336</v>
      </c>
      <c r="G2342" t="s">
        <v>135</v>
      </c>
      <c r="H2342" t="s">
        <v>3699</v>
      </c>
      <c r="I2342" t="s">
        <v>28</v>
      </c>
      <c r="J2342" t="s">
        <v>20</v>
      </c>
      <c r="K2342" t="s">
        <v>21</v>
      </c>
      <c r="L2342" t="s">
        <v>833</v>
      </c>
      <c r="N2342" t="s">
        <v>901</v>
      </c>
      <c r="O2342" t="s">
        <v>24</v>
      </c>
    </row>
    <row r="2343" spans="1:15" x14ac:dyDescent="0.25">
      <c r="A2343">
        <v>2342</v>
      </c>
      <c r="B2343" t="str">
        <f>HYPERLINK("https://digitalcommons.unl.edu/cgi/viewcontent.cgi?article=3790&amp;context=tractormuseumlit","Click for test report")</f>
        <v>Click for test report</v>
      </c>
      <c r="C2343">
        <v>1996</v>
      </c>
      <c r="E2343" t="s">
        <v>3696</v>
      </c>
      <c r="F2343" t="s">
        <v>3336</v>
      </c>
      <c r="G2343" t="s">
        <v>135</v>
      </c>
      <c r="H2343" t="s">
        <v>3697</v>
      </c>
      <c r="I2343" t="s">
        <v>28</v>
      </c>
      <c r="J2343" t="s">
        <v>20</v>
      </c>
      <c r="K2343" t="s">
        <v>21</v>
      </c>
      <c r="L2343" t="s">
        <v>1879</v>
      </c>
      <c r="N2343" t="s">
        <v>161</v>
      </c>
      <c r="O2343" t="s">
        <v>24</v>
      </c>
    </row>
    <row r="2344" spans="1:15" x14ac:dyDescent="0.25">
      <c r="A2344">
        <v>2343</v>
      </c>
      <c r="B2344" t="str">
        <f>HYPERLINK("https://digitalcommons.unl.edu/cgi/viewcontent.cgi?article=3792&amp;context=tractormuseumlit","Click for test report")</f>
        <v>Click for test report</v>
      </c>
      <c r="C2344">
        <v>1996</v>
      </c>
      <c r="E2344" t="s">
        <v>3694</v>
      </c>
      <c r="F2344" t="s">
        <v>2232</v>
      </c>
      <c r="G2344" t="s">
        <v>135</v>
      </c>
      <c r="H2344" t="s">
        <v>3695</v>
      </c>
      <c r="I2344" t="s">
        <v>1961</v>
      </c>
      <c r="J2344" t="s">
        <v>348</v>
      </c>
      <c r="K2344" t="s">
        <v>21</v>
      </c>
      <c r="L2344" t="s">
        <v>747</v>
      </c>
      <c r="N2344" t="s">
        <v>404</v>
      </c>
      <c r="O2344" t="s">
        <v>24</v>
      </c>
    </row>
    <row r="2345" spans="1:15" x14ac:dyDescent="0.25">
      <c r="A2345">
        <v>2344</v>
      </c>
      <c r="B2345" t="str">
        <f>HYPERLINK("https://digitalcommons.unl.edu/cgi/viewcontent.cgi?article=3792&amp;context=tractormuseumlit","Click for test report")</f>
        <v>Click for test report</v>
      </c>
      <c r="C2345">
        <v>1996</v>
      </c>
      <c r="E2345" t="s">
        <v>3694</v>
      </c>
      <c r="F2345" t="s">
        <v>2232</v>
      </c>
      <c r="G2345" t="s">
        <v>135</v>
      </c>
      <c r="H2345" t="s">
        <v>3695</v>
      </c>
      <c r="I2345" t="s">
        <v>1961</v>
      </c>
      <c r="J2345" t="s">
        <v>20</v>
      </c>
      <c r="K2345" t="s">
        <v>21</v>
      </c>
      <c r="L2345" t="s">
        <v>747</v>
      </c>
      <c r="N2345" t="s">
        <v>404</v>
      </c>
      <c r="O2345" t="s">
        <v>24</v>
      </c>
    </row>
    <row r="2346" spans="1:15" x14ac:dyDescent="0.25">
      <c r="A2346">
        <v>2345</v>
      </c>
      <c r="B2346" t="str">
        <f>HYPERLINK("https://digitalcommons.unl.edu/cgi/viewcontent.cgi?article=3793&amp;context=tractormuseumlit","Click for test report")</f>
        <v>Click for test report</v>
      </c>
      <c r="C2346">
        <v>1996</v>
      </c>
      <c r="E2346" t="s">
        <v>3692</v>
      </c>
      <c r="F2346" t="s">
        <v>2232</v>
      </c>
      <c r="G2346" t="s">
        <v>135</v>
      </c>
      <c r="H2346" t="s">
        <v>3693</v>
      </c>
      <c r="I2346" t="s">
        <v>1961</v>
      </c>
      <c r="J2346" t="s">
        <v>20</v>
      </c>
      <c r="K2346" t="s">
        <v>21</v>
      </c>
      <c r="L2346" t="s">
        <v>740</v>
      </c>
      <c r="N2346" t="s">
        <v>747</v>
      </c>
      <c r="O2346" t="s">
        <v>24</v>
      </c>
    </row>
    <row r="2347" spans="1:15" x14ac:dyDescent="0.25">
      <c r="A2347">
        <v>2346</v>
      </c>
      <c r="B2347" t="str">
        <f>HYPERLINK("https://digitalcommons.unl.edu/cgi/viewcontent.cgi?article=3793&amp;context=tractormuseumlit","Click for test report")</f>
        <v>Click for test report</v>
      </c>
      <c r="C2347">
        <v>1996</v>
      </c>
      <c r="E2347" t="s">
        <v>3692</v>
      </c>
      <c r="F2347" t="s">
        <v>2232</v>
      </c>
      <c r="G2347" t="s">
        <v>135</v>
      </c>
      <c r="H2347" t="s">
        <v>3693</v>
      </c>
      <c r="I2347" t="s">
        <v>1961</v>
      </c>
      <c r="J2347" t="s">
        <v>348</v>
      </c>
      <c r="K2347" t="s">
        <v>21</v>
      </c>
      <c r="L2347" t="s">
        <v>740</v>
      </c>
      <c r="N2347" t="s">
        <v>1350</v>
      </c>
      <c r="O2347" t="s">
        <v>24</v>
      </c>
    </row>
    <row r="2348" spans="1:15" x14ac:dyDescent="0.25">
      <c r="A2348">
        <v>2347</v>
      </c>
      <c r="B2348" t="str">
        <f>HYPERLINK("https://digitalcommons.unl.edu/cgi/viewcontent.cgi?article=3796&amp;context=tractormuseumlit","Click for test report")</f>
        <v>Click for test report</v>
      </c>
      <c r="C2348">
        <v>1996</v>
      </c>
      <c r="E2348" t="s">
        <v>3691</v>
      </c>
      <c r="F2348" t="s">
        <v>2682</v>
      </c>
      <c r="G2348" t="s">
        <v>135</v>
      </c>
      <c r="H2348" t="s">
        <v>3263</v>
      </c>
      <c r="I2348" t="s">
        <v>1808</v>
      </c>
      <c r="J2348" t="s">
        <v>20</v>
      </c>
      <c r="K2348" t="s">
        <v>21</v>
      </c>
      <c r="L2348" t="s">
        <v>705</v>
      </c>
      <c r="N2348" t="s">
        <v>461</v>
      </c>
      <c r="O2348" t="s">
        <v>3617</v>
      </c>
    </row>
    <row r="2349" spans="1:15" x14ac:dyDescent="0.25">
      <c r="A2349">
        <v>2348</v>
      </c>
      <c r="B2349" t="str">
        <f>HYPERLINK("https://digitalcommons.unl.edu/cgi/viewcontent.cgi?article=3798&amp;context=tractormuseumlit","Click for test report")</f>
        <v>Click for test report</v>
      </c>
      <c r="C2349">
        <v>1996</v>
      </c>
      <c r="E2349" t="s">
        <v>3690</v>
      </c>
      <c r="F2349" t="s">
        <v>2682</v>
      </c>
      <c r="G2349" t="s">
        <v>135</v>
      </c>
      <c r="H2349" t="s">
        <v>3630</v>
      </c>
      <c r="I2349" t="s">
        <v>1808</v>
      </c>
      <c r="J2349" t="s">
        <v>20</v>
      </c>
      <c r="K2349" t="s">
        <v>21</v>
      </c>
      <c r="L2349" t="s">
        <v>567</v>
      </c>
      <c r="N2349" t="s">
        <v>46</v>
      </c>
      <c r="O2349" t="s">
        <v>3617</v>
      </c>
    </row>
    <row r="2350" spans="1:15" x14ac:dyDescent="0.25">
      <c r="A2350">
        <v>2349</v>
      </c>
      <c r="B2350" t="str">
        <f>HYPERLINK("https://digitalcommons.unl.edu/cgi/viewcontent.cgi?article=3800&amp;context=tractormuseumlit","Click for test report")</f>
        <v>Click for test report</v>
      </c>
      <c r="C2350">
        <v>1996</v>
      </c>
      <c r="E2350" t="s">
        <v>3688</v>
      </c>
      <c r="F2350" t="s">
        <v>2682</v>
      </c>
      <c r="G2350" t="s">
        <v>135</v>
      </c>
      <c r="H2350" t="s">
        <v>3689</v>
      </c>
      <c r="I2350" t="s">
        <v>1808</v>
      </c>
      <c r="J2350" t="s">
        <v>20</v>
      </c>
      <c r="K2350" t="s">
        <v>21</v>
      </c>
      <c r="L2350" t="s">
        <v>839</v>
      </c>
      <c r="N2350" t="s">
        <v>2652</v>
      </c>
      <c r="O2350" t="s">
        <v>24</v>
      </c>
    </row>
    <row r="2351" spans="1:15" x14ac:dyDescent="0.25">
      <c r="A2351">
        <v>2350</v>
      </c>
      <c r="B2351" t="str">
        <f>HYPERLINK("https://digitalcommons.unl.edu/cgi/viewcontent.cgi?article=3805&amp;context=tractormuseumlit","Click for test report")</f>
        <v>Click for test report</v>
      </c>
      <c r="C2351">
        <v>1996</v>
      </c>
      <c r="E2351" t="s">
        <v>3686</v>
      </c>
      <c r="F2351" t="s">
        <v>2742</v>
      </c>
      <c r="G2351" t="s">
        <v>191</v>
      </c>
      <c r="H2351" t="s">
        <v>3687</v>
      </c>
      <c r="I2351" t="s">
        <v>19</v>
      </c>
      <c r="J2351" t="s">
        <v>20</v>
      </c>
      <c r="K2351" t="s">
        <v>21</v>
      </c>
      <c r="L2351" t="s">
        <v>677</v>
      </c>
      <c r="N2351" t="s">
        <v>247</v>
      </c>
      <c r="O2351" t="s">
        <v>24</v>
      </c>
    </row>
    <row r="2352" spans="1:15" x14ac:dyDescent="0.25">
      <c r="A2352">
        <v>2351</v>
      </c>
      <c r="B2352" t="str">
        <f>HYPERLINK("https://digitalcommons.unl.edu/cgi/viewcontent.cgi?article=3806&amp;context=tractormuseumlit","Click for test report")</f>
        <v>Click for test report</v>
      </c>
      <c r="C2352">
        <v>1996</v>
      </c>
      <c r="E2352" t="s">
        <v>3684</v>
      </c>
      <c r="F2352" t="s">
        <v>2742</v>
      </c>
      <c r="G2352" t="s">
        <v>191</v>
      </c>
      <c r="H2352" t="s">
        <v>3685</v>
      </c>
      <c r="I2352" t="s">
        <v>19</v>
      </c>
      <c r="J2352" t="s">
        <v>20</v>
      </c>
      <c r="K2352" t="s">
        <v>21</v>
      </c>
      <c r="L2352" t="s">
        <v>794</v>
      </c>
      <c r="N2352" t="s">
        <v>364</v>
      </c>
      <c r="O2352" t="s">
        <v>24</v>
      </c>
    </row>
    <row r="2353" spans="1:15" x14ac:dyDescent="0.25">
      <c r="A2353">
        <v>2352</v>
      </c>
      <c r="B2353" t="str">
        <f>HYPERLINK("https://digitalcommons.unl.edu/cgi/viewcontent.cgi?article=3816&amp;context=tractormuseumlit","Click for test report")</f>
        <v>Click for test report</v>
      </c>
      <c r="C2353">
        <v>1996</v>
      </c>
      <c r="E2353" t="s">
        <v>3681</v>
      </c>
      <c r="F2353" t="s">
        <v>3336</v>
      </c>
      <c r="G2353" t="s">
        <v>135</v>
      </c>
      <c r="H2353" t="s">
        <v>3682</v>
      </c>
      <c r="I2353" t="s">
        <v>50</v>
      </c>
      <c r="J2353" t="s">
        <v>29</v>
      </c>
      <c r="K2353" t="s">
        <v>21</v>
      </c>
      <c r="N2353" t="s">
        <v>2113</v>
      </c>
      <c r="O2353" t="s">
        <v>3683</v>
      </c>
    </row>
    <row r="2354" spans="1:15" x14ac:dyDescent="0.25">
      <c r="A2354">
        <v>2353</v>
      </c>
      <c r="B2354" t="str">
        <f>HYPERLINK("https://digitalcommons.unl.edu/cgi/viewcontent.cgi?article=3817&amp;context=tractormuseumlit","Click for test report")</f>
        <v>Click for test report</v>
      </c>
      <c r="C2354">
        <v>1996</v>
      </c>
      <c r="E2354" t="s">
        <v>3679</v>
      </c>
      <c r="F2354" t="s">
        <v>3680</v>
      </c>
      <c r="G2354" t="s">
        <v>3677</v>
      </c>
      <c r="H2354" t="s">
        <v>3622</v>
      </c>
      <c r="I2354" t="s">
        <v>3474</v>
      </c>
      <c r="J2354" t="s">
        <v>20</v>
      </c>
      <c r="K2354" t="s">
        <v>21</v>
      </c>
      <c r="L2354" t="s">
        <v>45</v>
      </c>
      <c r="N2354" t="s">
        <v>457</v>
      </c>
      <c r="O2354" t="s">
        <v>24</v>
      </c>
    </row>
    <row r="2355" spans="1:15" x14ac:dyDescent="0.25">
      <c r="A2355">
        <v>2354</v>
      </c>
      <c r="B2355" t="str">
        <f>HYPERLINK("https://digitalcommons.unl.edu/cgi/viewcontent.cgi?article=3821&amp;context=tractormuseumlit","Click for test report")</f>
        <v>Click for test report</v>
      </c>
      <c r="C2355">
        <v>1996</v>
      </c>
      <c r="E2355" t="s">
        <v>3676</v>
      </c>
      <c r="F2355" t="s">
        <v>3677</v>
      </c>
      <c r="G2355" t="s">
        <v>3677</v>
      </c>
      <c r="H2355" t="s">
        <v>3678</v>
      </c>
      <c r="I2355" t="s">
        <v>3474</v>
      </c>
      <c r="J2355" t="s">
        <v>20</v>
      </c>
      <c r="K2355" t="s">
        <v>21</v>
      </c>
      <c r="L2355" t="s">
        <v>853</v>
      </c>
      <c r="N2355" t="s">
        <v>363</v>
      </c>
      <c r="O2355" t="s">
        <v>24</v>
      </c>
    </row>
    <row r="2356" spans="1:15" x14ac:dyDescent="0.25">
      <c r="A2356">
        <v>2355</v>
      </c>
      <c r="B2356" t="str">
        <f>HYPERLINK("https://digitalcommons.unl.edu/cgi/viewcontent.cgi?article=3069&amp;context=tractormuseumlit","Click for test report")</f>
        <v>Click for test report</v>
      </c>
      <c r="C2356">
        <v>1996</v>
      </c>
      <c r="D2356" t="s">
        <v>3673</v>
      </c>
      <c r="E2356" t="s">
        <v>3674</v>
      </c>
      <c r="F2356" t="s">
        <v>3442</v>
      </c>
      <c r="G2356" t="s">
        <v>3442</v>
      </c>
      <c r="H2356" t="s">
        <v>3675</v>
      </c>
      <c r="I2356" t="s">
        <v>28</v>
      </c>
      <c r="J2356" t="s">
        <v>96</v>
      </c>
      <c r="K2356" t="s">
        <v>21</v>
      </c>
      <c r="L2356" t="s">
        <v>1683</v>
      </c>
      <c r="N2356" t="s">
        <v>1669</v>
      </c>
      <c r="O2356" t="s">
        <v>24</v>
      </c>
    </row>
    <row r="2357" spans="1:15" x14ac:dyDescent="0.25">
      <c r="A2357">
        <v>2356</v>
      </c>
      <c r="B2357" t="str">
        <f>HYPERLINK("https://digitalcommons.unl.edu/cgi/viewcontent.cgi?article=3070&amp;context=tractormuseumlit","Click for test report")</f>
        <v>Click for test report</v>
      </c>
      <c r="C2357">
        <v>1996</v>
      </c>
      <c r="D2357" t="s">
        <v>3670</v>
      </c>
      <c r="E2357" t="s">
        <v>3671</v>
      </c>
      <c r="F2357" t="s">
        <v>478</v>
      </c>
      <c r="G2357" t="s">
        <v>191</v>
      </c>
      <c r="H2357" t="s">
        <v>3672</v>
      </c>
      <c r="I2357" t="s">
        <v>28</v>
      </c>
      <c r="J2357" t="s">
        <v>29</v>
      </c>
      <c r="K2357" t="s">
        <v>21</v>
      </c>
      <c r="L2357" t="s">
        <v>995</v>
      </c>
      <c r="N2357" t="s">
        <v>306</v>
      </c>
      <c r="O2357" t="s">
        <v>3654</v>
      </c>
    </row>
    <row r="2358" spans="1:15" x14ac:dyDescent="0.25">
      <c r="A2358">
        <v>2357</v>
      </c>
      <c r="B2358" t="str">
        <f>HYPERLINK("https://digitalcommons.unl.edu/cgi/viewcontent.cgi?article=3070&amp;context=tractormuseumlit","Click for test report")</f>
        <v>Click for test report</v>
      </c>
      <c r="C2358">
        <v>1996</v>
      </c>
      <c r="D2358" t="s">
        <v>3670</v>
      </c>
      <c r="E2358" t="s">
        <v>3671</v>
      </c>
      <c r="F2358" t="s">
        <v>478</v>
      </c>
      <c r="G2358" t="s">
        <v>3652</v>
      </c>
      <c r="H2358" t="s">
        <v>3672</v>
      </c>
      <c r="I2358" t="s">
        <v>28</v>
      </c>
      <c r="J2358" t="s">
        <v>29</v>
      </c>
      <c r="K2358" t="s">
        <v>21</v>
      </c>
      <c r="L2358" t="s">
        <v>995</v>
      </c>
      <c r="N2358" t="s">
        <v>306</v>
      </c>
      <c r="O2358" t="s">
        <v>24</v>
      </c>
    </row>
    <row r="2359" spans="1:15" x14ac:dyDescent="0.25">
      <c r="A2359">
        <v>2358</v>
      </c>
      <c r="B2359" t="str">
        <f>HYPERLINK("https://digitalcommons.unl.edu/cgi/viewcontent.cgi?article=3071&amp;context=tractormuseumlit","Click for test report")</f>
        <v>Click for test report</v>
      </c>
      <c r="C2359">
        <v>1996</v>
      </c>
      <c r="D2359" t="s">
        <v>3666</v>
      </c>
      <c r="E2359" t="s">
        <v>3667</v>
      </c>
      <c r="F2359" t="s">
        <v>478</v>
      </c>
      <c r="G2359" t="s">
        <v>191</v>
      </c>
      <c r="H2359" t="s">
        <v>3668</v>
      </c>
      <c r="I2359" t="s">
        <v>28</v>
      </c>
      <c r="J2359" t="s">
        <v>29</v>
      </c>
      <c r="K2359" t="s">
        <v>21</v>
      </c>
      <c r="L2359" t="s">
        <v>30</v>
      </c>
      <c r="N2359" t="s">
        <v>3669</v>
      </c>
      <c r="O2359" t="s">
        <v>3654</v>
      </c>
    </row>
    <row r="2360" spans="1:15" x14ac:dyDescent="0.25">
      <c r="A2360">
        <v>2359</v>
      </c>
      <c r="B2360" t="str">
        <f>HYPERLINK("https://digitalcommons.unl.edu/cgi/viewcontent.cgi?article=3071&amp;context=tractormuseumlit","Click for test report")</f>
        <v>Click for test report</v>
      </c>
      <c r="C2360">
        <v>1996</v>
      </c>
      <c r="D2360" t="s">
        <v>3666</v>
      </c>
      <c r="E2360" t="s">
        <v>3667</v>
      </c>
      <c r="F2360" t="s">
        <v>478</v>
      </c>
      <c r="G2360" t="s">
        <v>3652</v>
      </c>
      <c r="H2360" t="s">
        <v>3668</v>
      </c>
      <c r="I2360" t="s">
        <v>28</v>
      </c>
      <c r="J2360" t="s">
        <v>29</v>
      </c>
      <c r="K2360" t="s">
        <v>21</v>
      </c>
      <c r="L2360" t="s">
        <v>30</v>
      </c>
      <c r="N2360" t="s">
        <v>3669</v>
      </c>
      <c r="O2360" t="s">
        <v>24</v>
      </c>
    </row>
    <row r="2361" spans="1:15" x14ac:dyDescent="0.25">
      <c r="A2361">
        <v>2360</v>
      </c>
      <c r="B2361" t="str">
        <f>HYPERLINK("https://digitalcommons.unl.edu/cgi/viewcontent.cgi?article=3072&amp;context=tractormuseumlit","Click for test report")</f>
        <v>Click for test report</v>
      </c>
      <c r="C2361">
        <v>1996</v>
      </c>
      <c r="D2361" t="s">
        <v>3578</v>
      </c>
      <c r="E2361" t="s">
        <v>3579</v>
      </c>
      <c r="F2361" t="s">
        <v>478</v>
      </c>
      <c r="G2361" t="s">
        <v>191</v>
      </c>
      <c r="H2361" t="s">
        <v>2913</v>
      </c>
      <c r="I2361" t="s">
        <v>28</v>
      </c>
      <c r="J2361" t="s">
        <v>20</v>
      </c>
      <c r="K2361" t="s">
        <v>21</v>
      </c>
      <c r="L2361" t="s">
        <v>818</v>
      </c>
      <c r="N2361" t="s">
        <v>774</v>
      </c>
      <c r="O2361" t="s">
        <v>3660</v>
      </c>
    </row>
    <row r="2362" spans="1:15" x14ac:dyDescent="0.25">
      <c r="A2362">
        <v>2361</v>
      </c>
      <c r="B2362" t="str">
        <f>HYPERLINK("https://digitalcommons.unl.edu/cgi/viewcontent.cgi?article=3073&amp;context=tractormuseumlit","Click for test report")</f>
        <v>Click for test report</v>
      </c>
      <c r="C2362">
        <v>1996</v>
      </c>
      <c r="D2362" t="s">
        <v>3664</v>
      </c>
      <c r="E2362" t="s">
        <v>3665</v>
      </c>
      <c r="F2362" t="s">
        <v>478</v>
      </c>
      <c r="G2362" t="s">
        <v>191</v>
      </c>
      <c r="H2362" t="s">
        <v>2180</v>
      </c>
      <c r="I2362" t="s">
        <v>28</v>
      </c>
      <c r="J2362" t="s">
        <v>20</v>
      </c>
      <c r="K2362" t="s">
        <v>21</v>
      </c>
      <c r="L2362" t="s">
        <v>1449</v>
      </c>
      <c r="N2362" t="s">
        <v>325</v>
      </c>
      <c r="O2362" t="s">
        <v>3660</v>
      </c>
    </row>
    <row r="2363" spans="1:15" x14ac:dyDescent="0.25">
      <c r="A2363">
        <v>2362</v>
      </c>
      <c r="B2363" t="str">
        <f>HYPERLINK("https://digitalcommons.unl.edu/cgi/viewcontent.cgi?article=3074&amp;context=tractormuseumlit","Click for test report")</f>
        <v>Click for test report</v>
      </c>
      <c r="C2363">
        <v>1996</v>
      </c>
      <c r="D2363" t="s">
        <v>3661</v>
      </c>
      <c r="E2363" t="s">
        <v>3662</v>
      </c>
      <c r="F2363" t="s">
        <v>478</v>
      </c>
      <c r="G2363" t="s">
        <v>191</v>
      </c>
      <c r="H2363" t="s">
        <v>3663</v>
      </c>
      <c r="I2363" t="s">
        <v>28</v>
      </c>
      <c r="J2363" t="s">
        <v>20</v>
      </c>
      <c r="K2363" t="s">
        <v>21</v>
      </c>
      <c r="L2363" t="s">
        <v>1424</v>
      </c>
      <c r="N2363" t="s">
        <v>836</v>
      </c>
      <c r="O2363" t="s">
        <v>3660</v>
      </c>
    </row>
    <row r="2364" spans="1:15" x14ac:dyDescent="0.25">
      <c r="A2364">
        <v>2363</v>
      </c>
      <c r="B2364" t="str">
        <f>HYPERLINK("https://digitalcommons.unl.edu/cgi/viewcontent.cgi?article=3075&amp;context=tractormuseumlit","Click for test report")</f>
        <v>Click for test report</v>
      </c>
      <c r="C2364">
        <v>1996</v>
      </c>
      <c r="D2364" t="s">
        <v>3657</v>
      </c>
      <c r="E2364" t="s">
        <v>3658</v>
      </c>
      <c r="F2364" t="s">
        <v>478</v>
      </c>
      <c r="G2364" t="s">
        <v>191</v>
      </c>
      <c r="H2364" t="s">
        <v>3659</v>
      </c>
      <c r="I2364" t="s">
        <v>28</v>
      </c>
      <c r="J2364" t="s">
        <v>20</v>
      </c>
      <c r="K2364" t="s">
        <v>21</v>
      </c>
      <c r="L2364" t="s">
        <v>1597</v>
      </c>
      <c r="N2364" t="s">
        <v>2880</v>
      </c>
      <c r="O2364" t="s">
        <v>3660</v>
      </c>
    </row>
    <row r="2365" spans="1:15" x14ac:dyDescent="0.25">
      <c r="A2365">
        <v>2364</v>
      </c>
      <c r="B2365" t="str">
        <f>HYPERLINK("https://digitalcommons.unl.edu/cgi/viewcontent.cgi?article=3076&amp;context=tractormuseumlit","Click for test report")</f>
        <v>Click for test report</v>
      </c>
      <c r="C2365">
        <v>1996</v>
      </c>
      <c r="D2365" t="s">
        <v>3655</v>
      </c>
      <c r="E2365" t="s">
        <v>3656</v>
      </c>
      <c r="F2365" t="s">
        <v>478</v>
      </c>
      <c r="G2365" t="s">
        <v>191</v>
      </c>
      <c r="H2365" t="s">
        <v>2117</v>
      </c>
      <c r="I2365" t="s">
        <v>28</v>
      </c>
      <c r="J2365" t="s">
        <v>29</v>
      </c>
      <c r="K2365" t="s">
        <v>21</v>
      </c>
      <c r="L2365" t="s">
        <v>75</v>
      </c>
      <c r="N2365" t="s">
        <v>833</v>
      </c>
      <c r="O2365" t="s">
        <v>3654</v>
      </c>
    </row>
    <row r="2366" spans="1:15" x14ac:dyDescent="0.25">
      <c r="A2366">
        <v>2365</v>
      </c>
      <c r="B2366" t="str">
        <f>HYPERLINK("https://digitalcommons.unl.edu/cgi/viewcontent.cgi?article=3076&amp;context=tractormuseumlit","Click for test report")</f>
        <v>Click for test report</v>
      </c>
      <c r="C2366">
        <v>1996</v>
      </c>
      <c r="D2366" t="s">
        <v>3655</v>
      </c>
      <c r="E2366" t="s">
        <v>3656</v>
      </c>
      <c r="F2366" t="s">
        <v>478</v>
      </c>
      <c r="G2366" t="s">
        <v>3652</v>
      </c>
      <c r="H2366" t="s">
        <v>2117</v>
      </c>
      <c r="I2366" t="s">
        <v>28</v>
      </c>
      <c r="J2366" t="s">
        <v>29</v>
      </c>
      <c r="K2366" t="s">
        <v>21</v>
      </c>
      <c r="L2366" t="s">
        <v>75</v>
      </c>
      <c r="N2366" t="s">
        <v>833</v>
      </c>
      <c r="O2366" t="s">
        <v>24</v>
      </c>
    </row>
    <row r="2367" spans="1:15" x14ac:dyDescent="0.25">
      <c r="A2367">
        <v>2366</v>
      </c>
      <c r="B2367" t="str">
        <f>HYPERLINK("https://digitalcommons.unl.edu/cgi/viewcontent.cgi?article=3077&amp;context=tractormuseumlit","Click for test report")</f>
        <v>Click for test report</v>
      </c>
      <c r="C2367">
        <v>1996</v>
      </c>
      <c r="D2367" t="s">
        <v>3650</v>
      </c>
      <c r="E2367" t="s">
        <v>3651</v>
      </c>
      <c r="F2367" t="s">
        <v>478</v>
      </c>
      <c r="G2367" t="s">
        <v>191</v>
      </c>
      <c r="H2367" t="s">
        <v>3653</v>
      </c>
      <c r="I2367" t="s">
        <v>28</v>
      </c>
      <c r="J2367" t="s">
        <v>29</v>
      </c>
      <c r="K2367" t="s">
        <v>21</v>
      </c>
      <c r="L2367" t="s">
        <v>633</v>
      </c>
      <c r="N2367" t="s">
        <v>30</v>
      </c>
      <c r="O2367" t="s">
        <v>3654</v>
      </c>
    </row>
    <row r="2368" spans="1:15" x14ac:dyDescent="0.25">
      <c r="A2368">
        <v>2367</v>
      </c>
      <c r="B2368" t="str">
        <f>HYPERLINK("https://digitalcommons.unl.edu/cgi/viewcontent.cgi?article=3077&amp;context=tractormuseumlit","Click for test report")</f>
        <v>Click for test report</v>
      </c>
      <c r="C2368">
        <v>1996</v>
      </c>
      <c r="D2368" t="s">
        <v>3650</v>
      </c>
      <c r="E2368" t="s">
        <v>3651</v>
      </c>
      <c r="F2368" t="s">
        <v>478</v>
      </c>
      <c r="G2368" t="s">
        <v>3652</v>
      </c>
      <c r="H2368" t="s">
        <v>3653</v>
      </c>
      <c r="I2368" t="s">
        <v>28</v>
      </c>
      <c r="J2368" t="s">
        <v>29</v>
      </c>
      <c r="K2368" t="s">
        <v>21</v>
      </c>
      <c r="L2368" t="s">
        <v>633</v>
      </c>
      <c r="N2368" t="s">
        <v>30</v>
      </c>
      <c r="O2368" t="s">
        <v>24</v>
      </c>
    </row>
    <row r="2369" spans="1:15" x14ac:dyDescent="0.25">
      <c r="A2369">
        <v>2368</v>
      </c>
      <c r="B2369" t="str">
        <f>HYPERLINK("https://digitalcommons.unl.edu/cgi/viewcontent.cgi?article=3078&amp;context=tractormuseumlit","Click for test report")</f>
        <v>Click for test report</v>
      </c>
      <c r="C2369">
        <v>1996</v>
      </c>
      <c r="D2369" t="s">
        <v>3646</v>
      </c>
      <c r="E2369" t="s">
        <v>3647</v>
      </c>
      <c r="F2369" t="s">
        <v>3514</v>
      </c>
      <c r="G2369" t="s">
        <v>3514</v>
      </c>
      <c r="H2369" t="s">
        <v>3649</v>
      </c>
      <c r="I2369" t="s">
        <v>50</v>
      </c>
      <c r="J2369" t="s">
        <v>20</v>
      </c>
      <c r="K2369" t="s">
        <v>21</v>
      </c>
      <c r="L2369" t="s">
        <v>1970</v>
      </c>
      <c r="N2369" t="s">
        <v>407</v>
      </c>
      <c r="O2369" t="s">
        <v>24</v>
      </c>
    </row>
    <row r="2370" spans="1:15" x14ac:dyDescent="0.25">
      <c r="A2370">
        <v>2369</v>
      </c>
      <c r="B2370" t="str">
        <f>HYPERLINK("https://digitalcommons.unl.edu/cgi/viewcontent.cgi?article=3078&amp;context=tractormuseumlit","Click for test report")</f>
        <v>Click for test report</v>
      </c>
      <c r="C2370">
        <v>1996</v>
      </c>
      <c r="D2370" t="s">
        <v>3646</v>
      </c>
      <c r="E2370" t="s">
        <v>3647</v>
      </c>
      <c r="F2370" t="s">
        <v>3514</v>
      </c>
      <c r="G2370" t="s">
        <v>3514</v>
      </c>
      <c r="H2370" t="s">
        <v>3648</v>
      </c>
      <c r="I2370" t="s">
        <v>50</v>
      </c>
      <c r="J2370" t="s">
        <v>20</v>
      </c>
      <c r="K2370" t="s">
        <v>21</v>
      </c>
      <c r="L2370" t="s">
        <v>1970</v>
      </c>
      <c r="N2370" t="s">
        <v>407</v>
      </c>
      <c r="O2370" t="s">
        <v>24</v>
      </c>
    </row>
    <row r="2371" spans="1:15" x14ac:dyDescent="0.25">
      <c r="A2371">
        <v>2370</v>
      </c>
      <c r="B2371" t="str">
        <f>HYPERLINK("https://digitalcommons.unl.edu/cgi/viewcontent.cgi?article=3079&amp;context=tractormuseumlit","Click for test report")</f>
        <v>Click for test report</v>
      </c>
      <c r="C2371">
        <v>1996</v>
      </c>
      <c r="D2371" t="s">
        <v>3639</v>
      </c>
      <c r="E2371" t="s">
        <v>3640</v>
      </c>
      <c r="F2371" t="s">
        <v>3514</v>
      </c>
      <c r="G2371" t="s">
        <v>3514</v>
      </c>
      <c r="H2371" t="s">
        <v>3645</v>
      </c>
      <c r="I2371" t="s">
        <v>50</v>
      </c>
      <c r="J2371" t="s">
        <v>20</v>
      </c>
      <c r="K2371" t="s">
        <v>21</v>
      </c>
      <c r="L2371" t="s">
        <v>454</v>
      </c>
      <c r="N2371" t="s">
        <v>1796</v>
      </c>
      <c r="O2371" t="s">
        <v>3643</v>
      </c>
    </row>
    <row r="2372" spans="1:15" x14ac:dyDescent="0.25">
      <c r="A2372">
        <v>2371</v>
      </c>
      <c r="B2372" t="str">
        <f>HYPERLINK("https://digitalcommons.unl.edu/cgi/viewcontent.cgi?article=3079&amp;context=tractormuseumlit","Click for test report")</f>
        <v>Click for test report</v>
      </c>
      <c r="C2372">
        <v>1996</v>
      </c>
      <c r="D2372" t="s">
        <v>3639</v>
      </c>
      <c r="E2372" t="s">
        <v>3640</v>
      </c>
      <c r="F2372" t="s">
        <v>3514</v>
      </c>
      <c r="G2372" t="s">
        <v>3514</v>
      </c>
      <c r="H2372" t="s">
        <v>3644</v>
      </c>
      <c r="I2372" t="s">
        <v>50</v>
      </c>
      <c r="J2372" t="s">
        <v>20</v>
      </c>
      <c r="K2372" t="s">
        <v>21</v>
      </c>
      <c r="L2372" t="s">
        <v>454</v>
      </c>
      <c r="N2372" t="s">
        <v>1796</v>
      </c>
      <c r="O2372" t="s">
        <v>3643</v>
      </c>
    </row>
    <row r="2373" spans="1:15" x14ac:dyDescent="0.25">
      <c r="A2373">
        <v>2372</v>
      </c>
      <c r="B2373" t="str">
        <f>HYPERLINK("https://digitalcommons.unl.edu/cgi/viewcontent.cgi?article=3079&amp;context=tractormuseumlit","Click for test report")</f>
        <v>Click for test report</v>
      </c>
      <c r="C2373">
        <v>1996</v>
      </c>
      <c r="D2373" t="s">
        <v>3639</v>
      </c>
      <c r="E2373" t="s">
        <v>3640</v>
      </c>
      <c r="F2373" t="s">
        <v>3514</v>
      </c>
      <c r="G2373" t="s">
        <v>3514</v>
      </c>
      <c r="H2373" t="s">
        <v>3642</v>
      </c>
      <c r="I2373" t="s">
        <v>50</v>
      </c>
      <c r="J2373" t="s">
        <v>20</v>
      </c>
      <c r="K2373" t="s">
        <v>21</v>
      </c>
      <c r="L2373" t="s">
        <v>454</v>
      </c>
      <c r="N2373" t="s">
        <v>1796</v>
      </c>
      <c r="O2373" t="s">
        <v>3643</v>
      </c>
    </row>
    <row r="2374" spans="1:15" x14ac:dyDescent="0.25">
      <c r="A2374">
        <v>2373</v>
      </c>
      <c r="B2374" t="str">
        <f>HYPERLINK("https://digitalcommons.unl.edu/cgi/viewcontent.cgi?article=3079&amp;context=tractormuseumlit","Click for test report")</f>
        <v>Click for test report</v>
      </c>
      <c r="C2374">
        <v>1996</v>
      </c>
      <c r="D2374" t="s">
        <v>3639</v>
      </c>
      <c r="E2374" t="s">
        <v>3640</v>
      </c>
      <c r="F2374" t="s">
        <v>3514</v>
      </c>
      <c r="G2374" t="s">
        <v>3514</v>
      </c>
      <c r="H2374" t="s">
        <v>3641</v>
      </c>
      <c r="I2374" t="s">
        <v>50</v>
      </c>
      <c r="J2374" t="s">
        <v>20</v>
      </c>
      <c r="K2374" t="s">
        <v>21</v>
      </c>
      <c r="L2374" t="s">
        <v>454</v>
      </c>
      <c r="N2374" t="s">
        <v>1796</v>
      </c>
      <c r="O2374" t="s">
        <v>24</v>
      </c>
    </row>
    <row r="2375" spans="1:15" x14ac:dyDescent="0.25">
      <c r="A2375">
        <v>2374</v>
      </c>
      <c r="B2375" t="str">
        <f>HYPERLINK("https://digitalcommons.unl.edu/cgi/viewcontent.cgi?article=3080&amp;context=tractormuseumlit","Click for test report")</f>
        <v>Click for test report</v>
      </c>
      <c r="C2375">
        <v>1996</v>
      </c>
      <c r="D2375" t="s">
        <v>3636</v>
      </c>
      <c r="E2375" t="s">
        <v>3637</v>
      </c>
      <c r="F2375" t="s">
        <v>17</v>
      </c>
      <c r="G2375" t="s">
        <v>17</v>
      </c>
      <c r="H2375" t="s">
        <v>3638</v>
      </c>
      <c r="I2375" t="s">
        <v>50</v>
      </c>
      <c r="J2375" t="s">
        <v>20</v>
      </c>
      <c r="K2375" t="s">
        <v>21</v>
      </c>
      <c r="L2375" t="s">
        <v>1867</v>
      </c>
      <c r="N2375" t="s">
        <v>728</v>
      </c>
      <c r="O2375" t="s">
        <v>24</v>
      </c>
    </row>
    <row r="2376" spans="1:15" x14ac:dyDescent="0.25">
      <c r="A2376">
        <v>2375</v>
      </c>
      <c r="B2376" t="str">
        <f>HYPERLINK("https://digitalcommons.unl.edu/cgi/viewcontent.cgi?article=3081&amp;context=tractormuseumlit","Click for test report")</f>
        <v>Click for test report</v>
      </c>
      <c r="C2376">
        <v>1996</v>
      </c>
      <c r="D2376" t="s">
        <v>3633</v>
      </c>
      <c r="E2376" t="s">
        <v>3634</v>
      </c>
      <c r="F2376" t="s">
        <v>111</v>
      </c>
      <c r="G2376" t="s">
        <v>3168</v>
      </c>
      <c r="H2376" t="s">
        <v>3635</v>
      </c>
      <c r="I2376" t="s">
        <v>28</v>
      </c>
      <c r="J2376" t="s">
        <v>20</v>
      </c>
      <c r="K2376" t="s">
        <v>21</v>
      </c>
      <c r="L2376" t="s">
        <v>1597</v>
      </c>
      <c r="N2376" t="s">
        <v>1029</v>
      </c>
      <c r="O2376" t="s">
        <v>24</v>
      </c>
    </row>
    <row r="2377" spans="1:15" x14ac:dyDescent="0.25">
      <c r="A2377">
        <v>2376</v>
      </c>
      <c r="B2377" t="str">
        <f>HYPERLINK("https://digitalcommons.unl.edu/cgi/viewcontent.cgi?article=3082&amp;context=tractormuseumlit","Click for test report")</f>
        <v>Click for test report</v>
      </c>
      <c r="C2377">
        <v>1996</v>
      </c>
      <c r="D2377" t="s">
        <v>3631</v>
      </c>
      <c r="E2377" t="s">
        <v>3632</v>
      </c>
      <c r="F2377" t="s">
        <v>111</v>
      </c>
      <c r="G2377" t="s">
        <v>3166</v>
      </c>
      <c r="H2377" t="s">
        <v>2795</v>
      </c>
      <c r="I2377" t="s">
        <v>28</v>
      </c>
      <c r="J2377" t="s">
        <v>20</v>
      </c>
      <c r="K2377" t="s">
        <v>21</v>
      </c>
      <c r="L2377" t="s">
        <v>900</v>
      </c>
      <c r="N2377" t="s">
        <v>833</v>
      </c>
      <c r="O2377" t="s">
        <v>24</v>
      </c>
    </row>
    <row r="2378" spans="1:15" x14ac:dyDescent="0.25">
      <c r="A2378">
        <v>2377</v>
      </c>
      <c r="B2378" t="str">
        <f>HYPERLINK("https://digitalcommons.unl.edu/cgi/viewcontent.cgi?article=3083&amp;context=tractormuseumlit","Click for test report")</f>
        <v>Click for test report</v>
      </c>
      <c r="C2378">
        <v>1996</v>
      </c>
      <c r="D2378" t="s">
        <v>3628</v>
      </c>
      <c r="E2378" t="s">
        <v>3629</v>
      </c>
      <c r="F2378" t="s">
        <v>111</v>
      </c>
      <c r="G2378" t="s">
        <v>3625</v>
      </c>
      <c r="H2378" t="s">
        <v>3630</v>
      </c>
      <c r="I2378" t="s">
        <v>50</v>
      </c>
      <c r="J2378" t="s">
        <v>29</v>
      </c>
      <c r="K2378" t="s">
        <v>21</v>
      </c>
      <c r="N2378" t="s">
        <v>1589</v>
      </c>
      <c r="O2378" t="s">
        <v>3627</v>
      </c>
    </row>
    <row r="2379" spans="1:15" x14ac:dyDescent="0.25">
      <c r="A2379">
        <v>2378</v>
      </c>
      <c r="B2379" t="str">
        <f>HYPERLINK("https://digitalcommons.unl.edu/cgi/viewcontent.cgi?article=3084&amp;context=tractormuseumlit","Click for test report")</f>
        <v>Click for test report</v>
      </c>
      <c r="C2379">
        <v>1996</v>
      </c>
      <c r="D2379" t="s">
        <v>3623</v>
      </c>
      <c r="E2379" t="s">
        <v>3624</v>
      </c>
      <c r="F2379" t="s">
        <v>111</v>
      </c>
      <c r="G2379" t="s">
        <v>3625</v>
      </c>
      <c r="H2379" t="s">
        <v>3626</v>
      </c>
      <c r="I2379" t="s">
        <v>50</v>
      </c>
      <c r="J2379" t="s">
        <v>29</v>
      </c>
      <c r="K2379" t="s">
        <v>21</v>
      </c>
      <c r="N2379" t="s">
        <v>390</v>
      </c>
      <c r="O2379" t="s">
        <v>3627</v>
      </c>
    </row>
    <row r="2380" spans="1:15" x14ac:dyDescent="0.25">
      <c r="A2380">
        <v>2379</v>
      </c>
      <c r="B2380" t="str">
        <f>HYPERLINK("https://digitalcommons.unl.edu/cgi/viewcontent.cgi?article=3784&amp;context=tractormuseumlit","Click for test report")</f>
        <v>Click for test report</v>
      </c>
      <c r="C2380">
        <v>1997</v>
      </c>
      <c r="E2380" t="s">
        <v>3621</v>
      </c>
      <c r="F2380" t="s">
        <v>2062</v>
      </c>
      <c r="G2380" t="s">
        <v>778</v>
      </c>
      <c r="H2380" t="s">
        <v>3622</v>
      </c>
      <c r="I2380" t="s">
        <v>19</v>
      </c>
      <c r="J2380" t="s">
        <v>20</v>
      </c>
      <c r="K2380" t="s">
        <v>21</v>
      </c>
      <c r="L2380" t="s">
        <v>1041</v>
      </c>
      <c r="N2380" t="s">
        <v>1262</v>
      </c>
      <c r="O2380" t="s">
        <v>24</v>
      </c>
    </row>
    <row r="2381" spans="1:15" x14ac:dyDescent="0.25">
      <c r="A2381">
        <v>2380</v>
      </c>
      <c r="B2381" t="str">
        <f>HYPERLINK("https://digitalcommons.unl.edu/cgi/viewcontent.cgi?article=3784&amp;context=tractormuseumlit","Click for test report")</f>
        <v>Click for test report</v>
      </c>
      <c r="C2381">
        <v>1997</v>
      </c>
      <c r="E2381" t="s">
        <v>3621</v>
      </c>
      <c r="F2381" t="s">
        <v>2062</v>
      </c>
      <c r="G2381" t="s">
        <v>778</v>
      </c>
      <c r="H2381" t="s">
        <v>3622</v>
      </c>
      <c r="I2381" t="s">
        <v>19</v>
      </c>
      <c r="J2381" t="s">
        <v>348</v>
      </c>
      <c r="K2381" t="s">
        <v>21</v>
      </c>
      <c r="L2381" t="s">
        <v>1041</v>
      </c>
      <c r="N2381" t="s">
        <v>1262</v>
      </c>
      <c r="O2381" t="s">
        <v>24</v>
      </c>
    </row>
    <row r="2382" spans="1:15" x14ac:dyDescent="0.25">
      <c r="A2382">
        <v>2381</v>
      </c>
      <c r="B2382" t="str">
        <f>HYPERLINK("https://digitalcommons.unl.edu/cgi/viewcontent.cgi?article=3785&amp;context=tractormuseumlit","Click for test report")</f>
        <v>Click for test report</v>
      </c>
      <c r="C2382">
        <v>1997</v>
      </c>
      <c r="E2382" t="s">
        <v>3620</v>
      </c>
      <c r="F2382" t="s">
        <v>2062</v>
      </c>
      <c r="G2382" t="s">
        <v>778</v>
      </c>
      <c r="H2382" t="s">
        <v>3615</v>
      </c>
      <c r="I2382" t="s">
        <v>19</v>
      </c>
      <c r="J2382" t="s">
        <v>348</v>
      </c>
      <c r="K2382" t="s">
        <v>21</v>
      </c>
      <c r="L2382" t="s">
        <v>1430</v>
      </c>
      <c r="N2382" t="s">
        <v>818</v>
      </c>
      <c r="O2382" t="s">
        <v>24</v>
      </c>
    </row>
    <row r="2383" spans="1:15" x14ac:dyDescent="0.25">
      <c r="A2383">
        <v>2382</v>
      </c>
      <c r="B2383" t="str">
        <f>HYPERLINK("https://digitalcommons.unl.edu/cgi/viewcontent.cgi?article=3785&amp;context=tractormuseumlit","Click for test report")</f>
        <v>Click for test report</v>
      </c>
      <c r="C2383">
        <v>1997</v>
      </c>
      <c r="E2383" t="s">
        <v>3620</v>
      </c>
      <c r="F2383" t="s">
        <v>2062</v>
      </c>
      <c r="G2383" t="s">
        <v>778</v>
      </c>
      <c r="H2383" t="s">
        <v>3615</v>
      </c>
      <c r="I2383" t="s">
        <v>19</v>
      </c>
      <c r="J2383" t="s">
        <v>20</v>
      </c>
      <c r="K2383" t="s">
        <v>21</v>
      </c>
      <c r="L2383" t="s">
        <v>1430</v>
      </c>
      <c r="N2383" t="s">
        <v>2422</v>
      </c>
      <c r="O2383" t="s">
        <v>24</v>
      </c>
    </row>
    <row r="2384" spans="1:15" x14ac:dyDescent="0.25">
      <c r="A2384">
        <v>2383</v>
      </c>
      <c r="B2384" t="str">
        <f>HYPERLINK("https://digitalcommons.unl.edu/cgi/viewcontent.cgi?article=3791&amp;context=tractormuseumlit","Click for test report")</f>
        <v>Click for test report</v>
      </c>
      <c r="C2384">
        <v>1997</v>
      </c>
      <c r="E2384" t="s">
        <v>3618</v>
      </c>
      <c r="F2384" t="s">
        <v>2232</v>
      </c>
      <c r="G2384" t="s">
        <v>135</v>
      </c>
      <c r="H2384" t="s">
        <v>3619</v>
      </c>
      <c r="I2384" t="s">
        <v>50</v>
      </c>
      <c r="J2384" t="s">
        <v>20</v>
      </c>
      <c r="K2384" t="s">
        <v>21</v>
      </c>
      <c r="L2384" t="s">
        <v>2029</v>
      </c>
      <c r="N2384" t="s">
        <v>1650</v>
      </c>
      <c r="O2384" t="s">
        <v>24</v>
      </c>
    </row>
    <row r="2385" spans="1:15" x14ac:dyDescent="0.25">
      <c r="A2385">
        <v>2384</v>
      </c>
      <c r="B2385" t="str">
        <f>HYPERLINK("https://digitalcommons.unl.edu/cgi/viewcontent.cgi?article=3791&amp;context=tractormuseumlit","Click for test report")</f>
        <v>Click for test report</v>
      </c>
      <c r="C2385">
        <v>1997</v>
      </c>
      <c r="E2385" t="s">
        <v>3618</v>
      </c>
      <c r="F2385" t="s">
        <v>2232</v>
      </c>
      <c r="G2385" t="s">
        <v>135</v>
      </c>
      <c r="H2385" t="s">
        <v>3619</v>
      </c>
      <c r="I2385" t="s">
        <v>50</v>
      </c>
      <c r="J2385" t="s">
        <v>348</v>
      </c>
      <c r="K2385" t="s">
        <v>21</v>
      </c>
      <c r="L2385" t="s">
        <v>2029</v>
      </c>
      <c r="N2385" t="s">
        <v>1650</v>
      </c>
      <c r="O2385" t="s">
        <v>24</v>
      </c>
    </row>
    <row r="2386" spans="1:15" x14ac:dyDescent="0.25">
      <c r="A2386">
        <v>2385</v>
      </c>
      <c r="B2386" t="str">
        <f>HYPERLINK("https://digitalcommons.unl.edu/cgi/viewcontent.cgi?article=3794&amp;context=tractormuseumlit","Click for test report")</f>
        <v>Click for test report</v>
      </c>
      <c r="C2386">
        <v>1997</v>
      </c>
      <c r="E2386" t="s">
        <v>3616</v>
      </c>
      <c r="F2386" t="s">
        <v>2682</v>
      </c>
      <c r="G2386" t="s">
        <v>135</v>
      </c>
      <c r="H2386" t="s">
        <v>3615</v>
      </c>
      <c r="I2386" t="s">
        <v>1808</v>
      </c>
      <c r="J2386" t="s">
        <v>20</v>
      </c>
      <c r="K2386" t="s">
        <v>21</v>
      </c>
      <c r="L2386" t="s">
        <v>713</v>
      </c>
      <c r="N2386" t="s">
        <v>743</v>
      </c>
      <c r="O2386" t="s">
        <v>3617</v>
      </c>
    </row>
    <row r="2387" spans="1:15" x14ac:dyDescent="0.25">
      <c r="A2387">
        <v>2386</v>
      </c>
      <c r="B2387" t="str">
        <f>HYPERLINK("https://digitalcommons.unl.edu/cgi/viewcontent.cgi?article=3795&amp;context=tractormuseumlit","Click for test report")</f>
        <v>Click for test report</v>
      </c>
      <c r="C2387">
        <v>1997</v>
      </c>
      <c r="E2387" t="s">
        <v>3614</v>
      </c>
      <c r="F2387" t="s">
        <v>2682</v>
      </c>
      <c r="G2387" t="s">
        <v>135</v>
      </c>
      <c r="H2387" t="s">
        <v>3615</v>
      </c>
      <c r="I2387" t="s">
        <v>1961</v>
      </c>
      <c r="J2387" t="s">
        <v>20</v>
      </c>
      <c r="K2387" t="s">
        <v>21</v>
      </c>
      <c r="L2387" t="s">
        <v>461</v>
      </c>
      <c r="N2387" t="s">
        <v>1347</v>
      </c>
      <c r="O2387" t="s">
        <v>3613</v>
      </c>
    </row>
    <row r="2388" spans="1:15" x14ac:dyDescent="0.25">
      <c r="A2388">
        <v>2387</v>
      </c>
      <c r="B2388" t="str">
        <f>HYPERLINK("https://digitalcommons.unl.edu/cgi/viewcontent.cgi?article=3797&amp;context=tractormuseumlit","Click for test report")</f>
        <v>Click for test report</v>
      </c>
      <c r="C2388">
        <v>1997</v>
      </c>
      <c r="E2388" t="s">
        <v>3612</v>
      </c>
      <c r="F2388" t="s">
        <v>2682</v>
      </c>
      <c r="G2388" t="s">
        <v>135</v>
      </c>
      <c r="H2388" t="s">
        <v>3263</v>
      </c>
      <c r="I2388" t="s">
        <v>1961</v>
      </c>
      <c r="J2388" t="s">
        <v>20</v>
      </c>
      <c r="K2388" t="s">
        <v>21</v>
      </c>
      <c r="L2388" t="s">
        <v>705</v>
      </c>
      <c r="N2388" t="s">
        <v>457</v>
      </c>
      <c r="O2388" t="s">
        <v>3613</v>
      </c>
    </row>
    <row r="2389" spans="1:15" x14ac:dyDescent="0.25">
      <c r="A2389">
        <v>2388</v>
      </c>
      <c r="B2389" t="str">
        <f>HYPERLINK("https://digitalcommons.unl.edu/cgi/viewcontent.cgi?article=3799&amp;context=tractormuseumlit","Click for test report")</f>
        <v>Click for test report</v>
      </c>
      <c r="C2389">
        <v>1997</v>
      </c>
      <c r="E2389" t="s">
        <v>3610</v>
      </c>
      <c r="F2389" t="s">
        <v>2682</v>
      </c>
      <c r="G2389" t="s">
        <v>135</v>
      </c>
      <c r="H2389" t="s">
        <v>3611</v>
      </c>
      <c r="I2389" t="s">
        <v>1961</v>
      </c>
      <c r="J2389" t="s">
        <v>20</v>
      </c>
      <c r="K2389" t="s">
        <v>21</v>
      </c>
      <c r="L2389" t="s">
        <v>794</v>
      </c>
      <c r="N2389" t="s">
        <v>571</v>
      </c>
      <c r="O2389" t="s">
        <v>24</v>
      </c>
    </row>
    <row r="2390" spans="1:15" x14ac:dyDescent="0.25">
      <c r="A2390">
        <v>2389</v>
      </c>
      <c r="B2390" t="str">
        <f>HYPERLINK("https://digitalcommons.unl.edu/cgi/viewcontent.cgi?article=3801&amp;context=tractormuseumlit","Click for test report")</f>
        <v>Click for test report</v>
      </c>
      <c r="C2390">
        <v>1997</v>
      </c>
      <c r="E2390" t="s">
        <v>3608</v>
      </c>
      <c r="F2390" t="s">
        <v>3442</v>
      </c>
      <c r="G2390" t="s">
        <v>3442</v>
      </c>
      <c r="H2390" t="s">
        <v>3609</v>
      </c>
      <c r="I2390" t="s">
        <v>28</v>
      </c>
      <c r="J2390" t="s">
        <v>96</v>
      </c>
      <c r="K2390" t="s">
        <v>21</v>
      </c>
      <c r="L2390" t="s">
        <v>2334</v>
      </c>
      <c r="N2390" t="s">
        <v>114</v>
      </c>
      <c r="O2390" t="s">
        <v>24</v>
      </c>
    </row>
    <row r="2391" spans="1:15" x14ac:dyDescent="0.25">
      <c r="A2391">
        <v>2390</v>
      </c>
      <c r="B2391" t="str">
        <f>HYPERLINK("https://digitalcommons.unl.edu/cgi/viewcontent.cgi?article=3802&amp;context=tractormuseumlit","Click for test report")</f>
        <v>Click for test report</v>
      </c>
      <c r="C2391">
        <v>1997</v>
      </c>
      <c r="E2391" t="s">
        <v>3606</v>
      </c>
      <c r="F2391" t="s">
        <v>2062</v>
      </c>
      <c r="G2391" t="s">
        <v>778</v>
      </c>
      <c r="H2391" t="s">
        <v>3607</v>
      </c>
      <c r="I2391" t="s">
        <v>19</v>
      </c>
      <c r="J2391" t="s">
        <v>348</v>
      </c>
      <c r="K2391" t="s">
        <v>21</v>
      </c>
      <c r="L2391" t="s">
        <v>23</v>
      </c>
      <c r="N2391" t="s">
        <v>454</v>
      </c>
      <c r="O2391" t="s">
        <v>24</v>
      </c>
    </row>
    <row r="2392" spans="1:15" x14ac:dyDescent="0.25">
      <c r="A2392">
        <v>2391</v>
      </c>
      <c r="B2392" t="str">
        <f>HYPERLINK("https://digitalcommons.unl.edu/cgi/viewcontent.cgi?article=3802&amp;context=tractormuseumlit","Click for test report")</f>
        <v>Click for test report</v>
      </c>
      <c r="C2392">
        <v>1997</v>
      </c>
      <c r="E2392" t="s">
        <v>3606</v>
      </c>
      <c r="F2392" t="s">
        <v>2062</v>
      </c>
      <c r="G2392" t="s">
        <v>778</v>
      </c>
      <c r="H2392" t="s">
        <v>3607</v>
      </c>
      <c r="I2392" t="s">
        <v>19</v>
      </c>
      <c r="J2392" t="s">
        <v>20</v>
      </c>
      <c r="K2392" t="s">
        <v>21</v>
      </c>
      <c r="L2392" t="s">
        <v>23</v>
      </c>
      <c r="N2392" t="s">
        <v>561</v>
      </c>
      <c r="O2392" t="s">
        <v>24</v>
      </c>
    </row>
    <row r="2393" spans="1:15" x14ac:dyDescent="0.25">
      <c r="A2393">
        <v>2392</v>
      </c>
      <c r="B2393" t="str">
        <f>HYPERLINK("https://digitalcommons.unl.edu/cgi/viewcontent.cgi?article=3803&amp;context=tractormuseumlit","Click for test report")</f>
        <v>Click for test report</v>
      </c>
      <c r="C2393">
        <v>1997</v>
      </c>
      <c r="E2393" t="s">
        <v>3604</v>
      </c>
      <c r="F2393" t="s">
        <v>2742</v>
      </c>
      <c r="G2393" t="s">
        <v>191</v>
      </c>
      <c r="H2393" t="s">
        <v>3605</v>
      </c>
      <c r="I2393" t="s">
        <v>19</v>
      </c>
      <c r="J2393" t="s">
        <v>20</v>
      </c>
      <c r="K2393" t="s">
        <v>21</v>
      </c>
      <c r="L2393" t="s">
        <v>1796</v>
      </c>
      <c r="N2393" t="s">
        <v>58</v>
      </c>
      <c r="O2393" t="s">
        <v>24</v>
      </c>
    </row>
    <row r="2394" spans="1:15" x14ac:dyDescent="0.25">
      <c r="A2394">
        <v>2393</v>
      </c>
      <c r="B2394" t="str">
        <f>HYPERLINK("https://digitalcommons.unl.edu/cgi/viewcontent.cgi?article=3804&amp;context=tractormuseumlit","Click for test report")</f>
        <v>Click for test report</v>
      </c>
      <c r="C2394">
        <v>1997</v>
      </c>
      <c r="E2394" t="s">
        <v>3602</v>
      </c>
      <c r="F2394" t="s">
        <v>2742</v>
      </c>
      <c r="G2394" t="s">
        <v>191</v>
      </c>
      <c r="H2394" t="s">
        <v>3603</v>
      </c>
      <c r="I2394" t="s">
        <v>19</v>
      </c>
      <c r="J2394" t="s">
        <v>20</v>
      </c>
      <c r="K2394" t="s">
        <v>21</v>
      </c>
      <c r="L2394" t="s">
        <v>375</v>
      </c>
      <c r="N2394" t="s">
        <v>1371</v>
      </c>
      <c r="O2394" t="s">
        <v>24</v>
      </c>
    </row>
    <row r="2395" spans="1:15" x14ac:dyDescent="0.25">
      <c r="A2395">
        <v>2394</v>
      </c>
      <c r="B2395" t="str">
        <f>HYPERLINK("https://digitalcommons.unl.edu/cgi/viewcontent.cgi?article=3807&amp;context=tractormuseumlit","Click for test report")</f>
        <v>Click for test report</v>
      </c>
      <c r="C2395">
        <v>1997</v>
      </c>
      <c r="E2395" t="s">
        <v>3600</v>
      </c>
      <c r="F2395" t="s">
        <v>2742</v>
      </c>
      <c r="G2395" t="s">
        <v>191</v>
      </c>
      <c r="H2395" t="s">
        <v>3601</v>
      </c>
      <c r="I2395" t="s">
        <v>19</v>
      </c>
      <c r="J2395" t="s">
        <v>20</v>
      </c>
      <c r="K2395" t="s">
        <v>21</v>
      </c>
      <c r="L2395" t="s">
        <v>332</v>
      </c>
      <c r="N2395" t="s">
        <v>528</v>
      </c>
      <c r="O2395" t="s">
        <v>24</v>
      </c>
    </row>
    <row r="2396" spans="1:15" x14ac:dyDescent="0.25">
      <c r="A2396">
        <v>2395</v>
      </c>
      <c r="B2396" t="str">
        <f>HYPERLINK("https://digitalcommons.unl.edu/cgi/viewcontent.cgi?article=3808&amp;context=tractormuseumlit","Click for test report")</f>
        <v>Click for test report</v>
      </c>
      <c r="C2396">
        <v>1997</v>
      </c>
      <c r="E2396" t="s">
        <v>3598</v>
      </c>
      <c r="F2396" t="s">
        <v>2742</v>
      </c>
      <c r="G2396" t="s">
        <v>191</v>
      </c>
      <c r="H2396" t="s">
        <v>3599</v>
      </c>
      <c r="I2396" t="s">
        <v>19</v>
      </c>
      <c r="J2396" t="s">
        <v>20</v>
      </c>
      <c r="K2396" t="s">
        <v>21</v>
      </c>
      <c r="L2396" t="s">
        <v>328</v>
      </c>
      <c r="N2396" t="s">
        <v>787</v>
      </c>
      <c r="O2396" t="s">
        <v>24</v>
      </c>
    </row>
    <row r="2397" spans="1:15" x14ac:dyDescent="0.25">
      <c r="A2397">
        <v>2396</v>
      </c>
      <c r="B2397" t="str">
        <f>HYPERLINK("https://digitalcommons.unl.edu/cgi/viewcontent.cgi?article=3238&amp;context=tractormuseumlit","Click for test report")</f>
        <v>Click for test report</v>
      </c>
      <c r="C2397">
        <v>1997</v>
      </c>
      <c r="E2397" t="s">
        <v>3144</v>
      </c>
      <c r="F2397" t="s">
        <v>2986</v>
      </c>
      <c r="G2397" t="s">
        <v>778</v>
      </c>
      <c r="H2397" t="s">
        <v>3597</v>
      </c>
      <c r="I2397" t="s">
        <v>50</v>
      </c>
      <c r="J2397" t="s">
        <v>20</v>
      </c>
      <c r="K2397" t="s">
        <v>21</v>
      </c>
      <c r="L2397" t="s">
        <v>46</v>
      </c>
      <c r="N2397" t="s">
        <v>746</v>
      </c>
      <c r="O2397" t="s">
        <v>24</v>
      </c>
    </row>
    <row r="2398" spans="1:15" x14ac:dyDescent="0.25">
      <c r="A2398">
        <v>2397</v>
      </c>
      <c r="B2398" t="str">
        <f>HYPERLINK("https://digitalcommons.unl.edu/cgi/viewcontent.cgi?article=3824&amp;context=tractormuseumlit","Click for test report")</f>
        <v>Click for test report</v>
      </c>
      <c r="C2398">
        <v>1997</v>
      </c>
      <c r="E2398" t="s">
        <v>3595</v>
      </c>
      <c r="F2398" t="s">
        <v>2062</v>
      </c>
      <c r="G2398" t="s">
        <v>778</v>
      </c>
      <c r="H2398" t="s">
        <v>3596</v>
      </c>
      <c r="I2398" t="s">
        <v>19</v>
      </c>
      <c r="J2398" t="s">
        <v>348</v>
      </c>
      <c r="K2398" t="s">
        <v>21</v>
      </c>
      <c r="L2398" t="s">
        <v>46</v>
      </c>
      <c r="N2398" t="s">
        <v>561</v>
      </c>
      <c r="O2398" t="s">
        <v>24</v>
      </c>
    </row>
    <row r="2399" spans="1:15" x14ac:dyDescent="0.25">
      <c r="A2399">
        <v>2398</v>
      </c>
      <c r="B2399" t="str">
        <f>HYPERLINK("https://digitalcommons.unl.edu/cgi/viewcontent.cgi?article=3824&amp;context=tractormuseumlit","Click for test report")</f>
        <v>Click for test report</v>
      </c>
      <c r="C2399">
        <v>1997</v>
      </c>
      <c r="E2399" t="s">
        <v>3595</v>
      </c>
      <c r="F2399" t="s">
        <v>2062</v>
      </c>
      <c r="G2399" t="s">
        <v>778</v>
      </c>
      <c r="H2399" t="s">
        <v>3596</v>
      </c>
      <c r="I2399" t="s">
        <v>19</v>
      </c>
      <c r="J2399" t="s">
        <v>20</v>
      </c>
      <c r="K2399" t="s">
        <v>21</v>
      </c>
      <c r="L2399" t="s">
        <v>46</v>
      </c>
      <c r="N2399" t="s">
        <v>123</v>
      </c>
      <c r="O2399" t="s">
        <v>24</v>
      </c>
    </row>
    <row r="2400" spans="1:15" x14ac:dyDescent="0.25">
      <c r="A2400">
        <v>2399</v>
      </c>
      <c r="B2400" t="str">
        <f>HYPERLINK("https://digitalcommons.unl.edu/cgi/viewcontent.cgi?article=4292&amp;context=tractormuseumlit","Click for test report")</f>
        <v>Click for test report</v>
      </c>
      <c r="C2400">
        <v>1997</v>
      </c>
      <c r="E2400" t="s">
        <v>3590</v>
      </c>
      <c r="F2400" t="s">
        <v>3591</v>
      </c>
      <c r="G2400" t="s">
        <v>3591</v>
      </c>
      <c r="H2400" t="s">
        <v>3593</v>
      </c>
      <c r="I2400" t="s">
        <v>28</v>
      </c>
      <c r="J2400" t="s">
        <v>20</v>
      </c>
      <c r="K2400" t="s">
        <v>21</v>
      </c>
      <c r="L2400" t="s">
        <v>722</v>
      </c>
      <c r="N2400" t="s">
        <v>3152</v>
      </c>
      <c r="O2400" t="s">
        <v>3594</v>
      </c>
    </row>
    <row r="2401" spans="1:15" x14ac:dyDescent="0.25">
      <c r="A2401">
        <v>2400</v>
      </c>
      <c r="B2401" t="str">
        <f>HYPERLINK("https://digitalcommons.unl.edu/cgi/viewcontent.cgi?article=4292&amp;context=tractormuseumlit","Click for test report")</f>
        <v>Click for test report</v>
      </c>
      <c r="C2401">
        <v>1997</v>
      </c>
      <c r="E2401" t="s">
        <v>3590</v>
      </c>
      <c r="F2401" t="s">
        <v>3591</v>
      </c>
      <c r="G2401" t="s">
        <v>3591</v>
      </c>
      <c r="H2401" t="s">
        <v>3592</v>
      </c>
      <c r="I2401" t="s">
        <v>28</v>
      </c>
      <c r="J2401" t="s">
        <v>20</v>
      </c>
      <c r="K2401" t="s">
        <v>21</v>
      </c>
      <c r="L2401" t="s">
        <v>722</v>
      </c>
      <c r="N2401" t="s">
        <v>3152</v>
      </c>
      <c r="O2401" t="s">
        <v>24</v>
      </c>
    </row>
    <row r="2402" spans="1:15" x14ac:dyDescent="0.25">
      <c r="A2402">
        <v>2401</v>
      </c>
      <c r="B2402" t="str">
        <f>HYPERLINK("https://digitalcommons.unl.edu/cgi/viewcontent.cgi?article=3239&amp;context=tractormuseumlit","Click for test report")</f>
        <v>Click for test report</v>
      </c>
      <c r="C2402">
        <v>1997</v>
      </c>
      <c r="E2402" t="s">
        <v>3141</v>
      </c>
      <c r="F2402" t="s">
        <v>2986</v>
      </c>
      <c r="G2402" t="s">
        <v>778</v>
      </c>
      <c r="H2402" t="s">
        <v>3589</v>
      </c>
      <c r="I2402" t="s">
        <v>50</v>
      </c>
      <c r="J2402" t="s">
        <v>20</v>
      </c>
      <c r="K2402" t="s">
        <v>21</v>
      </c>
      <c r="L2402" t="s">
        <v>247</v>
      </c>
      <c r="N2402" t="s">
        <v>1371</v>
      </c>
      <c r="O2402" t="s">
        <v>24</v>
      </c>
    </row>
    <row r="2403" spans="1:15" x14ac:dyDescent="0.25">
      <c r="A2403">
        <v>2402</v>
      </c>
      <c r="B2403" t="str">
        <f>HYPERLINK("https://digitalcommons.unl.edu/cgi/viewcontent.cgi?article=3239&amp;context=tractormuseumlit","Click for test report")</f>
        <v>Click for test report</v>
      </c>
      <c r="C2403">
        <v>1997</v>
      </c>
      <c r="E2403" t="s">
        <v>3141</v>
      </c>
      <c r="F2403" t="s">
        <v>2986</v>
      </c>
      <c r="G2403" t="s">
        <v>778</v>
      </c>
      <c r="H2403" t="s">
        <v>3588</v>
      </c>
      <c r="I2403" t="s">
        <v>50</v>
      </c>
      <c r="J2403" t="s">
        <v>20</v>
      </c>
      <c r="K2403" t="s">
        <v>21</v>
      </c>
      <c r="L2403" t="s">
        <v>247</v>
      </c>
      <c r="N2403" t="s">
        <v>1371</v>
      </c>
      <c r="O2403" t="s">
        <v>3143</v>
      </c>
    </row>
    <row r="2404" spans="1:15" x14ac:dyDescent="0.25">
      <c r="A2404">
        <v>2403</v>
      </c>
      <c r="B2404" t="str">
        <f>HYPERLINK("https://digitalcommons.unl.edu/cgi/viewcontent.cgi?article=3018&amp;context=tractormuseumlit","Click for test report")</f>
        <v>Click for test report</v>
      </c>
      <c r="C2404">
        <v>1997</v>
      </c>
      <c r="D2404" t="s">
        <v>3582</v>
      </c>
      <c r="F2404" t="s">
        <v>3583</v>
      </c>
      <c r="G2404" t="s">
        <v>3514</v>
      </c>
      <c r="H2404" t="s">
        <v>3586</v>
      </c>
      <c r="I2404" t="s">
        <v>50</v>
      </c>
      <c r="J2404" t="s">
        <v>20</v>
      </c>
      <c r="K2404" t="s">
        <v>21</v>
      </c>
      <c r="L2404" t="s">
        <v>725</v>
      </c>
      <c r="N2404" t="s">
        <v>1970</v>
      </c>
      <c r="O2404" t="s">
        <v>3587</v>
      </c>
    </row>
    <row r="2405" spans="1:15" x14ac:dyDescent="0.25">
      <c r="A2405">
        <v>2404</v>
      </c>
      <c r="B2405" t="str">
        <f>HYPERLINK("https://digitalcommons.unl.edu/cgi/viewcontent.cgi?article=3018&amp;context=tractormuseumlit","Click for test report")</f>
        <v>Click for test report</v>
      </c>
      <c r="C2405">
        <v>1997</v>
      </c>
      <c r="D2405" t="s">
        <v>3582</v>
      </c>
      <c r="F2405" t="s">
        <v>3583</v>
      </c>
      <c r="G2405" t="s">
        <v>3514</v>
      </c>
      <c r="H2405" t="s">
        <v>3584</v>
      </c>
      <c r="I2405" t="s">
        <v>50</v>
      </c>
      <c r="J2405" t="s">
        <v>20</v>
      </c>
      <c r="K2405" t="s">
        <v>21</v>
      </c>
      <c r="L2405" t="s">
        <v>725</v>
      </c>
      <c r="N2405" t="s">
        <v>1970</v>
      </c>
      <c r="O2405" t="s">
        <v>3585</v>
      </c>
    </row>
    <row r="2406" spans="1:15" x14ac:dyDescent="0.25">
      <c r="A2406">
        <v>2405</v>
      </c>
      <c r="B2406" t="str">
        <f>HYPERLINK("https://digitalcommons.unl.edu/cgi/viewcontent.cgi?article=3072&amp;context=tractormuseumlit","Click for test report")</f>
        <v>Click for test report</v>
      </c>
      <c r="C2406">
        <v>1997</v>
      </c>
      <c r="D2406" t="s">
        <v>3578</v>
      </c>
      <c r="E2406" t="s">
        <v>3579</v>
      </c>
      <c r="F2406" t="s">
        <v>478</v>
      </c>
      <c r="G2406" t="s">
        <v>191</v>
      </c>
      <c r="H2406" t="s">
        <v>3580</v>
      </c>
      <c r="I2406" t="s">
        <v>28</v>
      </c>
      <c r="J2406" t="s">
        <v>20</v>
      </c>
      <c r="K2406" t="s">
        <v>21</v>
      </c>
      <c r="L2406" t="s">
        <v>818</v>
      </c>
      <c r="N2406" t="s">
        <v>774</v>
      </c>
      <c r="O2406" t="s">
        <v>3581</v>
      </c>
    </row>
    <row r="2407" spans="1:15" x14ac:dyDescent="0.25">
      <c r="A2407">
        <v>2406</v>
      </c>
      <c r="B2407" t="str">
        <f>HYPERLINK("https://digitalcommons.unl.edu/cgi/viewcontent.cgi?article=3085&amp;context=tractormuseumlit","Click for test report")</f>
        <v>Click for test report</v>
      </c>
      <c r="C2407">
        <v>1997</v>
      </c>
      <c r="D2407" t="s">
        <v>3575</v>
      </c>
      <c r="E2407" t="s">
        <v>3576</v>
      </c>
      <c r="F2407" t="s">
        <v>3442</v>
      </c>
      <c r="G2407" t="s">
        <v>3442</v>
      </c>
      <c r="H2407" t="s">
        <v>3577</v>
      </c>
      <c r="I2407" t="s">
        <v>28</v>
      </c>
      <c r="J2407" t="s">
        <v>96</v>
      </c>
      <c r="K2407" t="s">
        <v>21</v>
      </c>
      <c r="L2407" t="s">
        <v>211</v>
      </c>
      <c r="N2407" t="s">
        <v>2003</v>
      </c>
      <c r="O2407" t="s">
        <v>24</v>
      </c>
    </row>
    <row r="2408" spans="1:15" x14ac:dyDescent="0.25">
      <c r="A2408">
        <v>2407</v>
      </c>
      <c r="B2408" t="str">
        <f>HYPERLINK("https://digitalcommons.unl.edu/cgi/viewcontent.cgi?article=3086&amp;context=tractormuseumlit","Click for test report")</f>
        <v>Click for test report</v>
      </c>
      <c r="C2408">
        <v>1997</v>
      </c>
      <c r="D2408" t="s">
        <v>3572</v>
      </c>
      <c r="E2408" t="s">
        <v>3573</v>
      </c>
      <c r="F2408" t="s">
        <v>3442</v>
      </c>
      <c r="G2408" t="s">
        <v>3442</v>
      </c>
      <c r="H2408" t="s">
        <v>3574</v>
      </c>
      <c r="I2408" t="s">
        <v>28</v>
      </c>
      <c r="J2408" t="s">
        <v>96</v>
      </c>
      <c r="K2408" t="s">
        <v>21</v>
      </c>
      <c r="L2408" t="s">
        <v>205</v>
      </c>
      <c r="N2408" t="s">
        <v>199</v>
      </c>
      <c r="O2408" t="s">
        <v>24</v>
      </c>
    </row>
    <row r="2409" spans="1:15" x14ac:dyDescent="0.25">
      <c r="A2409">
        <v>2408</v>
      </c>
      <c r="B2409" t="str">
        <f>HYPERLINK("https://digitalcommons.unl.edu/cgi/viewcontent.cgi?article=3087&amp;context=tractormuseumlit","Click for test report")</f>
        <v>Click for test report</v>
      </c>
      <c r="C2409">
        <v>1997</v>
      </c>
      <c r="D2409" t="s">
        <v>3570</v>
      </c>
      <c r="E2409" t="s">
        <v>3571</v>
      </c>
      <c r="F2409" t="s">
        <v>17</v>
      </c>
      <c r="G2409" t="s">
        <v>17</v>
      </c>
      <c r="H2409" t="s">
        <v>3280</v>
      </c>
      <c r="I2409" t="s">
        <v>19</v>
      </c>
      <c r="J2409" t="s">
        <v>20</v>
      </c>
      <c r="K2409" t="s">
        <v>21</v>
      </c>
      <c r="L2409" t="s">
        <v>336</v>
      </c>
      <c r="N2409" t="s">
        <v>571</v>
      </c>
      <c r="O2409" t="s">
        <v>24</v>
      </c>
    </row>
    <row r="2410" spans="1:15" x14ac:dyDescent="0.25">
      <c r="A2410">
        <v>2409</v>
      </c>
      <c r="B2410" t="str">
        <f>HYPERLINK("https://digitalcommons.unl.edu/cgi/viewcontent.cgi?article=3088&amp;context=tractormuseumlit","Click for test report")</f>
        <v>Click for test report</v>
      </c>
      <c r="C2410">
        <v>1997</v>
      </c>
      <c r="D2410" t="s">
        <v>3568</v>
      </c>
      <c r="E2410" t="s">
        <v>3569</v>
      </c>
      <c r="F2410" t="s">
        <v>17</v>
      </c>
      <c r="G2410" t="s">
        <v>17</v>
      </c>
      <c r="H2410" t="s">
        <v>3280</v>
      </c>
      <c r="I2410" t="s">
        <v>28</v>
      </c>
      <c r="J2410" t="s">
        <v>20</v>
      </c>
      <c r="K2410" t="s">
        <v>21</v>
      </c>
      <c r="L2410" t="s">
        <v>336</v>
      </c>
      <c r="N2410" t="s">
        <v>52</v>
      </c>
      <c r="O2410" t="s">
        <v>24</v>
      </c>
    </row>
    <row r="2411" spans="1:15" x14ac:dyDescent="0.25">
      <c r="A2411">
        <v>2410</v>
      </c>
      <c r="B2411" t="str">
        <f>HYPERLINK("https://digitalcommons.unl.edu/cgi/viewcontent.cgi?article=3089&amp;context=tractormuseumlit","Click for test report")</f>
        <v>Click for test report</v>
      </c>
      <c r="C2411">
        <v>1997</v>
      </c>
      <c r="D2411" t="s">
        <v>3566</v>
      </c>
      <c r="E2411" t="s">
        <v>3567</v>
      </c>
      <c r="F2411" t="s">
        <v>17</v>
      </c>
      <c r="G2411" t="s">
        <v>17</v>
      </c>
      <c r="H2411" t="s">
        <v>3276</v>
      </c>
      <c r="I2411" t="s">
        <v>19</v>
      </c>
      <c r="J2411" t="s">
        <v>20</v>
      </c>
      <c r="K2411" t="s">
        <v>21</v>
      </c>
      <c r="L2411" t="s">
        <v>332</v>
      </c>
      <c r="N2411" t="s">
        <v>333</v>
      </c>
      <c r="O2411" t="s">
        <v>24</v>
      </c>
    </row>
    <row r="2412" spans="1:15" x14ac:dyDescent="0.25">
      <c r="A2412">
        <v>2411</v>
      </c>
      <c r="B2412" t="str">
        <f>HYPERLINK("https://digitalcommons.unl.edu/cgi/viewcontent.cgi?article=3090&amp;context=tractormuseumlit","Click for test report")</f>
        <v>Click for test report</v>
      </c>
      <c r="C2412">
        <v>1997</v>
      </c>
      <c r="D2412" t="s">
        <v>3564</v>
      </c>
      <c r="E2412" t="s">
        <v>3565</v>
      </c>
      <c r="F2412" t="s">
        <v>17</v>
      </c>
      <c r="G2412" t="s">
        <v>17</v>
      </c>
      <c r="H2412" t="s">
        <v>3276</v>
      </c>
      <c r="I2412" t="s">
        <v>28</v>
      </c>
      <c r="J2412" t="s">
        <v>20</v>
      </c>
      <c r="K2412" t="s">
        <v>21</v>
      </c>
      <c r="L2412" t="s">
        <v>332</v>
      </c>
      <c r="N2412" t="s">
        <v>558</v>
      </c>
      <c r="O2412" t="s">
        <v>24</v>
      </c>
    </row>
    <row r="2413" spans="1:15" x14ac:dyDescent="0.25">
      <c r="A2413">
        <v>2412</v>
      </c>
      <c r="B2413" t="str">
        <f>HYPERLINK("https://digitalcommons.unl.edu/cgi/viewcontent.cgi?article=3091&amp;context=tractormuseumlit","Click for test report")</f>
        <v>Click for test report</v>
      </c>
      <c r="C2413">
        <v>1997</v>
      </c>
      <c r="D2413" t="s">
        <v>3562</v>
      </c>
      <c r="E2413" t="s">
        <v>3563</v>
      </c>
      <c r="F2413" t="s">
        <v>17</v>
      </c>
      <c r="G2413" t="s">
        <v>17</v>
      </c>
      <c r="H2413" t="s">
        <v>3028</v>
      </c>
      <c r="I2413" t="s">
        <v>19</v>
      </c>
      <c r="J2413" t="s">
        <v>20</v>
      </c>
      <c r="K2413" t="s">
        <v>21</v>
      </c>
      <c r="L2413" t="s">
        <v>939</v>
      </c>
      <c r="N2413" t="s">
        <v>771</v>
      </c>
      <c r="O2413" t="s">
        <v>24</v>
      </c>
    </row>
    <row r="2414" spans="1:15" x14ac:dyDescent="0.25">
      <c r="A2414">
        <v>2413</v>
      </c>
      <c r="B2414" t="str">
        <f>HYPERLINK("https://digitalcommons.unl.edu/cgi/viewcontent.cgi?article=3092&amp;context=tractormuseumlit","Click for test report")</f>
        <v>Click for test report</v>
      </c>
      <c r="C2414">
        <v>1997</v>
      </c>
      <c r="D2414" t="s">
        <v>3560</v>
      </c>
      <c r="E2414" t="s">
        <v>3561</v>
      </c>
      <c r="F2414" t="s">
        <v>17</v>
      </c>
      <c r="G2414" t="s">
        <v>17</v>
      </c>
      <c r="H2414" t="s">
        <v>3028</v>
      </c>
      <c r="I2414" t="s">
        <v>28</v>
      </c>
      <c r="J2414" t="s">
        <v>20</v>
      </c>
      <c r="K2414" t="s">
        <v>21</v>
      </c>
      <c r="L2414" t="s">
        <v>1830</v>
      </c>
      <c r="N2414" t="s">
        <v>842</v>
      </c>
      <c r="O2414" t="s">
        <v>24</v>
      </c>
    </row>
    <row r="2415" spans="1:15" x14ac:dyDescent="0.25">
      <c r="A2415">
        <v>2414</v>
      </c>
      <c r="B2415" t="str">
        <f>HYPERLINK("https://digitalcommons.unl.edu/cgi/viewcontent.cgi?article=3093&amp;context=tractormuseumlit","Click for test report")</f>
        <v>Click for test report</v>
      </c>
      <c r="C2415">
        <v>1997</v>
      </c>
      <c r="D2415" t="s">
        <v>3557</v>
      </c>
      <c r="E2415" t="s">
        <v>3558</v>
      </c>
      <c r="F2415" t="s">
        <v>17</v>
      </c>
      <c r="G2415" t="s">
        <v>17</v>
      </c>
      <c r="H2415" t="s">
        <v>3559</v>
      </c>
      <c r="I2415" t="s">
        <v>1961</v>
      </c>
      <c r="J2415" t="s">
        <v>29</v>
      </c>
      <c r="K2415" t="s">
        <v>21</v>
      </c>
      <c r="L2415" t="s">
        <v>1444</v>
      </c>
      <c r="N2415" t="s">
        <v>519</v>
      </c>
      <c r="O2415" t="s">
        <v>24</v>
      </c>
    </row>
    <row r="2416" spans="1:15" x14ac:dyDescent="0.25">
      <c r="A2416">
        <v>2415</v>
      </c>
      <c r="B2416" t="str">
        <f>HYPERLINK("https://digitalcommons.unl.edu/cgi/viewcontent.cgi?article=3094&amp;context=tractormuseumlit","Click for test report")</f>
        <v>Click for test report</v>
      </c>
      <c r="C2416">
        <v>1997</v>
      </c>
      <c r="D2416" t="s">
        <v>3554</v>
      </c>
      <c r="E2416" t="s">
        <v>3555</v>
      </c>
      <c r="F2416" t="s">
        <v>17</v>
      </c>
      <c r="G2416" t="s">
        <v>17</v>
      </c>
      <c r="H2416" t="s">
        <v>3189</v>
      </c>
      <c r="I2416" t="s">
        <v>1961</v>
      </c>
      <c r="J2416" t="s">
        <v>29</v>
      </c>
      <c r="K2416" t="s">
        <v>21</v>
      </c>
      <c r="L2416" t="s">
        <v>1947</v>
      </c>
      <c r="N2416" t="s">
        <v>1439</v>
      </c>
      <c r="O2416" t="s">
        <v>3556</v>
      </c>
    </row>
    <row r="2417" spans="1:15" x14ac:dyDescent="0.25">
      <c r="A2417">
        <v>2416</v>
      </c>
      <c r="B2417" t="str">
        <f>HYPERLINK("https://digitalcommons.unl.edu/cgi/viewcontent.cgi?article=3095&amp;context=tractormuseumlit","Click for test report")</f>
        <v>Click for test report</v>
      </c>
      <c r="C2417">
        <v>1997</v>
      </c>
      <c r="D2417" t="s">
        <v>3551</v>
      </c>
      <c r="E2417" t="s">
        <v>3552</v>
      </c>
      <c r="F2417" t="s">
        <v>17</v>
      </c>
      <c r="G2417" t="s">
        <v>17</v>
      </c>
      <c r="H2417" t="s">
        <v>3553</v>
      </c>
      <c r="I2417" t="s">
        <v>1961</v>
      </c>
      <c r="J2417" t="s">
        <v>29</v>
      </c>
      <c r="K2417" t="s">
        <v>21</v>
      </c>
      <c r="L2417" t="s">
        <v>81</v>
      </c>
      <c r="N2417" t="s">
        <v>421</v>
      </c>
      <c r="O2417" t="s">
        <v>24</v>
      </c>
    </row>
    <row r="2418" spans="1:15" x14ac:dyDescent="0.25">
      <c r="A2418">
        <v>2417</v>
      </c>
      <c r="B2418" t="str">
        <f>HYPERLINK("https://digitalcommons.unl.edu/cgi/viewcontent.cgi?article=3096&amp;context=tractormuseumlit","Click for test report")</f>
        <v>Click for test report</v>
      </c>
      <c r="C2418">
        <v>1997</v>
      </c>
      <c r="D2418" t="s">
        <v>3065</v>
      </c>
      <c r="E2418" t="s">
        <v>3066</v>
      </c>
      <c r="F2418" t="s">
        <v>17</v>
      </c>
      <c r="G2418" t="s">
        <v>17</v>
      </c>
      <c r="H2418" t="s">
        <v>3550</v>
      </c>
      <c r="I2418" t="s">
        <v>1961</v>
      </c>
      <c r="J2418" t="s">
        <v>29</v>
      </c>
      <c r="K2418" t="s">
        <v>21</v>
      </c>
      <c r="L2418" t="s">
        <v>205</v>
      </c>
      <c r="N2418" t="s">
        <v>420</v>
      </c>
      <c r="O2418" t="s">
        <v>32</v>
      </c>
    </row>
    <row r="2419" spans="1:15" x14ac:dyDescent="0.25">
      <c r="A2419">
        <v>2418</v>
      </c>
      <c r="B2419" t="str">
        <f>HYPERLINK("https://digitalcommons.unl.edu/cgi/viewcontent.cgi?article=3097&amp;context=tractormuseumlit","Click for test report")</f>
        <v>Click for test report</v>
      </c>
      <c r="C2419">
        <v>1997</v>
      </c>
      <c r="D2419" t="s">
        <v>3547</v>
      </c>
      <c r="E2419" t="s">
        <v>3548</v>
      </c>
      <c r="F2419" t="s">
        <v>478</v>
      </c>
      <c r="G2419" t="s">
        <v>191</v>
      </c>
      <c r="H2419" t="s">
        <v>3549</v>
      </c>
      <c r="I2419" t="s">
        <v>28</v>
      </c>
      <c r="J2419" t="s">
        <v>20</v>
      </c>
      <c r="K2419" t="s">
        <v>21</v>
      </c>
      <c r="L2419" t="s">
        <v>528</v>
      </c>
      <c r="N2419" t="s">
        <v>122</v>
      </c>
      <c r="O2419" t="s">
        <v>24</v>
      </c>
    </row>
    <row r="2420" spans="1:15" x14ac:dyDescent="0.25">
      <c r="A2420">
        <v>2419</v>
      </c>
      <c r="B2420" t="str">
        <f>HYPERLINK("https://digitalcommons.unl.edu/cgi/viewcontent.cgi?article=3098&amp;context=tractormuseumlit","Click for test report")</f>
        <v>Click for test report</v>
      </c>
      <c r="C2420">
        <v>1997</v>
      </c>
      <c r="D2420" t="s">
        <v>3544</v>
      </c>
      <c r="E2420" t="s">
        <v>3545</v>
      </c>
      <c r="F2420" t="s">
        <v>478</v>
      </c>
      <c r="G2420" t="s">
        <v>191</v>
      </c>
      <c r="H2420" t="s">
        <v>3546</v>
      </c>
      <c r="I2420" t="s">
        <v>28</v>
      </c>
      <c r="J2420" t="s">
        <v>20</v>
      </c>
      <c r="K2420" t="s">
        <v>21</v>
      </c>
      <c r="L2420" t="s">
        <v>149</v>
      </c>
      <c r="N2420" t="s">
        <v>818</v>
      </c>
      <c r="O2420" t="s">
        <v>24</v>
      </c>
    </row>
    <row r="2421" spans="1:15" x14ac:dyDescent="0.25">
      <c r="A2421">
        <v>2420</v>
      </c>
      <c r="B2421" t="str">
        <f>HYPERLINK("https://digitalcommons.unl.edu/cgi/viewcontent.cgi?article=3099&amp;context=tractormuseumlit","Click for test report")</f>
        <v>Click for test report</v>
      </c>
      <c r="C2421">
        <v>1997</v>
      </c>
      <c r="D2421" t="s">
        <v>3541</v>
      </c>
      <c r="E2421" t="s">
        <v>3542</v>
      </c>
      <c r="F2421" t="s">
        <v>478</v>
      </c>
      <c r="G2421" t="s">
        <v>191</v>
      </c>
      <c r="H2421" t="s">
        <v>3543</v>
      </c>
      <c r="I2421" t="s">
        <v>28</v>
      </c>
      <c r="J2421" t="s">
        <v>20</v>
      </c>
      <c r="K2421" t="s">
        <v>21</v>
      </c>
      <c r="L2421" t="s">
        <v>1564</v>
      </c>
      <c r="N2421" t="s">
        <v>821</v>
      </c>
      <c r="O2421" t="s">
        <v>24</v>
      </c>
    </row>
    <row r="2422" spans="1:15" x14ac:dyDescent="0.25">
      <c r="A2422">
        <v>2421</v>
      </c>
      <c r="B2422" t="str">
        <f>HYPERLINK("https://digitalcommons.unl.edu/cgi/viewcontent.cgi?article=3100&amp;context=tractormuseumlit","Click for test report")</f>
        <v>Click for test report</v>
      </c>
      <c r="C2422">
        <v>1997</v>
      </c>
      <c r="D2422" t="s">
        <v>3538</v>
      </c>
      <c r="E2422" t="s">
        <v>3539</v>
      </c>
      <c r="F2422" t="s">
        <v>478</v>
      </c>
      <c r="G2422" t="s">
        <v>191</v>
      </c>
      <c r="H2422" t="s">
        <v>3540</v>
      </c>
      <c r="I2422" t="s">
        <v>28</v>
      </c>
      <c r="J2422" t="s">
        <v>20</v>
      </c>
      <c r="K2422" t="s">
        <v>21</v>
      </c>
      <c r="L2422" t="s">
        <v>166</v>
      </c>
      <c r="N2422" t="s">
        <v>510</v>
      </c>
      <c r="O2422" t="s">
        <v>24</v>
      </c>
    </row>
    <row r="2423" spans="1:15" x14ac:dyDescent="0.25">
      <c r="A2423">
        <v>2422</v>
      </c>
      <c r="B2423" t="str">
        <f>HYPERLINK("https://digitalcommons.unl.edu/cgi/viewcontent.cgi?article=3101&amp;context=tractormuseumlit","Click for test report")</f>
        <v>Click for test report</v>
      </c>
      <c r="C2423">
        <v>1997</v>
      </c>
      <c r="D2423" t="s">
        <v>3536</v>
      </c>
      <c r="E2423" t="s">
        <v>3537</v>
      </c>
      <c r="F2423" t="s">
        <v>17</v>
      </c>
      <c r="G2423" t="s">
        <v>17</v>
      </c>
      <c r="H2423" t="s">
        <v>3535</v>
      </c>
      <c r="I2423" t="s">
        <v>50</v>
      </c>
      <c r="J2423" t="s">
        <v>20</v>
      </c>
      <c r="K2423" t="s">
        <v>21</v>
      </c>
      <c r="L2423" t="s">
        <v>339</v>
      </c>
      <c r="N2423" t="s">
        <v>716</v>
      </c>
      <c r="O2423" t="s">
        <v>24</v>
      </c>
    </row>
    <row r="2424" spans="1:15" x14ac:dyDescent="0.25">
      <c r="A2424">
        <v>2423</v>
      </c>
      <c r="B2424" t="str">
        <f>HYPERLINK("https://digitalcommons.unl.edu/cgi/viewcontent.cgi?article=3102&amp;context=tractormuseumlit","Click for test report")</f>
        <v>Click for test report</v>
      </c>
      <c r="C2424">
        <v>1997</v>
      </c>
      <c r="D2424" t="s">
        <v>3533</v>
      </c>
      <c r="E2424" t="s">
        <v>3534</v>
      </c>
      <c r="F2424" t="s">
        <v>17</v>
      </c>
      <c r="G2424" t="s">
        <v>17</v>
      </c>
      <c r="H2424" t="s">
        <v>3535</v>
      </c>
      <c r="I2424" t="s">
        <v>19</v>
      </c>
      <c r="J2424" t="s">
        <v>20</v>
      </c>
      <c r="K2424" t="s">
        <v>21</v>
      </c>
      <c r="L2424" t="s">
        <v>339</v>
      </c>
      <c r="N2424" t="s">
        <v>1796</v>
      </c>
      <c r="O2424" t="s">
        <v>24</v>
      </c>
    </row>
    <row r="2425" spans="1:15" x14ac:dyDescent="0.25">
      <c r="A2425">
        <v>2424</v>
      </c>
      <c r="B2425" t="str">
        <f>HYPERLINK("https://digitalcommons.unl.edu/cgi/viewcontent.cgi?article=3103&amp;context=tractormuseumlit","Click for test report")</f>
        <v>Click for test report</v>
      </c>
      <c r="C2425">
        <v>1997</v>
      </c>
      <c r="D2425" t="s">
        <v>3531</v>
      </c>
      <c r="E2425" t="s">
        <v>3532</v>
      </c>
      <c r="F2425" t="s">
        <v>17</v>
      </c>
      <c r="G2425" t="s">
        <v>17</v>
      </c>
      <c r="H2425" t="s">
        <v>3530</v>
      </c>
      <c r="I2425" t="s">
        <v>50</v>
      </c>
      <c r="J2425" t="s">
        <v>20</v>
      </c>
      <c r="K2425" t="s">
        <v>21</v>
      </c>
      <c r="L2425" t="s">
        <v>677</v>
      </c>
      <c r="N2425" t="s">
        <v>131</v>
      </c>
      <c r="O2425" t="s">
        <v>24</v>
      </c>
    </row>
    <row r="2426" spans="1:15" x14ac:dyDescent="0.25">
      <c r="A2426">
        <v>2425</v>
      </c>
      <c r="B2426" t="str">
        <f>HYPERLINK("https://digitalcommons.unl.edu/cgi/viewcontent.cgi?article=3104&amp;context=tractormuseumlit","Click for test report")</f>
        <v>Click for test report</v>
      </c>
      <c r="C2426">
        <v>1997</v>
      </c>
      <c r="D2426" t="s">
        <v>3528</v>
      </c>
      <c r="E2426" t="s">
        <v>3529</v>
      </c>
      <c r="F2426" t="s">
        <v>17</v>
      </c>
      <c r="G2426" t="s">
        <v>17</v>
      </c>
      <c r="H2426" t="s">
        <v>3530</v>
      </c>
      <c r="I2426" t="s">
        <v>19</v>
      </c>
      <c r="J2426" t="s">
        <v>20</v>
      </c>
      <c r="K2426" t="s">
        <v>21</v>
      </c>
      <c r="L2426" t="s">
        <v>677</v>
      </c>
      <c r="N2426" t="s">
        <v>339</v>
      </c>
      <c r="O2426" t="s">
        <v>24</v>
      </c>
    </row>
    <row r="2427" spans="1:15" x14ac:dyDescent="0.25">
      <c r="A2427">
        <v>2426</v>
      </c>
      <c r="B2427" t="str">
        <f>HYPERLINK("https://digitalcommons.unl.edu/cgi/viewcontent.cgi?article=3105&amp;context=tractormuseumlit","Click for test report")</f>
        <v>Click for test report</v>
      </c>
      <c r="C2427">
        <v>1997</v>
      </c>
      <c r="D2427" t="s">
        <v>3520</v>
      </c>
      <c r="E2427" t="s">
        <v>3521</v>
      </c>
      <c r="F2427" t="s">
        <v>3514</v>
      </c>
      <c r="G2427" t="s">
        <v>3514</v>
      </c>
      <c r="H2427" t="s">
        <v>3527</v>
      </c>
      <c r="I2427" t="s">
        <v>50</v>
      </c>
      <c r="J2427" t="s">
        <v>20</v>
      </c>
      <c r="K2427" t="s">
        <v>21</v>
      </c>
      <c r="L2427" t="s">
        <v>58</v>
      </c>
      <c r="N2427" t="s">
        <v>2030</v>
      </c>
      <c r="O2427" t="s">
        <v>3526</v>
      </c>
    </row>
    <row r="2428" spans="1:15" x14ac:dyDescent="0.25">
      <c r="A2428">
        <v>2427</v>
      </c>
      <c r="B2428" t="str">
        <f>HYPERLINK("https://digitalcommons.unl.edu/cgi/viewcontent.cgi?article=3105&amp;context=tractormuseumlit","Click for test report")</f>
        <v>Click for test report</v>
      </c>
      <c r="C2428">
        <v>1997</v>
      </c>
      <c r="D2428" t="s">
        <v>3520</v>
      </c>
      <c r="E2428" t="s">
        <v>3521</v>
      </c>
      <c r="F2428" t="s">
        <v>3514</v>
      </c>
      <c r="G2428" t="s">
        <v>3514</v>
      </c>
      <c r="H2428" t="s">
        <v>3525</v>
      </c>
      <c r="I2428" t="s">
        <v>50</v>
      </c>
      <c r="J2428" t="s">
        <v>20</v>
      </c>
      <c r="K2428" t="s">
        <v>21</v>
      </c>
      <c r="L2428" t="s">
        <v>58</v>
      </c>
      <c r="N2428" t="s">
        <v>2030</v>
      </c>
      <c r="O2428" t="s">
        <v>3526</v>
      </c>
    </row>
    <row r="2429" spans="1:15" x14ac:dyDescent="0.25">
      <c r="A2429">
        <v>2428</v>
      </c>
      <c r="B2429" t="str">
        <f>HYPERLINK("https://digitalcommons.unl.edu/cgi/viewcontent.cgi?article=3105&amp;context=tractormuseumlit","Click for test report")</f>
        <v>Click for test report</v>
      </c>
      <c r="C2429">
        <v>1997</v>
      </c>
      <c r="D2429" t="s">
        <v>3520</v>
      </c>
      <c r="E2429" t="s">
        <v>3521</v>
      </c>
      <c r="F2429" t="s">
        <v>3514</v>
      </c>
      <c r="G2429" t="s">
        <v>3514</v>
      </c>
      <c r="H2429" t="s">
        <v>3523</v>
      </c>
      <c r="I2429" t="s">
        <v>50</v>
      </c>
      <c r="J2429" t="s">
        <v>20</v>
      </c>
      <c r="K2429" t="s">
        <v>21</v>
      </c>
      <c r="L2429" t="s">
        <v>58</v>
      </c>
      <c r="N2429" t="s">
        <v>2030</v>
      </c>
      <c r="O2429" t="s">
        <v>3524</v>
      </c>
    </row>
    <row r="2430" spans="1:15" x14ac:dyDescent="0.25">
      <c r="A2430">
        <v>2429</v>
      </c>
      <c r="B2430" t="str">
        <f>HYPERLINK("https://digitalcommons.unl.edu/cgi/viewcontent.cgi?article=3105&amp;context=tractormuseumlit","Click for test report")</f>
        <v>Click for test report</v>
      </c>
      <c r="C2430">
        <v>1997</v>
      </c>
      <c r="D2430" t="s">
        <v>3520</v>
      </c>
      <c r="E2430" t="s">
        <v>3521</v>
      </c>
      <c r="F2430" t="s">
        <v>3514</v>
      </c>
      <c r="G2430" t="s">
        <v>3514</v>
      </c>
      <c r="H2430" t="s">
        <v>3522</v>
      </c>
      <c r="I2430" t="s">
        <v>50</v>
      </c>
      <c r="J2430" t="s">
        <v>20</v>
      </c>
      <c r="K2430" t="s">
        <v>21</v>
      </c>
      <c r="L2430" t="s">
        <v>58</v>
      </c>
      <c r="N2430" t="s">
        <v>2030</v>
      </c>
      <c r="O2430" t="s">
        <v>24</v>
      </c>
    </row>
    <row r="2431" spans="1:15" x14ac:dyDescent="0.25">
      <c r="A2431">
        <v>2430</v>
      </c>
      <c r="B2431" t="str">
        <f>HYPERLINK("https://digitalcommons.unl.edu/cgi/viewcontent.cgi?article=3106&amp;context=tractormuseumlit","Click for test report")</f>
        <v>Click for test report</v>
      </c>
      <c r="C2431">
        <v>1997</v>
      </c>
      <c r="D2431" t="s">
        <v>3512</v>
      </c>
      <c r="E2431" t="s">
        <v>3513</v>
      </c>
      <c r="F2431" t="s">
        <v>3514</v>
      </c>
      <c r="G2431" t="s">
        <v>3514</v>
      </c>
      <c r="H2431" t="s">
        <v>3519</v>
      </c>
      <c r="I2431" t="s">
        <v>50</v>
      </c>
      <c r="J2431" t="s">
        <v>20</v>
      </c>
      <c r="K2431" t="s">
        <v>21</v>
      </c>
      <c r="L2431" t="s">
        <v>131</v>
      </c>
      <c r="N2431" t="s">
        <v>565</v>
      </c>
      <c r="O2431" t="s">
        <v>3517</v>
      </c>
    </row>
    <row r="2432" spans="1:15" x14ac:dyDescent="0.25">
      <c r="A2432">
        <v>2431</v>
      </c>
      <c r="B2432" t="str">
        <f>HYPERLINK("https://digitalcommons.unl.edu/cgi/viewcontent.cgi?article=3106&amp;context=tractormuseumlit","Click for test report")</f>
        <v>Click for test report</v>
      </c>
      <c r="C2432">
        <v>1997</v>
      </c>
      <c r="D2432" t="s">
        <v>3512</v>
      </c>
      <c r="E2432" t="s">
        <v>3513</v>
      </c>
      <c r="F2432" t="s">
        <v>3514</v>
      </c>
      <c r="G2432" t="s">
        <v>3514</v>
      </c>
      <c r="H2432" t="s">
        <v>3518</v>
      </c>
      <c r="I2432" t="s">
        <v>50</v>
      </c>
      <c r="J2432" t="s">
        <v>20</v>
      </c>
      <c r="K2432" t="s">
        <v>21</v>
      </c>
      <c r="L2432" t="s">
        <v>131</v>
      </c>
      <c r="N2432" t="s">
        <v>565</v>
      </c>
      <c r="O2432" t="s">
        <v>3517</v>
      </c>
    </row>
    <row r="2433" spans="1:15" x14ac:dyDescent="0.25">
      <c r="A2433">
        <v>2432</v>
      </c>
      <c r="B2433" t="str">
        <f>HYPERLINK("https://digitalcommons.unl.edu/cgi/viewcontent.cgi?article=3106&amp;context=tractormuseumlit","Click for test report")</f>
        <v>Click for test report</v>
      </c>
      <c r="C2433">
        <v>1997</v>
      </c>
      <c r="D2433" t="s">
        <v>3512</v>
      </c>
      <c r="E2433" t="s">
        <v>3513</v>
      </c>
      <c r="F2433" t="s">
        <v>3514</v>
      </c>
      <c r="G2433" t="s">
        <v>3514</v>
      </c>
      <c r="H2433" t="s">
        <v>3516</v>
      </c>
      <c r="I2433" t="s">
        <v>50</v>
      </c>
      <c r="J2433" t="s">
        <v>20</v>
      </c>
      <c r="K2433" t="s">
        <v>21</v>
      </c>
      <c r="L2433" t="s">
        <v>131</v>
      </c>
      <c r="N2433" t="s">
        <v>565</v>
      </c>
      <c r="O2433" t="s">
        <v>3517</v>
      </c>
    </row>
    <row r="2434" spans="1:15" x14ac:dyDescent="0.25">
      <c r="A2434">
        <v>2433</v>
      </c>
      <c r="B2434" t="str">
        <f>HYPERLINK("https://digitalcommons.unl.edu/cgi/viewcontent.cgi?article=3106&amp;context=tractormuseumlit","Click for test report")</f>
        <v>Click for test report</v>
      </c>
      <c r="C2434">
        <v>1997</v>
      </c>
      <c r="D2434" t="s">
        <v>3512</v>
      </c>
      <c r="E2434" t="s">
        <v>3513</v>
      </c>
      <c r="F2434" t="s">
        <v>3514</v>
      </c>
      <c r="G2434" t="s">
        <v>3514</v>
      </c>
      <c r="H2434" t="s">
        <v>3515</v>
      </c>
      <c r="I2434" t="s">
        <v>50</v>
      </c>
      <c r="J2434" t="s">
        <v>20</v>
      </c>
      <c r="K2434" t="s">
        <v>21</v>
      </c>
      <c r="L2434" t="s">
        <v>131</v>
      </c>
      <c r="N2434" t="s">
        <v>565</v>
      </c>
      <c r="O2434" t="s">
        <v>24</v>
      </c>
    </row>
    <row r="2435" spans="1:15" x14ac:dyDescent="0.25">
      <c r="A2435">
        <v>2434</v>
      </c>
      <c r="B2435" t="str">
        <f>HYPERLINK("https://digitalcommons.unl.edu/cgi/viewcontent.cgi?article=3284&amp;context=tractormuseumlit","Click for test report")</f>
        <v>Click for test report</v>
      </c>
      <c r="C2435">
        <v>1998</v>
      </c>
      <c r="E2435" t="s">
        <v>3150</v>
      </c>
      <c r="F2435" t="s">
        <v>2986</v>
      </c>
      <c r="G2435" t="s">
        <v>778</v>
      </c>
      <c r="H2435" t="s">
        <v>3511</v>
      </c>
      <c r="I2435" t="s">
        <v>50</v>
      </c>
      <c r="J2435" t="s">
        <v>20</v>
      </c>
      <c r="K2435" t="s">
        <v>21</v>
      </c>
      <c r="L2435" t="s">
        <v>404</v>
      </c>
      <c r="N2435" t="s">
        <v>3152</v>
      </c>
      <c r="O2435" t="s">
        <v>3507</v>
      </c>
    </row>
    <row r="2436" spans="1:15" x14ac:dyDescent="0.25">
      <c r="A2436">
        <v>2435</v>
      </c>
      <c r="B2436" t="str">
        <f>HYPERLINK("https://digitalcommons.unl.edu/cgi/viewcontent.cgi?article=3284&amp;context=tractormuseumlit","Click for test report")</f>
        <v>Click for test report</v>
      </c>
      <c r="C2436">
        <v>1998</v>
      </c>
      <c r="E2436" t="s">
        <v>3150</v>
      </c>
      <c r="F2436" t="s">
        <v>2986</v>
      </c>
      <c r="G2436" t="s">
        <v>778</v>
      </c>
      <c r="H2436" t="s">
        <v>3511</v>
      </c>
      <c r="I2436" t="s">
        <v>50</v>
      </c>
      <c r="J2436" t="s">
        <v>20</v>
      </c>
      <c r="K2436" t="s">
        <v>21</v>
      </c>
      <c r="L2436" t="s">
        <v>1994</v>
      </c>
      <c r="N2436" t="s">
        <v>3152</v>
      </c>
      <c r="O2436" t="s">
        <v>3506</v>
      </c>
    </row>
    <row r="2437" spans="1:15" x14ac:dyDescent="0.25">
      <c r="A2437">
        <v>2436</v>
      </c>
      <c r="B2437" t="str">
        <f>HYPERLINK("https://digitalcommons.unl.edu/cgi/viewcontent.cgi?article=3285&amp;context=tractormuseumlit","Click for test report")</f>
        <v>Click for test report</v>
      </c>
      <c r="C2437">
        <v>1998</v>
      </c>
      <c r="E2437" t="s">
        <v>3509</v>
      </c>
      <c r="F2437" t="s">
        <v>2986</v>
      </c>
      <c r="G2437" t="s">
        <v>778</v>
      </c>
      <c r="H2437" t="s">
        <v>3510</v>
      </c>
      <c r="I2437" t="s">
        <v>1961</v>
      </c>
      <c r="J2437" t="s">
        <v>20</v>
      </c>
      <c r="K2437" t="s">
        <v>21</v>
      </c>
      <c r="L2437" t="s">
        <v>728</v>
      </c>
      <c r="N2437" t="s">
        <v>750</v>
      </c>
      <c r="O2437" t="s">
        <v>3507</v>
      </c>
    </row>
    <row r="2438" spans="1:15" x14ac:dyDescent="0.25">
      <c r="A2438">
        <v>2437</v>
      </c>
      <c r="B2438" t="str">
        <f>HYPERLINK("https://digitalcommons.unl.edu/cgi/viewcontent.cgi?article=3285&amp;context=tractormuseumlit","Click for test report")</f>
        <v>Click for test report</v>
      </c>
      <c r="C2438">
        <v>1998</v>
      </c>
      <c r="E2438" t="s">
        <v>3509</v>
      </c>
      <c r="F2438" t="s">
        <v>2986</v>
      </c>
      <c r="G2438" t="s">
        <v>778</v>
      </c>
      <c r="H2438" t="s">
        <v>3510</v>
      </c>
      <c r="I2438" t="s">
        <v>1961</v>
      </c>
      <c r="J2438" t="s">
        <v>20</v>
      </c>
      <c r="K2438" t="s">
        <v>21</v>
      </c>
      <c r="L2438" t="s">
        <v>1864</v>
      </c>
      <c r="N2438" t="s">
        <v>750</v>
      </c>
      <c r="O2438" t="s">
        <v>3506</v>
      </c>
    </row>
    <row r="2439" spans="1:15" x14ac:dyDescent="0.25">
      <c r="A2439">
        <v>2438</v>
      </c>
      <c r="B2439" t="str">
        <f>HYPERLINK("https://digitalcommons.unl.edu/cgi/viewcontent.cgi?article=3286&amp;context=tractormuseumlit","Click for test report")</f>
        <v>Click for test report</v>
      </c>
      <c r="C2439">
        <v>1998</v>
      </c>
      <c r="E2439" t="s">
        <v>3147</v>
      </c>
      <c r="F2439" t="s">
        <v>2986</v>
      </c>
      <c r="G2439" t="s">
        <v>778</v>
      </c>
      <c r="H2439" t="s">
        <v>3508</v>
      </c>
      <c r="I2439" t="s">
        <v>50</v>
      </c>
      <c r="J2439" t="s">
        <v>20</v>
      </c>
      <c r="K2439" t="s">
        <v>21</v>
      </c>
      <c r="L2439" t="s">
        <v>58</v>
      </c>
      <c r="N2439" t="s">
        <v>728</v>
      </c>
      <c r="O2439" t="s">
        <v>3507</v>
      </c>
    </row>
    <row r="2440" spans="1:15" x14ac:dyDescent="0.25">
      <c r="A2440">
        <v>2439</v>
      </c>
      <c r="B2440" t="str">
        <f>HYPERLINK("https://digitalcommons.unl.edu/cgi/viewcontent.cgi?article=3286&amp;context=tractormuseumlit","Click for test report")</f>
        <v>Click for test report</v>
      </c>
      <c r="C2440">
        <v>1998</v>
      </c>
      <c r="E2440" t="s">
        <v>3147</v>
      </c>
      <c r="F2440" t="s">
        <v>2986</v>
      </c>
      <c r="G2440" t="s">
        <v>778</v>
      </c>
      <c r="H2440" t="s">
        <v>3508</v>
      </c>
      <c r="I2440" t="s">
        <v>50</v>
      </c>
      <c r="J2440" t="s">
        <v>20</v>
      </c>
      <c r="K2440" t="s">
        <v>21</v>
      </c>
      <c r="L2440" t="s">
        <v>743</v>
      </c>
      <c r="N2440" t="s">
        <v>728</v>
      </c>
      <c r="O2440" t="s">
        <v>3506</v>
      </c>
    </row>
    <row r="2441" spans="1:15" x14ac:dyDescent="0.25">
      <c r="A2441">
        <v>2440</v>
      </c>
      <c r="B2441" t="str">
        <f>HYPERLINK("https://digitalcommons.unl.edu/cgi/viewcontent.cgi?article=3287&amp;context=tractormuseumlit","Click for test report")</f>
        <v>Click for test report</v>
      </c>
      <c r="C2441">
        <v>1998</v>
      </c>
      <c r="E2441" t="s">
        <v>2985</v>
      </c>
      <c r="F2441" t="s">
        <v>2986</v>
      </c>
      <c r="G2441" t="s">
        <v>778</v>
      </c>
      <c r="H2441" t="s">
        <v>3505</v>
      </c>
      <c r="I2441" t="s">
        <v>50</v>
      </c>
      <c r="J2441" t="s">
        <v>20</v>
      </c>
      <c r="K2441" t="s">
        <v>21</v>
      </c>
      <c r="L2441" t="s">
        <v>343</v>
      </c>
      <c r="N2441" t="s">
        <v>1350</v>
      </c>
      <c r="O2441" t="s">
        <v>3507</v>
      </c>
    </row>
    <row r="2442" spans="1:15" x14ac:dyDescent="0.25">
      <c r="A2442">
        <v>2441</v>
      </c>
      <c r="B2442" t="str">
        <f>HYPERLINK("https://digitalcommons.unl.edu/cgi/viewcontent.cgi?article=3287&amp;context=tractormuseumlit","Click for test report")</f>
        <v>Click for test report</v>
      </c>
      <c r="C2442">
        <v>1998</v>
      </c>
      <c r="E2442" t="s">
        <v>2985</v>
      </c>
      <c r="F2442" t="s">
        <v>2986</v>
      </c>
      <c r="G2442" t="s">
        <v>778</v>
      </c>
      <c r="H2442" t="s">
        <v>3505</v>
      </c>
      <c r="I2442" t="s">
        <v>50</v>
      </c>
      <c r="J2442" t="s">
        <v>20</v>
      </c>
      <c r="K2442" t="s">
        <v>21</v>
      </c>
      <c r="L2442" t="s">
        <v>565</v>
      </c>
      <c r="N2442" t="s">
        <v>1350</v>
      </c>
      <c r="O2442" t="s">
        <v>3506</v>
      </c>
    </row>
    <row r="2443" spans="1:15" x14ac:dyDescent="0.25">
      <c r="A2443">
        <v>2442</v>
      </c>
      <c r="B2443" t="str">
        <f>HYPERLINK("https://digitalcommons.unl.edu/cgi/viewcontent.cgi?article=3814&amp;context=tractormuseumlit","Click for test report")</f>
        <v>Click for test report</v>
      </c>
      <c r="C2443">
        <v>1998</v>
      </c>
      <c r="E2443" t="s">
        <v>3502</v>
      </c>
      <c r="F2443" t="s">
        <v>3336</v>
      </c>
      <c r="G2443" t="s">
        <v>135</v>
      </c>
      <c r="H2443" t="s">
        <v>3503</v>
      </c>
      <c r="I2443" t="s">
        <v>50</v>
      </c>
      <c r="J2443" t="s">
        <v>29</v>
      </c>
      <c r="K2443" t="s">
        <v>21</v>
      </c>
      <c r="L2443" t="s">
        <v>305</v>
      </c>
      <c r="N2443" t="s">
        <v>3504</v>
      </c>
      <c r="O2443" t="s">
        <v>24</v>
      </c>
    </row>
    <row r="2444" spans="1:15" x14ac:dyDescent="0.25">
      <c r="A2444">
        <v>2443</v>
      </c>
      <c r="B2444" t="str">
        <f>HYPERLINK("https://digitalcommons.unl.edu/cgi/viewcontent.cgi?article=3815&amp;context=tractormuseumlit","Click for test report")</f>
        <v>Click for test report</v>
      </c>
      <c r="C2444">
        <v>1998</v>
      </c>
      <c r="E2444" t="s">
        <v>3500</v>
      </c>
      <c r="F2444" t="s">
        <v>3336</v>
      </c>
      <c r="G2444" t="s">
        <v>135</v>
      </c>
      <c r="H2444" t="s">
        <v>3501</v>
      </c>
      <c r="I2444" t="s">
        <v>50</v>
      </c>
      <c r="J2444" t="s">
        <v>29</v>
      </c>
      <c r="K2444" t="s">
        <v>21</v>
      </c>
      <c r="L2444" t="s">
        <v>87</v>
      </c>
      <c r="N2444" t="s">
        <v>211</v>
      </c>
      <c r="O2444" t="s">
        <v>24</v>
      </c>
    </row>
    <row r="2445" spans="1:15" x14ac:dyDescent="0.25">
      <c r="A2445">
        <v>2444</v>
      </c>
      <c r="B2445" t="str">
        <f>HYPERLINK("https://digitalcommons.unl.edu/cgi/viewcontent.cgi?article=3288&amp;context=tractormuseumlit","Click for test report")</f>
        <v>Click for test report</v>
      </c>
      <c r="C2445">
        <v>1998</v>
      </c>
      <c r="E2445" t="s">
        <v>3498</v>
      </c>
      <c r="F2445" t="s">
        <v>1526</v>
      </c>
      <c r="G2445" t="s">
        <v>17</v>
      </c>
      <c r="H2445" t="s">
        <v>3499</v>
      </c>
      <c r="I2445" t="s">
        <v>19</v>
      </c>
      <c r="J2445" t="s">
        <v>20</v>
      </c>
      <c r="K2445" t="s">
        <v>21</v>
      </c>
      <c r="L2445" t="s">
        <v>1257</v>
      </c>
      <c r="N2445" t="s">
        <v>353</v>
      </c>
      <c r="O2445" t="s">
        <v>24</v>
      </c>
    </row>
    <row r="2446" spans="1:15" x14ac:dyDescent="0.25">
      <c r="A2446">
        <v>2445</v>
      </c>
      <c r="B2446" t="str">
        <f>HYPERLINK("https://digitalcommons.unl.edu/cgi/viewcontent.cgi?article=3289&amp;context=tractormuseumlit","Click for test report")</f>
        <v>Click for test report</v>
      </c>
      <c r="C2446">
        <v>1998</v>
      </c>
      <c r="E2446" t="s">
        <v>3496</v>
      </c>
      <c r="F2446" t="s">
        <v>1526</v>
      </c>
      <c r="G2446" t="s">
        <v>17</v>
      </c>
      <c r="H2446" t="s">
        <v>3497</v>
      </c>
      <c r="I2446" t="s">
        <v>19</v>
      </c>
      <c r="J2446" t="s">
        <v>20</v>
      </c>
      <c r="K2446" t="s">
        <v>21</v>
      </c>
      <c r="L2446" t="s">
        <v>1867</v>
      </c>
      <c r="N2446" t="s">
        <v>725</v>
      </c>
      <c r="O2446" t="s">
        <v>24</v>
      </c>
    </row>
    <row r="2447" spans="1:15" x14ac:dyDescent="0.25">
      <c r="A2447">
        <v>2446</v>
      </c>
      <c r="B2447" t="str">
        <f>HYPERLINK("https://digitalcommons.unl.edu/cgi/viewcontent.cgi?article=3290&amp;context=tractormuseumlit","Click for test report")</f>
        <v>Click for test report</v>
      </c>
      <c r="C2447">
        <v>1998</v>
      </c>
      <c r="E2447" t="s">
        <v>3495</v>
      </c>
      <c r="F2447" t="s">
        <v>1526</v>
      </c>
      <c r="G2447" t="s">
        <v>17</v>
      </c>
      <c r="H2447" t="s">
        <v>3494</v>
      </c>
      <c r="I2447" t="s">
        <v>50</v>
      </c>
      <c r="J2447" t="s">
        <v>20</v>
      </c>
      <c r="K2447" t="s">
        <v>21</v>
      </c>
      <c r="L2447" t="s">
        <v>574</v>
      </c>
      <c r="N2447" t="s">
        <v>747</v>
      </c>
      <c r="O2447" t="s">
        <v>24</v>
      </c>
    </row>
    <row r="2448" spans="1:15" x14ac:dyDescent="0.25">
      <c r="A2448">
        <v>2447</v>
      </c>
      <c r="B2448" t="str">
        <f>HYPERLINK("https://digitalcommons.unl.edu/cgi/viewcontent.cgi?article=3291&amp;context=tractormuseumlit","Click for test report")</f>
        <v>Click for test report</v>
      </c>
      <c r="C2448">
        <v>1998</v>
      </c>
      <c r="E2448" t="s">
        <v>3493</v>
      </c>
      <c r="F2448" t="s">
        <v>1526</v>
      </c>
      <c r="G2448" t="s">
        <v>17</v>
      </c>
      <c r="H2448" t="s">
        <v>3494</v>
      </c>
      <c r="I2448" t="s">
        <v>19</v>
      </c>
      <c r="J2448" t="s">
        <v>20</v>
      </c>
      <c r="K2448" t="s">
        <v>21</v>
      </c>
      <c r="L2448" t="s">
        <v>574</v>
      </c>
      <c r="N2448" t="s">
        <v>1350</v>
      </c>
      <c r="O2448" t="s">
        <v>24</v>
      </c>
    </row>
    <row r="2449" spans="1:15" x14ac:dyDescent="0.25">
      <c r="A2449">
        <v>2448</v>
      </c>
      <c r="B2449" t="str">
        <f>HYPERLINK("https://digitalcommons.unl.edu/cgi/viewcontent.cgi?article=3292&amp;context=tractormuseumlit","Click for test report")</f>
        <v>Click for test report</v>
      </c>
      <c r="C2449">
        <v>1998</v>
      </c>
      <c r="E2449" t="s">
        <v>3492</v>
      </c>
      <c r="F2449" t="s">
        <v>1526</v>
      </c>
      <c r="G2449" t="s">
        <v>17</v>
      </c>
      <c r="H2449" t="s">
        <v>3314</v>
      </c>
      <c r="I2449" t="s">
        <v>19</v>
      </c>
      <c r="J2449" t="s">
        <v>20</v>
      </c>
      <c r="K2449" t="s">
        <v>21</v>
      </c>
      <c r="L2449" t="s">
        <v>562</v>
      </c>
      <c r="N2449" t="s">
        <v>1867</v>
      </c>
      <c r="O2449" t="s">
        <v>24</v>
      </c>
    </row>
    <row r="2450" spans="1:15" x14ac:dyDescent="0.25">
      <c r="A2450">
        <v>2449</v>
      </c>
      <c r="B2450" t="str">
        <f>HYPERLINK("https://digitalcommons.unl.edu/cgi/viewcontent.cgi?article=3819&amp;context=tractormuseumlit","Click for test report")</f>
        <v>Click for test report</v>
      </c>
      <c r="C2450">
        <v>1998</v>
      </c>
      <c r="E2450" t="s">
        <v>3490</v>
      </c>
      <c r="F2450" t="s">
        <v>2682</v>
      </c>
      <c r="G2450" t="s">
        <v>135</v>
      </c>
      <c r="H2450" t="s">
        <v>3491</v>
      </c>
      <c r="I2450" t="s">
        <v>19</v>
      </c>
      <c r="J2450" t="s">
        <v>20</v>
      </c>
      <c r="K2450" t="s">
        <v>21</v>
      </c>
      <c r="L2450" t="s">
        <v>1796</v>
      </c>
      <c r="N2450" t="s">
        <v>764</v>
      </c>
      <c r="O2450" t="s">
        <v>3371</v>
      </c>
    </row>
    <row r="2451" spans="1:15" x14ac:dyDescent="0.25">
      <c r="A2451">
        <v>2450</v>
      </c>
      <c r="B2451" t="str">
        <f>HYPERLINK("https://digitalcommons.unl.edu/cgi/viewcontent.cgi?article=3819&amp;context=tractormuseumlit","Click for test report")</f>
        <v>Click for test report</v>
      </c>
      <c r="C2451">
        <v>1998</v>
      </c>
      <c r="E2451" t="s">
        <v>3490</v>
      </c>
      <c r="F2451" t="s">
        <v>2682</v>
      </c>
      <c r="G2451" t="s">
        <v>135</v>
      </c>
      <c r="H2451" t="s">
        <v>3491</v>
      </c>
      <c r="I2451" t="s">
        <v>19</v>
      </c>
      <c r="J2451" t="s">
        <v>348</v>
      </c>
      <c r="K2451" t="s">
        <v>21</v>
      </c>
      <c r="L2451" t="s">
        <v>1796</v>
      </c>
      <c r="N2451" t="s">
        <v>764</v>
      </c>
      <c r="O2451" t="s">
        <v>3371</v>
      </c>
    </row>
    <row r="2452" spans="1:15" x14ac:dyDescent="0.25">
      <c r="A2452">
        <v>2451</v>
      </c>
      <c r="B2452" t="str">
        <f>HYPERLINK("https://digitalcommons.unl.edu/cgi/viewcontent.cgi?article=3293&amp;context=tractormuseumlit","Click for test report")</f>
        <v>Click for test report</v>
      </c>
      <c r="C2452">
        <v>1998</v>
      </c>
      <c r="E2452" t="s">
        <v>3488</v>
      </c>
      <c r="F2452" t="s">
        <v>2062</v>
      </c>
      <c r="G2452" t="s">
        <v>778</v>
      </c>
      <c r="H2452" t="s">
        <v>3489</v>
      </c>
      <c r="I2452" t="s">
        <v>19</v>
      </c>
      <c r="J2452" t="s">
        <v>20</v>
      </c>
      <c r="K2452" t="s">
        <v>21</v>
      </c>
      <c r="L2452" t="s">
        <v>58</v>
      </c>
      <c r="N2452" t="s">
        <v>2030</v>
      </c>
      <c r="O2452" t="s">
        <v>24</v>
      </c>
    </row>
    <row r="2453" spans="1:15" x14ac:dyDescent="0.25">
      <c r="A2453">
        <v>2452</v>
      </c>
      <c r="B2453" t="str">
        <f>HYPERLINK("https://digitalcommons.unl.edu/cgi/viewcontent.cgi?article=3294&amp;context=tractormuseumlit","Click for test report")</f>
        <v>Click for test report</v>
      </c>
      <c r="C2453">
        <v>1998</v>
      </c>
      <c r="E2453" t="s">
        <v>3486</v>
      </c>
      <c r="F2453" t="s">
        <v>2062</v>
      </c>
      <c r="G2453" t="s">
        <v>778</v>
      </c>
      <c r="H2453" t="s">
        <v>3487</v>
      </c>
      <c r="I2453" t="s">
        <v>19</v>
      </c>
      <c r="J2453" t="s">
        <v>20</v>
      </c>
      <c r="K2453" t="s">
        <v>21</v>
      </c>
      <c r="L2453" t="s">
        <v>1796</v>
      </c>
      <c r="N2453" t="s">
        <v>1867</v>
      </c>
      <c r="O2453" t="s">
        <v>24</v>
      </c>
    </row>
    <row r="2454" spans="1:15" x14ac:dyDescent="0.25">
      <c r="A2454">
        <v>2453</v>
      </c>
      <c r="B2454" t="str">
        <f>HYPERLINK("https://digitalcommons.unl.edu/cgi/viewcontent.cgi?article=3294&amp;context=tractormuseumlit","Click for test report")</f>
        <v>Click for test report</v>
      </c>
      <c r="C2454">
        <v>1998</v>
      </c>
      <c r="E2454" t="s">
        <v>3486</v>
      </c>
      <c r="F2454" t="s">
        <v>2062</v>
      </c>
      <c r="G2454" t="s">
        <v>778</v>
      </c>
      <c r="H2454" t="s">
        <v>3487</v>
      </c>
      <c r="I2454" t="s">
        <v>19</v>
      </c>
      <c r="J2454" t="s">
        <v>348</v>
      </c>
      <c r="K2454" t="s">
        <v>21</v>
      </c>
      <c r="L2454" t="s">
        <v>1796</v>
      </c>
      <c r="N2454" t="s">
        <v>1867</v>
      </c>
      <c r="O2454" t="s">
        <v>24</v>
      </c>
    </row>
    <row r="2455" spans="1:15" x14ac:dyDescent="0.25">
      <c r="A2455">
        <v>2454</v>
      </c>
      <c r="B2455" t="str">
        <f>HYPERLINK("https://digitalcommons.unl.edu/cgi/viewcontent.cgi?article=3295&amp;context=tractormuseumlit","Click for test report")</f>
        <v>Click for test report</v>
      </c>
      <c r="C2455">
        <v>1998</v>
      </c>
      <c r="E2455" t="s">
        <v>3482</v>
      </c>
      <c r="F2455" t="s">
        <v>2062</v>
      </c>
      <c r="G2455" t="s">
        <v>778</v>
      </c>
      <c r="H2455" t="s">
        <v>3485</v>
      </c>
      <c r="I2455" t="s">
        <v>28</v>
      </c>
      <c r="J2455" t="s">
        <v>20</v>
      </c>
      <c r="K2455" t="s">
        <v>21</v>
      </c>
      <c r="L2455" t="s">
        <v>2660</v>
      </c>
      <c r="N2455" t="s">
        <v>1821</v>
      </c>
      <c r="O2455" t="s">
        <v>24</v>
      </c>
    </row>
    <row r="2456" spans="1:15" x14ac:dyDescent="0.25">
      <c r="A2456">
        <v>2455</v>
      </c>
      <c r="B2456" t="str">
        <f>HYPERLINK("https://digitalcommons.unl.edu/cgi/viewcontent.cgi?article=3295&amp;context=tractormuseumlit","Click for test report")</f>
        <v>Click for test report</v>
      </c>
      <c r="C2456">
        <v>1998</v>
      </c>
      <c r="E2456" t="s">
        <v>3482</v>
      </c>
      <c r="F2456" t="s">
        <v>2062</v>
      </c>
      <c r="G2456" t="s">
        <v>778</v>
      </c>
      <c r="H2456" t="s">
        <v>3483</v>
      </c>
      <c r="I2456" t="s">
        <v>28</v>
      </c>
      <c r="J2456" t="s">
        <v>20</v>
      </c>
      <c r="K2456" t="s">
        <v>21</v>
      </c>
      <c r="L2456" t="s">
        <v>2660</v>
      </c>
      <c r="N2456" t="s">
        <v>1821</v>
      </c>
      <c r="O2456" t="s">
        <v>3484</v>
      </c>
    </row>
    <row r="2457" spans="1:15" x14ac:dyDescent="0.25">
      <c r="A2457">
        <v>2456</v>
      </c>
      <c r="B2457" t="str">
        <f>HYPERLINK("https://digitalcommons.unl.edu/cgi/viewcontent.cgi?article=3296&amp;context=tractormuseumlit","Click for test report")</f>
        <v>Click for test report</v>
      </c>
      <c r="C2457">
        <v>1998</v>
      </c>
      <c r="E2457" t="s">
        <v>3480</v>
      </c>
      <c r="F2457" t="s">
        <v>2062</v>
      </c>
      <c r="G2457" t="s">
        <v>778</v>
      </c>
      <c r="H2457" t="s">
        <v>3481</v>
      </c>
      <c r="I2457" t="s">
        <v>28</v>
      </c>
      <c r="J2457" t="s">
        <v>20</v>
      </c>
      <c r="K2457" t="s">
        <v>21</v>
      </c>
      <c r="L2457" t="s">
        <v>888</v>
      </c>
      <c r="N2457" t="s">
        <v>71</v>
      </c>
      <c r="O2457" t="s">
        <v>24</v>
      </c>
    </row>
    <row r="2458" spans="1:15" x14ac:dyDescent="0.25">
      <c r="A2458">
        <v>2457</v>
      </c>
      <c r="B2458" t="str">
        <f>HYPERLINK("https://digitalcommons.unl.edu/cgi/viewcontent.cgi?article=3833&amp;context=tractormuseumlit","Click for test report")</f>
        <v>Click for test report</v>
      </c>
      <c r="C2458">
        <v>1998</v>
      </c>
      <c r="E2458" t="s">
        <v>2958</v>
      </c>
      <c r="F2458" t="s">
        <v>2742</v>
      </c>
      <c r="G2458" t="s">
        <v>191</v>
      </c>
      <c r="H2458" t="s">
        <v>3140</v>
      </c>
      <c r="I2458" t="s">
        <v>1961</v>
      </c>
      <c r="J2458" t="s">
        <v>20</v>
      </c>
      <c r="K2458" t="s">
        <v>21</v>
      </c>
      <c r="L2458" t="s">
        <v>731</v>
      </c>
      <c r="N2458" t="s">
        <v>735</v>
      </c>
      <c r="O2458" t="s">
        <v>3479</v>
      </c>
    </row>
    <row r="2459" spans="1:15" x14ac:dyDescent="0.25">
      <c r="A2459">
        <v>2458</v>
      </c>
      <c r="B2459" t="str">
        <f>HYPERLINK("https://digitalcommons.unl.edu/cgi/viewcontent.cgi?article=3833&amp;context=tractormuseumlit","Click for test report")</f>
        <v>Click for test report</v>
      </c>
      <c r="C2459">
        <v>1998</v>
      </c>
      <c r="E2459" t="s">
        <v>2958</v>
      </c>
      <c r="F2459" t="s">
        <v>2742</v>
      </c>
      <c r="G2459" t="s">
        <v>191</v>
      </c>
      <c r="H2459" t="s">
        <v>3139</v>
      </c>
      <c r="I2459" t="s">
        <v>1961</v>
      </c>
      <c r="J2459" t="s">
        <v>20</v>
      </c>
      <c r="K2459" t="s">
        <v>21</v>
      </c>
      <c r="L2459" t="s">
        <v>731</v>
      </c>
      <c r="N2459" t="s">
        <v>735</v>
      </c>
      <c r="O2459" t="s">
        <v>24</v>
      </c>
    </row>
    <row r="2460" spans="1:15" x14ac:dyDescent="0.25">
      <c r="A2460">
        <v>2459</v>
      </c>
      <c r="B2460" t="str">
        <f>HYPERLINK("https://digitalcommons.unl.edu/cgi/viewcontent.cgi?article=3834&amp;context=tractormuseumlit","Click for test report")</f>
        <v>Click for test report</v>
      </c>
      <c r="C2460">
        <v>1998</v>
      </c>
      <c r="E2460" t="s">
        <v>2954</v>
      </c>
      <c r="F2460" t="s">
        <v>2742</v>
      </c>
      <c r="G2460" t="s">
        <v>191</v>
      </c>
      <c r="H2460" t="s">
        <v>3138</v>
      </c>
      <c r="I2460" t="s">
        <v>1961</v>
      </c>
      <c r="J2460" t="s">
        <v>20</v>
      </c>
      <c r="K2460" t="s">
        <v>21</v>
      </c>
      <c r="L2460" t="s">
        <v>764</v>
      </c>
      <c r="N2460" t="s">
        <v>731</v>
      </c>
      <c r="O2460" t="s">
        <v>3478</v>
      </c>
    </row>
    <row r="2461" spans="1:15" x14ac:dyDescent="0.25">
      <c r="A2461">
        <v>2460</v>
      </c>
      <c r="B2461" t="str">
        <f>HYPERLINK("https://digitalcommons.unl.edu/cgi/viewcontent.cgi?article=3834&amp;context=tractormuseumlit","Click for test report")</f>
        <v>Click for test report</v>
      </c>
      <c r="C2461">
        <v>1998</v>
      </c>
      <c r="E2461" t="s">
        <v>2954</v>
      </c>
      <c r="F2461" t="s">
        <v>2742</v>
      </c>
      <c r="G2461" t="s">
        <v>191</v>
      </c>
      <c r="H2461" t="s">
        <v>3137</v>
      </c>
      <c r="I2461" t="s">
        <v>1961</v>
      </c>
      <c r="J2461" t="s">
        <v>20</v>
      </c>
      <c r="K2461" t="s">
        <v>21</v>
      </c>
      <c r="L2461" t="s">
        <v>764</v>
      </c>
      <c r="N2461" t="s">
        <v>731</v>
      </c>
      <c r="O2461" t="s">
        <v>24</v>
      </c>
    </row>
    <row r="2462" spans="1:15" x14ac:dyDescent="0.25">
      <c r="A2462">
        <v>2461</v>
      </c>
      <c r="B2462" t="str">
        <f>HYPERLINK("https://digitalcommons.unl.edu/cgi/viewcontent.cgi?article=3835&amp;context=tractormuseumlit","Click for test report")</f>
        <v>Click for test report</v>
      </c>
      <c r="C2462">
        <v>1998</v>
      </c>
      <c r="E2462" t="s">
        <v>2950</v>
      </c>
      <c r="F2462" t="s">
        <v>2742</v>
      </c>
      <c r="G2462" t="s">
        <v>191</v>
      </c>
      <c r="H2462" t="s">
        <v>3136</v>
      </c>
      <c r="I2462" t="s">
        <v>1961</v>
      </c>
      <c r="J2462" t="s">
        <v>20</v>
      </c>
      <c r="K2462" t="s">
        <v>21</v>
      </c>
      <c r="L2462" t="s">
        <v>746</v>
      </c>
      <c r="N2462" t="s">
        <v>2747</v>
      </c>
      <c r="O2462" t="s">
        <v>3477</v>
      </c>
    </row>
    <row r="2463" spans="1:15" x14ac:dyDescent="0.25">
      <c r="A2463">
        <v>2462</v>
      </c>
      <c r="B2463" t="str">
        <f>HYPERLINK("https://digitalcommons.unl.edu/cgi/viewcontent.cgi?article=3835&amp;context=tractormuseumlit","Click for test report")</f>
        <v>Click for test report</v>
      </c>
      <c r="C2463">
        <v>1998</v>
      </c>
      <c r="E2463" t="s">
        <v>2950</v>
      </c>
      <c r="F2463" t="s">
        <v>2742</v>
      </c>
      <c r="G2463" t="s">
        <v>191</v>
      </c>
      <c r="H2463" t="s">
        <v>3135</v>
      </c>
      <c r="I2463" t="s">
        <v>1961</v>
      </c>
      <c r="J2463" t="s">
        <v>20</v>
      </c>
      <c r="K2463" t="s">
        <v>21</v>
      </c>
      <c r="L2463" t="s">
        <v>746</v>
      </c>
      <c r="N2463" t="s">
        <v>2747</v>
      </c>
      <c r="O2463" t="s">
        <v>24</v>
      </c>
    </row>
    <row r="2464" spans="1:15" x14ac:dyDescent="0.25">
      <c r="A2464">
        <v>2463</v>
      </c>
      <c r="B2464" t="str">
        <f>HYPERLINK("https://digitalcommons.unl.edu/cgi/viewcontent.cgi?article=3836&amp;context=tractormuseumlit","Click for test report")</f>
        <v>Click for test report</v>
      </c>
      <c r="C2464">
        <v>1998</v>
      </c>
      <c r="E2464" t="s">
        <v>2945</v>
      </c>
      <c r="F2464" t="s">
        <v>2742</v>
      </c>
      <c r="G2464" t="s">
        <v>191</v>
      </c>
      <c r="H2464" t="s">
        <v>3133</v>
      </c>
      <c r="I2464" t="s">
        <v>1961</v>
      </c>
      <c r="J2464" t="s">
        <v>20</v>
      </c>
      <c r="K2464" t="s">
        <v>21</v>
      </c>
      <c r="L2464" t="s">
        <v>55</v>
      </c>
      <c r="N2464" t="s">
        <v>1867</v>
      </c>
      <c r="O2464" t="s">
        <v>3476</v>
      </c>
    </row>
    <row r="2465" spans="1:15" x14ac:dyDescent="0.25">
      <c r="A2465">
        <v>2464</v>
      </c>
      <c r="B2465" t="str">
        <f>HYPERLINK("https://digitalcommons.unl.edu/cgi/viewcontent.cgi?article=3836&amp;context=tractormuseumlit","Click for test report")</f>
        <v>Click for test report</v>
      </c>
      <c r="C2465">
        <v>1998</v>
      </c>
      <c r="E2465" t="s">
        <v>2945</v>
      </c>
      <c r="F2465" t="s">
        <v>2742</v>
      </c>
      <c r="G2465" t="s">
        <v>191</v>
      </c>
      <c r="H2465" t="s">
        <v>3134</v>
      </c>
      <c r="I2465" t="s">
        <v>1961</v>
      </c>
      <c r="J2465" t="s">
        <v>20</v>
      </c>
      <c r="K2465" t="s">
        <v>21</v>
      </c>
      <c r="L2465" t="s">
        <v>55</v>
      </c>
      <c r="N2465" t="s">
        <v>1867</v>
      </c>
      <c r="O2465" t="s">
        <v>24</v>
      </c>
    </row>
    <row r="2466" spans="1:15" x14ac:dyDescent="0.25">
      <c r="A2466">
        <v>2465</v>
      </c>
      <c r="B2466" t="str">
        <f>HYPERLINK("https://digitalcommons.unl.edu/cgi/viewcontent.cgi?article=3877&amp;context=tractormuseumlit","Click for test report")</f>
        <v>Click for test report</v>
      </c>
      <c r="C2466">
        <v>1998</v>
      </c>
      <c r="E2466" t="s">
        <v>3471</v>
      </c>
      <c r="F2466" t="s">
        <v>3472</v>
      </c>
      <c r="G2466" t="s">
        <v>3472</v>
      </c>
      <c r="H2466" t="s">
        <v>3473</v>
      </c>
      <c r="I2466" t="s">
        <v>3474</v>
      </c>
      <c r="J2466" t="s">
        <v>20</v>
      </c>
      <c r="K2466" t="s">
        <v>21</v>
      </c>
      <c r="L2466" t="s">
        <v>562</v>
      </c>
      <c r="N2466" t="s">
        <v>722</v>
      </c>
      <c r="O2466" t="s">
        <v>3475</v>
      </c>
    </row>
    <row r="2467" spans="1:15" x14ac:dyDescent="0.25">
      <c r="A2467">
        <v>2466</v>
      </c>
      <c r="B2467" t="str">
        <f>HYPERLINK("https://digitalcommons.unl.edu/cgi/viewcontent.cgi?article=3899&amp;context=tractormuseumlit","Click for test report")</f>
        <v>Click for test report</v>
      </c>
      <c r="C2467">
        <v>1998</v>
      </c>
      <c r="E2467" t="s">
        <v>3469</v>
      </c>
      <c r="F2467" t="s">
        <v>62</v>
      </c>
      <c r="G2467" t="s">
        <v>62</v>
      </c>
      <c r="H2467" t="s">
        <v>3470</v>
      </c>
      <c r="I2467" t="s">
        <v>50</v>
      </c>
      <c r="J2467" t="s">
        <v>20</v>
      </c>
      <c r="K2467" t="s">
        <v>21</v>
      </c>
      <c r="L2467" t="s">
        <v>2030</v>
      </c>
      <c r="N2467" t="s">
        <v>2029</v>
      </c>
      <c r="O2467" t="s">
        <v>3468</v>
      </c>
    </row>
    <row r="2468" spans="1:15" x14ac:dyDescent="0.25">
      <c r="A2468">
        <v>2467</v>
      </c>
      <c r="B2468" t="str">
        <f>HYPERLINK("https://digitalcommons.unl.edu/cgi/viewcontent.cgi?article=3900&amp;context=tractormuseumlit","Click for test report")</f>
        <v>Click for test report</v>
      </c>
      <c r="C2468">
        <v>1998</v>
      </c>
      <c r="E2468" t="s">
        <v>3466</v>
      </c>
      <c r="F2468" t="s">
        <v>62</v>
      </c>
      <c r="G2468" t="s">
        <v>62</v>
      </c>
      <c r="H2468" t="s">
        <v>3467</v>
      </c>
      <c r="I2468" t="s">
        <v>50</v>
      </c>
      <c r="J2468" t="s">
        <v>20</v>
      </c>
      <c r="K2468" t="s">
        <v>21</v>
      </c>
      <c r="L2468" t="s">
        <v>344</v>
      </c>
      <c r="N2468" t="s">
        <v>743</v>
      </c>
      <c r="O2468" t="s">
        <v>3468</v>
      </c>
    </row>
    <row r="2469" spans="1:15" x14ac:dyDescent="0.25">
      <c r="A2469">
        <v>2468</v>
      </c>
      <c r="B2469" t="str">
        <f>HYPERLINK("https://digitalcommons.unl.edu/cgi/viewcontent.cgi?article=3107&amp;context=tractormuseumlit","Click for test report")</f>
        <v>Click for test report</v>
      </c>
      <c r="C2469">
        <v>1998</v>
      </c>
      <c r="D2469" t="s">
        <v>3463</v>
      </c>
      <c r="E2469" t="s">
        <v>3464</v>
      </c>
      <c r="F2469" t="s">
        <v>17</v>
      </c>
      <c r="G2469" t="s">
        <v>17</v>
      </c>
      <c r="H2469" t="s">
        <v>3465</v>
      </c>
      <c r="I2469" t="s">
        <v>28</v>
      </c>
      <c r="J2469" t="s">
        <v>96</v>
      </c>
      <c r="K2469" t="s">
        <v>21</v>
      </c>
      <c r="L2469" t="s">
        <v>1425</v>
      </c>
      <c r="N2469" t="s">
        <v>771</v>
      </c>
      <c r="O2469" t="s">
        <v>24</v>
      </c>
    </row>
    <row r="2470" spans="1:15" x14ac:dyDescent="0.25">
      <c r="A2470">
        <v>2469</v>
      </c>
      <c r="B2470" t="str">
        <f>HYPERLINK("https://digitalcommons.unl.edu/cgi/viewcontent.cgi?article=3108&amp;context=tractormuseumlit","Click for test report")</f>
        <v>Click for test report</v>
      </c>
      <c r="C2470">
        <v>1998</v>
      </c>
      <c r="D2470" t="s">
        <v>3460</v>
      </c>
      <c r="E2470" t="s">
        <v>3461</v>
      </c>
      <c r="F2470" t="s">
        <v>17</v>
      </c>
      <c r="G2470" t="s">
        <v>17</v>
      </c>
      <c r="H2470" t="s">
        <v>3462</v>
      </c>
      <c r="I2470" t="s">
        <v>28</v>
      </c>
      <c r="J2470" t="s">
        <v>96</v>
      </c>
      <c r="K2470" t="s">
        <v>21</v>
      </c>
      <c r="L2470" t="s">
        <v>469</v>
      </c>
      <c r="N2470" t="s">
        <v>1037</v>
      </c>
      <c r="O2470" t="s">
        <v>24</v>
      </c>
    </row>
    <row r="2471" spans="1:15" x14ac:dyDescent="0.25">
      <c r="A2471">
        <v>2470</v>
      </c>
      <c r="B2471" t="str">
        <f>HYPERLINK("https://digitalcommons.unl.edu/cgi/viewcontent.cgi?article=3109&amp;context=tractormuseumlit","Click for test report")</f>
        <v>Click for test report</v>
      </c>
      <c r="C2471">
        <v>1998</v>
      </c>
      <c r="D2471" t="s">
        <v>3457</v>
      </c>
      <c r="E2471" t="s">
        <v>3458</v>
      </c>
      <c r="F2471" t="s">
        <v>17</v>
      </c>
      <c r="G2471" t="s">
        <v>17</v>
      </c>
      <c r="H2471" t="s">
        <v>3459</v>
      </c>
      <c r="I2471" t="s">
        <v>28</v>
      </c>
      <c r="J2471" t="s">
        <v>96</v>
      </c>
      <c r="K2471" t="s">
        <v>21</v>
      </c>
      <c r="L2471" t="s">
        <v>114</v>
      </c>
      <c r="N2471" t="s">
        <v>115</v>
      </c>
      <c r="O2471" t="s">
        <v>24</v>
      </c>
    </row>
    <row r="2472" spans="1:15" x14ac:dyDescent="0.25">
      <c r="A2472">
        <v>2471</v>
      </c>
      <c r="B2472" t="str">
        <f>HYPERLINK("https://digitalcommons.unl.edu/cgi/viewcontent.cgi?article=3110&amp;context=tractormuseumlit","Click for test report")</f>
        <v>Click for test report</v>
      </c>
      <c r="C2472">
        <v>1998</v>
      </c>
      <c r="D2472" t="s">
        <v>3454</v>
      </c>
      <c r="E2472" t="s">
        <v>3455</v>
      </c>
      <c r="F2472" t="s">
        <v>17</v>
      </c>
      <c r="G2472" t="s">
        <v>17</v>
      </c>
      <c r="H2472" t="s">
        <v>3456</v>
      </c>
      <c r="I2472" t="s">
        <v>28</v>
      </c>
      <c r="J2472" t="s">
        <v>96</v>
      </c>
      <c r="K2472" t="s">
        <v>21</v>
      </c>
      <c r="L2472" t="s">
        <v>166</v>
      </c>
      <c r="N2472" t="s">
        <v>510</v>
      </c>
      <c r="O2472" t="s">
        <v>24</v>
      </c>
    </row>
    <row r="2473" spans="1:15" x14ac:dyDescent="0.25">
      <c r="A2473">
        <v>2472</v>
      </c>
      <c r="B2473" t="str">
        <f>HYPERLINK("https://digitalcommons.unl.edu/cgi/viewcontent.cgi?article=3111&amp;context=tractormuseumlit","Click for test report")</f>
        <v>Click for test report</v>
      </c>
      <c r="C2473">
        <v>1998</v>
      </c>
      <c r="D2473" t="s">
        <v>3451</v>
      </c>
      <c r="E2473" t="s">
        <v>3452</v>
      </c>
      <c r="F2473" t="s">
        <v>3442</v>
      </c>
      <c r="G2473" t="s">
        <v>3442</v>
      </c>
      <c r="H2473" t="s">
        <v>3453</v>
      </c>
      <c r="I2473" t="s">
        <v>28</v>
      </c>
      <c r="J2473" t="s">
        <v>96</v>
      </c>
      <c r="K2473" t="s">
        <v>21</v>
      </c>
      <c r="L2473" t="s">
        <v>995</v>
      </c>
      <c r="N2473" t="s">
        <v>1439</v>
      </c>
      <c r="O2473" t="s">
        <v>3444</v>
      </c>
    </row>
    <row r="2474" spans="1:15" x14ac:dyDescent="0.25">
      <c r="A2474">
        <v>2473</v>
      </c>
      <c r="B2474" t="str">
        <f>HYPERLINK("https://digitalcommons.unl.edu/cgi/viewcontent.cgi?article=3112&amp;context=tractormuseumlit","Click for test report")</f>
        <v>Click for test report</v>
      </c>
      <c r="C2474">
        <v>1998</v>
      </c>
      <c r="D2474" t="s">
        <v>3448</v>
      </c>
      <c r="E2474" t="s">
        <v>3449</v>
      </c>
      <c r="F2474" t="s">
        <v>3442</v>
      </c>
      <c r="G2474" t="s">
        <v>3442</v>
      </c>
      <c r="H2474" t="s">
        <v>3450</v>
      </c>
      <c r="I2474" t="s">
        <v>28</v>
      </c>
      <c r="J2474" t="s">
        <v>96</v>
      </c>
      <c r="K2474" t="s">
        <v>21</v>
      </c>
      <c r="L2474" t="s">
        <v>1156</v>
      </c>
      <c r="N2474" t="s">
        <v>200</v>
      </c>
      <c r="O2474" t="s">
        <v>3444</v>
      </c>
    </row>
    <row r="2475" spans="1:15" x14ac:dyDescent="0.25">
      <c r="A2475">
        <v>2474</v>
      </c>
      <c r="B2475" t="str">
        <f>HYPERLINK("https://digitalcommons.unl.edu/cgi/viewcontent.cgi?article=3113&amp;context=tractormuseumlit","Click for test report")</f>
        <v>Click for test report</v>
      </c>
      <c r="C2475">
        <v>1998</v>
      </c>
      <c r="D2475" t="s">
        <v>3445</v>
      </c>
      <c r="E2475" t="s">
        <v>3446</v>
      </c>
      <c r="F2475" t="s">
        <v>3442</v>
      </c>
      <c r="G2475" t="s">
        <v>3442</v>
      </c>
      <c r="H2475" t="s">
        <v>3447</v>
      </c>
      <c r="I2475" t="s">
        <v>28</v>
      </c>
      <c r="J2475" t="s">
        <v>96</v>
      </c>
      <c r="K2475" t="s">
        <v>21</v>
      </c>
      <c r="L2475" t="s">
        <v>295</v>
      </c>
      <c r="N2475" t="s">
        <v>41</v>
      </c>
      <c r="O2475" t="s">
        <v>3444</v>
      </c>
    </row>
    <row r="2476" spans="1:15" x14ac:dyDescent="0.25">
      <c r="A2476">
        <v>2475</v>
      </c>
      <c r="B2476" t="str">
        <f>HYPERLINK("https://digitalcommons.unl.edu/cgi/viewcontent.cgi?article=3114&amp;context=tractormuseumlit","Click for test report")</f>
        <v>Click for test report</v>
      </c>
      <c r="C2476">
        <v>1998</v>
      </c>
      <c r="D2476" t="s">
        <v>3440</v>
      </c>
      <c r="E2476" t="s">
        <v>3441</v>
      </c>
      <c r="F2476" t="s">
        <v>3442</v>
      </c>
      <c r="G2476" t="s">
        <v>3442</v>
      </c>
      <c r="H2476" t="s">
        <v>3443</v>
      </c>
      <c r="I2476" t="s">
        <v>28</v>
      </c>
      <c r="J2476" t="s">
        <v>96</v>
      </c>
      <c r="K2476" t="s">
        <v>21</v>
      </c>
      <c r="L2476" t="s">
        <v>108</v>
      </c>
      <c r="N2476" t="s">
        <v>1926</v>
      </c>
      <c r="O2476" t="s">
        <v>3444</v>
      </c>
    </row>
    <row r="2477" spans="1:15" x14ac:dyDescent="0.25">
      <c r="A2477">
        <v>2476</v>
      </c>
      <c r="B2477" t="str">
        <f>HYPERLINK("https://digitalcommons.unl.edu/cgi/viewcontent.cgi?article=3115&amp;context=tractormuseumlit","Click for test report")</f>
        <v>Click for test report</v>
      </c>
      <c r="C2477">
        <v>1998</v>
      </c>
      <c r="D2477" t="s">
        <v>3437</v>
      </c>
      <c r="E2477" t="s">
        <v>3438</v>
      </c>
      <c r="F2477" t="s">
        <v>1136</v>
      </c>
      <c r="G2477" t="s">
        <v>3168</v>
      </c>
      <c r="H2477" t="s">
        <v>3439</v>
      </c>
      <c r="I2477" t="s">
        <v>28</v>
      </c>
      <c r="J2477" t="s">
        <v>20</v>
      </c>
      <c r="K2477" t="s">
        <v>21</v>
      </c>
      <c r="L2477" t="s">
        <v>328</v>
      </c>
      <c r="N2477" t="s">
        <v>119</v>
      </c>
      <c r="O2477" t="s">
        <v>24</v>
      </c>
    </row>
    <row r="2478" spans="1:15" x14ac:dyDescent="0.25">
      <c r="A2478">
        <v>2477</v>
      </c>
      <c r="B2478" t="str">
        <f>HYPERLINK("https://digitalcommons.unl.edu/cgi/viewcontent.cgi?article=3116&amp;context=tractormuseumlit","Click for test report")</f>
        <v>Click for test report</v>
      </c>
      <c r="C2478">
        <v>1998</v>
      </c>
      <c r="D2478" t="s">
        <v>3248</v>
      </c>
      <c r="E2478" t="s">
        <v>3249</v>
      </c>
      <c r="F2478" t="s">
        <v>1136</v>
      </c>
      <c r="G2478" t="s">
        <v>3166</v>
      </c>
      <c r="H2478" t="s">
        <v>3296</v>
      </c>
      <c r="I2478" t="s">
        <v>28</v>
      </c>
      <c r="J2478" t="s">
        <v>20</v>
      </c>
      <c r="K2478" t="s">
        <v>21</v>
      </c>
      <c r="L2478" t="s">
        <v>328</v>
      </c>
      <c r="N2478" t="s">
        <v>1386</v>
      </c>
      <c r="O2478" t="s">
        <v>24</v>
      </c>
    </row>
    <row r="2479" spans="1:15" x14ac:dyDescent="0.25">
      <c r="A2479">
        <v>2478</v>
      </c>
      <c r="B2479" t="str">
        <f>HYPERLINK("https://digitalcommons.unl.edu/cgi/viewcontent.cgi?article=3117&amp;context=tractormuseumlit","Click for test report")</f>
        <v>Click for test report</v>
      </c>
      <c r="C2479">
        <v>1998</v>
      </c>
      <c r="D2479" t="s">
        <v>3245</v>
      </c>
      <c r="F2479" t="s">
        <v>17</v>
      </c>
      <c r="G2479" t="s">
        <v>17</v>
      </c>
      <c r="H2479" t="s">
        <v>3436</v>
      </c>
      <c r="I2479" t="s">
        <v>50</v>
      </c>
      <c r="J2479" t="s">
        <v>20</v>
      </c>
      <c r="K2479" t="s">
        <v>21</v>
      </c>
      <c r="L2479" t="s">
        <v>410</v>
      </c>
      <c r="O2479" t="s">
        <v>24</v>
      </c>
    </row>
    <row r="2480" spans="1:15" x14ac:dyDescent="0.25">
      <c r="A2480">
        <v>2479</v>
      </c>
      <c r="B2480" t="str">
        <f>HYPERLINK("https://digitalcommons.unl.edu/cgi/viewcontent.cgi?article=3118&amp;context=tractormuseumlit","Click for test report")</f>
        <v>Click for test report</v>
      </c>
      <c r="C2480">
        <v>1998</v>
      </c>
      <c r="D2480" t="s">
        <v>3242</v>
      </c>
      <c r="F2480" t="s">
        <v>17</v>
      </c>
      <c r="G2480" t="s">
        <v>17</v>
      </c>
      <c r="H2480" t="s">
        <v>3435</v>
      </c>
      <c r="I2480" t="s">
        <v>50</v>
      </c>
      <c r="J2480" t="s">
        <v>20</v>
      </c>
      <c r="K2480" t="s">
        <v>21</v>
      </c>
      <c r="L2480" t="s">
        <v>1970</v>
      </c>
      <c r="O2480" t="s">
        <v>24</v>
      </c>
    </row>
    <row r="2481" spans="1:15" x14ac:dyDescent="0.25">
      <c r="A2481">
        <v>2480</v>
      </c>
      <c r="B2481" t="str">
        <f>HYPERLINK("https://digitalcommons.unl.edu/cgi/viewcontent.cgi?article=3119&amp;context=tractormuseumlit","Click for test report")</f>
        <v>Click for test report</v>
      </c>
      <c r="C2481">
        <v>1998</v>
      </c>
      <c r="D2481" t="s">
        <v>3239</v>
      </c>
      <c r="F2481" t="s">
        <v>17</v>
      </c>
      <c r="G2481" t="s">
        <v>17</v>
      </c>
      <c r="H2481" t="s">
        <v>3434</v>
      </c>
      <c r="I2481" t="s">
        <v>50</v>
      </c>
      <c r="J2481" t="s">
        <v>20</v>
      </c>
      <c r="K2481" t="s">
        <v>21</v>
      </c>
      <c r="L2481" t="s">
        <v>1350</v>
      </c>
      <c r="O2481" t="s">
        <v>24</v>
      </c>
    </row>
    <row r="2482" spans="1:15" x14ac:dyDescent="0.25">
      <c r="A2482">
        <v>2481</v>
      </c>
      <c r="B2482" t="str">
        <f>HYPERLINK("https://digitalcommons.unl.edu/cgi/viewcontent.cgi?article=3120&amp;context=tractormuseumlit","Click for test report")</f>
        <v>Click for test report</v>
      </c>
      <c r="C2482">
        <v>1998</v>
      </c>
      <c r="D2482" t="s">
        <v>3236</v>
      </c>
      <c r="F2482" t="s">
        <v>17</v>
      </c>
      <c r="G2482" t="s">
        <v>17</v>
      </c>
      <c r="H2482" t="s">
        <v>3433</v>
      </c>
      <c r="I2482" t="s">
        <v>50</v>
      </c>
      <c r="J2482" t="s">
        <v>20</v>
      </c>
      <c r="K2482" t="s">
        <v>21</v>
      </c>
      <c r="L2482" t="s">
        <v>740</v>
      </c>
      <c r="O2482" t="s">
        <v>24</v>
      </c>
    </row>
    <row r="2483" spans="1:15" x14ac:dyDescent="0.25">
      <c r="A2483">
        <v>2482</v>
      </c>
      <c r="B2483" t="str">
        <f>HYPERLINK("https://digitalcommons.unl.edu/cgi/viewcontent.cgi?article=3121&amp;context=tractormuseumlit","Click for test report")</f>
        <v>Click for test report</v>
      </c>
      <c r="C2483">
        <v>1998</v>
      </c>
      <c r="D2483" t="s">
        <v>3430</v>
      </c>
      <c r="E2483" t="s">
        <v>3431</v>
      </c>
      <c r="F2483" t="s">
        <v>1136</v>
      </c>
      <c r="G2483" t="s">
        <v>3168</v>
      </c>
      <c r="H2483" t="s">
        <v>3432</v>
      </c>
      <c r="I2483" t="s">
        <v>19</v>
      </c>
      <c r="J2483" t="s">
        <v>20</v>
      </c>
      <c r="K2483" t="s">
        <v>21</v>
      </c>
      <c r="L2483" t="s">
        <v>363</v>
      </c>
      <c r="N2483" t="s">
        <v>374</v>
      </c>
      <c r="O2483" t="s">
        <v>24</v>
      </c>
    </row>
    <row r="2484" spans="1:15" x14ac:dyDescent="0.25">
      <c r="A2484">
        <v>2483</v>
      </c>
      <c r="B2484" t="str">
        <f>HYPERLINK("https://digitalcommons.unl.edu/cgi/viewcontent.cgi?article=3122&amp;context=tractormuseumlit","Click for test report")</f>
        <v>Click for test report</v>
      </c>
      <c r="C2484">
        <v>1998</v>
      </c>
      <c r="D2484" t="s">
        <v>3428</v>
      </c>
      <c r="E2484" t="s">
        <v>3429</v>
      </c>
      <c r="F2484" t="s">
        <v>1136</v>
      </c>
      <c r="G2484" t="s">
        <v>3166</v>
      </c>
      <c r="H2484" t="s">
        <v>3302</v>
      </c>
      <c r="I2484" t="s">
        <v>19</v>
      </c>
      <c r="J2484" t="s">
        <v>20</v>
      </c>
      <c r="K2484" t="s">
        <v>21</v>
      </c>
      <c r="L2484" t="s">
        <v>363</v>
      </c>
      <c r="N2484" t="s">
        <v>23</v>
      </c>
      <c r="O2484" t="s">
        <v>24</v>
      </c>
    </row>
    <row r="2485" spans="1:15" x14ac:dyDescent="0.25">
      <c r="A2485">
        <v>2484</v>
      </c>
      <c r="B2485" t="str">
        <f>HYPERLINK("https://digitalcommons.unl.edu/cgi/viewcontent.cgi?article=4312&amp;context=tractormuseumlit","Click for test report")</f>
        <v>Click for test report</v>
      </c>
      <c r="C2485">
        <v>1998</v>
      </c>
      <c r="D2485" t="s">
        <v>3424</v>
      </c>
      <c r="E2485" t="s">
        <v>3425</v>
      </c>
      <c r="F2485" t="s">
        <v>2682</v>
      </c>
      <c r="G2485" t="s">
        <v>135</v>
      </c>
      <c r="H2485" t="s">
        <v>3426</v>
      </c>
      <c r="I2485" t="s">
        <v>50</v>
      </c>
      <c r="J2485" t="s">
        <v>20</v>
      </c>
      <c r="K2485" t="s">
        <v>21</v>
      </c>
      <c r="L2485" t="s">
        <v>3319</v>
      </c>
      <c r="O2485" t="s">
        <v>3427</v>
      </c>
    </row>
    <row r="2486" spans="1:15" x14ac:dyDescent="0.25">
      <c r="A2486">
        <v>2485</v>
      </c>
      <c r="B2486" t="str">
        <f>HYPERLINK("https://digitalcommons.unl.edu/cgi/viewcontent.cgi?article=4313&amp;context=tractormuseumlit","Click for test report")</f>
        <v>Click for test report</v>
      </c>
      <c r="C2486">
        <v>1998</v>
      </c>
      <c r="D2486" t="s">
        <v>3420</v>
      </c>
      <c r="E2486" t="s">
        <v>3421</v>
      </c>
      <c r="F2486" t="s">
        <v>2682</v>
      </c>
      <c r="G2486" t="s">
        <v>135</v>
      </c>
      <c r="H2486" t="s">
        <v>3422</v>
      </c>
      <c r="I2486" t="s">
        <v>1961</v>
      </c>
      <c r="J2486" t="s">
        <v>20</v>
      </c>
      <c r="K2486" t="s">
        <v>21</v>
      </c>
      <c r="L2486" t="s">
        <v>404</v>
      </c>
      <c r="O2486" t="s">
        <v>3423</v>
      </c>
    </row>
    <row r="2487" spans="1:15" x14ac:dyDescent="0.25">
      <c r="A2487">
        <v>2486</v>
      </c>
      <c r="B2487" t="str">
        <f>HYPERLINK("https://digitalcommons.unl.edu/cgi/viewcontent.cgi?article=3813&amp;context=tractormuseumlit","Click for test report")</f>
        <v>Click for test report</v>
      </c>
      <c r="C2487">
        <v>1999</v>
      </c>
      <c r="E2487" t="s">
        <v>3416</v>
      </c>
      <c r="F2487" t="s">
        <v>3336</v>
      </c>
      <c r="G2487" t="s">
        <v>135</v>
      </c>
      <c r="H2487" t="s">
        <v>3418</v>
      </c>
      <c r="I2487" t="s">
        <v>50</v>
      </c>
      <c r="J2487" t="s">
        <v>29</v>
      </c>
      <c r="K2487" t="s">
        <v>21</v>
      </c>
      <c r="L2487" t="s">
        <v>813</v>
      </c>
      <c r="N2487" t="s">
        <v>75</v>
      </c>
      <c r="O2487" t="s">
        <v>3419</v>
      </c>
    </row>
    <row r="2488" spans="1:15" x14ac:dyDescent="0.25">
      <c r="A2488">
        <v>2487</v>
      </c>
      <c r="B2488" t="str">
        <f>HYPERLINK("https://digitalcommons.unl.edu/cgi/viewcontent.cgi?article=3813&amp;context=tractormuseumlit","Click for test report")</f>
        <v>Click for test report</v>
      </c>
      <c r="C2488">
        <v>1999</v>
      </c>
      <c r="E2488" t="s">
        <v>3416</v>
      </c>
      <c r="F2488" t="s">
        <v>3336</v>
      </c>
      <c r="G2488" t="s">
        <v>135</v>
      </c>
      <c r="H2488" t="s">
        <v>3417</v>
      </c>
      <c r="I2488" t="s">
        <v>50</v>
      </c>
      <c r="J2488" t="s">
        <v>29</v>
      </c>
      <c r="K2488" t="s">
        <v>21</v>
      </c>
      <c r="L2488" t="s">
        <v>813</v>
      </c>
      <c r="N2488" t="s">
        <v>75</v>
      </c>
      <c r="O2488" t="s">
        <v>24</v>
      </c>
    </row>
    <row r="2489" spans="1:15" x14ac:dyDescent="0.25">
      <c r="A2489">
        <v>2488</v>
      </c>
      <c r="B2489" t="str">
        <f>HYPERLINK("https://digitalcommons.unl.edu/cgi/viewcontent.cgi?article=3818&amp;context=tractormuseumlit","Click for test report")</f>
        <v>Click for test report</v>
      </c>
      <c r="C2489">
        <v>1999</v>
      </c>
      <c r="E2489" t="s">
        <v>3414</v>
      </c>
      <c r="F2489" t="s">
        <v>2682</v>
      </c>
      <c r="G2489" t="s">
        <v>135</v>
      </c>
      <c r="H2489" t="s">
        <v>3415</v>
      </c>
      <c r="I2489" t="s">
        <v>50</v>
      </c>
      <c r="J2489" t="s">
        <v>348</v>
      </c>
      <c r="K2489" t="s">
        <v>21</v>
      </c>
      <c r="L2489" t="s">
        <v>378</v>
      </c>
      <c r="N2489" t="s">
        <v>349</v>
      </c>
      <c r="O2489" t="s">
        <v>3413</v>
      </c>
    </row>
    <row r="2490" spans="1:15" x14ac:dyDescent="0.25">
      <c r="A2490">
        <v>2489</v>
      </c>
      <c r="B2490" t="str">
        <f>HYPERLINK("https://digitalcommons.unl.edu/cgi/viewcontent.cgi?article=3818&amp;context=tractormuseumlit","Click for test report")</f>
        <v>Click for test report</v>
      </c>
      <c r="C2490">
        <v>1999</v>
      </c>
      <c r="E2490" t="s">
        <v>3414</v>
      </c>
      <c r="F2490" t="s">
        <v>2682</v>
      </c>
      <c r="G2490" t="s">
        <v>135</v>
      </c>
      <c r="H2490" t="s">
        <v>3415</v>
      </c>
      <c r="I2490" t="s">
        <v>50</v>
      </c>
      <c r="J2490" t="s">
        <v>20</v>
      </c>
      <c r="K2490" t="s">
        <v>21</v>
      </c>
      <c r="L2490" t="s">
        <v>378</v>
      </c>
      <c r="N2490" t="s">
        <v>1350</v>
      </c>
      <c r="O2490" t="s">
        <v>3413</v>
      </c>
    </row>
    <row r="2491" spans="1:15" x14ac:dyDescent="0.25">
      <c r="A2491">
        <v>2490</v>
      </c>
      <c r="B2491" t="str">
        <f>HYPERLINK("https://digitalcommons.unl.edu/cgi/viewcontent.cgi?article=3820&amp;context=tractormuseumlit","Click for test report")</f>
        <v>Click for test report</v>
      </c>
      <c r="C2491">
        <v>1999</v>
      </c>
      <c r="E2491" t="s">
        <v>3411</v>
      </c>
      <c r="F2491" t="s">
        <v>2682</v>
      </c>
      <c r="G2491" t="s">
        <v>135</v>
      </c>
      <c r="H2491" t="s">
        <v>3412</v>
      </c>
      <c r="I2491" t="s">
        <v>50</v>
      </c>
      <c r="J2491" t="s">
        <v>20</v>
      </c>
      <c r="K2491" t="s">
        <v>21</v>
      </c>
      <c r="L2491" t="s">
        <v>123</v>
      </c>
      <c r="N2491" t="s">
        <v>565</v>
      </c>
      <c r="O2491" t="s">
        <v>3413</v>
      </c>
    </row>
    <row r="2492" spans="1:15" x14ac:dyDescent="0.25">
      <c r="A2492">
        <v>2491</v>
      </c>
      <c r="B2492" t="str">
        <f>HYPERLINK("https://digitalcommons.unl.edu/cgi/viewcontent.cgi?article=3820&amp;context=tractormuseumlit","Click for test report")</f>
        <v>Click for test report</v>
      </c>
      <c r="C2492">
        <v>1999</v>
      </c>
      <c r="E2492" t="s">
        <v>3411</v>
      </c>
      <c r="F2492" t="s">
        <v>2682</v>
      </c>
      <c r="G2492" t="s">
        <v>135</v>
      </c>
      <c r="H2492" t="s">
        <v>3412</v>
      </c>
      <c r="I2492" t="s">
        <v>19</v>
      </c>
      <c r="J2492" t="s">
        <v>348</v>
      </c>
      <c r="K2492" t="s">
        <v>21</v>
      </c>
      <c r="L2492" t="s">
        <v>123</v>
      </c>
      <c r="N2492" t="s">
        <v>716</v>
      </c>
      <c r="O2492" t="s">
        <v>3413</v>
      </c>
    </row>
    <row r="2493" spans="1:15" x14ac:dyDescent="0.25">
      <c r="A2493">
        <v>2492</v>
      </c>
      <c r="B2493" t="str">
        <f>HYPERLINK("https://digitalcommons.unl.edu/cgi/viewcontent.cgi?article=3277&amp;context=tractormuseumlit","Click for test report")</f>
        <v>Click for test report</v>
      </c>
      <c r="C2493">
        <v>1999</v>
      </c>
      <c r="E2493" t="s">
        <v>3409</v>
      </c>
      <c r="F2493" t="s">
        <v>2062</v>
      </c>
      <c r="G2493" t="s">
        <v>778</v>
      </c>
      <c r="H2493" t="s">
        <v>3410</v>
      </c>
      <c r="I2493" t="s">
        <v>19</v>
      </c>
      <c r="J2493" t="s">
        <v>20</v>
      </c>
      <c r="K2493" t="s">
        <v>21</v>
      </c>
      <c r="L2493" t="s">
        <v>339</v>
      </c>
      <c r="N2493" t="s">
        <v>1796</v>
      </c>
      <c r="O2493" t="s">
        <v>24</v>
      </c>
    </row>
    <row r="2494" spans="1:15" x14ac:dyDescent="0.25">
      <c r="A2494">
        <v>2493</v>
      </c>
      <c r="B2494" t="str">
        <f>HYPERLINK("https://digitalcommons.unl.edu/cgi/viewcontent.cgi?article=3277&amp;context=tractormuseumlit","Click for test report")</f>
        <v>Click for test report</v>
      </c>
      <c r="C2494">
        <v>1999</v>
      </c>
      <c r="E2494" t="s">
        <v>3409</v>
      </c>
      <c r="F2494" t="s">
        <v>2062</v>
      </c>
      <c r="G2494" t="s">
        <v>778</v>
      </c>
      <c r="H2494" t="s">
        <v>3410</v>
      </c>
      <c r="I2494" t="s">
        <v>19</v>
      </c>
      <c r="J2494" t="s">
        <v>348</v>
      </c>
      <c r="K2494" t="s">
        <v>21</v>
      </c>
      <c r="L2494" t="s">
        <v>339</v>
      </c>
      <c r="N2494" t="s">
        <v>1796</v>
      </c>
      <c r="O2494" t="s">
        <v>24</v>
      </c>
    </row>
    <row r="2495" spans="1:15" x14ac:dyDescent="0.25">
      <c r="A2495">
        <v>2494</v>
      </c>
      <c r="B2495" t="str">
        <f>HYPERLINK("https://digitalcommons.unl.edu/cgi/viewcontent.cgi?article=3278&amp;context=tractormuseumlit","Click for test report")</f>
        <v>Click for test report</v>
      </c>
      <c r="C2495">
        <v>1999</v>
      </c>
      <c r="E2495" t="s">
        <v>3407</v>
      </c>
      <c r="F2495" t="s">
        <v>778</v>
      </c>
      <c r="G2495" t="s">
        <v>778</v>
      </c>
      <c r="H2495" t="s">
        <v>3408</v>
      </c>
      <c r="I2495" t="s">
        <v>19</v>
      </c>
      <c r="J2495" t="s">
        <v>20</v>
      </c>
      <c r="K2495" t="s">
        <v>21</v>
      </c>
      <c r="L2495" t="s">
        <v>558</v>
      </c>
      <c r="N2495" t="s">
        <v>446</v>
      </c>
      <c r="O2495" t="s">
        <v>24</v>
      </c>
    </row>
    <row r="2496" spans="1:15" x14ac:dyDescent="0.25">
      <c r="A2496">
        <v>2495</v>
      </c>
      <c r="B2496" t="str">
        <f>HYPERLINK("https://digitalcommons.unl.edu/cgi/viewcontent.cgi?article=3278&amp;context=tractormuseumlit","Click for test report")</f>
        <v>Click for test report</v>
      </c>
      <c r="C2496">
        <v>1999</v>
      </c>
      <c r="E2496" t="s">
        <v>3407</v>
      </c>
      <c r="F2496" t="s">
        <v>2062</v>
      </c>
      <c r="G2496" t="s">
        <v>778</v>
      </c>
      <c r="H2496" t="s">
        <v>3408</v>
      </c>
      <c r="I2496" t="s">
        <v>19</v>
      </c>
      <c r="J2496" t="s">
        <v>348</v>
      </c>
      <c r="K2496" t="s">
        <v>21</v>
      </c>
      <c r="L2496" t="s">
        <v>558</v>
      </c>
      <c r="N2496" t="s">
        <v>23</v>
      </c>
      <c r="O2496" t="s">
        <v>24</v>
      </c>
    </row>
    <row r="2497" spans="1:15" x14ac:dyDescent="0.25">
      <c r="A2497">
        <v>2496</v>
      </c>
      <c r="B2497" t="str">
        <f>HYPERLINK("https://digitalcommons.unl.edu/cgi/viewcontent.cgi?article=3279&amp;context=tractormuseumlit","Click for test report")</f>
        <v>Click for test report</v>
      </c>
      <c r="C2497">
        <v>1999</v>
      </c>
      <c r="E2497" t="s">
        <v>3405</v>
      </c>
      <c r="F2497" t="s">
        <v>2062</v>
      </c>
      <c r="G2497" t="s">
        <v>778</v>
      </c>
      <c r="H2497" t="s">
        <v>3406</v>
      </c>
      <c r="I2497" t="s">
        <v>19</v>
      </c>
      <c r="J2497" t="s">
        <v>20</v>
      </c>
      <c r="K2497" t="s">
        <v>21</v>
      </c>
      <c r="L2497" t="s">
        <v>2652</v>
      </c>
      <c r="N2497" t="s">
        <v>374</v>
      </c>
      <c r="O2497" t="s">
        <v>24</v>
      </c>
    </row>
    <row r="2498" spans="1:15" x14ac:dyDescent="0.25">
      <c r="A2498">
        <v>2497</v>
      </c>
      <c r="B2498" t="str">
        <f>HYPERLINK("https://digitalcommons.unl.edu/cgi/viewcontent.cgi?article=3279&amp;context=tractormuseumlit","Click for test report")</f>
        <v>Click for test report</v>
      </c>
      <c r="C2498">
        <v>1999</v>
      </c>
      <c r="E2498" t="s">
        <v>3405</v>
      </c>
      <c r="F2498" t="s">
        <v>2062</v>
      </c>
      <c r="G2498" t="s">
        <v>778</v>
      </c>
      <c r="H2498" t="s">
        <v>3406</v>
      </c>
      <c r="I2498" t="s">
        <v>19</v>
      </c>
      <c r="J2498" t="s">
        <v>348</v>
      </c>
      <c r="K2498" t="s">
        <v>21</v>
      </c>
      <c r="L2498" t="s">
        <v>2652</v>
      </c>
      <c r="N2498" t="s">
        <v>22</v>
      </c>
      <c r="O2498" t="s">
        <v>24</v>
      </c>
    </row>
    <row r="2499" spans="1:15" x14ac:dyDescent="0.25">
      <c r="A2499">
        <v>2498</v>
      </c>
      <c r="B2499" t="str">
        <f>HYPERLINK("https://digitalcommons.unl.edu/cgi/viewcontent.cgi?article=3280&amp;context=tractormuseumlit","Click for test report")</f>
        <v>Click for test report</v>
      </c>
      <c r="C2499">
        <v>1999</v>
      </c>
      <c r="E2499" t="s">
        <v>3403</v>
      </c>
      <c r="F2499" t="s">
        <v>2986</v>
      </c>
      <c r="G2499" t="s">
        <v>778</v>
      </c>
      <c r="H2499" t="s">
        <v>3404</v>
      </c>
      <c r="I2499" t="s">
        <v>50</v>
      </c>
      <c r="J2499" t="s">
        <v>20</v>
      </c>
      <c r="K2499" t="s">
        <v>21</v>
      </c>
      <c r="L2499" t="s">
        <v>407</v>
      </c>
      <c r="N2499" t="s">
        <v>1893</v>
      </c>
      <c r="O2499" t="s">
        <v>24</v>
      </c>
    </row>
    <row r="2500" spans="1:15" x14ac:dyDescent="0.25">
      <c r="A2500">
        <v>2499</v>
      </c>
      <c r="B2500" t="str">
        <f>HYPERLINK("https://digitalcommons.unl.edu/cgi/viewcontent.cgi?article=3281&amp;context=tractormuseumlit","Click for test report")</f>
        <v>Click for test report</v>
      </c>
      <c r="C2500">
        <v>1999</v>
      </c>
      <c r="E2500" t="s">
        <v>3401</v>
      </c>
      <c r="F2500" t="s">
        <v>2986</v>
      </c>
      <c r="G2500" t="s">
        <v>778</v>
      </c>
      <c r="H2500" t="s">
        <v>3402</v>
      </c>
      <c r="I2500" t="s">
        <v>50</v>
      </c>
      <c r="J2500" t="s">
        <v>20</v>
      </c>
      <c r="K2500" t="s">
        <v>21</v>
      </c>
      <c r="L2500" t="s">
        <v>1970</v>
      </c>
      <c r="N2500" t="s">
        <v>3152</v>
      </c>
      <c r="O2500" t="s">
        <v>24</v>
      </c>
    </row>
    <row r="2501" spans="1:15" x14ac:dyDescent="0.25">
      <c r="A2501">
        <v>2500</v>
      </c>
      <c r="B2501" t="str">
        <f>HYPERLINK("https://digitalcommons.unl.edu/cgi/viewcontent.cgi?article=3282&amp;context=tractormuseumlit","Click for test report")</f>
        <v>Click for test report</v>
      </c>
      <c r="C2501">
        <v>1999</v>
      </c>
      <c r="E2501" t="s">
        <v>3400</v>
      </c>
      <c r="F2501" t="s">
        <v>2062</v>
      </c>
      <c r="G2501" t="s">
        <v>778</v>
      </c>
      <c r="H2501" t="s">
        <v>2901</v>
      </c>
      <c r="I2501" t="s">
        <v>28</v>
      </c>
      <c r="J2501" t="s">
        <v>348</v>
      </c>
      <c r="K2501" t="s">
        <v>21</v>
      </c>
      <c r="L2501" t="s">
        <v>1514</v>
      </c>
      <c r="N2501" t="s">
        <v>332</v>
      </c>
      <c r="O2501" t="s">
        <v>24</v>
      </c>
    </row>
    <row r="2502" spans="1:15" x14ac:dyDescent="0.25">
      <c r="A2502">
        <v>2501</v>
      </c>
      <c r="B2502" t="str">
        <f>HYPERLINK("https://digitalcommons.unl.edu/cgi/viewcontent.cgi?article=3282&amp;context=tractormuseumlit","Click for test report")</f>
        <v>Click for test report</v>
      </c>
      <c r="C2502">
        <v>1999</v>
      </c>
      <c r="E2502" t="s">
        <v>3400</v>
      </c>
      <c r="F2502" t="s">
        <v>2062</v>
      </c>
      <c r="G2502" t="s">
        <v>778</v>
      </c>
      <c r="H2502" t="s">
        <v>2901</v>
      </c>
      <c r="I2502" t="s">
        <v>28</v>
      </c>
      <c r="J2502" t="s">
        <v>20</v>
      </c>
      <c r="K2502" t="s">
        <v>21</v>
      </c>
      <c r="L2502" t="s">
        <v>1514</v>
      </c>
      <c r="N2502" t="s">
        <v>2676</v>
      </c>
      <c r="O2502" t="s">
        <v>24</v>
      </c>
    </row>
    <row r="2503" spans="1:15" x14ac:dyDescent="0.25">
      <c r="A2503">
        <v>2502</v>
      </c>
      <c r="B2503" t="str">
        <f>HYPERLINK("https://digitalcommons.unl.edu/cgi/viewcontent.cgi?article=3283&amp;context=tractormuseumlit","Click for test report")</f>
        <v>Click for test report</v>
      </c>
      <c r="C2503">
        <v>1999</v>
      </c>
      <c r="E2503" t="s">
        <v>3398</v>
      </c>
      <c r="F2503" t="s">
        <v>2062</v>
      </c>
      <c r="G2503" t="s">
        <v>778</v>
      </c>
      <c r="H2503" t="s">
        <v>3399</v>
      </c>
      <c r="I2503" t="s">
        <v>28</v>
      </c>
      <c r="J2503" t="s">
        <v>20</v>
      </c>
      <c r="K2503" t="s">
        <v>21</v>
      </c>
      <c r="L2503" t="s">
        <v>328</v>
      </c>
      <c r="N2503" t="s">
        <v>853</v>
      </c>
      <c r="O2503" t="s">
        <v>24</v>
      </c>
    </row>
    <row r="2504" spans="1:15" x14ac:dyDescent="0.25">
      <c r="A2504">
        <v>2503</v>
      </c>
      <c r="B2504" t="str">
        <f>HYPERLINK("https://digitalcommons.unl.edu/cgi/viewcontent.cgi?article=3283&amp;context=tractormuseumlit","Click for test report")</f>
        <v>Click for test report</v>
      </c>
      <c r="C2504">
        <v>1999</v>
      </c>
      <c r="E2504" t="s">
        <v>3398</v>
      </c>
      <c r="F2504" t="s">
        <v>2062</v>
      </c>
      <c r="G2504" t="s">
        <v>778</v>
      </c>
      <c r="H2504" t="s">
        <v>3399</v>
      </c>
      <c r="I2504" t="s">
        <v>28</v>
      </c>
      <c r="J2504" t="s">
        <v>348</v>
      </c>
      <c r="K2504" t="s">
        <v>21</v>
      </c>
      <c r="L2504" t="s">
        <v>328</v>
      </c>
      <c r="N2504" t="s">
        <v>771</v>
      </c>
      <c r="O2504" t="s">
        <v>24</v>
      </c>
    </row>
    <row r="2505" spans="1:15" x14ac:dyDescent="0.25">
      <c r="A2505">
        <v>2504</v>
      </c>
      <c r="B2505" t="str">
        <f>HYPERLINK("https://digitalcommons.unl.edu/cgi/viewcontent.cgi?article=3830&amp;context=tractormuseumlit","Click for test report")</f>
        <v>Click for test report</v>
      </c>
      <c r="C2505">
        <v>1999</v>
      </c>
      <c r="E2505" t="s">
        <v>2962</v>
      </c>
      <c r="F2505" t="s">
        <v>3336</v>
      </c>
      <c r="G2505" t="s">
        <v>135</v>
      </c>
      <c r="H2505" t="s">
        <v>3397</v>
      </c>
      <c r="I2505" t="s">
        <v>2964</v>
      </c>
      <c r="J2505" t="s">
        <v>29</v>
      </c>
      <c r="K2505" t="s">
        <v>21</v>
      </c>
      <c r="L2505" t="s">
        <v>571</v>
      </c>
      <c r="N2505" t="s">
        <v>574</v>
      </c>
      <c r="O2505" t="s">
        <v>24</v>
      </c>
    </row>
    <row r="2506" spans="1:15" x14ac:dyDescent="0.25">
      <c r="A2506">
        <v>2505</v>
      </c>
      <c r="B2506" t="str">
        <f>HYPERLINK("https://digitalcommons.unl.edu/cgi/viewcontent.cgi?article=3831&amp;context=tractormuseumlit","Click for test report")</f>
        <v>Click for test report</v>
      </c>
      <c r="C2506">
        <v>1999</v>
      </c>
      <c r="E2506" t="s">
        <v>3393</v>
      </c>
      <c r="F2506" t="s">
        <v>2742</v>
      </c>
      <c r="G2506" t="s">
        <v>191</v>
      </c>
      <c r="H2506" t="s">
        <v>3395</v>
      </c>
      <c r="I2506" t="s">
        <v>1961</v>
      </c>
      <c r="J2506" t="s">
        <v>20</v>
      </c>
      <c r="K2506" t="s">
        <v>21</v>
      </c>
      <c r="L2506" t="s">
        <v>3152</v>
      </c>
      <c r="N2506" t="s">
        <v>2825</v>
      </c>
      <c r="O2506" t="s">
        <v>3396</v>
      </c>
    </row>
    <row r="2507" spans="1:15" x14ac:dyDescent="0.25">
      <c r="A2507">
        <v>2506</v>
      </c>
      <c r="B2507" t="str">
        <f>HYPERLINK("https://digitalcommons.unl.edu/cgi/viewcontent.cgi?article=3831&amp;context=tractormuseumlit","Click for test report")</f>
        <v>Click for test report</v>
      </c>
      <c r="C2507">
        <v>1999</v>
      </c>
      <c r="E2507" t="s">
        <v>3393</v>
      </c>
      <c r="F2507" t="s">
        <v>2742</v>
      </c>
      <c r="G2507" t="s">
        <v>191</v>
      </c>
      <c r="H2507" t="s">
        <v>3394</v>
      </c>
      <c r="I2507" t="s">
        <v>1961</v>
      </c>
      <c r="J2507" t="s">
        <v>20</v>
      </c>
      <c r="K2507" t="s">
        <v>21</v>
      </c>
      <c r="L2507" t="s">
        <v>3152</v>
      </c>
      <c r="N2507" t="s">
        <v>2825</v>
      </c>
      <c r="O2507" t="s">
        <v>24</v>
      </c>
    </row>
    <row r="2508" spans="1:15" x14ac:dyDescent="0.25">
      <c r="A2508">
        <v>2507</v>
      </c>
      <c r="B2508" t="str">
        <f>HYPERLINK("https://digitalcommons.unl.edu/cgi/viewcontent.cgi?article=3832&amp;context=tractormuseumlit","Click for test report")</f>
        <v>Click for test report</v>
      </c>
      <c r="C2508">
        <v>1999</v>
      </c>
      <c r="E2508" t="s">
        <v>3389</v>
      </c>
      <c r="F2508" t="s">
        <v>2742</v>
      </c>
      <c r="G2508" t="s">
        <v>191</v>
      </c>
      <c r="H2508" t="s">
        <v>3391</v>
      </c>
      <c r="I2508" t="s">
        <v>1961</v>
      </c>
      <c r="J2508" t="s">
        <v>20</v>
      </c>
      <c r="K2508" t="s">
        <v>21</v>
      </c>
      <c r="L2508" t="s">
        <v>404</v>
      </c>
      <c r="N2508" t="s">
        <v>2188</v>
      </c>
      <c r="O2508" t="s">
        <v>3392</v>
      </c>
    </row>
    <row r="2509" spans="1:15" x14ac:dyDescent="0.25">
      <c r="A2509">
        <v>2508</v>
      </c>
      <c r="B2509" t="str">
        <f>HYPERLINK("https://digitalcommons.unl.edu/cgi/viewcontent.cgi?article=3832&amp;context=tractormuseumlit","Click for test report")</f>
        <v>Click for test report</v>
      </c>
      <c r="C2509">
        <v>1999</v>
      </c>
      <c r="E2509" t="s">
        <v>3389</v>
      </c>
      <c r="F2509" t="s">
        <v>2742</v>
      </c>
      <c r="G2509" t="s">
        <v>191</v>
      </c>
      <c r="H2509" t="s">
        <v>3390</v>
      </c>
      <c r="I2509" t="s">
        <v>1961</v>
      </c>
      <c r="J2509" t="s">
        <v>20</v>
      </c>
      <c r="K2509" t="s">
        <v>21</v>
      </c>
      <c r="L2509" t="s">
        <v>404</v>
      </c>
      <c r="N2509" t="s">
        <v>2188</v>
      </c>
      <c r="O2509" t="s">
        <v>24</v>
      </c>
    </row>
    <row r="2510" spans="1:15" x14ac:dyDescent="0.25">
      <c r="A2510">
        <v>2509</v>
      </c>
      <c r="B2510" t="str">
        <f>HYPERLINK("https://digitalcommons.unl.edu/cgi/viewcontent.cgi?article=3837&amp;context=tractormuseumlit","Click for test report")</f>
        <v>Click for test report</v>
      </c>
      <c r="C2510">
        <v>1999</v>
      </c>
      <c r="E2510" t="s">
        <v>3386</v>
      </c>
      <c r="F2510" t="s">
        <v>2232</v>
      </c>
      <c r="G2510" t="s">
        <v>135</v>
      </c>
      <c r="H2510" t="s">
        <v>3387</v>
      </c>
      <c r="I2510" t="s">
        <v>50</v>
      </c>
      <c r="J2510" t="s">
        <v>20</v>
      </c>
      <c r="K2510" t="s">
        <v>21</v>
      </c>
      <c r="L2510" t="s">
        <v>2090</v>
      </c>
      <c r="N2510" t="s">
        <v>2825</v>
      </c>
      <c r="O2510" t="s">
        <v>24</v>
      </c>
    </row>
    <row r="2511" spans="1:15" x14ac:dyDescent="0.25">
      <c r="A2511">
        <v>2510</v>
      </c>
      <c r="B2511" t="str">
        <f>HYPERLINK("https://digitalcommons.unl.edu/cgi/viewcontent.cgi?article=3837&amp;context=tractormuseumlit","Click for test report")</f>
        <v>Click for test report</v>
      </c>
      <c r="C2511">
        <v>1999</v>
      </c>
      <c r="E2511" t="s">
        <v>3386</v>
      </c>
      <c r="F2511" t="s">
        <v>2232</v>
      </c>
      <c r="G2511" t="s">
        <v>135</v>
      </c>
      <c r="H2511" t="s">
        <v>3387</v>
      </c>
      <c r="I2511" t="s">
        <v>50</v>
      </c>
      <c r="J2511" t="s">
        <v>348</v>
      </c>
      <c r="K2511" t="s">
        <v>21</v>
      </c>
      <c r="L2511" t="s">
        <v>2090</v>
      </c>
      <c r="N2511" t="s">
        <v>3388</v>
      </c>
      <c r="O2511" t="s">
        <v>24</v>
      </c>
    </row>
    <row r="2512" spans="1:15" x14ac:dyDescent="0.25">
      <c r="A2512">
        <v>2511</v>
      </c>
      <c r="B2512" t="str">
        <f>HYPERLINK("https://digitalcommons.unl.edu/cgi/viewcontent.cgi?article=3838&amp;context=tractormuseumlit","Click for test report")</f>
        <v>Click for test report</v>
      </c>
      <c r="C2512">
        <v>1999</v>
      </c>
      <c r="E2512" t="s">
        <v>3383</v>
      </c>
      <c r="F2512" t="s">
        <v>2232</v>
      </c>
      <c r="G2512" t="s">
        <v>135</v>
      </c>
      <c r="H2512" t="s">
        <v>3384</v>
      </c>
      <c r="I2512" t="s">
        <v>50</v>
      </c>
      <c r="J2512" t="s">
        <v>348</v>
      </c>
      <c r="K2512" t="s">
        <v>21</v>
      </c>
      <c r="L2512" t="s">
        <v>3319</v>
      </c>
      <c r="N2512" t="s">
        <v>3152</v>
      </c>
      <c r="O2512" t="s">
        <v>24</v>
      </c>
    </row>
    <row r="2513" spans="1:15" x14ac:dyDescent="0.25">
      <c r="A2513">
        <v>2512</v>
      </c>
      <c r="B2513" t="str">
        <f>HYPERLINK("https://digitalcommons.unl.edu/cgi/viewcontent.cgi?article=3838&amp;context=tractormuseumlit","Click for test report")</f>
        <v>Click for test report</v>
      </c>
      <c r="C2513">
        <v>1999</v>
      </c>
      <c r="E2513" t="s">
        <v>3383</v>
      </c>
      <c r="F2513" t="s">
        <v>2232</v>
      </c>
      <c r="G2513" t="s">
        <v>135</v>
      </c>
      <c r="H2513" t="s">
        <v>3384</v>
      </c>
      <c r="I2513" t="s">
        <v>50</v>
      </c>
      <c r="J2513" t="s">
        <v>20</v>
      </c>
      <c r="K2513" t="s">
        <v>21</v>
      </c>
      <c r="L2513" t="s">
        <v>3319</v>
      </c>
      <c r="N2513" t="s">
        <v>3152</v>
      </c>
      <c r="O2513" t="s">
        <v>3385</v>
      </c>
    </row>
    <row r="2514" spans="1:15" x14ac:dyDescent="0.25">
      <c r="A2514">
        <v>2513</v>
      </c>
      <c r="B2514" t="str">
        <f>HYPERLINK("https://digitalcommons.unl.edu/cgi/viewcontent.cgi?article=3839&amp;context=tractormuseumlit","Click for test report")</f>
        <v>Click for test report</v>
      </c>
      <c r="C2514">
        <v>1999</v>
      </c>
      <c r="E2514" t="s">
        <v>3380</v>
      </c>
      <c r="F2514" t="s">
        <v>2232</v>
      </c>
      <c r="G2514" t="s">
        <v>135</v>
      </c>
      <c r="H2514" t="s">
        <v>3381</v>
      </c>
      <c r="I2514" t="s">
        <v>50</v>
      </c>
      <c r="J2514" t="s">
        <v>348</v>
      </c>
      <c r="K2514" t="s">
        <v>21</v>
      </c>
      <c r="L2514" t="s">
        <v>728</v>
      </c>
      <c r="N2514" t="s">
        <v>3123</v>
      </c>
      <c r="O2514" t="s">
        <v>3382</v>
      </c>
    </row>
    <row r="2515" spans="1:15" x14ac:dyDescent="0.25">
      <c r="A2515">
        <v>2514</v>
      </c>
      <c r="B2515" t="str">
        <f>HYPERLINK("https://digitalcommons.unl.edu/cgi/viewcontent.cgi?article=3839&amp;context=tractormuseumlit","Click for test report")</f>
        <v>Click for test report</v>
      </c>
      <c r="C2515">
        <v>1999</v>
      </c>
      <c r="E2515" t="s">
        <v>3380</v>
      </c>
      <c r="F2515" t="s">
        <v>2232</v>
      </c>
      <c r="G2515" t="s">
        <v>135</v>
      </c>
      <c r="H2515" t="s">
        <v>3381</v>
      </c>
      <c r="I2515" t="s">
        <v>50</v>
      </c>
      <c r="J2515" t="s">
        <v>20</v>
      </c>
      <c r="K2515" t="s">
        <v>21</v>
      </c>
      <c r="L2515" t="s">
        <v>728</v>
      </c>
      <c r="N2515" t="s">
        <v>1970</v>
      </c>
      <c r="O2515" t="s">
        <v>24</v>
      </c>
    </row>
    <row r="2516" spans="1:15" x14ac:dyDescent="0.25">
      <c r="A2516">
        <v>2515</v>
      </c>
      <c r="B2516" t="str">
        <f>HYPERLINK("https://digitalcommons.unl.edu/cgi/viewcontent.cgi?article=3846&amp;context=tractormuseumlit","Click for test report")</f>
        <v>Click for test report</v>
      </c>
      <c r="C2516">
        <v>1999</v>
      </c>
      <c r="E2516" t="s">
        <v>3378</v>
      </c>
      <c r="F2516" t="s">
        <v>2232</v>
      </c>
      <c r="G2516" t="s">
        <v>135</v>
      </c>
      <c r="H2516" t="s">
        <v>3379</v>
      </c>
      <c r="I2516" t="s">
        <v>50</v>
      </c>
      <c r="J2516" t="s">
        <v>20</v>
      </c>
      <c r="K2516" t="s">
        <v>21</v>
      </c>
      <c r="L2516" t="s">
        <v>353</v>
      </c>
      <c r="N2516" t="s">
        <v>407</v>
      </c>
      <c r="O2516" t="s">
        <v>24</v>
      </c>
    </row>
    <row r="2517" spans="1:15" x14ac:dyDescent="0.25">
      <c r="A2517">
        <v>2516</v>
      </c>
      <c r="B2517" t="str">
        <f>HYPERLINK("https://digitalcommons.unl.edu/cgi/viewcontent.cgi?article=3846&amp;context=tractormuseumlit","Click for test report")</f>
        <v>Click for test report</v>
      </c>
      <c r="C2517">
        <v>1999</v>
      </c>
      <c r="E2517" t="s">
        <v>3378</v>
      </c>
      <c r="F2517" t="s">
        <v>2232</v>
      </c>
      <c r="G2517" t="s">
        <v>135</v>
      </c>
      <c r="H2517" t="s">
        <v>3379</v>
      </c>
      <c r="I2517" t="s">
        <v>50</v>
      </c>
      <c r="J2517" t="s">
        <v>348</v>
      </c>
      <c r="K2517" t="s">
        <v>21</v>
      </c>
      <c r="L2517" t="s">
        <v>353</v>
      </c>
      <c r="N2517" t="s">
        <v>2511</v>
      </c>
      <c r="O2517" t="s">
        <v>24</v>
      </c>
    </row>
    <row r="2518" spans="1:15" x14ac:dyDescent="0.25">
      <c r="A2518">
        <v>2517</v>
      </c>
      <c r="B2518" t="str">
        <f>HYPERLINK("https://digitalcommons.unl.edu/cgi/viewcontent.cgi?article=3847&amp;context=tractormuseumlit","Click for test report")</f>
        <v>Click for test report</v>
      </c>
      <c r="C2518">
        <v>1999</v>
      </c>
      <c r="E2518" t="s">
        <v>3376</v>
      </c>
      <c r="F2518" t="s">
        <v>2232</v>
      </c>
      <c r="G2518" t="s">
        <v>135</v>
      </c>
      <c r="H2518" t="s">
        <v>3377</v>
      </c>
      <c r="I2518" t="s">
        <v>50</v>
      </c>
      <c r="J2518" t="s">
        <v>348</v>
      </c>
      <c r="K2518" t="s">
        <v>21</v>
      </c>
      <c r="L2518" t="s">
        <v>2030</v>
      </c>
      <c r="N2518" t="s">
        <v>1970</v>
      </c>
      <c r="O2518" t="s">
        <v>24</v>
      </c>
    </row>
    <row r="2519" spans="1:15" x14ac:dyDescent="0.25">
      <c r="A2519">
        <v>2518</v>
      </c>
      <c r="B2519" t="str">
        <f>HYPERLINK("https://digitalcommons.unl.edu/cgi/viewcontent.cgi?article=3847&amp;context=tractormuseumlit","Click for test report")</f>
        <v>Click for test report</v>
      </c>
      <c r="C2519">
        <v>1999</v>
      </c>
      <c r="E2519" t="s">
        <v>3376</v>
      </c>
      <c r="F2519" t="s">
        <v>2232</v>
      </c>
      <c r="G2519" t="s">
        <v>135</v>
      </c>
      <c r="H2519" t="s">
        <v>3377</v>
      </c>
      <c r="I2519" t="s">
        <v>50</v>
      </c>
      <c r="J2519" t="s">
        <v>20</v>
      </c>
      <c r="K2519" t="s">
        <v>21</v>
      </c>
      <c r="L2519" t="s">
        <v>2030</v>
      </c>
      <c r="N2519" t="s">
        <v>1994</v>
      </c>
      <c r="O2519" t="s">
        <v>24</v>
      </c>
    </row>
    <row r="2520" spans="1:15" x14ac:dyDescent="0.25">
      <c r="A2520">
        <v>2519</v>
      </c>
      <c r="B2520" t="str">
        <f>HYPERLINK("https://digitalcommons.unl.edu/cgi/viewcontent.cgi?article=3848&amp;context=tractormuseumlit","Click for test report")</f>
        <v>Click for test report</v>
      </c>
      <c r="C2520">
        <v>1999</v>
      </c>
      <c r="E2520" t="s">
        <v>3374</v>
      </c>
      <c r="F2520" t="s">
        <v>2232</v>
      </c>
      <c r="G2520" t="s">
        <v>135</v>
      </c>
      <c r="H2520" t="s">
        <v>3375</v>
      </c>
      <c r="I2520" t="s">
        <v>50</v>
      </c>
      <c r="J2520" t="s">
        <v>348</v>
      </c>
      <c r="K2520" t="s">
        <v>21</v>
      </c>
      <c r="L2520" t="s">
        <v>1371</v>
      </c>
      <c r="N2520" t="s">
        <v>349</v>
      </c>
      <c r="O2520" t="s">
        <v>24</v>
      </c>
    </row>
    <row r="2521" spans="1:15" x14ac:dyDescent="0.25">
      <c r="A2521">
        <v>2520</v>
      </c>
      <c r="B2521" t="str">
        <f>HYPERLINK("https://digitalcommons.unl.edu/cgi/viewcontent.cgi?article=3848&amp;context=tractormuseumlit","Click for test report")</f>
        <v>Click for test report</v>
      </c>
      <c r="C2521">
        <v>1999</v>
      </c>
      <c r="E2521" t="s">
        <v>3374</v>
      </c>
      <c r="F2521" t="s">
        <v>2232</v>
      </c>
      <c r="G2521" t="s">
        <v>135</v>
      </c>
      <c r="H2521" t="s">
        <v>3375</v>
      </c>
      <c r="I2521" t="s">
        <v>50</v>
      </c>
      <c r="J2521" t="s">
        <v>20</v>
      </c>
      <c r="K2521" t="s">
        <v>21</v>
      </c>
      <c r="L2521" t="s">
        <v>1371</v>
      </c>
      <c r="N2521" t="s">
        <v>1864</v>
      </c>
      <c r="O2521" t="s">
        <v>24</v>
      </c>
    </row>
    <row r="2522" spans="1:15" x14ac:dyDescent="0.25">
      <c r="A2522">
        <v>2521</v>
      </c>
      <c r="B2522" t="str">
        <f>HYPERLINK("https://digitalcommons.unl.edu/cgi/viewcontent.cgi?article=3849&amp;context=tractormuseumlit","Click for test report")</f>
        <v>Click for test report</v>
      </c>
      <c r="C2522">
        <v>1999</v>
      </c>
      <c r="E2522" t="s">
        <v>3372</v>
      </c>
      <c r="F2522" t="s">
        <v>2232</v>
      </c>
      <c r="G2522" t="s">
        <v>135</v>
      </c>
      <c r="H2522" t="s">
        <v>3373</v>
      </c>
      <c r="I2522" t="s">
        <v>50</v>
      </c>
      <c r="J2522" t="s">
        <v>20</v>
      </c>
      <c r="K2522" t="s">
        <v>21</v>
      </c>
      <c r="L2522" t="s">
        <v>716</v>
      </c>
      <c r="N2522" t="s">
        <v>2030</v>
      </c>
      <c r="O2522" t="s">
        <v>24</v>
      </c>
    </row>
    <row r="2523" spans="1:15" x14ac:dyDescent="0.25">
      <c r="A2523">
        <v>2522</v>
      </c>
      <c r="B2523" t="str">
        <f>HYPERLINK("https://digitalcommons.unl.edu/cgi/viewcontent.cgi?article=3849&amp;context=tractormuseumlit","Click for test report")</f>
        <v>Click for test report</v>
      </c>
      <c r="C2523">
        <v>1999</v>
      </c>
      <c r="E2523" t="s">
        <v>3372</v>
      </c>
      <c r="F2523" t="s">
        <v>2232</v>
      </c>
      <c r="G2523" t="s">
        <v>135</v>
      </c>
      <c r="H2523" t="s">
        <v>3373</v>
      </c>
      <c r="I2523" t="s">
        <v>50</v>
      </c>
      <c r="J2523" t="s">
        <v>348</v>
      </c>
      <c r="K2523" t="s">
        <v>21</v>
      </c>
      <c r="L2523" t="s">
        <v>716</v>
      </c>
      <c r="N2523" t="s">
        <v>764</v>
      </c>
      <c r="O2523" t="s">
        <v>24</v>
      </c>
    </row>
    <row r="2524" spans="1:15" x14ac:dyDescent="0.25">
      <c r="A2524">
        <v>2523</v>
      </c>
      <c r="B2524" t="str">
        <f>HYPERLINK("https://digitalcommons.unl.edu/cgi/viewcontent.cgi?article=3901&amp;context=tractormuseumlit","Click for test report")</f>
        <v>Click for test report</v>
      </c>
      <c r="C2524">
        <v>1999</v>
      </c>
      <c r="E2524" t="s">
        <v>3369</v>
      </c>
      <c r="F2524" t="s">
        <v>62</v>
      </c>
      <c r="G2524" t="s">
        <v>62</v>
      </c>
      <c r="H2524" t="s">
        <v>3370</v>
      </c>
      <c r="I2524" t="s">
        <v>1853</v>
      </c>
      <c r="J2524" t="s">
        <v>20</v>
      </c>
      <c r="K2524" t="s">
        <v>21</v>
      </c>
      <c r="L2524" t="s">
        <v>46</v>
      </c>
      <c r="N2524" t="s">
        <v>713</v>
      </c>
      <c r="O2524" t="s">
        <v>3371</v>
      </c>
    </row>
    <row r="2525" spans="1:15" x14ac:dyDescent="0.25">
      <c r="A2525">
        <v>2524</v>
      </c>
      <c r="B2525" t="str">
        <f>HYPERLINK("https://digitalcommons.unl.edu/cgi/viewcontent.cgi?article=1227&amp;context=tractormuseumlit","Click for test report")</f>
        <v>Click for test report</v>
      </c>
      <c r="C2525">
        <v>1999</v>
      </c>
      <c r="D2525" t="s">
        <v>3366</v>
      </c>
      <c r="E2525" t="s">
        <v>3367</v>
      </c>
      <c r="F2525" t="s">
        <v>478</v>
      </c>
      <c r="G2525" t="s">
        <v>191</v>
      </c>
      <c r="H2525" t="s">
        <v>3368</v>
      </c>
      <c r="I2525" t="s">
        <v>28</v>
      </c>
      <c r="J2525" t="s">
        <v>20</v>
      </c>
      <c r="K2525" t="s">
        <v>21</v>
      </c>
      <c r="L2525" t="s">
        <v>1564</v>
      </c>
      <c r="N2525" t="s">
        <v>913</v>
      </c>
      <c r="O2525" t="s">
        <v>24</v>
      </c>
    </row>
    <row r="2526" spans="1:15" x14ac:dyDescent="0.25">
      <c r="A2526">
        <v>2525</v>
      </c>
      <c r="B2526" t="str">
        <f>HYPERLINK("https://digitalcommons.unl.edu/cgi/viewcontent.cgi?article=1229&amp;context=tractormuseumlit","Click for test report")</f>
        <v>Click for test report</v>
      </c>
      <c r="C2526">
        <v>1999</v>
      </c>
      <c r="D2526" t="s">
        <v>3363</v>
      </c>
      <c r="E2526" t="s">
        <v>3364</v>
      </c>
      <c r="F2526" t="s">
        <v>478</v>
      </c>
      <c r="G2526" t="s">
        <v>191</v>
      </c>
      <c r="H2526" t="s">
        <v>3365</v>
      </c>
      <c r="I2526" t="s">
        <v>28</v>
      </c>
      <c r="J2526" t="s">
        <v>20</v>
      </c>
      <c r="K2526" t="s">
        <v>21</v>
      </c>
      <c r="L2526" t="s">
        <v>212</v>
      </c>
      <c r="N2526" t="s">
        <v>1028</v>
      </c>
      <c r="O2526" t="s">
        <v>24</v>
      </c>
    </row>
    <row r="2527" spans="1:15" x14ac:dyDescent="0.25">
      <c r="A2527">
        <v>2526</v>
      </c>
      <c r="B2527" t="str">
        <f>HYPERLINK("https://digitalcommons.unl.edu/cgi/viewcontent.cgi?article=1135&amp;context=tractormuseumlit","Click for test report")</f>
        <v>Click for test report</v>
      </c>
      <c r="C2527">
        <v>1999</v>
      </c>
      <c r="D2527" t="s">
        <v>3231</v>
      </c>
      <c r="F2527" t="s">
        <v>1136</v>
      </c>
      <c r="G2527" t="s">
        <v>3166</v>
      </c>
      <c r="H2527" t="s">
        <v>3362</v>
      </c>
      <c r="I2527" t="s">
        <v>50</v>
      </c>
      <c r="J2527" t="s">
        <v>348</v>
      </c>
      <c r="K2527" t="s">
        <v>21</v>
      </c>
      <c r="L2527" t="s">
        <v>1796</v>
      </c>
      <c r="O2527" t="s">
        <v>24</v>
      </c>
    </row>
    <row r="2528" spans="1:15" x14ac:dyDescent="0.25">
      <c r="A2528">
        <v>2527</v>
      </c>
      <c r="B2528" t="str">
        <f>HYPERLINK("https://digitalcommons.unl.edu/cgi/viewcontent.cgi?article=3330&amp;context=tractormuseumlit","Click for test report")</f>
        <v>Click for test report</v>
      </c>
      <c r="C2528">
        <v>1999</v>
      </c>
      <c r="D2528" t="s">
        <v>3226</v>
      </c>
      <c r="F2528" t="s">
        <v>1136</v>
      </c>
      <c r="G2528" t="s">
        <v>3166</v>
      </c>
      <c r="H2528" t="s">
        <v>3361</v>
      </c>
      <c r="I2528" t="s">
        <v>19</v>
      </c>
      <c r="J2528" t="s">
        <v>20</v>
      </c>
      <c r="K2528" t="s">
        <v>21</v>
      </c>
      <c r="L2528" t="s">
        <v>339</v>
      </c>
      <c r="O2528" t="s">
        <v>24</v>
      </c>
    </row>
    <row r="2529" spans="1:15" x14ac:dyDescent="0.25">
      <c r="A2529">
        <v>2528</v>
      </c>
      <c r="B2529" t="str">
        <f>HYPERLINK("https://digitalcommons.unl.edu/cgi/viewcontent.cgi?article=1222&amp;context=tractormuseumlit","Click for test report")</f>
        <v>Click for test report</v>
      </c>
      <c r="C2529">
        <v>1999</v>
      </c>
      <c r="D2529" t="s">
        <v>3358</v>
      </c>
      <c r="E2529" t="s">
        <v>3359</v>
      </c>
      <c r="F2529" t="s">
        <v>478</v>
      </c>
      <c r="G2529" t="s">
        <v>191</v>
      </c>
      <c r="H2529" t="s">
        <v>3360</v>
      </c>
      <c r="I2529" t="s">
        <v>28</v>
      </c>
      <c r="J2529" t="s">
        <v>20</v>
      </c>
      <c r="K2529" t="s">
        <v>21</v>
      </c>
      <c r="L2529" t="s">
        <v>328</v>
      </c>
      <c r="N2529" t="s">
        <v>1266</v>
      </c>
      <c r="O2529" t="s">
        <v>24</v>
      </c>
    </row>
    <row r="2530" spans="1:15" x14ac:dyDescent="0.25">
      <c r="A2530">
        <v>2529</v>
      </c>
      <c r="B2530" t="str">
        <f>HYPERLINK("https://digitalcommons.unl.edu/cgi/viewcontent.cgi?article=1223&amp;context=tractormuseumlit","Click for test report")</f>
        <v>Click for test report</v>
      </c>
      <c r="C2530">
        <v>1999</v>
      </c>
      <c r="D2530" t="s">
        <v>3355</v>
      </c>
      <c r="E2530" t="s">
        <v>3356</v>
      </c>
      <c r="F2530" t="s">
        <v>478</v>
      </c>
      <c r="G2530" t="s">
        <v>191</v>
      </c>
      <c r="H2530" t="s">
        <v>3357</v>
      </c>
      <c r="I2530" t="s">
        <v>28</v>
      </c>
      <c r="J2530" t="s">
        <v>20</v>
      </c>
      <c r="K2530" t="s">
        <v>21</v>
      </c>
      <c r="L2530" t="s">
        <v>1821</v>
      </c>
      <c r="N2530" t="s">
        <v>909</v>
      </c>
      <c r="O2530" t="s">
        <v>24</v>
      </c>
    </row>
    <row r="2531" spans="1:15" x14ac:dyDescent="0.25">
      <c r="A2531">
        <v>2530</v>
      </c>
      <c r="B2531" t="str">
        <f>HYPERLINK("https://digitalcommons.unl.edu/cgi/viewcontent.cgi?article=1225&amp;context=tractormuseumlit","Click for test report")</f>
        <v>Click for test report</v>
      </c>
      <c r="C2531">
        <v>1999</v>
      </c>
      <c r="D2531" t="s">
        <v>3352</v>
      </c>
      <c r="E2531" t="s">
        <v>3353</v>
      </c>
      <c r="F2531" t="s">
        <v>478</v>
      </c>
      <c r="G2531" t="s">
        <v>191</v>
      </c>
      <c r="H2531" t="s">
        <v>3354</v>
      </c>
      <c r="I2531" t="s">
        <v>28</v>
      </c>
      <c r="J2531" t="s">
        <v>20</v>
      </c>
      <c r="K2531" t="s">
        <v>21</v>
      </c>
      <c r="L2531" t="s">
        <v>1029</v>
      </c>
      <c r="N2531" t="s">
        <v>786</v>
      </c>
      <c r="O2531" t="s">
        <v>24</v>
      </c>
    </row>
    <row r="2532" spans="1:15" x14ac:dyDescent="0.25">
      <c r="A2532">
        <v>2531</v>
      </c>
      <c r="B2532" t="str">
        <f>HYPERLINK("https://digitalcommons.unl.edu/cgi/viewcontent.cgi?article=3286&amp;context=tractormuseumlit","Click for test report")</f>
        <v>Click for test report</v>
      </c>
      <c r="C2532">
        <v>2000</v>
      </c>
      <c r="E2532" t="s">
        <v>3147</v>
      </c>
      <c r="F2532" t="s">
        <v>2986</v>
      </c>
      <c r="G2532" t="s">
        <v>778</v>
      </c>
      <c r="H2532" t="s">
        <v>3351</v>
      </c>
      <c r="I2532" t="s">
        <v>50</v>
      </c>
      <c r="J2532" t="s">
        <v>20</v>
      </c>
      <c r="K2532" t="s">
        <v>21</v>
      </c>
      <c r="L2532" t="s">
        <v>743</v>
      </c>
      <c r="N2532" t="s">
        <v>728</v>
      </c>
      <c r="O2532" t="s">
        <v>3149</v>
      </c>
    </row>
    <row r="2533" spans="1:15" x14ac:dyDescent="0.25">
      <c r="A2533">
        <v>2532</v>
      </c>
      <c r="B2533" t="str">
        <f>HYPERLINK("https://digitalcommons.unl.edu/cgi/viewcontent.cgi?article=3287&amp;context=tractormuseumlit","Click for test report")</f>
        <v>Click for test report</v>
      </c>
      <c r="C2533">
        <v>2000</v>
      </c>
      <c r="E2533" t="s">
        <v>2985</v>
      </c>
      <c r="F2533" t="s">
        <v>2986</v>
      </c>
      <c r="G2533" t="s">
        <v>778</v>
      </c>
      <c r="H2533" t="s">
        <v>3349</v>
      </c>
      <c r="I2533" t="s">
        <v>50</v>
      </c>
      <c r="J2533" t="s">
        <v>20</v>
      </c>
      <c r="K2533" t="s">
        <v>21</v>
      </c>
      <c r="L2533" t="s">
        <v>565</v>
      </c>
      <c r="N2533" t="s">
        <v>1350</v>
      </c>
      <c r="O2533" t="s">
        <v>3350</v>
      </c>
    </row>
    <row r="2534" spans="1:15" x14ac:dyDescent="0.25">
      <c r="A2534">
        <v>2533</v>
      </c>
      <c r="B2534" t="str">
        <f>HYPERLINK("https://digitalcommons.unl.edu/cgi/viewcontent.cgi?article=3688&amp;context=tractormuseumlit","Click for test report")</f>
        <v>Click for test report</v>
      </c>
      <c r="C2534">
        <v>2000</v>
      </c>
      <c r="E2534" t="s">
        <v>3348</v>
      </c>
      <c r="G2534" t="s">
        <v>322</v>
      </c>
      <c r="H2534" t="s">
        <v>24</v>
      </c>
      <c r="I2534" t="s">
        <v>24</v>
      </c>
      <c r="O2534" t="s">
        <v>24</v>
      </c>
    </row>
    <row r="2535" spans="1:15" x14ac:dyDescent="0.25">
      <c r="A2535">
        <v>2534</v>
      </c>
      <c r="B2535" t="str">
        <f>HYPERLINK("https://digitalcommons.unl.edu/cgi/viewcontent.cgi?article=3841&amp;context=tractormuseumlit","Click for test report")</f>
        <v>Click for test report</v>
      </c>
      <c r="C2535">
        <v>2000</v>
      </c>
      <c r="E2535" t="s">
        <v>3346</v>
      </c>
      <c r="F2535" t="s">
        <v>2682</v>
      </c>
      <c r="G2535" t="s">
        <v>135</v>
      </c>
      <c r="H2535" t="s">
        <v>3347</v>
      </c>
      <c r="I2535" t="s">
        <v>1808</v>
      </c>
      <c r="J2535" t="s">
        <v>20</v>
      </c>
      <c r="K2535" t="s">
        <v>21</v>
      </c>
      <c r="L2535" t="s">
        <v>247</v>
      </c>
      <c r="N2535" t="s">
        <v>740</v>
      </c>
      <c r="O2535" t="s">
        <v>24</v>
      </c>
    </row>
    <row r="2536" spans="1:15" x14ac:dyDescent="0.25">
      <c r="A2536">
        <v>2535</v>
      </c>
      <c r="B2536" t="str">
        <f>HYPERLINK("https://digitalcommons.unl.edu/cgi/viewcontent.cgi?article=3841&amp;context=tractormuseumlit","Click for test report")</f>
        <v>Click for test report</v>
      </c>
      <c r="C2536">
        <v>2000</v>
      </c>
      <c r="E2536" t="s">
        <v>3346</v>
      </c>
      <c r="F2536" t="s">
        <v>2682</v>
      </c>
      <c r="G2536" t="s">
        <v>135</v>
      </c>
      <c r="H2536" t="s">
        <v>3347</v>
      </c>
      <c r="I2536" t="s">
        <v>1808</v>
      </c>
      <c r="J2536" t="s">
        <v>348</v>
      </c>
      <c r="K2536" t="s">
        <v>21</v>
      </c>
      <c r="L2536" t="s">
        <v>247</v>
      </c>
      <c r="N2536" t="s">
        <v>2747</v>
      </c>
      <c r="O2536" t="s">
        <v>24</v>
      </c>
    </row>
    <row r="2537" spans="1:15" x14ac:dyDescent="0.25">
      <c r="A2537">
        <v>2536</v>
      </c>
      <c r="B2537" t="str">
        <f>HYPERLINK("https://digitalcommons.unl.edu/cgi/viewcontent.cgi?article=3842&amp;context=tractormuseumlit","Click for test report")</f>
        <v>Click for test report</v>
      </c>
      <c r="C2537">
        <v>2000</v>
      </c>
      <c r="E2537" t="s">
        <v>3344</v>
      </c>
      <c r="F2537" t="s">
        <v>2682</v>
      </c>
      <c r="G2537" t="s">
        <v>135</v>
      </c>
      <c r="H2537" t="s">
        <v>3345</v>
      </c>
      <c r="I2537" t="s">
        <v>1808</v>
      </c>
      <c r="J2537" t="s">
        <v>20</v>
      </c>
      <c r="K2537" t="s">
        <v>21</v>
      </c>
      <c r="L2537" t="s">
        <v>130</v>
      </c>
      <c r="N2537" t="s">
        <v>340</v>
      </c>
      <c r="O2537" t="s">
        <v>24</v>
      </c>
    </row>
    <row r="2538" spans="1:15" x14ac:dyDescent="0.25">
      <c r="A2538">
        <v>2537</v>
      </c>
      <c r="B2538" t="str">
        <f>HYPERLINK("https://digitalcommons.unl.edu/cgi/viewcontent.cgi?article=3842&amp;context=tractormuseumlit","Click for test report")</f>
        <v>Click for test report</v>
      </c>
      <c r="C2538">
        <v>2000</v>
      </c>
      <c r="E2538" t="s">
        <v>3344</v>
      </c>
      <c r="F2538" t="s">
        <v>2682</v>
      </c>
      <c r="G2538" t="s">
        <v>135</v>
      </c>
      <c r="H2538" t="s">
        <v>3345</v>
      </c>
      <c r="I2538" t="s">
        <v>1808</v>
      </c>
      <c r="J2538" t="s">
        <v>348</v>
      </c>
      <c r="K2538" t="s">
        <v>21</v>
      </c>
      <c r="L2538" t="s">
        <v>130</v>
      </c>
      <c r="N2538" t="s">
        <v>1371</v>
      </c>
      <c r="O2538" t="s">
        <v>24</v>
      </c>
    </row>
    <row r="2539" spans="1:15" x14ac:dyDescent="0.25">
      <c r="A2539">
        <v>2538</v>
      </c>
      <c r="B2539" t="str">
        <f>HYPERLINK("https://digitalcommons.unl.edu/cgi/viewcontent.cgi?article=3843&amp;context=tractormuseumlit","Click for test report")</f>
        <v>Click for test report</v>
      </c>
      <c r="C2539">
        <v>2000</v>
      </c>
      <c r="E2539" t="s">
        <v>3342</v>
      </c>
      <c r="F2539" t="s">
        <v>2682</v>
      </c>
      <c r="G2539" t="s">
        <v>135</v>
      </c>
      <c r="H2539" t="s">
        <v>3343</v>
      </c>
      <c r="I2539" t="s">
        <v>1808</v>
      </c>
      <c r="J2539" t="s">
        <v>348</v>
      </c>
      <c r="K2539" t="s">
        <v>21</v>
      </c>
      <c r="L2539" t="s">
        <v>446</v>
      </c>
      <c r="N2539" t="s">
        <v>375</v>
      </c>
      <c r="O2539" t="s">
        <v>24</v>
      </c>
    </row>
    <row r="2540" spans="1:15" x14ac:dyDescent="0.25">
      <c r="A2540">
        <v>2539</v>
      </c>
      <c r="B2540" t="str">
        <f>HYPERLINK("https://digitalcommons.unl.edu/cgi/viewcontent.cgi?article=3843&amp;context=tractormuseumlit","Click for test report")</f>
        <v>Click for test report</v>
      </c>
      <c r="C2540">
        <v>2000</v>
      </c>
      <c r="E2540" t="s">
        <v>3342</v>
      </c>
      <c r="F2540" t="s">
        <v>2682</v>
      </c>
      <c r="G2540" t="s">
        <v>135</v>
      </c>
      <c r="H2540" t="s">
        <v>3343</v>
      </c>
      <c r="I2540" t="s">
        <v>1808</v>
      </c>
      <c r="J2540" t="s">
        <v>20</v>
      </c>
      <c r="K2540" t="s">
        <v>21</v>
      </c>
      <c r="L2540" t="s">
        <v>446</v>
      </c>
      <c r="N2540" t="s">
        <v>123</v>
      </c>
      <c r="O2540" t="s">
        <v>24</v>
      </c>
    </row>
    <row r="2541" spans="1:15" x14ac:dyDescent="0.25">
      <c r="A2541">
        <v>2540</v>
      </c>
      <c r="B2541" t="str">
        <f>HYPERLINK("https://digitalcommons.unl.edu/cgi/viewcontent.cgi?article=3844&amp;context=tractormuseumlit","Click for test report")</f>
        <v>Click for test report</v>
      </c>
      <c r="C2541">
        <v>2000</v>
      </c>
      <c r="E2541" t="s">
        <v>3340</v>
      </c>
      <c r="F2541" t="s">
        <v>2682</v>
      </c>
      <c r="G2541" t="s">
        <v>135</v>
      </c>
      <c r="H2541" t="s">
        <v>3341</v>
      </c>
      <c r="I2541" t="s">
        <v>1808</v>
      </c>
      <c r="J2541" t="s">
        <v>348</v>
      </c>
      <c r="K2541" t="s">
        <v>21</v>
      </c>
      <c r="L2541" t="s">
        <v>1266</v>
      </c>
      <c r="N2541" t="s">
        <v>51</v>
      </c>
      <c r="O2541" t="s">
        <v>24</v>
      </c>
    </row>
    <row r="2542" spans="1:15" x14ac:dyDescent="0.25">
      <c r="A2542">
        <v>2541</v>
      </c>
      <c r="B2542" t="str">
        <f>HYPERLINK("https://digitalcommons.unl.edu/cgi/viewcontent.cgi?article=3844&amp;context=tractormuseumlit","Click for test report")</f>
        <v>Click for test report</v>
      </c>
      <c r="C2542">
        <v>2000</v>
      </c>
      <c r="E2542" t="s">
        <v>3340</v>
      </c>
      <c r="F2542" t="s">
        <v>2682</v>
      </c>
      <c r="G2542" t="s">
        <v>135</v>
      </c>
      <c r="H2542" t="s">
        <v>3341</v>
      </c>
      <c r="I2542" t="s">
        <v>1808</v>
      </c>
      <c r="J2542" t="s">
        <v>20</v>
      </c>
      <c r="K2542" t="s">
        <v>21</v>
      </c>
      <c r="L2542" t="s">
        <v>1266</v>
      </c>
      <c r="N2542" t="s">
        <v>130</v>
      </c>
      <c r="O2542" t="s">
        <v>24</v>
      </c>
    </row>
    <row r="2543" spans="1:15" x14ac:dyDescent="0.25">
      <c r="A2543">
        <v>2542</v>
      </c>
      <c r="B2543" t="str">
        <f>HYPERLINK("https://digitalcommons.unl.edu/cgi/viewcontent.cgi?article=3845&amp;context=tractormuseumlit","Click for test report")</f>
        <v>Click for test report</v>
      </c>
      <c r="C2543">
        <v>2000</v>
      </c>
      <c r="E2543" t="s">
        <v>3338</v>
      </c>
      <c r="F2543" t="s">
        <v>2682</v>
      </c>
      <c r="G2543" t="s">
        <v>135</v>
      </c>
      <c r="H2543" t="s">
        <v>3339</v>
      </c>
      <c r="I2543" t="s">
        <v>1808</v>
      </c>
      <c r="J2543" t="s">
        <v>348</v>
      </c>
      <c r="K2543" t="s">
        <v>21</v>
      </c>
      <c r="L2543" t="s">
        <v>839</v>
      </c>
      <c r="N2543" t="s">
        <v>126</v>
      </c>
      <c r="O2543" t="s">
        <v>24</v>
      </c>
    </row>
    <row r="2544" spans="1:15" x14ac:dyDescent="0.25">
      <c r="A2544">
        <v>2543</v>
      </c>
      <c r="B2544" t="str">
        <f>HYPERLINK("https://digitalcommons.unl.edu/cgi/viewcontent.cgi?article=3845&amp;context=tractormuseumlit","Click for test report")</f>
        <v>Click for test report</v>
      </c>
      <c r="C2544">
        <v>2000</v>
      </c>
      <c r="E2544" t="s">
        <v>3338</v>
      </c>
      <c r="F2544" t="s">
        <v>2682</v>
      </c>
      <c r="G2544" t="s">
        <v>135</v>
      </c>
      <c r="H2544" t="s">
        <v>3339</v>
      </c>
      <c r="I2544" t="s">
        <v>1808</v>
      </c>
      <c r="J2544" t="s">
        <v>20</v>
      </c>
      <c r="K2544" t="s">
        <v>21</v>
      </c>
      <c r="L2544" t="s">
        <v>839</v>
      </c>
      <c r="N2544" t="s">
        <v>363</v>
      </c>
      <c r="O2544" t="s">
        <v>24</v>
      </c>
    </row>
    <row r="2545" spans="1:15" x14ac:dyDescent="0.25">
      <c r="A2545">
        <v>2544</v>
      </c>
      <c r="B2545" t="str">
        <f>HYPERLINK("https://digitalcommons.unl.edu/cgi/viewcontent.cgi?article=3850&amp;context=tractormuseumlit","Click for test report")</f>
        <v>Click for test report</v>
      </c>
      <c r="C2545">
        <v>2000</v>
      </c>
      <c r="E2545" t="s">
        <v>3335</v>
      </c>
      <c r="F2545" t="s">
        <v>3336</v>
      </c>
      <c r="G2545" t="s">
        <v>135</v>
      </c>
      <c r="H2545" t="s">
        <v>3337</v>
      </c>
      <c r="I2545" t="s">
        <v>50</v>
      </c>
      <c r="J2545" t="s">
        <v>29</v>
      </c>
      <c r="K2545" t="s">
        <v>21</v>
      </c>
      <c r="L2545" t="s">
        <v>954</v>
      </c>
      <c r="N2545" t="s">
        <v>2135</v>
      </c>
      <c r="O2545" t="s">
        <v>24</v>
      </c>
    </row>
    <row r="2546" spans="1:15" x14ac:dyDescent="0.25">
      <c r="A2546">
        <v>2545</v>
      </c>
      <c r="B2546" t="str">
        <f>HYPERLINK("https://digitalcommons.unl.edu/cgi/viewcontent.cgi?article=3851&amp;context=tractormuseumlit","Click for test report")</f>
        <v>Click for test report</v>
      </c>
      <c r="C2546">
        <v>2000</v>
      </c>
      <c r="E2546" t="s">
        <v>3333</v>
      </c>
      <c r="F2546" t="s">
        <v>2742</v>
      </c>
      <c r="G2546" t="s">
        <v>191</v>
      </c>
      <c r="H2546" t="s">
        <v>3334</v>
      </c>
      <c r="I2546" t="s">
        <v>3332</v>
      </c>
      <c r="J2546" t="s">
        <v>20</v>
      </c>
      <c r="K2546" t="s">
        <v>21</v>
      </c>
      <c r="L2546" t="s">
        <v>1257</v>
      </c>
      <c r="N2546" t="s">
        <v>2029</v>
      </c>
      <c r="O2546" t="s">
        <v>24</v>
      </c>
    </row>
    <row r="2547" spans="1:15" x14ac:dyDescent="0.25">
      <c r="A2547">
        <v>2546</v>
      </c>
      <c r="B2547" t="str">
        <f>HYPERLINK("https://digitalcommons.unl.edu/cgi/viewcontent.cgi?article=3852&amp;context=tractormuseumlit","Click for test report")</f>
        <v>Click for test report</v>
      </c>
      <c r="C2547">
        <v>2000</v>
      </c>
      <c r="E2547" t="s">
        <v>3330</v>
      </c>
      <c r="F2547" t="s">
        <v>2742</v>
      </c>
      <c r="G2547" t="s">
        <v>191</v>
      </c>
      <c r="H2547" t="s">
        <v>3331</v>
      </c>
      <c r="I2547" t="s">
        <v>3332</v>
      </c>
      <c r="J2547" t="s">
        <v>20</v>
      </c>
      <c r="K2547" t="s">
        <v>21</v>
      </c>
      <c r="L2547" t="s">
        <v>58</v>
      </c>
      <c r="N2547" t="s">
        <v>728</v>
      </c>
      <c r="O2547" t="s">
        <v>24</v>
      </c>
    </row>
    <row r="2548" spans="1:15" x14ac:dyDescent="0.25">
      <c r="A2548">
        <v>2547</v>
      </c>
      <c r="B2548" t="str">
        <f>HYPERLINK("https://digitalcommons.unl.edu/cgi/viewcontent.cgi?article=3853&amp;context=tractormuseumlit","Click for test report")</f>
        <v>Click for test report</v>
      </c>
      <c r="C2548">
        <v>2000</v>
      </c>
      <c r="E2548" t="s">
        <v>3328</v>
      </c>
      <c r="F2548" t="s">
        <v>2232</v>
      </c>
      <c r="G2548" t="s">
        <v>135</v>
      </c>
      <c r="H2548" t="s">
        <v>3329</v>
      </c>
      <c r="I2548" t="s">
        <v>50</v>
      </c>
      <c r="J2548" t="s">
        <v>348</v>
      </c>
      <c r="K2548" t="s">
        <v>21</v>
      </c>
      <c r="L2548" t="s">
        <v>3319</v>
      </c>
      <c r="N2548" t="s">
        <v>2511</v>
      </c>
      <c r="O2548" t="s">
        <v>24</v>
      </c>
    </row>
    <row r="2549" spans="1:15" x14ac:dyDescent="0.25">
      <c r="A2549">
        <v>2548</v>
      </c>
      <c r="B2549" t="str">
        <f>HYPERLINK("https://digitalcommons.unl.edu/cgi/viewcontent.cgi?article=3853&amp;context=tractormuseumlit","Click for test report")</f>
        <v>Click for test report</v>
      </c>
      <c r="C2549">
        <v>2000</v>
      </c>
      <c r="E2549" t="s">
        <v>3328</v>
      </c>
      <c r="F2549" t="s">
        <v>2232</v>
      </c>
      <c r="G2549" t="s">
        <v>135</v>
      </c>
      <c r="H2549" t="s">
        <v>3329</v>
      </c>
      <c r="I2549" t="s">
        <v>50</v>
      </c>
      <c r="J2549" t="s">
        <v>20</v>
      </c>
      <c r="K2549" t="s">
        <v>21</v>
      </c>
      <c r="L2549" t="s">
        <v>3319</v>
      </c>
      <c r="N2549" t="s">
        <v>410</v>
      </c>
      <c r="O2549" t="s">
        <v>24</v>
      </c>
    </row>
    <row r="2550" spans="1:15" x14ac:dyDescent="0.25">
      <c r="A2550">
        <v>2549</v>
      </c>
      <c r="B2550" t="str">
        <f>HYPERLINK("https://digitalcommons.unl.edu/cgi/viewcontent.cgi?article=3854&amp;context=tractormuseumlit","Click for test report")</f>
        <v>Click for test report</v>
      </c>
      <c r="C2550">
        <v>2000</v>
      </c>
      <c r="E2550" t="s">
        <v>3322</v>
      </c>
      <c r="F2550" t="s">
        <v>2232</v>
      </c>
      <c r="G2550" t="s">
        <v>135</v>
      </c>
      <c r="H2550" t="s">
        <v>3326</v>
      </c>
      <c r="I2550" t="s">
        <v>50</v>
      </c>
      <c r="J2550" t="s">
        <v>348</v>
      </c>
      <c r="K2550" t="s">
        <v>21</v>
      </c>
      <c r="L2550" t="s">
        <v>1051</v>
      </c>
      <c r="N2550" t="s">
        <v>750</v>
      </c>
      <c r="O2550" t="s">
        <v>3327</v>
      </c>
    </row>
    <row r="2551" spans="1:15" x14ac:dyDescent="0.25">
      <c r="A2551">
        <v>2550</v>
      </c>
      <c r="B2551" t="str">
        <f>HYPERLINK("https://digitalcommons.unl.edu/cgi/viewcontent.cgi?article=3854&amp;context=tractormuseumlit","Click for test report")</f>
        <v>Click for test report</v>
      </c>
      <c r="C2551">
        <v>2000</v>
      </c>
      <c r="E2551" t="s">
        <v>3322</v>
      </c>
      <c r="F2551" t="s">
        <v>2232</v>
      </c>
      <c r="G2551" t="s">
        <v>135</v>
      </c>
      <c r="H2551" t="s">
        <v>3326</v>
      </c>
      <c r="I2551" t="s">
        <v>50</v>
      </c>
      <c r="J2551" t="s">
        <v>20</v>
      </c>
      <c r="K2551" t="s">
        <v>21</v>
      </c>
      <c r="L2551" t="s">
        <v>1051</v>
      </c>
      <c r="N2551" t="s">
        <v>3123</v>
      </c>
      <c r="O2551" t="s">
        <v>3327</v>
      </c>
    </row>
    <row r="2552" spans="1:15" x14ac:dyDescent="0.25">
      <c r="A2552">
        <v>2551</v>
      </c>
      <c r="B2552" t="str">
        <f>HYPERLINK("https://digitalcommons.unl.edu/cgi/viewcontent.cgi?article=3854&amp;context=tractormuseumlit","Click for test report")</f>
        <v>Click for test report</v>
      </c>
      <c r="C2552">
        <v>2000</v>
      </c>
      <c r="E2552" t="s">
        <v>3322</v>
      </c>
      <c r="F2552" t="s">
        <v>2232</v>
      </c>
      <c r="G2552" t="s">
        <v>135</v>
      </c>
      <c r="H2552" t="s">
        <v>3325</v>
      </c>
      <c r="I2552" t="s">
        <v>50</v>
      </c>
      <c r="J2552" t="s">
        <v>348</v>
      </c>
      <c r="K2552" t="s">
        <v>21</v>
      </c>
      <c r="L2552" t="s">
        <v>1051</v>
      </c>
      <c r="N2552" t="s">
        <v>750</v>
      </c>
      <c r="O2552" t="s">
        <v>3324</v>
      </c>
    </row>
    <row r="2553" spans="1:15" x14ac:dyDescent="0.25">
      <c r="A2553">
        <v>2552</v>
      </c>
      <c r="B2553" t="str">
        <f>HYPERLINK("https://digitalcommons.unl.edu/cgi/viewcontent.cgi?article=3854&amp;context=tractormuseumlit","Click for test report")</f>
        <v>Click for test report</v>
      </c>
      <c r="C2553">
        <v>2000</v>
      </c>
      <c r="E2553" t="s">
        <v>3322</v>
      </c>
      <c r="F2553" t="s">
        <v>2232</v>
      </c>
      <c r="G2553" t="s">
        <v>135</v>
      </c>
      <c r="H2553" t="s">
        <v>3325</v>
      </c>
      <c r="I2553" t="s">
        <v>50</v>
      </c>
      <c r="J2553" t="s">
        <v>20</v>
      </c>
      <c r="K2553" t="s">
        <v>21</v>
      </c>
      <c r="L2553" t="s">
        <v>1051</v>
      </c>
      <c r="N2553" t="s">
        <v>3123</v>
      </c>
      <c r="O2553" t="s">
        <v>3324</v>
      </c>
    </row>
    <row r="2554" spans="1:15" x14ac:dyDescent="0.25">
      <c r="A2554">
        <v>2553</v>
      </c>
      <c r="B2554" t="str">
        <f>HYPERLINK("https://digitalcommons.unl.edu/cgi/viewcontent.cgi?article=3854&amp;context=tractormuseumlit","Click for test report")</f>
        <v>Click for test report</v>
      </c>
      <c r="C2554">
        <v>2000</v>
      </c>
      <c r="E2554" t="s">
        <v>3322</v>
      </c>
      <c r="F2554" t="s">
        <v>2232</v>
      </c>
      <c r="G2554" t="s">
        <v>135</v>
      </c>
      <c r="H2554" t="s">
        <v>3323</v>
      </c>
      <c r="I2554" t="s">
        <v>50</v>
      </c>
      <c r="J2554" t="s">
        <v>348</v>
      </c>
      <c r="K2554" t="s">
        <v>21</v>
      </c>
      <c r="L2554" t="s">
        <v>1051</v>
      </c>
      <c r="N2554" t="s">
        <v>750</v>
      </c>
      <c r="O2554" t="s">
        <v>3324</v>
      </c>
    </row>
    <row r="2555" spans="1:15" x14ac:dyDescent="0.25">
      <c r="A2555">
        <v>2554</v>
      </c>
      <c r="B2555" t="str">
        <f>HYPERLINK("https://digitalcommons.unl.edu/cgi/viewcontent.cgi?article=3854&amp;context=tractormuseumlit","Click for test report")</f>
        <v>Click for test report</v>
      </c>
      <c r="C2555">
        <v>2000</v>
      </c>
      <c r="E2555" t="s">
        <v>3322</v>
      </c>
      <c r="F2555" t="s">
        <v>2232</v>
      </c>
      <c r="G2555" t="s">
        <v>135</v>
      </c>
      <c r="H2555" t="s">
        <v>3323</v>
      </c>
      <c r="I2555" t="s">
        <v>50</v>
      </c>
      <c r="J2555" t="s">
        <v>20</v>
      </c>
      <c r="K2555" t="s">
        <v>21</v>
      </c>
      <c r="L2555" t="s">
        <v>1051</v>
      </c>
      <c r="N2555" t="s">
        <v>3123</v>
      </c>
      <c r="O2555" t="s">
        <v>3324</v>
      </c>
    </row>
    <row r="2556" spans="1:15" x14ac:dyDescent="0.25">
      <c r="A2556">
        <v>2555</v>
      </c>
      <c r="B2556" t="str">
        <f>HYPERLINK("https://digitalcommons.unl.edu/cgi/viewcontent.cgi?article=3276&amp;context=tractormuseumlit","Click for test report")</f>
        <v>Click for test report</v>
      </c>
      <c r="C2556">
        <v>2000</v>
      </c>
      <c r="E2556" t="s">
        <v>3130</v>
      </c>
      <c r="F2556" t="s">
        <v>2986</v>
      </c>
      <c r="G2556" t="s">
        <v>778</v>
      </c>
      <c r="H2556" t="s">
        <v>3321</v>
      </c>
      <c r="I2556" t="s">
        <v>50</v>
      </c>
      <c r="J2556" t="s">
        <v>20</v>
      </c>
      <c r="K2556" t="s">
        <v>21</v>
      </c>
      <c r="L2556" t="s">
        <v>2030</v>
      </c>
      <c r="N2556" t="s">
        <v>1051</v>
      </c>
      <c r="O2556" t="s">
        <v>24</v>
      </c>
    </row>
    <row r="2557" spans="1:15" x14ac:dyDescent="0.25">
      <c r="A2557">
        <v>2556</v>
      </c>
      <c r="B2557" t="str">
        <f>HYPERLINK("https://digitalcommons.unl.edu/cgi/viewcontent.cgi?article=3892&amp;context=tractormuseumlit","Click for test report")</f>
        <v>Click for test report</v>
      </c>
      <c r="C2557">
        <v>2000</v>
      </c>
      <c r="E2557" t="s">
        <v>3317</v>
      </c>
      <c r="F2557" t="s">
        <v>62</v>
      </c>
      <c r="G2557" t="s">
        <v>62</v>
      </c>
      <c r="H2557" t="s">
        <v>3318</v>
      </c>
      <c r="I2557" t="s">
        <v>50</v>
      </c>
      <c r="J2557" t="s">
        <v>20</v>
      </c>
      <c r="K2557" t="s">
        <v>21</v>
      </c>
      <c r="L2557" t="s">
        <v>3319</v>
      </c>
      <c r="N2557" t="s">
        <v>2188</v>
      </c>
      <c r="O2557" t="s">
        <v>3320</v>
      </c>
    </row>
    <row r="2558" spans="1:15" x14ac:dyDescent="0.25">
      <c r="A2558">
        <v>2557</v>
      </c>
      <c r="B2558" t="str">
        <f>HYPERLINK("https://digitalcommons.unl.edu/cgi/viewcontent.cgi?article=3253&amp;context=tractormuseumlit","Click for test report")</f>
        <v>Click for test report</v>
      </c>
      <c r="C2558">
        <v>2000</v>
      </c>
      <c r="D2558" t="s">
        <v>3316</v>
      </c>
      <c r="F2558" t="s">
        <v>1136</v>
      </c>
      <c r="G2558" t="s">
        <v>3168</v>
      </c>
      <c r="H2558" t="s">
        <v>3222</v>
      </c>
      <c r="I2558" t="s">
        <v>50</v>
      </c>
      <c r="J2558" t="s">
        <v>348</v>
      </c>
      <c r="K2558" t="s">
        <v>21</v>
      </c>
      <c r="L2558" t="s">
        <v>1347</v>
      </c>
      <c r="O2558" t="s">
        <v>24</v>
      </c>
    </row>
    <row r="2559" spans="1:15" x14ac:dyDescent="0.25">
      <c r="A2559">
        <v>2558</v>
      </c>
      <c r="B2559" t="str">
        <f>HYPERLINK("https://digitalcommons.unl.edu/cgi/viewcontent.cgi?article=3254&amp;context=tractormuseumlit","Click for test report")</f>
        <v>Click for test report</v>
      </c>
      <c r="C2559">
        <v>2000</v>
      </c>
      <c r="D2559" t="s">
        <v>3315</v>
      </c>
      <c r="F2559" t="s">
        <v>1136</v>
      </c>
      <c r="G2559" t="s">
        <v>3168</v>
      </c>
      <c r="H2559" t="s">
        <v>3232</v>
      </c>
      <c r="I2559" t="s">
        <v>50</v>
      </c>
      <c r="J2559" t="s">
        <v>20</v>
      </c>
      <c r="K2559" t="s">
        <v>21</v>
      </c>
      <c r="L2559" t="s">
        <v>1796</v>
      </c>
      <c r="O2559" t="s">
        <v>24</v>
      </c>
    </row>
    <row r="2560" spans="1:15" x14ac:dyDescent="0.25">
      <c r="A2560">
        <v>2559</v>
      </c>
      <c r="B2560" t="str">
        <f>HYPERLINK("https://digitalcommons.unl.edu/cgi/viewcontent.cgi?article=1130&amp;context=tractormuseumlit","Click for test report")</f>
        <v>Click for test report</v>
      </c>
      <c r="C2560">
        <v>2000</v>
      </c>
      <c r="D2560" t="s">
        <v>3221</v>
      </c>
      <c r="F2560" t="s">
        <v>1136</v>
      </c>
      <c r="G2560" t="s">
        <v>3166</v>
      </c>
      <c r="H2560" t="s">
        <v>3314</v>
      </c>
      <c r="I2560" t="s">
        <v>50</v>
      </c>
      <c r="J2560" t="s">
        <v>348</v>
      </c>
      <c r="K2560" t="s">
        <v>21</v>
      </c>
      <c r="L2560" t="s">
        <v>1347</v>
      </c>
      <c r="O2560" t="s">
        <v>24</v>
      </c>
    </row>
    <row r="2561" spans="1:15" x14ac:dyDescent="0.25">
      <c r="A2561">
        <v>2560</v>
      </c>
      <c r="B2561" t="str">
        <f>HYPERLINK("https://digitalcommons.unl.edu/cgi/viewcontent.cgi?article=3255&amp;context=tractormuseumlit","Click for test report")</f>
        <v>Click for test report</v>
      </c>
      <c r="C2561">
        <v>2000</v>
      </c>
      <c r="D2561" t="s">
        <v>3313</v>
      </c>
      <c r="F2561" t="s">
        <v>17</v>
      </c>
      <c r="G2561" t="s">
        <v>17</v>
      </c>
      <c r="H2561" t="s">
        <v>2725</v>
      </c>
      <c r="I2561" t="s">
        <v>50</v>
      </c>
      <c r="J2561" t="s">
        <v>20</v>
      </c>
      <c r="K2561" t="s">
        <v>21</v>
      </c>
      <c r="L2561" t="s">
        <v>2699</v>
      </c>
      <c r="O2561" t="s">
        <v>24</v>
      </c>
    </row>
    <row r="2562" spans="1:15" x14ac:dyDescent="0.25">
      <c r="A2562">
        <v>2561</v>
      </c>
      <c r="B2562" t="str">
        <f>HYPERLINK("https://digitalcommons.unl.edu/cgi/viewcontent.cgi?article=3256&amp;context=tractormuseumlit","Click for test report")</f>
        <v>Click for test report</v>
      </c>
      <c r="C2562">
        <v>2000</v>
      </c>
      <c r="D2562" t="s">
        <v>3312</v>
      </c>
      <c r="F2562" t="s">
        <v>17</v>
      </c>
      <c r="G2562" t="s">
        <v>17</v>
      </c>
      <c r="H2562" t="s">
        <v>2722</v>
      </c>
      <c r="I2562" t="s">
        <v>50</v>
      </c>
      <c r="J2562" t="s">
        <v>20</v>
      </c>
      <c r="K2562" t="s">
        <v>21</v>
      </c>
      <c r="L2562" t="s">
        <v>2188</v>
      </c>
      <c r="O2562" t="s">
        <v>24</v>
      </c>
    </row>
    <row r="2563" spans="1:15" x14ac:dyDescent="0.25">
      <c r="A2563">
        <v>2562</v>
      </c>
      <c r="B2563" t="str">
        <f>HYPERLINK("https://digitalcommons.unl.edu/cgi/viewcontent.cgi?article=3257&amp;context=tractormuseumlit","Click for test report")</f>
        <v>Click for test report</v>
      </c>
      <c r="C2563">
        <v>2000</v>
      </c>
      <c r="D2563" t="s">
        <v>3309</v>
      </c>
      <c r="E2563" t="s">
        <v>3310</v>
      </c>
      <c r="F2563" t="s">
        <v>17</v>
      </c>
      <c r="G2563" t="s">
        <v>17</v>
      </c>
      <c r="H2563" t="s">
        <v>3311</v>
      </c>
      <c r="I2563" t="s">
        <v>28</v>
      </c>
      <c r="J2563" t="s">
        <v>20</v>
      </c>
      <c r="K2563" t="s">
        <v>21</v>
      </c>
      <c r="L2563" t="s">
        <v>1821</v>
      </c>
      <c r="N2563" t="s">
        <v>1262</v>
      </c>
      <c r="O2563" t="s">
        <v>24</v>
      </c>
    </row>
    <row r="2564" spans="1:15" x14ac:dyDescent="0.25">
      <c r="A2564">
        <v>2563</v>
      </c>
      <c r="B2564" t="str">
        <f>HYPERLINK("https://digitalcommons.unl.edu/cgi/viewcontent.cgi?article=3258&amp;context=tractormuseumlit","Click for test report")</f>
        <v>Click for test report</v>
      </c>
      <c r="C2564">
        <v>2000</v>
      </c>
      <c r="D2564" t="s">
        <v>3306</v>
      </c>
      <c r="E2564" t="s">
        <v>3307</v>
      </c>
      <c r="F2564" t="s">
        <v>17</v>
      </c>
      <c r="G2564" t="s">
        <v>17</v>
      </c>
      <c r="H2564" t="s">
        <v>3308</v>
      </c>
      <c r="I2564" t="s">
        <v>28</v>
      </c>
      <c r="J2564" t="s">
        <v>20</v>
      </c>
      <c r="K2564" t="s">
        <v>21</v>
      </c>
      <c r="L2564" t="s">
        <v>2880</v>
      </c>
      <c r="N2564" t="s">
        <v>1821</v>
      </c>
      <c r="O2564" t="s">
        <v>24</v>
      </c>
    </row>
    <row r="2565" spans="1:15" x14ac:dyDescent="0.25">
      <c r="A2565">
        <v>2564</v>
      </c>
      <c r="B2565" t="str">
        <f>HYPERLINK("https://digitalcommons.unl.edu/cgi/viewcontent.cgi?article=3259&amp;context=tractormuseumlit","Click for test report")</f>
        <v>Click for test report</v>
      </c>
      <c r="C2565">
        <v>2000</v>
      </c>
      <c r="D2565" t="s">
        <v>3303</v>
      </c>
      <c r="E2565" t="s">
        <v>3304</v>
      </c>
      <c r="F2565" t="s">
        <v>17</v>
      </c>
      <c r="G2565" t="s">
        <v>17</v>
      </c>
      <c r="H2565" t="s">
        <v>3305</v>
      </c>
      <c r="I2565" t="s">
        <v>28</v>
      </c>
      <c r="J2565" t="s">
        <v>96</v>
      </c>
      <c r="K2565" t="s">
        <v>21</v>
      </c>
      <c r="L2565" t="s">
        <v>515</v>
      </c>
      <c r="N2565" t="s">
        <v>320</v>
      </c>
      <c r="O2565" t="s">
        <v>24</v>
      </c>
    </row>
    <row r="2566" spans="1:15" x14ac:dyDescent="0.25">
      <c r="A2566">
        <v>2565</v>
      </c>
      <c r="B2566" t="str">
        <f>HYPERLINK("https://digitalcommons.unl.edu/cgi/viewcontent.cgi?article=3260&amp;context=tractormuseumlit","Click for test report")</f>
        <v>Click for test report</v>
      </c>
      <c r="C2566">
        <v>2000</v>
      </c>
      <c r="D2566" t="s">
        <v>3300</v>
      </c>
      <c r="E2566" t="s">
        <v>3301</v>
      </c>
      <c r="F2566" t="s">
        <v>17</v>
      </c>
      <c r="G2566" t="s">
        <v>17</v>
      </c>
      <c r="H2566" t="s">
        <v>3302</v>
      </c>
      <c r="I2566" t="s">
        <v>28</v>
      </c>
      <c r="J2566" t="s">
        <v>20</v>
      </c>
      <c r="K2566" t="s">
        <v>21</v>
      </c>
      <c r="L2566" t="s">
        <v>1028</v>
      </c>
      <c r="N2566" t="s">
        <v>821</v>
      </c>
      <c r="O2566" t="s">
        <v>24</v>
      </c>
    </row>
    <row r="2567" spans="1:15" x14ac:dyDescent="0.25">
      <c r="A2567">
        <v>2566</v>
      </c>
      <c r="B2567" t="str">
        <f>HYPERLINK("https://digitalcommons.unl.edu/cgi/viewcontent.cgi?article=3261&amp;context=tractormuseumlit","Click for test report")</f>
        <v>Click for test report</v>
      </c>
      <c r="C2567">
        <v>2000</v>
      </c>
      <c r="D2567" t="s">
        <v>3297</v>
      </c>
      <c r="E2567" t="s">
        <v>3298</v>
      </c>
      <c r="F2567" t="s">
        <v>17</v>
      </c>
      <c r="G2567" t="s">
        <v>17</v>
      </c>
      <c r="H2567" t="s">
        <v>3299</v>
      </c>
      <c r="I2567" t="s">
        <v>28</v>
      </c>
      <c r="J2567" t="s">
        <v>96</v>
      </c>
      <c r="K2567" t="s">
        <v>21</v>
      </c>
      <c r="L2567" t="s">
        <v>1564</v>
      </c>
      <c r="N2567" t="s">
        <v>1240</v>
      </c>
      <c r="O2567" t="s">
        <v>24</v>
      </c>
    </row>
    <row r="2568" spans="1:15" x14ac:dyDescent="0.25">
      <c r="A2568">
        <v>2567</v>
      </c>
      <c r="B2568" t="str">
        <f>HYPERLINK("https://digitalcommons.unl.edu/cgi/viewcontent.cgi?article=3262&amp;context=tractormuseumlit","Click for test report")</f>
        <v>Click for test report</v>
      </c>
      <c r="C2568">
        <v>2000</v>
      </c>
      <c r="D2568" t="s">
        <v>3294</v>
      </c>
      <c r="E2568" t="s">
        <v>3295</v>
      </c>
      <c r="F2568" t="s">
        <v>17</v>
      </c>
      <c r="G2568" t="s">
        <v>17</v>
      </c>
      <c r="H2568" t="s">
        <v>3296</v>
      </c>
      <c r="I2568" t="s">
        <v>28</v>
      </c>
      <c r="J2568" t="s">
        <v>20</v>
      </c>
      <c r="K2568" t="s">
        <v>21</v>
      </c>
      <c r="L2568" t="s">
        <v>1590</v>
      </c>
      <c r="N2568" t="s">
        <v>167</v>
      </c>
      <c r="O2568" t="s">
        <v>24</v>
      </c>
    </row>
    <row r="2569" spans="1:15" x14ac:dyDescent="0.25">
      <c r="A2569">
        <v>2568</v>
      </c>
      <c r="B2569" t="str">
        <f>HYPERLINK("https://digitalcommons.unl.edu/cgi/viewcontent.cgi?article=3231&amp;context=tractormuseumlit","Click for test report")</f>
        <v>Click for test report</v>
      </c>
      <c r="C2569">
        <v>2000</v>
      </c>
      <c r="D2569" t="s">
        <v>3061</v>
      </c>
      <c r="E2569" t="s">
        <v>3062</v>
      </c>
      <c r="F2569" t="s">
        <v>17</v>
      </c>
      <c r="G2569" t="s">
        <v>17</v>
      </c>
      <c r="H2569" t="s">
        <v>3293</v>
      </c>
      <c r="I2569" t="s">
        <v>28</v>
      </c>
      <c r="J2569" t="s">
        <v>96</v>
      </c>
      <c r="K2569" t="s">
        <v>21</v>
      </c>
      <c r="L2569" t="s">
        <v>1590</v>
      </c>
      <c r="N2569" t="s">
        <v>2660</v>
      </c>
      <c r="O2569" t="s">
        <v>24</v>
      </c>
    </row>
    <row r="2570" spans="1:15" x14ac:dyDescent="0.25">
      <c r="A2570">
        <v>2569</v>
      </c>
      <c r="B2570" t="str">
        <f>HYPERLINK("https://digitalcommons.unl.edu/cgi/viewcontent.cgi?article=3263&amp;context=tractormuseumlit","Click for test report")</f>
        <v>Click for test report</v>
      </c>
      <c r="C2570">
        <v>2000</v>
      </c>
      <c r="D2570" t="s">
        <v>3292</v>
      </c>
      <c r="F2570" t="s">
        <v>1136</v>
      </c>
      <c r="G2570" t="s">
        <v>3168</v>
      </c>
      <c r="H2570" t="s">
        <v>3227</v>
      </c>
      <c r="I2570" t="s">
        <v>19</v>
      </c>
      <c r="J2570" t="s">
        <v>20</v>
      </c>
      <c r="K2570" t="s">
        <v>21</v>
      </c>
      <c r="L2570" t="s">
        <v>52</v>
      </c>
      <c r="O2570" t="s">
        <v>24</v>
      </c>
    </row>
    <row r="2571" spans="1:15" x14ac:dyDescent="0.25">
      <c r="A2571">
        <v>2570</v>
      </c>
      <c r="B2571" t="str">
        <f>HYPERLINK("https://digitalcommons.unl.edu/cgi/viewcontent.cgi?article=4344&amp;context=tractormuseumlit","Click for test report")</f>
        <v>Click for test report</v>
      </c>
      <c r="C2571">
        <v>2000</v>
      </c>
      <c r="D2571" t="s">
        <v>3217</v>
      </c>
      <c r="E2571" t="s">
        <v>3218</v>
      </c>
      <c r="F2571" t="s">
        <v>1136</v>
      </c>
      <c r="G2571" t="s">
        <v>3166</v>
      </c>
      <c r="H2571" t="s">
        <v>3291</v>
      </c>
      <c r="I2571" t="s">
        <v>19</v>
      </c>
      <c r="J2571" t="s">
        <v>20</v>
      </c>
      <c r="K2571" t="s">
        <v>21</v>
      </c>
      <c r="L2571" t="s">
        <v>558</v>
      </c>
      <c r="N2571" t="s">
        <v>339</v>
      </c>
      <c r="O2571" t="s">
        <v>24</v>
      </c>
    </row>
    <row r="2572" spans="1:15" x14ac:dyDescent="0.25">
      <c r="A2572">
        <v>2571</v>
      </c>
      <c r="B2572" t="str">
        <f>HYPERLINK("https://digitalcommons.unl.edu/cgi/viewcontent.cgi?article=3333&amp;context=tractormuseumlit","Click for test report")</f>
        <v>Click for test report</v>
      </c>
      <c r="C2572">
        <v>2000</v>
      </c>
      <c r="D2572" t="s">
        <v>3211</v>
      </c>
      <c r="E2572" t="s">
        <v>3212</v>
      </c>
      <c r="F2572" t="s">
        <v>111</v>
      </c>
      <c r="G2572" t="s">
        <v>3166</v>
      </c>
      <c r="H2572" t="s">
        <v>3290</v>
      </c>
      <c r="I2572" t="s">
        <v>28</v>
      </c>
      <c r="J2572" t="s">
        <v>20</v>
      </c>
      <c r="K2572" t="s">
        <v>21</v>
      </c>
      <c r="L2572" t="s">
        <v>315</v>
      </c>
      <c r="N2572" t="s">
        <v>909</v>
      </c>
      <c r="O2572" t="s">
        <v>24</v>
      </c>
    </row>
    <row r="2573" spans="1:15" x14ac:dyDescent="0.25">
      <c r="A2573">
        <v>2572</v>
      </c>
      <c r="B2573" t="str">
        <f>HYPERLINK("https://digitalcommons.unl.edu/cgi/viewcontent.cgi?article=4345&amp;context=tractormuseumlit","Click for test report")</f>
        <v>Click for test report</v>
      </c>
      <c r="C2573">
        <v>2000</v>
      </c>
      <c r="D2573" t="s">
        <v>3205</v>
      </c>
      <c r="E2573" t="s">
        <v>3206</v>
      </c>
      <c r="F2573" t="s">
        <v>111</v>
      </c>
      <c r="G2573" t="s">
        <v>3166</v>
      </c>
      <c r="H2573" t="s">
        <v>3289</v>
      </c>
      <c r="I2573" t="s">
        <v>28</v>
      </c>
      <c r="J2573" t="s">
        <v>20</v>
      </c>
      <c r="K2573" t="s">
        <v>21</v>
      </c>
      <c r="L2573" t="s">
        <v>434</v>
      </c>
      <c r="N2573" t="s">
        <v>1041</v>
      </c>
      <c r="O2573" t="s">
        <v>24</v>
      </c>
    </row>
    <row r="2574" spans="1:15" x14ac:dyDescent="0.25">
      <c r="A2574">
        <v>2573</v>
      </c>
      <c r="B2574" t="str">
        <f>HYPERLINK("https://digitalcommons.unl.edu/cgi/viewcontent.cgi?article=1246&amp;context=tractormuseumlit","Click for test report")</f>
        <v>Click for test report</v>
      </c>
      <c r="C2574">
        <v>2000</v>
      </c>
      <c r="D2574" t="s">
        <v>3201</v>
      </c>
      <c r="E2574" t="s">
        <v>3202</v>
      </c>
      <c r="F2574" t="s">
        <v>478</v>
      </c>
      <c r="G2574" t="s">
        <v>191</v>
      </c>
      <c r="H2574" t="s">
        <v>3288</v>
      </c>
      <c r="I2574" t="s">
        <v>28</v>
      </c>
      <c r="J2574" t="s">
        <v>29</v>
      </c>
      <c r="K2574" t="s">
        <v>21</v>
      </c>
      <c r="L2574" t="s">
        <v>2113</v>
      </c>
      <c r="N2574" t="s">
        <v>981</v>
      </c>
      <c r="O2574" t="s">
        <v>24</v>
      </c>
    </row>
    <row r="2575" spans="1:15" x14ac:dyDescent="0.25">
      <c r="A2575">
        <v>2574</v>
      </c>
      <c r="B2575" t="str">
        <f>HYPERLINK("https://digitalcommons.unl.edu/cgi/viewcontent.cgi?article=1247&amp;context=tractormuseumlit","Click for test report")</f>
        <v>Click for test report</v>
      </c>
      <c r="C2575">
        <v>2000</v>
      </c>
      <c r="D2575" t="s">
        <v>3196</v>
      </c>
      <c r="E2575" t="s">
        <v>3197</v>
      </c>
      <c r="F2575" t="s">
        <v>478</v>
      </c>
      <c r="G2575" t="s">
        <v>191</v>
      </c>
      <c r="H2575" t="s">
        <v>3287</v>
      </c>
      <c r="I2575" t="s">
        <v>28</v>
      </c>
      <c r="J2575" t="s">
        <v>29</v>
      </c>
      <c r="K2575" t="s">
        <v>21</v>
      </c>
      <c r="L2575" t="s">
        <v>2096</v>
      </c>
      <c r="N2575" t="s">
        <v>386</v>
      </c>
      <c r="O2575" t="s">
        <v>24</v>
      </c>
    </row>
    <row r="2576" spans="1:15" x14ac:dyDescent="0.25">
      <c r="A2576">
        <v>2575</v>
      </c>
      <c r="B2576" t="str">
        <f>HYPERLINK("https://digitalcommons.unl.edu/cgi/viewcontent.cgi?article=1248&amp;context=tractormuseumlit","Click for test report")</f>
        <v>Click for test report</v>
      </c>
      <c r="C2576">
        <v>2000</v>
      </c>
      <c r="D2576" t="s">
        <v>3191</v>
      </c>
      <c r="E2576" t="s">
        <v>3192</v>
      </c>
      <c r="F2576" t="s">
        <v>478</v>
      </c>
      <c r="G2576" t="s">
        <v>191</v>
      </c>
      <c r="H2576" t="s">
        <v>3285</v>
      </c>
      <c r="I2576" t="s">
        <v>28</v>
      </c>
      <c r="J2576" t="s">
        <v>80</v>
      </c>
      <c r="K2576" t="s">
        <v>21</v>
      </c>
      <c r="L2576" t="s">
        <v>3194</v>
      </c>
      <c r="N2576" t="s">
        <v>420</v>
      </c>
      <c r="O2576" t="s">
        <v>3286</v>
      </c>
    </row>
    <row r="2577" spans="1:15" x14ac:dyDescent="0.25">
      <c r="A2577">
        <v>2576</v>
      </c>
      <c r="B2577" t="str">
        <f>HYPERLINK("https://digitalcommons.unl.edu/cgi/viewcontent.cgi?article=3267&amp;context=tractormuseumlit","Click for test report")</f>
        <v>Click for test report</v>
      </c>
      <c r="C2577">
        <v>2000</v>
      </c>
      <c r="D2577" t="s">
        <v>3282</v>
      </c>
      <c r="E2577" t="s">
        <v>3283</v>
      </c>
      <c r="F2577" t="s">
        <v>17</v>
      </c>
      <c r="G2577" t="s">
        <v>17</v>
      </c>
      <c r="H2577" t="s">
        <v>3284</v>
      </c>
      <c r="I2577" t="s">
        <v>19</v>
      </c>
      <c r="J2577" t="s">
        <v>20</v>
      </c>
      <c r="K2577" t="s">
        <v>21</v>
      </c>
      <c r="L2577" t="s">
        <v>336</v>
      </c>
      <c r="N2577" t="s">
        <v>51</v>
      </c>
      <c r="O2577" t="s">
        <v>24</v>
      </c>
    </row>
    <row r="2578" spans="1:15" x14ac:dyDescent="0.25">
      <c r="A2578">
        <v>2577</v>
      </c>
      <c r="B2578" t="str">
        <f>HYPERLINK("https://digitalcommons.unl.edu/cgi/viewcontent.cgi?article=3268&amp;context=tractormuseumlit","Click for test report")</f>
        <v>Click for test report</v>
      </c>
      <c r="C2578">
        <v>2000</v>
      </c>
      <c r="D2578" t="s">
        <v>3278</v>
      </c>
      <c r="E2578" t="s">
        <v>3279</v>
      </c>
      <c r="F2578" t="s">
        <v>17</v>
      </c>
      <c r="G2578" t="s">
        <v>17</v>
      </c>
      <c r="H2578" t="s">
        <v>3280</v>
      </c>
      <c r="I2578" t="s">
        <v>19</v>
      </c>
      <c r="J2578" t="s">
        <v>20</v>
      </c>
      <c r="K2578" t="s">
        <v>21</v>
      </c>
      <c r="L2578" t="s">
        <v>2652</v>
      </c>
      <c r="N2578" t="s">
        <v>364</v>
      </c>
      <c r="O2578" t="s">
        <v>3281</v>
      </c>
    </row>
    <row r="2579" spans="1:15" x14ac:dyDescent="0.25">
      <c r="A2579">
        <v>2578</v>
      </c>
      <c r="B2579" t="str">
        <f>HYPERLINK("https://digitalcommons.unl.edu/cgi/viewcontent.cgi?article=3269&amp;context=tractormuseumlit","Click for test report")</f>
        <v>Click for test report</v>
      </c>
      <c r="C2579">
        <v>2000</v>
      </c>
      <c r="D2579" t="s">
        <v>3274</v>
      </c>
      <c r="E2579" t="s">
        <v>3275</v>
      </c>
      <c r="F2579" t="s">
        <v>17</v>
      </c>
      <c r="G2579" t="s">
        <v>17</v>
      </c>
      <c r="H2579" t="s">
        <v>3276</v>
      </c>
      <c r="I2579" t="s">
        <v>19</v>
      </c>
      <c r="J2579" t="s">
        <v>20</v>
      </c>
      <c r="K2579" t="s">
        <v>21</v>
      </c>
      <c r="L2579" t="s">
        <v>528</v>
      </c>
      <c r="N2579" t="s">
        <v>126</v>
      </c>
      <c r="O2579" t="s">
        <v>3277</v>
      </c>
    </row>
    <row r="2580" spans="1:15" x14ac:dyDescent="0.25">
      <c r="A2580">
        <v>2579</v>
      </c>
      <c r="B2580" t="str">
        <f>HYPERLINK("https://digitalcommons.unl.edu/cgi/viewcontent.cgi?article=3270&amp;context=tractormuseumlit","Click for test report")</f>
        <v>Click for test report</v>
      </c>
      <c r="C2580">
        <v>2000</v>
      </c>
      <c r="D2580" t="s">
        <v>3272</v>
      </c>
      <c r="F2580" t="s">
        <v>1136</v>
      </c>
      <c r="G2580" t="s">
        <v>3168</v>
      </c>
      <c r="H2580" t="s">
        <v>3219</v>
      </c>
      <c r="I2580" t="s">
        <v>19</v>
      </c>
      <c r="J2580" t="s">
        <v>20</v>
      </c>
      <c r="K2580" t="s">
        <v>21</v>
      </c>
      <c r="L2580" t="s">
        <v>22</v>
      </c>
      <c r="O2580" t="s">
        <v>3273</v>
      </c>
    </row>
    <row r="2581" spans="1:15" x14ac:dyDescent="0.25">
      <c r="A2581">
        <v>2580</v>
      </c>
      <c r="B2581" t="str">
        <f>HYPERLINK("https://digitalcommons.unl.edu/cgi/viewcontent.cgi?article=3271&amp;context=tractormuseumlit","Click for test report")</f>
        <v>Click for test report</v>
      </c>
      <c r="C2581">
        <v>2000</v>
      </c>
      <c r="D2581" t="s">
        <v>3270</v>
      </c>
      <c r="F2581" t="s">
        <v>111</v>
      </c>
      <c r="G2581" t="s">
        <v>3168</v>
      </c>
      <c r="H2581" t="s">
        <v>3213</v>
      </c>
      <c r="I2581" t="s">
        <v>28</v>
      </c>
      <c r="J2581" t="s">
        <v>20</v>
      </c>
      <c r="K2581" t="s">
        <v>21</v>
      </c>
      <c r="L2581" t="s">
        <v>319</v>
      </c>
      <c r="O2581" t="s">
        <v>3271</v>
      </c>
    </row>
    <row r="2582" spans="1:15" x14ac:dyDescent="0.25">
      <c r="A2582">
        <v>2581</v>
      </c>
      <c r="B2582" t="str">
        <f>HYPERLINK("https://digitalcommons.unl.edu/cgi/viewcontent.cgi?article=3272&amp;context=tractormuseumlit","Click for test report")</f>
        <v>Click for test report</v>
      </c>
      <c r="C2582">
        <v>2000</v>
      </c>
      <c r="D2582" t="s">
        <v>3267</v>
      </c>
      <c r="F2582" t="s">
        <v>2062</v>
      </c>
      <c r="G2582" t="s">
        <v>778</v>
      </c>
      <c r="H2582" t="s">
        <v>3268</v>
      </c>
      <c r="I2582" t="s">
        <v>28</v>
      </c>
      <c r="J2582" t="s">
        <v>20</v>
      </c>
      <c r="K2582" t="s">
        <v>21</v>
      </c>
      <c r="L2582" t="s">
        <v>315</v>
      </c>
      <c r="O2582" t="s">
        <v>3269</v>
      </c>
    </row>
    <row r="2583" spans="1:15" x14ac:dyDescent="0.25">
      <c r="A2583">
        <v>2582</v>
      </c>
      <c r="B2583" t="str">
        <f>HYPERLINK("https://digitalcommons.unl.edu/cgi/viewcontent.cgi?article=3273&amp;context=tractormuseumlit","Click for test report")</f>
        <v>Click for test report</v>
      </c>
      <c r="C2583">
        <v>2000</v>
      </c>
      <c r="D2583" t="s">
        <v>3265</v>
      </c>
      <c r="F2583" t="s">
        <v>111</v>
      </c>
      <c r="G2583" t="s">
        <v>3168</v>
      </c>
      <c r="H2583" t="s">
        <v>3207</v>
      </c>
      <c r="I2583" t="s">
        <v>28</v>
      </c>
      <c r="J2583" t="s">
        <v>20</v>
      </c>
      <c r="K2583" t="s">
        <v>21</v>
      </c>
      <c r="L2583" t="s">
        <v>71</v>
      </c>
      <c r="O2583" t="s">
        <v>3266</v>
      </c>
    </row>
    <row r="2584" spans="1:15" x14ac:dyDescent="0.25">
      <c r="A2584">
        <v>2583</v>
      </c>
      <c r="B2584" t="str">
        <f>HYPERLINK("https://digitalcommons.unl.edu/cgi/viewcontent.cgi?article=3274&amp;context=tractormuseumlit","Click for test report")</f>
        <v>Click for test report</v>
      </c>
      <c r="C2584">
        <v>2000</v>
      </c>
      <c r="D2584" t="s">
        <v>3262</v>
      </c>
      <c r="F2584" t="s">
        <v>2062</v>
      </c>
      <c r="G2584" t="s">
        <v>778</v>
      </c>
      <c r="H2584" t="s">
        <v>3263</v>
      </c>
      <c r="I2584" t="s">
        <v>28</v>
      </c>
      <c r="J2584" t="s">
        <v>20</v>
      </c>
      <c r="K2584" t="s">
        <v>21</v>
      </c>
      <c r="L2584" t="s">
        <v>469</v>
      </c>
      <c r="O2584" t="s">
        <v>3264</v>
      </c>
    </row>
    <row r="2585" spans="1:15" x14ac:dyDescent="0.25">
      <c r="A2585">
        <v>2584</v>
      </c>
      <c r="B2585" t="str">
        <f>HYPERLINK("https://digitalcommons.unl.edu/cgi/viewcontent.cgi?article=3275&amp;context=tractormuseumlit","Click for test report")</f>
        <v>Click for test report</v>
      </c>
      <c r="C2585">
        <v>2000</v>
      </c>
      <c r="D2585" t="s">
        <v>3260</v>
      </c>
      <c r="F2585" t="s">
        <v>111</v>
      </c>
      <c r="G2585" t="s">
        <v>3168</v>
      </c>
      <c r="H2585" t="s">
        <v>3176</v>
      </c>
      <c r="I2585" t="s">
        <v>28</v>
      </c>
      <c r="J2585" t="s">
        <v>20</v>
      </c>
      <c r="K2585" t="s">
        <v>21</v>
      </c>
      <c r="L2585" t="s">
        <v>114</v>
      </c>
      <c r="O2585" t="s">
        <v>3261</v>
      </c>
    </row>
    <row r="2586" spans="1:15" x14ac:dyDescent="0.25">
      <c r="A2586">
        <v>2585</v>
      </c>
      <c r="B2586" t="str">
        <f>HYPERLINK("https://digitalcommons.unl.edu/cgi/viewcontent.cgi?article=3249&amp;context=tractormuseumlit","Click for test report")</f>
        <v>Click for test report</v>
      </c>
      <c r="C2586">
        <v>2001</v>
      </c>
      <c r="E2586" t="s">
        <v>3258</v>
      </c>
      <c r="F2586" t="s">
        <v>384</v>
      </c>
      <c r="G2586" t="s">
        <v>112</v>
      </c>
      <c r="H2586" t="s">
        <v>3259</v>
      </c>
      <c r="I2586" t="s">
        <v>64</v>
      </c>
      <c r="J2586" t="s">
        <v>20</v>
      </c>
      <c r="K2586" t="s">
        <v>21</v>
      </c>
      <c r="L2586" t="s">
        <v>836</v>
      </c>
      <c r="N2586" t="s">
        <v>474</v>
      </c>
      <c r="O2586" t="s">
        <v>1871</v>
      </c>
    </row>
    <row r="2587" spans="1:15" x14ac:dyDescent="0.25">
      <c r="A2587">
        <v>2586</v>
      </c>
      <c r="B2587" t="str">
        <f>HYPERLINK("https://digitalcommons.unl.edu/cgi/viewcontent.cgi?article=3250&amp;context=tractormuseumlit","Click for test report")</f>
        <v>Click for test report</v>
      </c>
      <c r="C2587">
        <v>2001</v>
      </c>
      <c r="E2587" t="s">
        <v>3256</v>
      </c>
      <c r="F2587" t="s">
        <v>384</v>
      </c>
      <c r="G2587" t="s">
        <v>112</v>
      </c>
      <c r="H2587" t="s">
        <v>3257</v>
      </c>
      <c r="I2587" t="s">
        <v>64</v>
      </c>
      <c r="J2587" t="s">
        <v>20</v>
      </c>
      <c r="K2587" t="s">
        <v>21</v>
      </c>
      <c r="L2587" t="s">
        <v>434</v>
      </c>
      <c r="N2587" t="s">
        <v>1037</v>
      </c>
      <c r="O2587" t="s">
        <v>1871</v>
      </c>
    </row>
    <row r="2588" spans="1:15" x14ac:dyDescent="0.25">
      <c r="A2588">
        <v>2587</v>
      </c>
      <c r="B2588" t="str">
        <f>HYPERLINK("https://digitalcommons.unl.edu/cgi/viewcontent.cgi?article=3251&amp;context=tractormuseumlit","Click for test report")</f>
        <v>Click for test report</v>
      </c>
      <c r="C2588">
        <v>2001</v>
      </c>
      <c r="E2588" t="s">
        <v>3254</v>
      </c>
      <c r="F2588" t="s">
        <v>384</v>
      </c>
      <c r="G2588" t="s">
        <v>112</v>
      </c>
      <c r="H2588" t="s">
        <v>3255</v>
      </c>
      <c r="I2588" t="s">
        <v>64</v>
      </c>
      <c r="J2588" t="s">
        <v>20</v>
      </c>
      <c r="K2588" t="s">
        <v>21</v>
      </c>
      <c r="L2588" t="s">
        <v>2660</v>
      </c>
      <c r="N2588" t="s">
        <v>1449</v>
      </c>
      <c r="O2588" t="s">
        <v>1871</v>
      </c>
    </row>
    <row r="2589" spans="1:15" x14ac:dyDescent="0.25">
      <c r="A2589">
        <v>2588</v>
      </c>
      <c r="B2589" t="str">
        <f>HYPERLINK("https://digitalcommons.unl.edu/cgi/viewcontent.cgi?article=3252&amp;context=tractormuseumlit","Click for test report")</f>
        <v>Click for test report</v>
      </c>
      <c r="C2589">
        <v>2001</v>
      </c>
      <c r="E2589" t="s">
        <v>3252</v>
      </c>
      <c r="F2589" t="s">
        <v>384</v>
      </c>
      <c r="G2589" t="s">
        <v>112</v>
      </c>
      <c r="H2589" t="s">
        <v>3253</v>
      </c>
      <c r="I2589" t="s">
        <v>64</v>
      </c>
      <c r="J2589" t="s">
        <v>20</v>
      </c>
      <c r="K2589" t="s">
        <v>21</v>
      </c>
      <c r="L2589" t="s">
        <v>964</v>
      </c>
      <c r="N2589" t="s">
        <v>505</v>
      </c>
      <c r="O2589" t="s">
        <v>1871</v>
      </c>
    </row>
    <row r="2590" spans="1:15" x14ac:dyDescent="0.25">
      <c r="A2590">
        <v>2589</v>
      </c>
      <c r="B2590" t="str">
        <f>HYPERLINK("https://digitalcommons.unl.edu/cgi/viewcontent.cgi?article=3116&amp;context=tractormuseumlit","Click for test report")</f>
        <v>Click for test report</v>
      </c>
      <c r="C2590">
        <v>2001</v>
      </c>
      <c r="D2590" t="s">
        <v>3248</v>
      </c>
      <c r="E2590" t="s">
        <v>3249</v>
      </c>
      <c r="F2590" t="s">
        <v>1136</v>
      </c>
      <c r="G2590" t="s">
        <v>111</v>
      </c>
      <c r="H2590" t="s">
        <v>3250</v>
      </c>
      <c r="I2590" t="s">
        <v>28</v>
      </c>
      <c r="J2590" t="s">
        <v>20</v>
      </c>
      <c r="K2590" t="s">
        <v>21</v>
      </c>
      <c r="L2590" t="s">
        <v>328</v>
      </c>
      <c r="N2590" t="s">
        <v>1386</v>
      </c>
      <c r="O2590" t="s">
        <v>3251</v>
      </c>
    </row>
    <row r="2591" spans="1:15" x14ac:dyDescent="0.25">
      <c r="A2591">
        <v>2590</v>
      </c>
      <c r="B2591" t="str">
        <f>HYPERLINK("https://digitalcommons.unl.edu/cgi/viewcontent.cgi?article=3117&amp;context=tractormuseumlit","Click for test report")</f>
        <v>Click for test report</v>
      </c>
      <c r="C2591">
        <v>2001</v>
      </c>
      <c r="D2591" t="s">
        <v>3245</v>
      </c>
      <c r="F2591" t="s">
        <v>17</v>
      </c>
      <c r="G2591" t="s">
        <v>17</v>
      </c>
      <c r="H2591" t="s">
        <v>3246</v>
      </c>
      <c r="I2591" t="s">
        <v>50</v>
      </c>
      <c r="J2591" t="s">
        <v>20</v>
      </c>
      <c r="K2591" t="s">
        <v>21</v>
      </c>
      <c r="L2591" t="s">
        <v>410</v>
      </c>
      <c r="O2591" t="s">
        <v>3247</v>
      </c>
    </row>
    <row r="2592" spans="1:15" x14ac:dyDescent="0.25">
      <c r="A2592">
        <v>2591</v>
      </c>
      <c r="B2592" t="str">
        <f>HYPERLINK("https://digitalcommons.unl.edu/cgi/viewcontent.cgi?article=3118&amp;context=tractormuseumlit","Click for test report")</f>
        <v>Click for test report</v>
      </c>
      <c r="C2592">
        <v>2001</v>
      </c>
      <c r="D2592" t="s">
        <v>3242</v>
      </c>
      <c r="F2592" t="s">
        <v>17</v>
      </c>
      <c r="G2592" t="s">
        <v>17</v>
      </c>
      <c r="H2592" t="s">
        <v>3243</v>
      </c>
      <c r="I2592" t="s">
        <v>50</v>
      </c>
      <c r="J2592" t="s">
        <v>20</v>
      </c>
      <c r="K2592" t="s">
        <v>21</v>
      </c>
      <c r="L2592" t="s">
        <v>1970</v>
      </c>
      <c r="O2592" t="s">
        <v>3244</v>
      </c>
    </row>
    <row r="2593" spans="1:15" x14ac:dyDescent="0.25">
      <c r="A2593">
        <v>2592</v>
      </c>
      <c r="B2593" t="str">
        <f>HYPERLINK("https://digitalcommons.unl.edu/cgi/viewcontent.cgi?article=3119&amp;context=tractormuseumlit","Click for test report")</f>
        <v>Click for test report</v>
      </c>
      <c r="C2593">
        <v>2001</v>
      </c>
      <c r="D2593" t="s">
        <v>3239</v>
      </c>
      <c r="F2593" t="s">
        <v>17</v>
      </c>
      <c r="G2593" t="s">
        <v>17</v>
      </c>
      <c r="H2593" t="s">
        <v>3240</v>
      </c>
      <c r="I2593" t="s">
        <v>50</v>
      </c>
      <c r="J2593" t="s">
        <v>20</v>
      </c>
      <c r="K2593" t="s">
        <v>21</v>
      </c>
      <c r="L2593" t="s">
        <v>1350</v>
      </c>
      <c r="O2593" t="s">
        <v>3241</v>
      </c>
    </row>
    <row r="2594" spans="1:15" x14ac:dyDescent="0.25">
      <c r="A2594">
        <v>2593</v>
      </c>
      <c r="B2594" t="str">
        <f>HYPERLINK("https://digitalcommons.unl.edu/cgi/viewcontent.cgi?article=3120&amp;context=tractormuseumlit","Click for test report")</f>
        <v>Click for test report</v>
      </c>
      <c r="C2594">
        <v>2001</v>
      </c>
      <c r="D2594" t="s">
        <v>3236</v>
      </c>
      <c r="F2594" t="s">
        <v>17</v>
      </c>
      <c r="G2594" t="s">
        <v>17</v>
      </c>
      <c r="H2594" t="s">
        <v>3237</v>
      </c>
      <c r="I2594" t="s">
        <v>50</v>
      </c>
      <c r="J2594" t="s">
        <v>20</v>
      </c>
      <c r="K2594" t="s">
        <v>21</v>
      </c>
      <c r="L2594" t="s">
        <v>740</v>
      </c>
      <c r="O2594" t="s">
        <v>3238</v>
      </c>
    </row>
    <row r="2595" spans="1:15" x14ac:dyDescent="0.25">
      <c r="A2595">
        <v>2594</v>
      </c>
      <c r="B2595" t="str">
        <f>HYPERLINK("https://digitalcommons.unl.edu/cgi/viewcontent.cgi?article=1135&amp;context=tractormuseumlit","Click for test report")</f>
        <v>Click for test report</v>
      </c>
      <c r="C2595">
        <v>2001</v>
      </c>
      <c r="D2595" t="s">
        <v>3231</v>
      </c>
      <c r="F2595" t="s">
        <v>1136</v>
      </c>
      <c r="G2595" t="s">
        <v>111</v>
      </c>
      <c r="H2595" t="s">
        <v>3234</v>
      </c>
      <c r="I2595" t="s">
        <v>50</v>
      </c>
      <c r="J2595" t="s">
        <v>348</v>
      </c>
      <c r="K2595" t="s">
        <v>21</v>
      </c>
      <c r="L2595" t="s">
        <v>1796</v>
      </c>
      <c r="O2595" t="s">
        <v>3235</v>
      </c>
    </row>
    <row r="2596" spans="1:15" x14ac:dyDescent="0.25">
      <c r="A2596">
        <v>2595</v>
      </c>
      <c r="B2596" t="str">
        <f>HYPERLINK("https://digitalcommons.unl.edu/cgi/viewcontent.cgi?article=1135&amp;context=tractormuseumlit","Click for test report")</f>
        <v>Click for test report</v>
      </c>
      <c r="C2596">
        <v>2001</v>
      </c>
      <c r="D2596" t="s">
        <v>3231</v>
      </c>
      <c r="F2596" t="s">
        <v>1136</v>
      </c>
      <c r="G2596" t="s">
        <v>3168</v>
      </c>
      <c r="H2596" t="s">
        <v>3232</v>
      </c>
      <c r="I2596" t="s">
        <v>50</v>
      </c>
      <c r="J2596" t="s">
        <v>348</v>
      </c>
      <c r="K2596" t="s">
        <v>21</v>
      </c>
      <c r="L2596" t="s">
        <v>1796</v>
      </c>
      <c r="O2596" t="s">
        <v>3233</v>
      </c>
    </row>
    <row r="2597" spans="1:15" x14ac:dyDescent="0.25">
      <c r="A2597">
        <v>2596</v>
      </c>
      <c r="B2597" t="str">
        <f>HYPERLINK("https://digitalcommons.unl.edu/cgi/viewcontent.cgi?article=3330&amp;context=tractormuseumlit","Click for test report")</f>
        <v>Click for test report</v>
      </c>
      <c r="C2597">
        <v>2001</v>
      </c>
      <c r="D2597" t="s">
        <v>3226</v>
      </c>
      <c r="F2597" t="s">
        <v>1136</v>
      </c>
      <c r="G2597" t="s">
        <v>111</v>
      </c>
      <c r="H2597" t="s">
        <v>3229</v>
      </c>
      <c r="I2597" t="s">
        <v>19</v>
      </c>
      <c r="J2597" t="s">
        <v>20</v>
      </c>
      <c r="K2597" t="s">
        <v>21</v>
      </c>
      <c r="L2597" t="s">
        <v>339</v>
      </c>
      <c r="O2597" t="s">
        <v>3230</v>
      </c>
    </row>
    <row r="2598" spans="1:15" x14ac:dyDescent="0.25">
      <c r="A2598">
        <v>2597</v>
      </c>
      <c r="B2598" t="str">
        <f>HYPERLINK("https://digitalcommons.unl.edu/cgi/viewcontent.cgi?article=3330&amp;context=tractormuseumlit","Click for test report")</f>
        <v>Click for test report</v>
      </c>
      <c r="C2598">
        <v>2001</v>
      </c>
      <c r="D2598" t="s">
        <v>3226</v>
      </c>
      <c r="F2598" t="s">
        <v>1136</v>
      </c>
      <c r="G2598" t="s">
        <v>3168</v>
      </c>
      <c r="H2598" t="s">
        <v>3227</v>
      </c>
      <c r="I2598" t="s">
        <v>19</v>
      </c>
      <c r="J2598" t="s">
        <v>20</v>
      </c>
      <c r="K2598" t="s">
        <v>21</v>
      </c>
      <c r="L2598" t="s">
        <v>339</v>
      </c>
      <c r="O2598" t="s">
        <v>3228</v>
      </c>
    </row>
    <row r="2599" spans="1:15" x14ac:dyDescent="0.25">
      <c r="A2599">
        <v>2598</v>
      </c>
      <c r="B2599" t="str">
        <f>HYPERLINK("https://digitalcommons.unl.edu/cgi/viewcontent.cgi?article=1130&amp;context=tractormuseumlit","Click for test report")</f>
        <v>Click for test report</v>
      </c>
      <c r="C2599">
        <v>2001</v>
      </c>
      <c r="D2599" t="s">
        <v>3221</v>
      </c>
      <c r="F2599" t="s">
        <v>1136</v>
      </c>
      <c r="G2599" t="s">
        <v>111</v>
      </c>
      <c r="H2599" t="s">
        <v>3224</v>
      </c>
      <c r="I2599" t="s">
        <v>50</v>
      </c>
      <c r="J2599" t="s">
        <v>348</v>
      </c>
      <c r="K2599" t="s">
        <v>21</v>
      </c>
      <c r="L2599" t="s">
        <v>1347</v>
      </c>
      <c r="O2599" t="s">
        <v>3225</v>
      </c>
    </row>
    <row r="2600" spans="1:15" x14ac:dyDescent="0.25">
      <c r="A2600">
        <v>2599</v>
      </c>
      <c r="B2600" t="str">
        <f>HYPERLINK("https://digitalcommons.unl.edu/cgi/viewcontent.cgi?article=1130&amp;context=tractormuseumlit","Click for test report")</f>
        <v>Click for test report</v>
      </c>
      <c r="C2600">
        <v>2001</v>
      </c>
      <c r="D2600" t="s">
        <v>3221</v>
      </c>
      <c r="F2600" t="s">
        <v>1136</v>
      </c>
      <c r="G2600" t="s">
        <v>3168</v>
      </c>
      <c r="H2600" t="s">
        <v>3222</v>
      </c>
      <c r="I2600" t="s">
        <v>50</v>
      </c>
      <c r="J2600" t="s">
        <v>348</v>
      </c>
      <c r="K2600" t="s">
        <v>21</v>
      </c>
      <c r="L2600" t="s">
        <v>1347</v>
      </c>
      <c r="O2600" t="s">
        <v>3223</v>
      </c>
    </row>
    <row r="2601" spans="1:15" x14ac:dyDescent="0.25">
      <c r="A2601">
        <v>2600</v>
      </c>
      <c r="B2601" t="str">
        <f>HYPERLINK("https://digitalcommons.unl.edu/cgi/viewcontent.cgi?article=4344&amp;context=tractormuseumlit","Click for test report")</f>
        <v>Click for test report</v>
      </c>
      <c r="C2601">
        <v>2001</v>
      </c>
      <c r="D2601" t="s">
        <v>3217</v>
      </c>
      <c r="E2601" t="s">
        <v>3218</v>
      </c>
      <c r="F2601" t="s">
        <v>1136</v>
      </c>
      <c r="G2601" t="s">
        <v>3168</v>
      </c>
      <c r="H2601" t="s">
        <v>3219</v>
      </c>
      <c r="I2601" t="s">
        <v>19</v>
      </c>
      <c r="J2601" t="s">
        <v>20</v>
      </c>
      <c r="K2601" t="s">
        <v>21</v>
      </c>
      <c r="L2601" t="s">
        <v>558</v>
      </c>
      <c r="N2601" t="s">
        <v>339</v>
      </c>
      <c r="O2601" t="s">
        <v>3220</v>
      </c>
    </row>
    <row r="2602" spans="1:15" x14ac:dyDescent="0.25">
      <c r="A2602">
        <v>2601</v>
      </c>
      <c r="B2602" t="str">
        <f>HYPERLINK("https://digitalcommons.unl.edu/cgi/viewcontent.cgi?article=3333&amp;context=tractormuseumlit","Click for test report")</f>
        <v>Click for test report</v>
      </c>
      <c r="C2602">
        <v>2001</v>
      </c>
      <c r="D2602" t="s">
        <v>3211</v>
      </c>
      <c r="E2602" t="s">
        <v>3212</v>
      </c>
      <c r="F2602" t="s">
        <v>111</v>
      </c>
      <c r="G2602" t="s">
        <v>111</v>
      </c>
      <c r="H2602" t="s">
        <v>3215</v>
      </c>
      <c r="I2602" t="s">
        <v>28</v>
      </c>
      <c r="J2602" t="s">
        <v>20</v>
      </c>
      <c r="K2602" t="s">
        <v>21</v>
      </c>
      <c r="L2602" t="s">
        <v>315</v>
      </c>
      <c r="N2602" t="s">
        <v>909</v>
      </c>
      <c r="O2602" t="s">
        <v>3216</v>
      </c>
    </row>
    <row r="2603" spans="1:15" x14ac:dyDescent="0.25">
      <c r="A2603">
        <v>2602</v>
      </c>
      <c r="B2603" t="str">
        <f>HYPERLINK("https://digitalcommons.unl.edu/cgi/viewcontent.cgi?article=3333&amp;context=tractormuseumlit","Click for test report")</f>
        <v>Click for test report</v>
      </c>
      <c r="C2603">
        <v>2001</v>
      </c>
      <c r="D2603" t="s">
        <v>3211</v>
      </c>
      <c r="E2603" t="s">
        <v>3212</v>
      </c>
      <c r="F2603" t="s">
        <v>111</v>
      </c>
      <c r="G2603" t="s">
        <v>3168</v>
      </c>
      <c r="H2603" t="s">
        <v>3213</v>
      </c>
      <c r="I2603" t="s">
        <v>28</v>
      </c>
      <c r="J2603" t="s">
        <v>20</v>
      </c>
      <c r="K2603" t="s">
        <v>21</v>
      </c>
      <c r="L2603" t="s">
        <v>315</v>
      </c>
      <c r="N2603" t="s">
        <v>909</v>
      </c>
      <c r="O2603" t="s">
        <v>3214</v>
      </c>
    </row>
    <row r="2604" spans="1:15" x14ac:dyDescent="0.25">
      <c r="A2604">
        <v>2603</v>
      </c>
      <c r="B2604" t="str">
        <f>HYPERLINK("https://digitalcommons.unl.edu/cgi/viewcontent.cgi?article=4345&amp;context=tractormuseumlit","Click for test report")</f>
        <v>Click for test report</v>
      </c>
      <c r="C2604">
        <v>2001</v>
      </c>
      <c r="D2604" t="s">
        <v>3205</v>
      </c>
      <c r="E2604" t="s">
        <v>3206</v>
      </c>
      <c r="F2604" t="s">
        <v>111</v>
      </c>
      <c r="G2604" t="s">
        <v>111</v>
      </c>
      <c r="H2604" t="s">
        <v>3209</v>
      </c>
      <c r="I2604" t="s">
        <v>28</v>
      </c>
      <c r="J2604" t="s">
        <v>20</v>
      </c>
      <c r="K2604" t="s">
        <v>21</v>
      </c>
      <c r="L2604" t="s">
        <v>434</v>
      </c>
      <c r="N2604" t="s">
        <v>1041</v>
      </c>
      <c r="O2604" t="s">
        <v>3210</v>
      </c>
    </row>
    <row r="2605" spans="1:15" x14ac:dyDescent="0.25">
      <c r="A2605">
        <v>2604</v>
      </c>
      <c r="B2605" t="str">
        <f>HYPERLINK("https://digitalcommons.unl.edu/cgi/viewcontent.cgi?article=4345&amp;context=tractormuseumlit","Click for test report")</f>
        <v>Click for test report</v>
      </c>
      <c r="C2605">
        <v>2001</v>
      </c>
      <c r="D2605" t="s">
        <v>3205</v>
      </c>
      <c r="E2605" t="s">
        <v>3206</v>
      </c>
      <c r="F2605" t="s">
        <v>111</v>
      </c>
      <c r="G2605" t="s">
        <v>3168</v>
      </c>
      <c r="H2605" t="s">
        <v>3207</v>
      </c>
      <c r="I2605" t="s">
        <v>28</v>
      </c>
      <c r="J2605" t="s">
        <v>20</v>
      </c>
      <c r="K2605" t="s">
        <v>21</v>
      </c>
      <c r="L2605" t="s">
        <v>434</v>
      </c>
      <c r="N2605" t="s">
        <v>1041</v>
      </c>
      <c r="O2605" t="s">
        <v>3208</v>
      </c>
    </row>
    <row r="2606" spans="1:15" x14ac:dyDescent="0.25">
      <c r="A2606">
        <v>2605</v>
      </c>
      <c r="B2606" t="str">
        <f>HYPERLINK("https://digitalcommons.unl.edu/cgi/viewcontent.cgi?article=1246&amp;context=tractormuseumlit","Click for test report")</f>
        <v>Click for test report</v>
      </c>
      <c r="C2606">
        <v>2001</v>
      </c>
      <c r="D2606" t="s">
        <v>3201</v>
      </c>
      <c r="E2606" t="s">
        <v>3202</v>
      </c>
      <c r="F2606" t="s">
        <v>478</v>
      </c>
      <c r="G2606" t="s">
        <v>135</v>
      </c>
      <c r="H2606" t="s">
        <v>3203</v>
      </c>
      <c r="I2606" t="s">
        <v>28</v>
      </c>
      <c r="J2606" t="s">
        <v>29</v>
      </c>
      <c r="K2606" t="s">
        <v>21</v>
      </c>
      <c r="L2606" t="s">
        <v>2113</v>
      </c>
      <c r="N2606" t="s">
        <v>981</v>
      </c>
      <c r="O2606" t="s">
        <v>3204</v>
      </c>
    </row>
    <row r="2607" spans="1:15" x14ac:dyDescent="0.25">
      <c r="A2607">
        <v>2606</v>
      </c>
      <c r="B2607" t="str">
        <f>HYPERLINK("https://digitalcommons.unl.edu/cgi/viewcontent.cgi?article=1247&amp;context=tractormuseumlit","Click for test report")</f>
        <v>Click for test report</v>
      </c>
      <c r="C2607">
        <v>2001</v>
      </c>
      <c r="D2607" t="s">
        <v>3196</v>
      </c>
      <c r="E2607" t="s">
        <v>3197</v>
      </c>
      <c r="F2607" t="s">
        <v>478</v>
      </c>
      <c r="G2607" t="s">
        <v>191</v>
      </c>
      <c r="H2607" t="s">
        <v>3200</v>
      </c>
      <c r="I2607" t="s">
        <v>28</v>
      </c>
      <c r="J2607" t="s">
        <v>29</v>
      </c>
      <c r="K2607" t="s">
        <v>21</v>
      </c>
      <c r="L2607" t="s">
        <v>2096</v>
      </c>
      <c r="N2607" t="s">
        <v>386</v>
      </c>
      <c r="O2607" t="s">
        <v>3199</v>
      </c>
    </row>
    <row r="2608" spans="1:15" x14ac:dyDescent="0.25">
      <c r="A2608">
        <v>2607</v>
      </c>
      <c r="B2608" t="str">
        <f>HYPERLINK("https://digitalcommons.unl.edu/cgi/viewcontent.cgi?article=1247&amp;context=tractormuseumlit","Click for test report")</f>
        <v>Click for test report</v>
      </c>
      <c r="C2608">
        <v>2001</v>
      </c>
      <c r="D2608" t="s">
        <v>3196</v>
      </c>
      <c r="E2608" t="s">
        <v>3197</v>
      </c>
      <c r="F2608" t="s">
        <v>478</v>
      </c>
      <c r="G2608" t="s">
        <v>135</v>
      </c>
      <c r="H2608" t="s">
        <v>3198</v>
      </c>
      <c r="I2608" t="s">
        <v>28</v>
      </c>
      <c r="J2608" t="s">
        <v>29</v>
      </c>
      <c r="K2608" t="s">
        <v>21</v>
      </c>
      <c r="L2608" t="s">
        <v>2096</v>
      </c>
      <c r="N2608" t="s">
        <v>386</v>
      </c>
      <c r="O2608" t="s">
        <v>3199</v>
      </c>
    </row>
    <row r="2609" spans="1:15" x14ac:dyDescent="0.25">
      <c r="A2609">
        <v>2608</v>
      </c>
      <c r="B2609" t="str">
        <f>HYPERLINK("https://digitalcommons.unl.edu/cgi/viewcontent.cgi?article=1248&amp;context=tractormuseumlit","Click for test report")</f>
        <v>Click for test report</v>
      </c>
      <c r="C2609">
        <v>2001</v>
      </c>
      <c r="D2609" t="s">
        <v>3191</v>
      </c>
      <c r="E2609" t="s">
        <v>3192</v>
      </c>
      <c r="F2609" t="s">
        <v>478</v>
      </c>
      <c r="G2609" t="s">
        <v>191</v>
      </c>
      <c r="H2609" t="s">
        <v>3193</v>
      </c>
      <c r="I2609" t="s">
        <v>28</v>
      </c>
      <c r="J2609" t="s">
        <v>80</v>
      </c>
      <c r="K2609" t="s">
        <v>21</v>
      </c>
      <c r="L2609" t="s">
        <v>3194</v>
      </c>
      <c r="N2609" t="s">
        <v>420</v>
      </c>
      <c r="O2609" t="s">
        <v>3195</v>
      </c>
    </row>
    <row r="2610" spans="1:15" x14ac:dyDescent="0.25">
      <c r="A2610">
        <v>2609</v>
      </c>
      <c r="B2610" t="str">
        <f>HYPERLINK("https://digitalcommons.unl.edu/cgi/viewcontent.cgi?article=1189&amp;context=tractormuseumlit","Click for test report")</f>
        <v>Click for test report</v>
      </c>
      <c r="C2610">
        <v>2001</v>
      </c>
      <c r="D2610" t="s">
        <v>3188</v>
      </c>
      <c r="F2610" t="s">
        <v>17</v>
      </c>
      <c r="G2610" t="s">
        <v>17</v>
      </c>
      <c r="H2610" t="s">
        <v>3189</v>
      </c>
      <c r="I2610" t="s">
        <v>1961</v>
      </c>
      <c r="J2610" t="s">
        <v>29</v>
      </c>
      <c r="K2610" t="s">
        <v>21</v>
      </c>
      <c r="L2610" t="s">
        <v>296</v>
      </c>
      <c r="O2610" t="s">
        <v>3190</v>
      </c>
    </row>
    <row r="2611" spans="1:15" x14ac:dyDescent="0.25">
      <c r="A2611">
        <v>2610</v>
      </c>
      <c r="B2611" t="str">
        <f>HYPERLINK("https://digitalcommons.unl.edu/cgi/viewcontent.cgi?article=1187&amp;context=tractormuseumlit","Click for test report")</f>
        <v>Click for test report</v>
      </c>
      <c r="C2611">
        <v>2001</v>
      </c>
      <c r="D2611" t="s">
        <v>3184</v>
      </c>
      <c r="E2611" t="s">
        <v>3185</v>
      </c>
      <c r="F2611" t="s">
        <v>17</v>
      </c>
      <c r="G2611" t="s">
        <v>17</v>
      </c>
      <c r="H2611" t="s">
        <v>3186</v>
      </c>
      <c r="I2611" t="s">
        <v>1961</v>
      </c>
      <c r="J2611" t="s">
        <v>96</v>
      </c>
      <c r="K2611" t="s">
        <v>21</v>
      </c>
      <c r="L2611" t="s">
        <v>429</v>
      </c>
      <c r="N2611" t="s">
        <v>3187</v>
      </c>
      <c r="O2611" t="s">
        <v>24</v>
      </c>
    </row>
    <row r="2612" spans="1:15" x14ac:dyDescent="0.25">
      <c r="A2612">
        <v>2611</v>
      </c>
      <c r="B2612" t="str">
        <f>HYPERLINK("https://digitalcommons.unl.edu/cgi/viewcontent.cgi?article=1183&amp;context=tractormuseumlit","Click for test report")</f>
        <v>Click for test report</v>
      </c>
      <c r="C2612">
        <v>2001</v>
      </c>
      <c r="D2612" t="s">
        <v>3056</v>
      </c>
      <c r="E2612" t="s">
        <v>3057</v>
      </c>
      <c r="F2612" t="s">
        <v>17</v>
      </c>
      <c r="G2612" t="s">
        <v>17</v>
      </c>
      <c r="H2612" t="s">
        <v>3183</v>
      </c>
      <c r="I2612" t="s">
        <v>1961</v>
      </c>
      <c r="J2612" t="s">
        <v>96</v>
      </c>
      <c r="K2612" t="s">
        <v>21</v>
      </c>
      <c r="L2612" t="s">
        <v>3059</v>
      </c>
      <c r="N2612" t="s">
        <v>40</v>
      </c>
      <c r="O2612" t="s">
        <v>32</v>
      </c>
    </row>
    <row r="2613" spans="1:15" x14ac:dyDescent="0.25">
      <c r="A2613">
        <v>2612</v>
      </c>
      <c r="B2613" t="str">
        <f>HYPERLINK("https://digitalcommons.unl.edu/cgi/viewcontent.cgi?article=3247&amp;context=tractormuseumlit","Click for test report")</f>
        <v>Click for test report</v>
      </c>
      <c r="C2613">
        <v>2001</v>
      </c>
      <c r="D2613" t="s">
        <v>3182</v>
      </c>
      <c r="F2613" t="s">
        <v>3181</v>
      </c>
      <c r="G2613" t="s">
        <v>778</v>
      </c>
      <c r="H2613" t="s">
        <v>376</v>
      </c>
      <c r="I2613" t="s">
        <v>50</v>
      </c>
      <c r="J2613" t="s">
        <v>20</v>
      </c>
      <c r="K2613" t="s">
        <v>21</v>
      </c>
      <c r="L2613" t="s">
        <v>407</v>
      </c>
      <c r="O2613" t="s">
        <v>24</v>
      </c>
    </row>
    <row r="2614" spans="1:15" x14ac:dyDescent="0.25">
      <c r="A2614">
        <v>2613</v>
      </c>
      <c r="B2614" t="str">
        <f>HYPERLINK("https://digitalcommons.unl.edu/cgi/viewcontent.cgi?article=3248&amp;context=tractormuseumlit","Click for test report")</f>
        <v>Click for test report</v>
      </c>
      <c r="C2614">
        <v>2001</v>
      </c>
      <c r="D2614" t="s">
        <v>3180</v>
      </c>
      <c r="F2614" t="s">
        <v>3181</v>
      </c>
      <c r="G2614" t="s">
        <v>778</v>
      </c>
      <c r="H2614" t="s">
        <v>302</v>
      </c>
      <c r="I2614" t="s">
        <v>50</v>
      </c>
      <c r="J2614" t="s">
        <v>20</v>
      </c>
      <c r="K2614" t="s">
        <v>21</v>
      </c>
      <c r="L2614" t="s">
        <v>353</v>
      </c>
      <c r="O2614" t="s">
        <v>24</v>
      </c>
    </row>
    <row r="2615" spans="1:15" x14ac:dyDescent="0.25">
      <c r="A2615">
        <v>2614</v>
      </c>
      <c r="B2615" t="str">
        <f>HYPERLINK("https://digitalcommons.unl.edu/cgi/viewcontent.cgi?article=4311&amp;context=tractormuseumlit","Click for test report")</f>
        <v>Click for test report</v>
      </c>
      <c r="C2615">
        <v>2001</v>
      </c>
      <c r="D2615" t="s">
        <v>3173</v>
      </c>
      <c r="E2615" t="s">
        <v>3174</v>
      </c>
      <c r="F2615" t="s">
        <v>1136</v>
      </c>
      <c r="G2615" t="s">
        <v>111</v>
      </c>
      <c r="H2615" t="s">
        <v>3178</v>
      </c>
      <c r="I2615" t="s">
        <v>28</v>
      </c>
      <c r="J2615" t="s">
        <v>20</v>
      </c>
      <c r="K2615" t="s">
        <v>21</v>
      </c>
      <c r="L2615" t="s">
        <v>114</v>
      </c>
      <c r="N2615" t="s">
        <v>1240</v>
      </c>
      <c r="O2615" t="s">
        <v>3179</v>
      </c>
    </row>
    <row r="2616" spans="1:15" x14ac:dyDescent="0.25">
      <c r="A2616">
        <v>2615</v>
      </c>
      <c r="B2616" t="str">
        <f>HYPERLINK("https://digitalcommons.unl.edu/cgi/viewcontent.cgi?article=4311&amp;context=tractormuseumlit","Click for test report")</f>
        <v>Click for test report</v>
      </c>
      <c r="C2616">
        <v>2001</v>
      </c>
      <c r="D2616" t="s">
        <v>3173</v>
      </c>
      <c r="E2616" t="s">
        <v>3174</v>
      </c>
      <c r="F2616" t="s">
        <v>111</v>
      </c>
      <c r="G2616" t="s">
        <v>3168</v>
      </c>
      <c r="H2616" t="s">
        <v>3176</v>
      </c>
      <c r="I2616" t="s">
        <v>28</v>
      </c>
      <c r="J2616" t="s">
        <v>20</v>
      </c>
      <c r="K2616" t="s">
        <v>21</v>
      </c>
      <c r="L2616" t="s">
        <v>114</v>
      </c>
      <c r="N2616" t="s">
        <v>1240</v>
      </c>
      <c r="O2616" t="s">
        <v>3177</v>
      </c>
    </row>
    <row r="2617" spans="1:15" x14ac:dyDescent="0.25">
      <c r="A2617">
        <v>2616</v>
      </c>
      <c r="B2617" t="str">
        <f>HYPERLINK("https://digitalcommons.unl.edu/cgi/viewcontent.cgi?article=4311&amp;context=tractormuseumlit","Click for test report")</f>
        <v>Click for test report</v>
      </c>
      <c r="C2617">
        <v>2001</v>
      </c>
      <c r="D2617" t="s">
        <v>3173</v>
      </c>
      <c r="E2617" t="s">
        <v>3174</v>
      </c>
      <c r="F2617" t="s">
        <v>111</v>
      </c>
      <c r="G2617" t="s">
        <v>3166</v>
      </c>
      <c r="H2617" t="s">
        <v>3175</v>
      </c>
      <c r="I2617" t="s">
        <v>28</v>
      </c>
      <c r="J2617" t="s">
        <v>20</v>
      </c>
      <c r="K2617" t="s">
        <v>21</v>
      </c>
      <c r="L2617" t="s">
        <v>114</v>
      </c>
      <c r="N2617" t="s">
        <v>1240</v>
      </c>
      <c r="O2617" t="s">
        <v>24</v>
      </c>
    </row>
    <row r="2618" spans="1:15" x14ac:dyDescent="0.25">
      <c r="A2618">
        <v>2617</v>
      </c>
      <c r="B2618" t="str">
        <f>HYPERLINK("https://digitalcommons.unl.edu/cgi/viewcontent.cgi?article=3331&amp;context=tractormuseumlit","Click for test report")</f>
        <v>Click for test report</v>
      </c>
      <c r="C2618">
        <v>2001</v>
      </c>
      <c r="D2618" t="s">
        <v>3164</v>
      </c>
      <c r="E2618" t="s">
        <v>3165</v>
      </c>
      <c r="F2618" t="s">
        <v>1136</v>
      </c>
      <c r="G2618" t="s">
        <v>111</v>
      </c>
      <c r="H2618" t="s">
        <v>3171</v>
      </c>
      <c r="I2618" t="s">
        <v>28</v>
      </c>
      <c r="J2618" t="s">
        <v>20</v>
      </c>
      <c r="K2618" t="s">
        <v>21</v>
      </c>
      <c r="L2618" t="s">
        <v>166</v>
      </c>
      <c r="N2618" t="s">
        <v>75</v>
      </c>
      <c r="O2618" t="s">
        <v>3172</v>
      </c>
    </row>
    <row r="2619" spans="1:15" x14ac:dyDescent="0.25">
      <c r="A2619">
        <v>2618</v>
      </c>
      <c r="B2619" t="str">
        <f>HYPERLINK("https://digitalcommons.unl.edu/cgi/viewcontent.cgi?article=3331&amp;context=tractormuseumlit","Click for test report")</f>
        <v>Click for test report</v>
      </c>
      <c r="C2619">
        <v>2001</v>
      </c>
      <c r="D2619" t="s">
        <v>3164</v>
      </c>
      <c r="E2619" t="s">
        <v>3165</v>
      </c>
      <c r="F2619" t="s">
        <v>111</v>
      </c>
      <c r="G2619" t="s">
        <v>3168</v>
      </c>
      <c r="H2619" t="s">
        <v>3169</v>
      </c>
      <c r="I2619" t="s">
        <v>28</v>
      </c>
      <c r="J2619" t="s">
        <v>20</v>
      </c>
      <c r="K2619" t="s">
        <v>21</v>
      </c>
      <c r="L2619" t="s">
        <v>166</v>
      </c>
      <c r="N2619" t="s">
        <v>75</v>
      </c>
      <c r="O2619" t="s">
        <v>3170</v>
      </c>
    </row>
    <row r="2620" spans="1:15" x14ac:dyDescent="0.25">
      <c r="A2620">
        <v>2619</v>
      </c>
      <c r="B2620" t="str">
        <f>HYPERLINK("https://digitalcommons.unl.edu/cgi/viewcontent.cgi?article=3331&amp;context=tractormuseumlit","Click for test report")</f>
        <v>Click for test report</v>
      </c>
      <c r="C2620">
        <v>2001</v>
      </c>
      <c r="D2620" t="s">
        <v>3164</v>
      </c>
      <c r="E2620" t="s">
        <v>3165</v>
      </c>
      <c r="F2620" t="s">
        <v>111</v>
      </c>
      <c r="G2620" t="s">
        <v>3166</v>
      </c>
      <c r="H2620" t="s">
        <v>3167</v>
      </c>
      <c r="I2620" t="s">
        <v>28</v>
      </c>
      <c r="J2620" t="s">
        <v>20</v>
      </c>
      <c r="K2620" t="s">
        <v>21</v>
      </c>
      <c r="L2620" t="s">
        <v>166</v>
      </c>
      <c r="N2620" t="s">
        <v>75</v>
      </c>
      <c r="O2620" t="s">
        <v>24</v>
      </c>
    </row>
    <row r="2621" spans="1:15" x14ac:dyDescent="0.25">
      <c r="A2621">
        <v>2620</v>
      </c>
      <c r="B2621" t="str">
        <f>HYPERLINK("https://digitalcommons.unl.edu/cgi/viewcontent.cgi?article=1244&amp;context=tractormuseumlit","Click for test report")</f>
        <v>Click for test report</v>
      </c>
      <c r="C2621">
        <v>2001</v>
      </c>
      <c r="D2621" t="s">
        <v>3159</v>
      </c>
      <c r="E2621" t="s">
        <v>3160</v>
      </c>
      <c r="F2621" t="s">
        <v>478</v>
      </c>
      <c r="G2621" t="s">
        <v>191</v>
      </c>
      <c r="H2621" t="s">
        <v>3163</v>
      </c>
      <c r="I2621" t="s">
        <v>28</v>
      </c>
      <c r="J2621" t="s">
        <v>29</v>
      </c>
      <c r="K2621" t="s">
        <v>21</v>
      </c>
      <c r="L2621" t="s">
        <v>1182</v>
      </c>
      <c r="N2621" t="s">
        <v>813</v>
      </c>
      <c r="O2621" t="s">
        <v>24</v>
      </c>
    </row>
    <row r="2622" spans="1:15" x14ac:dyDescent="0.25">
      <c r="A2622">
        <v>2621</v>
      </c>
      <c r="B2622" t="str">
        <f>HYPERLINK("https://digitalcommons.unl.edu/cgi/viewcontent.cgi?article=1244&amp;context=tractormuseumlit","Click for test report")</f>
        <v>Click for test report</v>
      </c>
      <c r="C2622">
        <v>2001</v>
      </c>
      <c r="D2622" t="s">
        <v>3159</v>
      </c>
      <c r="E2622" t="s">
        <v>3160</v>
      </c>
      <c r="F2622" t="s">
        <v>478</v>
      </c>
      <c r="G2622" t="s">
        <v>135</v>
      </c>
      <c r="H2622" t="s">
        <v>3161</v>
      </c>
      <c r="I2622" t="s">
        <v>28</v>
      </c>
      <c r="J2622" t="s">
        <v>29</v>
      </c>
      <c r="K2622" t="s">
        <v>21</v>
      </c>
      <c r="L2622" t="s">
        <v>1182</v>
      </c>
      <c r="N2622" t="s">
        <v>813</v>
      </c>
      <c r="O2622" t="s">
        <v>3162</v>
      </c>
    </row>
    <row r="2623" spans="1:15" x14ac:dyDescent="0.25">
      <c r="A2623">
        <v>2622</v>
      </c>
      <c r="B2623" t="str">
        <f>HYPERLINK("https://digitalcommons.unl.edu/cgi/viewcontent.cgi?article=1245&amp;context=tractormuseumlit","Click for test report")</f>
        <v>Click for test report</v>
      </c>
      <c r="C2623">
        <v>2001</v>
      </c>
      <c r="D2623" t="s">
        <v>3154</v>
      </c>
      <c r="E2623" t="s">
        <v>3155</v>
      </c>
      <c r="F2623" t="s">
        <v>478</v>
      </c>
      <c r="G2623" t="s">
        <v>191</v>
      </c>
      <c r="H2623" t="s">
        <v>3158</v>
      </c>
      <c r="I2623" t="s">
        <v>28</v>
      </c>
      <c r="J2623" t="s">
        <v>29</v>
      </c>
      <c r="K2623" t="s">
        <v>21</v>
      </c>
      <c r="L2623" t="s">
        <v>1309</v>
      </c>
      <c r="N2623" t="s">
        <v>1181</v>
      </c>
      <c r="O2623" t="s">
        <v>24</v>
      </c>
    </row>
    <row r="2624" spans="1:15" x14ac:dyDescent="0.25">
      <c r="A2624">
        <v>2623</v>
      </c>
      <c r="B2624" t="str">
        <f>HYPERLINK("https://digitalcommons.unl.edu/cgi/viewcontent.cgi?article=1245&amp;context=tractormuseumlit","Click for test report")</f>
        <v>Click for test report</v>
      </c>
      <c r="C2624">
        <v>2001</v>
      </c>
      <c r="D2624" t="s">
        <v>3154</v>
      </c>
      <c r="E2624" t="s">
        <v>3155</v>
      </c>
      <c r="F2624" t="s">
        <v>478</v>
      </c>
      <c r="G2624" t="s">
        <v>135</v>
      </c>
      <c r="H2624" t="s">
        <v>3156</v>
      </c>
      <c r="I2624" t="s">
        <v>28</v>
      </c>
      <c r="J2624" t="s">
        <v>29</v>
      </c>
      <c r="K2624" t="s">
        <v>21</v>
      </c>
      <c r="L2624" t="s">
        <v>1309</v>
      </c>
      <c r="N2624" t="s">
        <v>1181</v>
      </c>
      <c r="O2624" t="s">
        <v>3157</v>
      </c>
    </row>
    <row r="2625" spans="1:15" x14ac:dyDescent="0.25">
      <c r="A2625">
        <v>2624</v>
      </c>
      <c r="B2625" t="str">
        <f>HYPERLINK("https://digitalcommons.unl.edu/cgi/viewcontent.cgi?article=3284&amp;context=tractormuseumlit","Click for test report")</f>
        <v>Click for test report</v>
      </c>
      <c r="C2625">
        <v>2002</v>
      </c>
      <c r="E2625" t="s">
        <v>3150</v>
      </c>
      <c r="F2625" t="s">
        <v>2986</v>
      </c>
      <c r="G2625" t="s">
        <v>778</v>
      </c>
      <c r="H2625" t="s">
        <v>3151</v>
      </c>
      <c r="I2625" t="s">
        <v>50</v>
      </c>
      <c r="J2625" t="s">
        <v>20</v>
      </c>
      <c r="K2625" t="s">
        <v>21</v>
      </c>
      <c r="L2625" t="s">
        <v>1994</v>
      </c>
      <c r="N2625" t="s">
        <v>3152</v>
      </c>
      <c r="O2625" t="s">
        <v>3153</v>
      </c>
    </row>
    <row r="2626" spans="1:15" x14ac:dyDescent="0.25">
      <c r="A2626">
        <v>2625</v>
      </c>
      <c r="B2626" t="str">
        <f>HYPERLINK("https://digitalcommons.unl.edu/cgi/viewcontent.cgi?article=3286&amp;context=tractormuseumlit","Click for test report")</f>
        <v>Click for test report</v>
      </c>
      <c r="C2626">
        <v>2002</v>
      </c>
      <c r="E2626" t="s">
        <v>3147</v>
      </c>
      <c r="F2626" t="s">
        <v>2986</v>
      </c>
      <c r="G2626" t="s">
        <v>778</v>
      </c>
      <c r="H2626" t="s">
        <v>3148</v>
      </c>
      <c r="I2626" t="s">
        <v>50</v>
      </c>
      <c r="J2626" t="s">
        <v>20</v>
      </c>
      <c r="K2626" t="s">
        <v>21</v>
      </c>
      <c r="L2626" t="s">
        <v>743</v>
      </c>
      <c r="N2626" t="s">
        <v>728</v>
      </c>
      <c r="O2626" t="s">
        <v>3149</v>
      </c>
    </row>
    <row r="2627" spans="1:15" x14ac:dyDescent="0.25">
      <c r="A2627">
        <v>2626</v>
      </c>
      <c r="B2627" t="str">
        <f>HYPERLINK("https://digitalcommons.unl.edu/cgi/viewcontent.cgi?article=3238&amp;context=tractormuseumlit","Click for test report")</f>
        <v>Click for test report</v>
      </c>
      <c r="C2627">
        <v>2002</v>
      </c>
      <c r="E2627" t="s">
        <v>3144</v>
      </c>
      <c r="F2627" t="s">
        <v>2986</v>
      </c>
      <c r="G2627" t="s">
        <v>778</v>
      </c>
      <c r="H2627" t="s">
        <v>3145</v>
      </c>
      <c r="I2627" t="s">
        <v>50</v>
      </c>
      <c r="J2627" t="s">
        <v>20</v>
      </c>
      <c r="K2627" t="s">
        <v>21</v>
      </c>
      <c r="L2627" t="s">
        <v>46</v>
      </c>
      <c r="N2627" t="s">
        <v>746</v>
      </c>
      <c r="O2627" t="s">
        <v>3146</v>
      </c>
    </row>
    <row r="2628" spans="1:15" x14ac:dyDescent="0.25">
      <c r="A2628">
        <v>2627</v>
      </c>
      <c r="B2628" t="str">
        <f>HYPERLINK("https://digitalcommons.unl.edu/cgi/viewcontent.cgi?article=3829&amp;context=tractormuseumlit","Click for test report")</f>
        <v>Click for test report</v>
      </c>
      <c r="C2628">
        <v>2002</v>
      </c>
      <c r="E2628" t="s">
        <v>3141</v>
      </c>
      <c r="F2628" t="s">
        <v>2986</v>
      </c>
      <c r="G2628" t="s">
        <v>778</v>
      </c>
      <c r="H2628" t="s">
        <v>3142</v>
      </c>
      <c r="I2628" t="s">
        <v>50</v>
      </c>
      <c r="J2628" t="s">
        <v>20</v>
      </c>
      <c r="K2628" t="s">
        <v>21</v>
      </c>
      <c r="L2628" t="s">
        <v>247</v>
      </c>
      <c r="N2628" t="s">
        <v>1371</v>
      </c>
      <c r="O2628" t="s">
        <v>3143</v>
      </c>
    </row>
    <row r="2629" spans="1:15" x14ac:dyDescent="0.25">
      <c r="A2629">
        <v>2628</v>
      </c>
      <c r="B2629" t="str">
        <f>HYPERLINK("https://digitalcommons.unl.edu/cgi/viewcontent.cgi?article=3833&amp;context=tractormuseumlit","Click for test report")</f>
        <v>Click for test report</v>
      </c>
      <c r="C2629">
        <v>2002</v>
      </c>
      <c r="E2629" t="s">
        <v>2958</v>
      </c>
      <c r="F2629" t="s">
        <v>2946</v>
      </c>
      <c r="G2629" t="s">
        <v>2537</v>
      </c>
      <c r="H2629" t="s">
        <v>3140</v>
      </c>
      <c r="I2629" t="s">
        <v>1961</v>
      </c>
      <c r="J2629" t="s">
        <v>20</v>
      </c>
      <c r="K2629" t="s">
        <v>21</v>
      </c>
      <c r="L2629" t="s">
        <v>731</v>
      </c>
      <c r="N2629" t="s">
        <v>735</v>
      </c>
      <c r="O2629" t="s">
        <v>2960</v>
      </c>
    </row>
    <row r="2630" spans="1:15" x14ac:dyDescent="0.25">
      <c r="A2630">
        <v>2629</v>
      </c>
      <c r="B2630" t="str">
        <f>HYPERLINK("https://digitalcommons.unl.edu/cgi/viewcontent.cgi?article=3833&amp;context=tractormuseumlit","Click for test report")</f>
        <v>Click for test report</v>
      </c>
      <c r="C2630">
        <v>2002</v>
      </c>
      <c r="E2630" t="s">
        <v>2958</v>
      </c>
      <c r="F2630" t="s">
        <v>2946</v>
      </c>
      <c r="G2630" t="s">
        <v>2537</v>
      </c>
      <c r="H2630" t="s">
        <v>3139</v>
      </c>
      <c r="I2630" t="s">
        <v>1961</v>
      </c>
      <c r="J2630" t="s">
        <v>20</v>
      </c>
      <c r="K2630" t="s">
        <v>21</v>
      </c>
      <c r="L2630" t="s">
        <v>731</v>
      </c>
      <c r="N2630" t="s">
        <v>735</v>
      </c>
      <c r="O2630" t="s">
        <v>2960</v>
      </c>
    </row>
    <row r="2631" spans="1:15" x14ac:dyDescent="0.25">
      <c r="A2631">
        <v>2630</v>
      </c>
      <c r="B2631" t="str">
        <f>HYPERLINK("https://digitalcommons.unl.edu/cgi/viewcontent.cgi?article=3834&amp;context=tractormuseumlit","Click for test report")</f>
        <v>Click for test report</v>
      </c>
      <c r="C2631">
        <v>2002</v>
      </c>
      <c r="E2631" t="s">
        <v>2954</v>
      </c>
      <c r="F2631" t="s">
        <v>2946</v>
      </c>
      <c r="G2631" t="s">
        <v>2537</v>
      </c>
      <c r="H2631" t="s">
        <v>3138</v>
      </c>
      <c r="I2631" t="s">
        <v>1961</v>
      </c>
      <c r="J2631" t="s">
        <v>20</v>
      </c>
      <c r="K2631" t="s">
        <v>21</v>
      </c>
      <c r="L2631" t="s">
        <v>764</v>
      </c>
      <c r="N2631" t="s">
        <v>731</v>
      </c>
      <c r="O2631" t="s">
        <v>2956</v>
      </c>
    </row>
    <row r="2632" spans="1:15" x14ac:dyDescent="0.25">
      <c r="A2632">
        <v>2631</v>
      </c>
      <c r="B2632" t="str">
        <f>HYPERLINK("https://digitalcommons.unl.edu/cgi/viewcontent.cgi?article=3834&amp;context=tractormuseumlit","Click for test report")</f>
        <v>Click for test report</v>
      </c>
      <c r="C2632">
        <v>2002</v>
      </c>
      <c r="E2632" t="s">
        <v>2954</v>
      </c>
      <c r="F2632" t="s">
        <v>2946</v>
      </c>
      <c r="G2632" t="s">
        <v>2537</v>
      </c>
      <c r="H2632" t="s">
        <v>3137</v>
      </c>
      <c r="I2632" t="s">
        <v>1961</v>
      </c>
      <c r="J2632" t="s">
        <v>20</v>
      </c>
      <c r="K2632" t="s">
        <v>21</v>
      </c>
      <c r="L2632" t="s">
        <v>764</v>
      </c>
      <c r="N2632" t="s">
        <v>731</v>
      </c>
      <c r="O2632" t="s">
        <v>2956</v>
      </c>
    </row>
    <row r="2633" spans="1:15" x14ac:dyDescent="0.25">
      <c r="A2633">
        <v>2632</v>
      </c>
      <c r="B2633" t="str">
        <f>HYPERLINK("https://digitalcommons.unl.edu/cgi/viewcontent.cgi?article=3835&amp;context=tractormuseumlit","Click for test report")</f>
        <v>Click for test report</v>
      </c>
      <c r="C2633">
        <v>2002</v>
      </c>
      <c r="E2633" t="s">
        <v>2950</v>
      </c>
      <c r="F2633" t="s">
        <v>2946</v>
      </c>
      <c r="G2633" t="s">
        <v>2537</v>
      </c>
      <c r="H2633" t="s">
        <v>3136</v>
      </c>
      <c r="I2633" t="s">
        <v>1961</v>
      </c>
      <c r="J2633" t="s">
        <v>20</v>
      </c>
      <c r="K2633" t="s">
        <v>21</v>
      </c>
      <c r="L2633" t="s">
        <v>746</v>
      </c>
      <c r="N2633" t="s">
        <v>2747</v>
      </c>
      <c r="O2633" t="s">
        <v>2952</v>
      </c>
    </row>
    <row r="2634" spans="1:15" x14ac:dyDescent="0.25">
      <c r="A2634">
        <v>2633</v>
      </c>
      <c r="B2634" t="str">
        <f>HYPERLINK("https://digitalcommons.unl.edu/cgi/viewcontent.cgi?article=3835&amp;context=tractormuseumlit","Click for test report")</f>
        <v>Click for test report</v>
      </c>
      <c r="C2634">
        <v>2002</v>
      </c>
      <c r="E2634" t="s">
        <v>2950</v>
      </c>
      <c r="F2634" t="s">
        <v>2946</v>
      </c>
      <c r="G2634" t="s">
        <v>2537</v>
      </c>
      <c r="H2634" t="s">
        <v>3135</v>
      </c>
      <c r="I2634" t="s">
        <v>1961</v>
      </c>
      <c r="J2634" t="s">
        <v>20</v>
      </c>
      <c r="K2634" t="s">
        <v>21</v>
      </c>
      <c r="L2634" t="s">
        <v>746</v>
      </c>
      <c r="N2634" t="s">
        <v>2747</v>
      </c>
      <c r="O2634" t="s">
        <v>2952</v>
      </c>
    </row>
    <row r="2635" spans="1:15" x14ac:dyDescent="0.25">
      <c r="A2635">
        <v>2634</v>
      </c>
      <c r="B2635" t="str">
        <f>HYPERLINK("https://digitalcommons.unl.edu/cgi/viewcontent.cgi?article=3836&amp;context=tractormuseumlit","Click for test report")</f>
        <v>Click for test report</v>
      </c>
      <c r="C2635">
        <v>2002</v>
      </c>
      <c r="E2635" t="s">
        <v>2945</v>
      </c>
      <c r="F2635" t="s">
        <v>2946</v>
      </c>
      <c r="G2635" t="s">
        <v>2537</v>
      </c>
      <c r="H2635" t="s">
        <v>3134</v>
      </c>
      <c r="I2635" t="s">
        <v>1961</v>
      </c>
      <c r="J2635" t="s">
        <v>20</v>
      </c>
      <c r="K2635" t="s">
        <v>21</v>
      </c>
      <c r="L2635" t="s">
        <v>55</v>
      </c>
      <c r="N2635" t="s">
        <v>1867</v>
      </c>
      <c r="O2635" t="s">
        <v>2948</v>
      </c>
    </row>
    <row r="2636" spans="1:15" x14ac:dyDescent="0.25">
      <c r="A2636">
        <v>2635</v>
      </c>
      <c r="B2636" t="str">
        <f>HYPERLINK("https://digitalcommons.unl.edu/cgi/viewcontent.cgi?article=3836&amp;context=tractormuseumlit","Click for test report")</f>
        <v>Click for test report</v>
      </c>
      <c r="C2636">
        <v>2002</v>
      </c>
      <c r="E2636" t="s">
        <v>2945</v>
      </c>
      <c r="F2636" t="s">
        <v>2946</v>
      </c>
      <c r="G2636" t="s">
        <v>2537</v>
      </c>
      <c r="H2636" t="s">
        <v>3133</v>
      </c>
      <c r="I2636" t="s">
        <v>1961</v>
      </c>
      <c r="J2636" t="s">
        <v>20</v>
      </c>
      <c r="K2636" t="s">
        <v>21</v>
      </c>
      <c r="L2636" t="s">
        <v>55</v>
      </c>
      <c r="N2636" t="s">
        <v>1867</v>
      </c>
      <c r="O2636" t="s">
        <v>2948</v>
      </c>
    </row>
    <row r="2637" spans="1:15" x14ac:dyDescent="0.25">
      <c r="A2637">
        <v>2636</v>
      </c>
      <c r="B2637" t="str">
        <f>HYPERLINK("https://digitalcommons.unl.edu/cgi/viewcontent.cgi?article=3276&amp;context=tractormuseumlit","Click for test report")</f>
        <v>Click for test report</v>
      </c>
      <c r="C2637">
        <v>2002</v>
      </c>
      <c r="E2637" t="s">
        <v>3130</v>
      </c>
      <c r="F2637" t="s">
        <v>2986</v>
      </c>
      <c r="G2637" t="s">
        <v>778</v>
      </c>
      <c r="H2637" t="s">
        <v>3131</v>
      </c>
      <c r="I2637" t="s">
        <v>50</v>
      </c>
      <c r="J2637" t="s">
        <v>20</v>
      </c>
      <c r="K2637" t="s">
        <v>21</v>
      </c>
      <c r="L2637" t="s">
        <v>2030</v>
      </c>
      <c r="N2637" t="s">
        <v>1051</v>
      </c>
      <c r="O2637" t="s">
        <v>3132</v>
      </c>
    </row>
    <row r="2638" spans="1:15" x14ac:dyDescent="0.25">
      <c r="A2638">
        <v>2637</v>
      </c>
      <c r="B2638" t="str">
        <f>HYPERLINK("https://digitalcommons.unl.edu/cgi/viewcontent.cgi?article=3240&amp;context=tractormuseumlit","Click for test report")</f>
        <v>Click for test report</v>
      </c>
      <c r="C2638">
        <v>2002</v>
      </c>
      <c r="E2638" t="s">
        <v>3128</v>
      </c>
      <c r="F2638" t="s">
        <v>2062</v>
      </c>
      <c r="G2638" t="s">
        <v>778</v>
      </c>
      <c r="H2638" t="s">
        <v>3129</v>
      </c>
      <c r="I2638" t="s">
        <v>1961</v>
      </c>
      <c r="J2638" t="s">
        <v>20</v>
      </c>
      <c r="K2638" t="s">
        <v>21</v>
      </c>
      <c r="L2638" t="s">
        <v>786</v>
      </c>
      <c r="N2638" t="s">
        <v>1262</v>
      </c>
      <c r="O2638" t="s">
        <v>24</v>
      </c>
    </row>
    <row r="2639" spans="1:15" x14ac:dyDescent="0.25">
      <c r="A2639">
        <v>2638</v>
      </c>
      <c r="B2639" t="str">
        <f>HYPERLINK("https://digitalcommons.unl.edu/cgi/viewcontent.cgi?article=1159&amp;context=tractormuseumlit","Click for test report")</f>
        <v>Click for test report</v>
      </c>
      <c r="C2639">
        <v>2002</v>
      </c>
      <c r="E2639" t="s">
        <v>3126</v>
      </c>
      <c r="F2639" t="s">
        <v>1136</v>
      </c>
      <c r="G2639" t="s">
        <v>111</v>
      </c>
      <c r="H2639" t="s">
        <v>3127</v>
      </c>
      <c r="I2639" t="s">
        <v>19</v>
      </c>
      <c r="J2639" t="s">
        <v>20</v>
      </c>
      <c r="K2639" t="s">
        <v>21</v>
      </c>
      <c r="L2639" t="s">
        <v>122</v>
      </c>
      <c r="N2639" t="s">
        <v>368</v>
      </c>
      <c r="O2639" t="s">
        <v>24</v>
      </c>
    </row>
    <row r="2640" spans="1:15" x14ac:dyDescent="0.25">
      <c r="A2640">
        <v>2639</v>
      </c>
      <c r="B2640" t="str">
        <f>HYPERLINK("https://digitalcommons.unl.edu/cgi/viewcontent.cgi?article=1161&amp;context=tractormuseumlit","Click for test report")</f>
        <v>Click for test report</v>
      </c>
      <c r="C2640">
        <v>2002</v>
      </c>
      <c r="E2640" t="s">
        <v>3124</v>
      </c>
      <c r="F2640" t="s">
        <v>1136</v>
      </c>
      <c r="G2640" t="s">
        <v>111</v>
      </c>
      <c r="H2640" t="s">
        <v>3125</v>
      </c>
      <c r="I2640" t="s">
        <v>19</v>
      </c>
      <c r="J2640" t="s">
        <v>20</v>
      </c>
      <c r="K2640" t="s">
        <v>21</v>
      </c>
      <c r="L2640" t="s">
        <v>774</v>
      </c>
      <c r="N2640" t="s">
        <v>45</v>
      </c>
      <c r="O2640" t="s">
        <v>24</v>
      </c>
    </row>
    <row r="2641" spans="1:15" x14ac:dyDescent="0.25">
      <c r="A2641">
        <v>2640</v>
      </c>
      <c r="B2641" t="str">
        <f>HYPERLINK("https://digitalcommons.unl.edu/cgi/viewcontent.cgi?article=3241&amp;context=tractormuseumlit","Click for test report")</f>
        <v>Click for test report</v>
      </c>
      <c r="C2641">
        <v>2002</v>
      </c>
      <c r="E2641" t="s">
        <v>3121</v>
      </c>
      <c r="F2641" t="s">
        <v>1526</v>
      </c>
      <c r="G2641" t="s">
        <v>17</v>
      </c>
      <c r="H2641" t="s">
        <v>3122</v>
      </c>
      <c r="I2641" t="s">
        <v>50</v>
      </c>
      <c r="J2641" t="s">
        <v>20</v>
      </c>
      <c r="K2641" t="s">
        <v>21</v>
      </c>
      <c r="L2641" t="s">
        <v>747</v>
      </c>
      <c r="N2641" t="s">
        <v>3123</v>
      </c>
      <c r="O2641" t="s">
        <v>24</v>
      </c>
    </row>
    <row r="2642" spans="1:15" x14ac:dyDescent="0.25">
      <c r="A2642">
        <v>2641</v>
      </c>
      <c r="B2642" t="str">
        <f>HYPERLINK("https://digitalcommons.unl.edu/cgi/viewcontent.cgi?article=3242&amp;context=tractormuseumlit","Click for test report")</f>
        <v>Click for test report</v>
      </c>
      <c r="C2642">
        <v>2002</v>
      </c>
      <c r="E2642" t="s">
        <v>3119</v>
      </c>
      <c r="F2642" t="s">
        <v>1526</v>
      </c>
      <c r="G2642" t="s">
        <v>17</v>
      </c>
      <c r="H2642" t="s">
        <v>3120</v>
      </c>
      <c r="I2642" t="s">
        <v>19</v>
      </c>
      <c r="J2642" t="s">
        <v>20</v>
      </c>
      <c r="K2642" t="s">
        <v>21</v>
      </c>
      <c r="L2642" t="s">
        <v>58</v>
      </c>
      <c r="N2642" t="s">
        <v>731</v>
      </c>
      <c r="O2642" t="s">
        <v>24</v>
      </c>
    </row>
    <row r="2643" spans="1:15" x14ac:dyDescent="0.25">
      <c r="A2643">
        <v>2642</v>
      </c>
      <c r="B2643" t="str">
        <f>HYPERLINK("https://digitalcommons.unl.edu/cgi/viewcontent.cgi?article=3243&amp;context=tractormuseumlit","Click for test report")</f>
        <v>Click for test report</v>
      </c>
      <c r="C2643">
        <v>2002</v>
      </c>
      <c r="E2643" t="s">
        <v>3117</v>
      </c>
      <c r="F2643" t="s">
        <v>1526</v>
      </c>
      <c r="G2643" t="s">
        <v>17</v>
      </c>
      <c r="H2643" t="s">
        <v>3118</v>
      </c>
      <c r="I2643" t="s">
        <v>19</v>
      </c>
      <c r="J2643" t="s">
        <v>20</v>
      </c>
      <c r="K2643" t="s">
        <v>21</v>
      </c>
      <c r="L2643" t="s">
        <v>716</v>
      </c>
      <c r="N2643" t="s">
        <v>728</v>
      </c>
      <c r="O2643" t="s">
        <v>24</v>
      </c>
    </row>
    <row r="2644" spans="1:15" x14ac:dyDescent="0.25">
      <c r="A2644">
        <v>2643</v>
      </c>
      <c r="B2644" t="str">
        <f>HYPERLINK("https://digitalcommons.unl.edu/cgi/viewcontent.cgi?article=3244&amp;context=tractormuseumlit","Click for test report")</f>
        <v>Click for test report</v>
      </c>
      <c r="C2644">
        <v>2002</v>
      </c>
      <c r="E2644" t="s">
        <v>3115</v>
      </c>
      <c r="F2644" t="s">
        <v>1526</v>
      </c>
      <c r="G2644" t="s">
        <v>17</v>
      </c>
      <c r="H2644" t="s">
        <v>3116</v>
      </c>
      <c r="I2644" t="s">
        <v>19</v>
      </c>
      <c r="J2644" t="s">
        <v>20</v>
      </c>
      <c r="K2644" t="s">
        <v>21</v>
      </c>
      <c r="L2644" t="s">
        <v>247</v>
      </c>
      <c r="N2644" t="s">
        <v>58</v>
      </c>
      <c r="O2644" t="s">
        <v>24</v>
      </c>
    </row>
    <row r="2645" spans="1:15" x14ac:dyDescent="0.25">
      <c r="A2645">
        <v>2644</v>
      </c>
      <c r="B2645" t="str">
        <f>HYPERLINK("https://digitalcommons.unl.edu/cgi/viewcontent.cgi?article=3230&amp;context=tractormuseumlit","Click for test report")</f>
        <v>Click for test report</v>
      </c>
      <c r="C2645">
        <v>2002</v>
      </c>
      <c r="E2645" t="s">
        <v>3112</v>
      </c>
      <c r="F2645" t="s">
        <v>1526</v>
      </c>
      <c r="G2645" t="s">
        <v>17</v>
      </c>
      <c r="H2645" t="s">
        <v>3113</v>
      </c>
      <c r="I2645" t="s">
        <v>19</v>
      </c>
      <c r="J2645" t="s">
        <v>20</v>
      </c>
      <c r="K2645" t="s">
        <v>21</v>
      </c>
      <c r="L2645" t="s">
        <v>45</v>
      </c>
      <c r="N2645" t="s">
        <v>131</v>
      </c>
      <c r="O2645" t="s">
        <v>3114</v>
      </c>
    </row>
    <row r="2646" spans="1:15" x14ac:dyDescent="0.25">
      <c r="A2646">
        <v>2645</v>
      </c>
      <c r="B2646" t="str">
        <f>HYPERLINK("https://digitalcommons.unl.edu/cgi/viewcontent.cgi?article=3856&amp;context=tractormuseumlit","Click for test report")</f>
        <v>Click for test report</v>
      </c>
      <c r="C2646">
        <v>2002</v>
      </c>
      <c r="E2646" t="s">
        <v>3110</v>
      </c>
      <c r="F2646" t="s">
        <v>2814</v>
      </c>
      <c r="G2646" t="s">
        <v>191</v>
      </c>
      <c r="H2646" t="s">
        <v>2824</v>
      </c>
      <c r="I2646" t="s">
        <v>50</v>
      </c>
      <c r="J2646" t="s">
        <v>348</v>
      </c>
      <c r="K2646" t="s">
        <v>21</v>
      </c>
      <c r="L2646" t="s">
        <v>2511</v>
      </c>
      <c r="N2646" t="s">
        <v>1893</v>
      </c>
      <c r="O2646" t="s">
        <v>3111</v>
      </c>
    </row>
    <row r="2647" spans="1:15" x14ac:dyDescent="0.25">
      <c r="A2647">
        <v>2646</v>
      </c>
      <c r="B2647" t="str">
        <f>HYPERLINK("https://digitalcommons.unl.edu/cgi/viewcontent.cgi?article=3856&amp;context=tractormuseumlit","Click for test report")</f>
        <v>Click for test report</v>
      </c>
      <c r="C2647">
        <v>2002</v>
      </c>
      <c r="E2647" t="s">
        <v>3110</v>
      </c>
      <c r="F2647" t="s">
        <v>2814</v>
      </c>
      <c r="G2647" t="s">
        <v>191</v>
      </c>
      <c r="H2647" t="s">
        <v>2824</v>
      </c>
      <c r="I2647" t="s">
        <v>50</v>
      </c>
      <c r="J2647" t="s">
        <v>20</v>
      </c>
      <c r="K2647" t="s">
        <v>21</v>
      </c>
      <c r="L2647" t="s">
        <v>2511</v>
      </c>
      <c r="N2647" t="s">
        <v>1893</v>
      </c>
      <c r="O2647" t="s">
        <v>3111</v>
      </c>
    </row>
    <row r="2648" spans="1:15" x14ac:dyDescent="0.25">
      <c r="A2648">
        <v>2647</v>
      </c>
      <c r="B2648" t="str">
        <f>HYPERLINK("https://digitalcommons.unl.edu/cgi/viewcontent.cgi?article=3857&amp;context=tractormuseumlit","Click for test report")</f>
        <v>Click for test report</v>
      </c>
      <c r="C2648">
        <v>2002</v>
      </c>
      <c r="E2648" t="s">
        <v>3108</v>
      </c>
      <c r="F2648" t="s">
        <v>2814</v>
      </c>
      <c r="G2648" t="s">
        <v>191</v>
      </c>
      <c r="H2648" t="s">
        <v>2822</v>
      </c>
      <c r="I2648" t="s">
        <v>50</v>
      </c>
      <c r="J2648" t="s">
        <v>20</v>
      </c>
      <c r="K2648" t="s">
        <v>21</v>
      </c>
      <c r="L2648" t="s">
        <v>735</v>
      </c>
      <c r="N2648" t="s">
        <v>2627</v>
      </c>
      <c r="O2648" t="s">
        <v>3109</v>
      </c>
    </row>
    <row r="2649" spans="1:15" x14ac:dyDescent="0.25">
      <c r="A2649">
        <v>2648</v>
      </c>
      <c r="B2649" t="str">
        <f>HYPERLINK("https://digitalcommons.unl.edu/cgi/viewcontent.cgi?article=3857&amp;context=tractormuseumlit","Click for test report")</f>
        <v>Click for test report</v>
      </c>
      <c r="C2649">
        <v>2002</v>
      </c>
      <c r="E2649" t="s">
        <v>3108</v>
      </c>
      <c r="F2649" t="s">
        <v>2814</v>
      </c>
      <c r="G2649" t="s">
        <v>191</v>
      </c>
      <c r="H2649" t="s">
        <v>2822</v>
      </c>
      <c r="I2649" t="s">
        <v>50</v>
      </c>
      <c r="J2649" t="s">
        <v>348</v>
      </c>
      <c r="K2649" t="s">
        <v>21</v>
      </c>
      <c r="L2649" t="s">
        <v>735</v>
      </c>
      <c r="N2649" t="s">
        <v>2699</v>
      </c>
      <c r="O2649" t="s">
        <v>3109</v>
      </c>
    </row>
    <row r="2650" spans="1:15" x14ac:dyDescent="0.25">
      <c r="A2650">
        <v>2649</v>
      </c>
      <c r="B2650" t="str">
        <f>HYPERLINK("https://digitalcommons.unl.edu/cgi/viewcontent.cgi?article=3858&amp;context=tractormuseumlit","Click for test report")</f>
        <v>Click for test report</v>
      </c>
      <c r="C2650">
        <v>2002</v>
      </c>
      <c r="E2650" t="s">
        <v>3106</v>
      </c>
      <c r="F2650" t="s">
        <v>2814</v>
      </c>
      <c r="G2650" t="s">
        <v>191</v>
      </c>
      <c r="H2650" t="s">
        <v>2820</v>
      </c>
      <c r="I2650" t="s">
        <v>50</v>
      </c>
      <c r="J2650" t="s">
        <v>20</v>
      </c>
      <c r="K2650" t="s">
        <v>21</v>
      </c>
      <c r="L2650" t="s">
        <v>1051</v>
      </c>
      <c r="N2650" t="s">
        <v>1650</v>
      </c>
      <c r="O2650" t="s">
        <v>3107</v>
      </c>
    </row>
    <row r="2651" spans="1:15" x14ac:dyDescent="0.25">
      <c r="A2651">
        <v>2650</v>
      </c>
      <c r="B2651" t="str">
        <f>HYPERLINK("https://digitalcommons.unl.edu/cgi/viewcontent.cgi?article=3858&amp;context=tractormuseumlit","Click for test report")</f>
        <v>Click for test report</v>
      </c>
      <c r="C2651">
        <v>2002</v>
      </c>
      <c r="E2651" t="s">
        <v>3106</v>
      </c>
      <c r="F2651" t="s">
        <v>2814</v>
      </c>
      <c r="G2651" t="s">
        <v>191</v>
      </c>
      <c r="H2651" t="s">
        <v>2820</v>
      </c>
      <c r="I2651" t="s">
        <v>50</v>
      </c>
      <c r="J2651" t="s">
        <v>348</v>
      </c>
      <c r="K2651" t="s">
        <v>21</v>
      </c>
      <c r="L2651" t="s">
        <v>1051</v>
      </c>
      <c r="N2651" t="s">
        <v>1650</v>
      </c>
      <c r="O2651" t="s">
        <v>3107</v>
      </c>
    </row>
    <row r="2652" spans="1:15" x14ac:dyDescent="0.25">
      <c r="A2652">
        <v>2651</v>
      </c>
      <c r="B2652" t="str">
        <f>HYPERLINK("https://digitalcommons.unl.edu/cgi/viewcontent.cgi?article=3859&amp;context=tractormuseumlit","Click for test report")</f>
        <v>Click for test report</v>
      </c>
      <c r="C2652">
        <v>2002</v>
      </c>
      <c r="E2652" t="s">
        <v>3104</v>
      </c>
      <c r="F2652" t="s">
        <v>2814</v>
      </c>
      <c r="G2652" t="s">
        <v>191</v>
      </c>
      <c r="H2652" t="s">
        <v>2818</v>
      </c>
      <c r="I2652" t="s">
        <v>50</v>
      </c>
      <c r="J2652" t="s">
        <v>348</v>
      </c>
      <c r="K2652" t="s">
        <v>21</v>
      </c>
      <c r="L2652" t="s">
        <v>764</v>
      </c>
      <c r="N2652" t="s">
        <v>353</v>
      </c>
      <c r="O2652" t="s">
        <v>3105</v>
      </c>
    </row>
    <row r="2653" spans="1:15" x14ac:dyDescent="0.25">
      <c r="A2653">
        <v>2652</v>
      </c>
      <c r="B2653" t="str">
        <f>HYPERLINK("https://digitalcommons.unl.edu/cgi/viewcontent.cgi?article=3859&amp;context=tractormuseumlit","Click for test report")</f>
        <v>Click for test report</v>
      </c>
      <c r="C2653">
        <v>2002</v>
      </c>
      <c r="E2653" t="s">
        <v>3104</v>
      </c>
      <c r="F2653" t="s">
        <v>2814</v>
      </c>
      <c r="G2653" t="s">
        <v>191</v>
      </c>
      <c r="H2653" t="s">
        <v>2818</v>
      </c>
      <c r="I2653" t="s">
        <v>50</v>
      </c>
      <c r="J2653" t="s">
        <v>20</v>
      </c>
      <c r="K2653" t="s">
        <v>21</v>
      </c>
      <c r="L2653" t="s">
        <v>764</v>
      </c>
      <c r="N2653" t="s">
        <v>353</v>
      </c>
      <c r="O2653" t="s">
        <v>3105</v>
      </c>
    </row>
    <row r="2654" spans="1:15" x14ac:dyDescent="0.25">
      <c r="A2654">
        <v>2653</v>
      </c>
      <c r="B2654" t="str">
        <f>HYPERLINK("https://digitalcommons.unl.edu/cgi/viewcontent.cgi?article=3860&amp;context=tractormuseumlit","Click for test report")</f>
        <v>Click for test report</v>
      </c>
      <c r="C2654">
        <v>2002</v>
      </c>
      <c r="E2654" t="s">
        <v>3102</v>
      </c>
      <c r="F2654" t="s">
        <v>2814</v>
      </c>
      <c r="G2654" t="s">
        <v>191</v>
      </c>
      <c r="H2654" t="s">
        <v>2815</v>
      </c>
      <c r="I2654" t="s">
        <v>50</v>
      </c>
      <c r="J2654" t="s">
        <v>348</v>
      </c>
      <c r="K2654" t="s">
        <v>21</v>
      </c>
      <c r="L2654" t="s">
        <v>574</v>
      </c>
      <c r="N2654" t="s">
        <v>1051</v>
      </c>
      <c r="O2654" t="s">
        <v>3103</v>
      </c>
    </row>
    <row r="2655" spans="1:15" x14ac:dyDescent="0.25">
      <c r="A2655">
        <v>2654</v>
      </c>
      <c r="B2655" t="str">
        <f>HYPERLINK("https://digitalcommons.unl.edu/cgi/viewcontent.cgi?article=3860&amp;context=tractormuseumlit","Click for test report")</f>
        <v>Click for test report</v>
      </c>
      <c r="C2655">
        <v>2002</v>
      </c>
      <c r="E2655" t="s">
        <v>3102</v>
      </c>
      <c r="F2655" t="s">
        <v>2814</v>
      </c>
      <c r="G2655" t="s">
        <v>191</v>
      </c>
      <c r="H2655" t="s">
        <v>2815</v>
      </c>
      <c r="I2655" t="s">
        <v>50</v>
      </c>
      <c r="J2655" t="s">
        <v>20</v>
      </c>
      <c r="K2655" t="s">
        <v>21</v>
      </c>
      <c r="L2655" t="s">
        <v>574</v>
      </c>
      <c r="N2655" t="s">
        <v>747</v>
      </c>
      <c r="O2655" t="s">
        <v>3103</v>
      </c>
    </row>
    <row r="2656" spans="1:15" x14ac:dyDescent="0.25">
      <c r="A2656">
        <v>2655</v>
      </c>
      <c r="B2656" t="str">
        <f>HYPERLINK("https://digitalcommons.unl.edu/cgi/viewcontent.cgi?article=3861&amp;context=tractormuseumlit","Click for test report")</f>
        <v>Click for test report</v>
      </c>
      <c r="C2656">
        <v>2002</v>
      </c>
      <c r="E2656" t="s">
        <v>3100</v>
      </c>
      <c r="F2656" t="s">
        <v>2672</v>
      </c>
      <c r="G2656" t="s">
        <v>191</v>
      </c>
      <c r="H2656" t="s">
        <v>3101</v>
      </c>
      <c r="I2656" t="s">
        <v>50</v>
      </c>
      <c r="J2656" t="s">
        <v>348</v>
      </c>
      <c r="K2656" t="s">
        <v>21</v>
      </c>
      <c r="L2656" t="s">
        <v>1257</v>
      </c>
      <c r="N2656" t="s">
        <v>1970</v>
      </c>
      <c r="O2656" t="s">
        <v>24</v>
      </c>
    </row>
    <row r="2657" spans="1:15" x14ac:dyDescent="0.25">
      <c r="A2657">
        <v>2656</v>
      </c>
      <c r="B2657" t="str">
        <f>HYPERLINK("https://digitalcommons.unl.edu/cgi/viewcontent.cgi?article=3861&amp;context=tractormuseumlit","Click for test report")</f>
        <v>Click for test report</v>
      </c>
      <c r="C2657">
        <v>2002</v>
      </c>
      <c r="E2657" t="s">
        <v>3100</v>
      </c>
      <c r="F2657" t="s">
        <v>2672</v>
      </c>
      <c r="G2657" t="s">
        <v>191</v>
      </c>
      <c r="H2657" t="s">
        <v>3101</v>
      </c>
      <c r="I2657" t="s">
        <v>50</v>
      </c>
      <c r="J2657" t="s">
        <v>20</v>
      </c>
      <c r="K2657" t="s">
        <v>21</v>
      </c>
      <c r="L2657" t="s">
        <v>1257</v>
      </c>
      <c r="N2657" t="s">
        <v>1994</v>
      </c>
      <c r="O2657" t="s">
        <v>24</v>
      </c>
    </row>
    <row r="2658" spans="1:15" x14ac:dyDescent="0.25">
      <c r="A2658">
        <v>2657</v>
      </c>
      <c r="B2658" t="str">
        <f>HYPERLINK("https://digitalcommons.unl.edu/cgi/viewcontent.cgi?article=3862&amp;context=tractormuseumlit","Click for test report")</f>
        <v>Click for test report</v>
      </c>
      <c r="C2658">
        <v>2002</v>
      </c>
      <c r="E2658" t="s">
        <v>3098</v>
      </c>
      <c r="F2658" t="s">
        <v>2672</v>
      </c>
      <c r="G2658" t="s">
        <v>191</v>
      </c>
      <c r="H2658" t="s">
        <v>3099</v>
      </c>
      <c r="I2658" t="s">
        <v>50</v>
      </c>
      <c r="J2658" t="s">
        <v>348</v>
      </c>
      <c r="K2658" t="s">
        <v>21</v>
      </c>
      <c r="L2658" t="s">
        <v>1371</v>
      </c>
      <c r="N2658" t="s">
        <v>1350</v>
      </c>
      <c r="O2658" t="s">
        <v>24</v>
      </c>
    </row>
    <row r="2659" spans="1:15" x14ac:dyDescent="0.25">
      <c r="A2659">
        <v>2658</v>
      </c>
      <c r="B2659" t="str">
        <f>HYPERLINK("https://digitalcommons.unl.edu/cgi/viewcontent.cgi?article=3862&amp;context=tractormuseumlit","Click for test report")</f>
        <v>Click for test report</v>
      </c>
      <c r="C2659">
        <v>2002</v>
      </c>
      <c r="E2659" t="s">
        <v>3098</v>
      </c>
      <c r="F2659" t="s">
        <v>2672</v>
      </c>
      <c r="G2659" t="s">
        <v>191</v>
      </c>
      <c r="H2659" t="s">
        <v>3099</v>
      </c>
      <c r="I2659" t="s">
        <v>50</v>
      </c>
      <c r="J2659" t="s">
        <v>20</v>
      </c>
      <c r="K2659" t="s">
        <v>21</v>
      </c>
      <c r="L2659" t="s">
        <v>1371</v>
      </c>
      <c r="N2659" t="s">
        <v>1350</v>
      </c>
      <c r="O2659" t="s">
        <v>24</v>
      </c>
    </row>
    <row r="2660" spans="1:15" x14ac:dyDescent="0.25">
      <c r="A2660">
        <v>2659</v>
      </c>
      <c r="B2660" t="str">
        <f>HYPERLINK("https://digitalcommons.unl.edu/cgi/viewcontent.cgi?article=3863&amp;context=tractormuseumlit","Click for test report")</f>
        <v>Click for test report</v>
      </c>
      <c r="C2660">
        <v>2002</v>
      </c>
      <c r="E2660" t="s">
        <v>3096</v>
      </c>
      <c r="F2660" t="s">
        <v>2672</v>
      </c>
      <c r="G2660" t="s">
        <v>191</v>
      </c>
      <c r="H2660" t="s">
        <v>3097</v>
      </c>
      <c r="I2660" t="s">
        <v>50</v>
      </c>
      <c r="J2660" t="s">
        <v>348</v>
      </c>
      <c r="K2660" t="s">
        <v>21</v>
      </c>
      <c r="L2660" t="s">
        <v>565</v>
      </c>
      <c r="N2660" t="s">
        <v>2747</v>
      </c>
      <c r="O2660" t="s">
        <v>24</v>
      </c>
    </row>
    <row r="2661" spans="1:15" x14ac:dyDescent="0.25">
      <c r="A2661">
        <v>2660</v>
      </c>
      <c r="B2661" t="str">
        <f>HYPERLINK("https://digitalcommons.unl.edu/cgi/viewcontent.cgi?article=3863&amp;context=tractormuseumlit","Click for test report")</f>
        <v>Click for test report</v>
      </c>
      <c r="C2661">
        <v>2002</v>
      </c>
      <c r="E2661" t="s">
        <v>3096</v>
      </c>
      <c r="F2661" t="s">
        <v>2672</v>
      </c>
      <c r="G2661" t="s">
        <v>191</v>
      </c>
      <c r="H2661" t="s">
        <v>3097</v>
      </c>
      <c r="I2661" t="s">
        <v>50</v>
      </c>
      <c r="J2661" t="s">
        <v>20</v>
      </c>
      <c r="K2661" t="s">
        <v>21</v>
      </c>
      <c r="L2661" t="s">
        <v>565</v>
      </c>
      <c r="N2661" t="s">
        <v>2030</v>
      </c>
      <c r="O2661" t="s">
        <v>24</v>
      </c>
    </row>
    <row r="2662" spans="1:15" x14ac:dyDescent="0.25">
      <c r="A2662">
        <v>2661</v>
      </c>
      <c r="B2662" t="str">
        <f>HYPERLINK("https://digitalcommons.unl.edu/cgi/viewcontent.cgi?article=3245&amp;context=tractormuseumlit","Click for test report")</f>
        <v>Click for test report</v>
      </c>
      <c r="C2662">
        <v>2002</v>
      </c>
      <c r="E2662" t="s">
        <v>3094</v>
      </c>
      <c r="F2662" t="s">
        <v>384</v>
      </c>
      <c r="G2662" t="s">
        <v>112</v>
      </c>
      <c r="H2662" t="s">
        <v>3095</v>
      </c>
      <c r="I2662" t="s">
        <v>64</v>
      </c>
      <c r="J2662" t="s">
        <v>20</v>
      </c>
      <c r="K2662" t="s">
        <v>21</v>
      </c>
      <c r="L2662" t="s">
        <v>1796</v>
      </c>
      <c r="N2662" t="s">
        <v>1347</v>
      </c>
      <c r="O2662" t="s">
        <v>1871</v>
      </c>
    </row>
    <row r="2663" spans="1:15" x14ac:dyDescent="0.25">
      <c r="A2663">
        <v>2662</v>
      </c>
      <c r="B2663" t="str">
        <f>HYPERLINK("https://digitalcommons.unl.edu/cgi/viewcontent.cgi?article=3246&amp;context=tractormuseumlit","Click for test report")</f>
        <v>Click for test report</v>
      </c>
      <c r="C2663">
        <v>2002</v>
      </c>
      <c r="E2663" t="s">
        <v>3092</v>
      </c>
      <c r="F2663" t="s">
        <v>384</v>
      </c>
      <c r="G2663" t="s">
        <v>112</v>
      </c>
      <c r="H2663" t="s">
        <v>3093</v>
      </c>
      <c r="I2663" t="s">
        <v>64</v>
      </c>
      <c r="J2663" t="s">
        <v>20</v>
      </c>
      <c r="K2663" t="s">
        <v>21</v>
      </c>
      <c r="L2663" t="s">
        <v>52</v>
      </c>
      <c r="N2663" t="s">
        <v>574</v>
      </c>
      <c r="O2663" t="s">
        <v>1871</v>
      </c>
    </row>
    <row r="2664" spans="1:15" x14ac:dyDescent="0.25">
      <c r="A2664">
        <v>2663</v>
      </c>
      <c r="B2664" t="str">
        <f>HYPERLINK("https://digitalcommons.unl.edu/cgi/viewcontent.cgi?article=3864&amp;context=tractormuseumlit","Click for test report")</f>
        <v>Click for test report</v>
      </c>
      <c r="C2664">
        <v>2002</v>
      </c>
      <c r="E2664" t="s">
        <v>3090</v>
      </c>
      <c r="F2664" t="s">
        <v>2537</v>
      </c>
      <c r="G2664" t="s">
        <v>2537</v>
      </c>
      <c r="H2664" t="s">
        <v>3091</v>
      </c>
      <c r="I2664" t="s">
        <v>19</v>
      </c>
      <c r="J2664" t="s">
        <v>20</v>
      </c>
      <c r="K2664" t="s">
        <v>21</v>
      </c>
      <c r="L2664" t="s">
        <v>51</v>
      </c>
      <c r="N2664" t="s">
        <v>461</v>
      </c>
      <c r="O2664" t="s">
        <v>24</v>
      </c>
    </row>
    <row r="2665" spans="1:15" x14ac:dyDescent="0.25">
      <c r="A2665">
        <v>2664</v>
      </c>
      <c r="B2665" t="str">
        <f>HYPERLINK("https://digitalcommons.unl.edu/cgi/viewcontent.cgi?article=3865&amp;context=tractormuseumlit","Click for test report")</f>
        <v>Click for test report</v>
      </c>
      <c r="C2665">
        <v>2002</v>
      </c>
      <c r="E2665" t="s">
        <v>3088</v>
      </c>
      <c r="F2665" t="s">
        <v>2537</v>
      </c>
      <c r="G2665" t="s">
        <v>2537</v>
      </c>
      <c r="H2665" t="s">
        <v>3089</v>
      </c>
      <c r="I2665" t="s">
        <v>19</v>
      </c>
      <c r="J2665" t="s">
        <v>20</v>
      </c>
      <c r="K2665" t="s">
        <v>21</v>
      </c>
      <c r="L2665" t="s">
        <v>22</v>
      </c>
      <c r="N2665" t="s">
        <v>561</v>
      </c>
      <c r="O2665" t="s">
        <v>24</v>
      </c>
    </row>
    <row r="2666" spans="1:15" x14ac:dyDescent="0.25">
      <c r="A2666">
        <v>2665</v>
      </c>
      <c r="B2666" t="str">
        <f>HYPERLINK("https://digitalcommons.unl.edu/cgi/viewcontent.cgi?article=3866&amp;context=tractormuseumlit","Click for test report")</f>
        <v>Click for test report</v>
      </c>
      <c r="C2666">
        <v>2002</v>
      </c>
      <c r="E2666" t="s">
        <v>3086</v>
      </c>
      <c r="F2666" t="s">
        <v>2537</v>
      </c>
      <c r="G2666" t="s">
        <v>2537</v>
      </c>
      <c r="H2666" t="s">
        <v>3087</v>
      </c>
      <c r="I2666" t="s">
        <v>19</v>
      </c>
      <c r="J2666" t="s">
        <v>20</v>
      </c>
      <c r="K2666" t="s">
        <v>21</v>
      </c>
      <c r="L2666" t="s">
        <v>1386</v>
      </c>
      <c r="N2666" t="s">
        <v>23</v>
      </c>
      <c r="O2666" t="s">
        <v>24</v>
      </c>
    </row>
    <row r="2667" spans="1:15" x14ac:dyDescent="0.25">
      <c r="A2667">
        <v>2666</v>
      </c>
      <c r="B2667" t="str">
        <f>HYPERLINK("https://digitalcommons.unl.edu/cgi/viewcontent.cgi?article=3867&amp;context=tractormuseumlit","Click for test report")</f>
        <v>Click for test report</v>
      </c>
      <c r="C2667">
        <v>2002</v>
      </c>
      <c r="E2667" t="s">
        <v>3084</v>
      </c>
      <c r="F2667" t="s">
        <v>2537</v>
      </c>
      <c r="G2667" t="s">
        <v>2537</v>
      </c>
      <c r="H2667" t="s">
        <v>3085</v>
      </c>
      <c r="I2667" t="s">
        <v>19</v>
      </c>
      <c r="J2667" t="s">
        <v>20</v>
      </c>
      <c r="K2667" t="s">
        <v>21</v>
      </c>
      <c r="L2667" t="s">
        <v>853</v>
      </c>
      <c r="N2667" t="s">
        <v>363</v>
      </c>
      <c r="O2667" t="s">
        <v>24</v>
      </c>
    </row>
    <row r="2668" spans="1:15" x14ac:dyDescent="0.25">
      <c r="A2668">
        <v>2667</v>
      </c>
      <c r="B2668" t="str">
        <f>HYPERLINK("https://digitalcommons.unl.edu/cgi/viewcontent.cgi?article=1233&amp;context=tractormuseumlit","Click for test report")</f>
        <v>Click for test report</v>
      </c>
      <c r="C2668">
        <v>2002</v>
      </c>
      <c r="E2668" t="s">
        <v>3080</v>
      </c>
      <c r="F2668" t="s">
        <v>1820</v>
      </c>
      <c r="G2668" t="s">
        <v>135</v>
      </c>
      <c r="H2668" t="s">
        <v>3081</v>
      </c>
      <c r="I2668" t="s">
        <v>1808</v>
      </c>
      <c r="J2668" t="s">
        <v>348</v>
      </c>
      <c r="K2668" t="s">
        <v>21</v>
      </c>
      <c r="L2668" t="s">
        <v>46</v>
      </c>
      <c r="N2668" t="s">
        <v>716</v>
      </c>
      <c r="O2668" t="s">
        <v>3083</v>
      </c>
    </row>
    <row r="2669" spans="1:15" x14ac:dyDescent="0.25">
      <c r="A2669">
        <v>2668</v>
      </c>
      <c r="B2669" t="str">
        <f>HYPERLINK("https://digitalcommons.unl.edu/cgi/viewcontent.cgi?article=1233&amp;context=tractormuseumlit","Click for test report")</f>
        <v>Click for test report</v>
      </c>
      <c r="C2669">
        <v>2002</v>
      </c>
      <c r="E2669" t="s">
        <v>3080</v>
      </c>
      <c r="F2669" t="s">
        <v>1820</v>
      </c>
      <c r="G2669" t="s">
        <v>135</v>
      </c>
      <c r="H2669" t="s">
        <v>3081</v>
      </c>
      <c r="I2669" t="s">
        <v>1808</v>
      </c>
      <c r="J2669" t="s">
        <v>20</v>
      </c>
      <c r="K2669" t="s">
        <v>21</v>
      </c>
      <c r="L2669" t="s">
        <v>46</v>
      </c>
      <c r="N2669" t="s">
        <v>716</v>
      </c>
      <c r="O2669" t="s">
        <v>3082</v>
      </c>
    </row>
    <row r="2670" spans="1:15" x14ac:dyDescent="0.25">
      <c r="A2670">
        <v>2669</v>
      </c>
      <c r="B2670" t="str">
        <f>HYPERLINK("https://digitalcommons.unl.edu/cgi/viewcontent.cgi?article=3868&amp;context=tractormuseumlit","Click for test report")</f>
        <v>Click for test report</v>
      </c>
      <c r="C2670">
        <v>2002</v>
      </c>
      <c r="E2670" t="s">
        <v>3078</v>
      </c>
      <c r="F2670" t="s">
        <v>1820</v>
      </c>
      <c r="G2670" t="s">
        <v>191</v>
      </c>
      <c r="H2670" t="s">
        <v>3079</v>
      </c>
      <c r="I2670" t="s">
        <v>1808</v>
      </c>
      <c r="J2670" t="s">
        <v>20</v>
      </c>
      <c r="K2670" t="s">
        <v>21</v>
      </c>
      <c r="L2670" t="s">
        <v>46</v>
      </c>
      <c r="N2670" t="s">
        <v>716</v>
      </c>
      <c r="O2670" t="s">
        <v>24</v>
      </c>
    </row>
    <row r="2671" spans="1:15" x14ac:dyDescent="0.25">
      <c r="A2671">
        <v>2670</v>
      </c>
      <c r="B2671" t="str">
        <f>HYPERLINK("https://digitalcommons.unl.edu/cgi/viewcontent.cgi?article=3868&amp;context=tractormuseumlit","Click for test report")</f>
        <v>Click for test report</v>
      </c>
      <c r="C2671">
        <v>2002</v>
      </c>
      <c r="E2671" t="s">
        <v>3078</v>
      </c>
      <c r="F2671" t="s">
        <v>1820</v>
      </c>
      <c r="G2671" t="s">
        <v>191</v>
      </c>
      <c r="H2671" t="s">
        <v>3079</v>
      </c>
      <c r="I2671" t="s">
        <v>1808</v>
      </c>
      <c r="J2671" t="s">
        <v>348</v>
      </c>
      <c r="K2671" t="s">
        <v>21</v>
      </c>
      <c r="L2671" t="s">
        <v>46</v>
      </c>
      <c r="N2671" t="s">
        <v>716</v>
      </c>
      <c r="O2671" t="s">
        <v>24</v>
      </c>
    </row>
    <row r="2672" spans="1:15" x14ac:dyDescent="0.25">
      <c r="A2672">
        <v>2671</v>
      </c>
      <c r="B2672" t="str">
        <f>HYPERLINK("https://digitalcommons.unl.edu/cgi/viewcontent.cgi?article=3869&amp;context=tractormuseumlit","Click for test report")</f>
        <v>Click for test report</v>
      </c>
      <c r="C2672">
        <v>2002</v>
      </c>
      <c r="E2672" t="s">
        <v>3076</v>
      </c>
      <c r="F2672" t="s">
        <v>1820</v>
      </c>
      <c r="G2672" t="s">
        <v>135</v>
      </c>
      <c r="H2672" t="s">
        <v>3077</v>
      </c>
      <c r="I2672" t="s">
        <v>1808</v>
      </c>
      <c r="J2672" t="s">
        <v>20</v>
      </c>
      <c r="K2672" t="s">
        <v>21</v>
      </c>
      <c r="L2672" t="s">
        <v>374</v>
      </c>
      <c r="N2672" t="s">
        <v>339</v>
      </c>
      <c r="O2672" t="s">
        <v>24</v>
      </c>
    </row>
    <row r="2673" spans="1:15" x14ac:dyDescent="0.25">
      <c r="A2673">
        <v>2672</v>
      </c>
      <c r="B2673" t="str">
        <f>HYPERLINK("https://digitalcommons.unl.edu/cgi/viewcontent.cgi?article=3869&amp;context=tractormuseumlit","Click for test report")</f>
        <v>Click for test report</v>
      </c>
      <c r="C2673">
        <v>2002</v>
      </c>
      <c r="E2673" t="s">
        <v>3076</v>
      </c>
      <c r="F2673" t="s">
        <v>1820</v>
      </c>
      <c r="G2673" t="s">
        <v>135</v>
      </c>
      <c r="H2673" t="s">
        <v>3077</v>
      </c>
      <c r="I2673" t="s">
        <v>1808</v>
      </c>
      <c r="J2673" t="s">
        <v>348</v>
      </c>
      <c r="K2673" t="s">
        <v>21</v>
      </c>
      <c r="L2673" t="s">
        <v>374</v>
      </c>
      <c r="N2673" t="s">
        <v>457</v>
      </c>
      <c r="O2673" t="s">
        <v>24</v>
      </c>
    </row>
    <row r="2674" spans="1:15" x14ac:dyDescent="0.25">
      <c r="A2674">
        <v>2673</v>
      </c>
      <c r="B2674" t="str">
        <f>HYPERLINK("https://digitalcommons.unl.edu/cgi/viewcontent.cgi?article=1234&amp;context=tractormuseumlit","Click for test report")</f>
        <v>Click for test report</v>
      </c>
      <c r="C2674">
        <v>2002</v>
      </c>
      <c r="E2674" t="s">
        <v>3073</v>
      </c>
      <c r="F2674" t="s">
        <v>1820</v>
      </c>
      <c r="G2674" t="s">
        <v>191</v>
      </c>
      <c r="H2674" t="s">
        <v>3074</v>
      </c>
      <c r="I2674" t="s">
        <v>1808</v>
      </c>
      <c r="J2674" t="s">
        <v>20</v>
      </c>
      <c r="K2674" t="s">
        <v>21</v>
      </c>
      <c r="L2674" t="s">
        <v>374</v>
      </c>
      <c r="N2674" t="s">
        <v>339</v>
      </c>
      <c r="O2674" t="s">
        <v>3075</v>
      </c>
    </row>
    <row r="2675" spans="1:15" x14ac:dyDescent="0.25">
      <c r="A2675">
        <v>2674</v>
      </c>
      <c r="B2675" t="str">
        <f>HYPERLINK("https://digitalcommons.unl.edu/cgi/viewcontent.cgi?article=1234&amp;context=tractormuseumlit","Click for test report")</f>
        <v>Click for test report</v>
      </c>
      <c r="C2675">
        <v>2002</v>
      </c>
      <c r="E2675" t="s">
        <v>3073</v>
      </c>
      <c r="F2675" t="s">
        <v>1820</v>
      </c>
      <c r="G2675" t="s">
        <v>191</v>
      </c>
      <c r="H2675" t="s">
        <v>3074</v>
      </c>
      <c r="I2675" t="s">
        <v>1808</v>
      </c>
      <c r="J2675" t="s">
        <v>348</v>
      </c>
      <c r="K2675" t="s">
        <v>21</v>
      </c>
      <c r="L2675" t="s">
        <v>374</v>
      </c>
      <c r="N2675" t="s">
        <v>457</v>
      </c>
      <c r="O2675" t="s">
        <v>3075</v>
      </c>
    </row>
    <row r="2676" spans="1:15" x14ac:dyDescent="0.25">
      <c r="A2676">
        <v>2675</v>
      </c>
      <c r="B2676" t="str">
        <f>HYPERLINK("https://digitalcommons.unl.edu/cgi/viewcontent.cgi?article=3870&amp;context=tractormuseumlit","Click for test report")</f>
        <v>Click for test report</v>
      </c>
      <c r="C2676">
        <v>2002</v>
      </c>
      <c r="E2676" t="s">
        <v>3071</v>
      </c>
      <c r="F2676" t="s">
        <v>1820</v>
      </c>
      <c r="G2676" t="s">
        <v>135</v>
      </c>
      <c r="H2676" t="s">
        <v>3072</v>
      </c>
      <c r="I2676" t="s">
        <v>1808</v>
      </c>
      <c r="J2676" t="s">
        <v>20</v>
      </c>
      <c r="K2676" t="s">
        <v>21</v>
      </c>
      <c r="L2676" t="s">
        <v>567</v>
      </c>
      <c r="N2676" t="s">
        <v>51</v>
      </c>
      <c r="O2676" t="s">
        <v>24</v>
      </c>
    </row>
    <row r="2677" spans="1:15" x14ac:dyDescent="0.25">
      <c r="A2677">
        <v>2676</v>
      </c>
      <c r="B2677" t="str">
        <f>HYPERLINK("https://digitalcommons.unl.edu/cgi/viewcontent.cgi?article=3870&amp;context=tractormuseumlit","Click for test report")</f>
        <v>Click for test report</v>
      </c>
      <c r="C2677">
        <v>2002</v>
      </c>
      <c r="E2677" t="s">
        <v>3071</v>
      </c>
      <c r="F2677" t="s">
        <v>1820</v>
      </c>
      <c r="G2677" t="s">
        <v>135</v>
      </c>
      <c r="H2677" t="s">
        <v>3072</v>
      </c>
      <c r="I2677" t="s">
        <v>1808</v>
      </c>
      <c r="J2677" t="s">
        <v>348</v>
      </c>
      <c r="K2677" t="s">
        <v>21</v>
      </c>
      <c r="L2677" t="s">
        <v>567</v>
      </c>
      <c r="N2677" t="s">
        <v>561</v>
      </c>
      <c r="O2677" t="s">
        <v>24</v>
      </c>
    </row>
    <row r="2678" spans="1:15" x14ac:dyDescent="0.25">
      <c r="A2678">
        <v>2677</v>
      </c>
      <c r="B2678" t="str">
        <f>HYPERLINK("https://digitalcommons.unl.edu/cgi/viewcontent.cgi?article=1235&amp;context=tractormuseumlit","Click for test report")</f>
        <v>Click for test report</v>
      </c>
      <c r="C2678">
        <v>2002</v>
      </c>
      <c r="E2678" t="s">
        <v>3068</v>
      </c>
      <c r="F2678" t="s">
        <v>1820</v>
      </c>
      <c r="G2678" t="s">
        <v>191</v>
      </c>
      <c r="H2678" t="s">
        <v>3069</v>
      </c>
      <c r="I2678" t="s">
        <v>1808</v>
      </c>
      <c r="J2678" t="s">
        <v>348</v>
      </c>
      <c r="K2678" t="s">
        <v>21</v>
      </c>
      <c r="L2678" t="s">
        <v>567</v>
      </c>
      <c r="N2678" t="s">
        <v>561</v>
      </c>
      <c r="O2678" t="s">
        <v>3070</v>
      </c>
    </row>
    <row r="2679" spans="1:15" x14ac:dyDescent="0.25">
      <c r="A2679">
        <v>2678</v>
      </c>
      <c r="B2679" t="str">
        <f>HYPERLINK("https://digitalcommons.unl.edu/cgi/viewcontent.cgi?article=1235&amp;context=tractormuseumlit","Click for test report")</f>
        <v>Click for test report</v>
      </c>
      <c r="C2679">
        <v>2002</v>
      </c>
      <c r="E2679" t="s">
        <v>3068</v>
      </c>
      <c r="F2679" t="s">
        <v>1820</v>
      </c>
      <c r="G2679" t="s">
        <v>191</v>
      </c>
      <c r="H2679" t="s">
        <v>3069</v>
      </c>
      <c r="I2679" t="s">
        <v>1808</v>
      </c>
      <c r="J2679" t="s">
        <v>20</v>
      </c>
      <c r="K2679" t="s">
        <v>21</v>
      </c>
      <c r="L2679" t="s">
        <v>567</v>
      </c>
      <c r="N2679" t="s">
        <v>51</v>
      </c>
      <c r="O2679" t="s">
        <v>3070</v>
      </c>
    </row>
    <row r="2680" spans="1:15" x14ac:dyDescent="0.25">
      <c r="A2680">
        <v>2679</v>
      </c>
      <c r="B2680" t="str">
        <f>HYPERLINK("https://digitalcommons.unl.edu/cgi/viewcontent.cgi?article=3096&amp;context=tractormuseumlit","Click for test report")</f>
        <v>Click for test report</v>
      </c>
      <c r="C2680">
        <v>2002</v>
      </c>
      <c r="D2680" t="s">
        <v>3065</v>
      </c>
      <c r="E2680" t="s">
        <v>3066</v>
      </c>
      <c r="F2680" t="s">
        <v>17</v>
      </c>
      <c r="G2680" t="s">
        <v>17</v>
      </c>
      <c r="H2680" t="s">
        <v>3067</v>
      </c>
      <c r="I2680" t="s">
        <v>1961</v>
      </c>
      <c r="J2680" t="s">
        <v>29</v>
      </c>
      <c r="K2680" t="s">
        <v>21</v>
      </c>
      <c r="L2680" t="s">
        <v>205</v>
      </c>
      <c r="N2680" t="s">
        <v>420</v>
      </c>
      <c r="O2680" t="s">
        <v>32</v>
      </c>
    </row>
    <row r="2681" spans="1:15" x14ac:dyDescent="0.25">
      <c r="A2681">
        <v>2680</v>
      </c>
      <c r="B2681" t="str">
        <f>HYPERLINK("https://digitalcommons.unl.edu/cgi/viewcontent.cgi?article=3231&amp;context=tractormuseumlit","Click for test report")</f>
        <v>Click for test report</v>
      </c>
      <c r="C2681">
        <v>2002</v>
      </c>
      <c r="D2681" t="s">
        <v>3061</v>
      </c>
      <c r="E2681" t="s">
        <v>3062</v>
      </c>
      <c r="F2681" t="s">
        <v>17</v>
      </c>
      <c r="G2681" t="s">
        <v>17</v>
      </c>
      <c r="H2681" t="s">
        <v>3063</v>
      </c>
      <c r="I2681" t="s">
        <v>28</v>
      </c>
      <c r="J2681" t="s">
        <v>96</v>
      </c>
      <c r="K2681" t="s">
        <v>21</v>
      </c>
      <c r="L2681" t="s">
        <v>1590</v>
      </c>
      <c r="N2681" t="s">
        <v>2660</v>
      </c>
      <c r="O2681" t="s">
        <v>3064</v>
      </c>
    </row>
    <row r="2682" spans="1:15" x14ac:dyDescent="0.25">
      <c r="A2682">
        <v>2681</v>
      </c>
      <c r="B2682" t="str">
        <f>HYPERLINK("https://digitalcommons.unl.edu/cgi/viewcontent.cgi?article=1183&amp;context=tractormuseumlit","Click for test report")</f>
        <v>Click for test report</v>
      </c>
      <c r="C2682">
        <v>2002</v>
      </c>
      <c r="D2682" t="s">
        <v>3056</v>
      </c>
      <c r="E2682" t="s">
        <v>3057</v>
      </c>
      <c r="F2682" t="s">
        <v>17</v>
      </c>
      <c r="G2682" t="s">
        <v>17</v>
      </c>
      <c r="H2682" t="s">
        <v>3058</v>
      </c>
      <c r="I2682" t="s">
        <v>1961</v>
      </c>
      <c r="J2682" t="s">
        <v>96</v>
      </c>
      <c r="K2682" t="s">
        <v>21</v>
      </c>
      <c r="L2682" t="s">
        <v>3059</v>
      </c>
      <c r="N2682" t="s">
        <v>40</v>
      </c>
      <c r="O2682" t="s">
        <v>3060</v>
      </c>
    </row>
    <row r="2683" spans="1:15" x14ac:dyDescent="0.25">
      <c r="A2683">
        <v>2682</v>
      </c>
      <c r="B2683" t="str">
        <f>HYPERLINK("https://digitalcommons.unl.edu/cgi/viewcontent.cgi?article=3232&amp;context=tractormuseumlit","Click for test report")</f>
        <v>Click for test report</v>
      </c>
      <c r="C2683">
        <v>2002</v>
      </c>
      <c r="D2683" t="s">
        <v>3053</v>
      </c>
      <c r="E2683" t="s">
        <v>3054</v>
      </c>
      <c r="F2683" t="s">
        <v>17</v>
      </c>
      <c r="G2683" t="s">
        <v>17</v>
      </c>
      <c r="H2683" t="s">
        <v>3055</v>
      </c>
      <c r="I2683" t="s">
        <v>28</v>
      </c>
      <c r="J2683" t="s">
        <v>20</v>
      </c>
      <c r="K2683" t="s">
        <v>21</v>
      </c>
      <c r="L2683" t="s">
        <v>2270</v>
      </c>
      <c r="N2683" t="s">
        <v>1771</v>
      </c>
      <c r="O2683" t="s">
        <v>24</v>
      </c>
    </row>
    <row r="2684" spans="1:15" x14ac:dyDescent="0.25">
      <c r="A2684">
        <v>2683</v>
      </c>
      <c r="B2684" t="str">
        <f>HYPERLINK("https://digitalcommons.unl.edu/cgi/viewcontent.cgi?article=3233&amp;context=tractormuseumlit","Click for test report")</f>
        <v>Click for test report</v>
      </c>
      <c r="C2684">
        <v>2002</v>
      </c>
      <c r="D2684" t="s">
        <v>3050</v>
      </c>
      <c r="E2684" t="s">
        <v>3051</v>
      </c>
      <c r="F2684" t="s">
        <v>17</v>
      </c>
      <c r="G2684" t="s">
        <v>17</v>
      </c>
      <c r="H2684" t="s">
        <v>3052</v>
      </c>
      <c r="I2684" t="s">
        <v>28</v>
      </c>
      <c r="J2684" t="s">
        <v>96</v>
      </c>
      <c r="K2684" t="s">
        <v>21</v>
      </c>
      <c r="L2684" t="s">
        <v>514</v>
      </c>
      <c r="N2684" t="s">
        <v>434</v>
      </c>
      <c r="O2684" t="s">
        <v>24</v>
      </c>
    </row>
    <row r="2685" spans="1:15" x14ac:dyDescent="0.25">
      <c r="A2685">
        <v>2684</v>
      </c>
      <c r="B2685" t="str">
        <f>HYPERLINK("https://digitalcommons.unl.edu/cgi/viewcontent.cgi?article=3234&amp;context=tractormuseumlit","Click for test report")</f>
        <v>Click for test report</v>
      </c>
      <c r="C2685">
        <v>2002</v>
      </c>
      <c r="D2685" t="s">
        <v>3047</v>
      </c>
      <c r="E2685" t="s">
        <v>3048</v>
      </c>
      <c r="F2685" t="s">
        <v>17</v>
      </c>
      <c r="G2685" t="s">
        <v>17</v>
      </c>
      <c r="H2685" t="s">
        <v>3049</v>
      </c>
      <c r="I2685" t="s">
        <v>28</v>
      </c>
      <c r="J2685" t="s">
        <v>20</v>
      </c>
      <c r="K2685" t="s">
        <v>21</v>
      </c>
      <c r="L2685" t="s">
        <v>1669</v>
      </c>
      <c r="N2685" t="s">
        <v>1028</v>
      </c>
      <c r="O2685" t="s">
        <v>24</v>
      </c>
    </row>
    <row r="2686" spans="1:15" x14ac:dyDescent="0.25">
      <c r="A2686">
        <v>2685</v>
      </c>
      <c r="B2686" t="str">
        <f>HYPERLINK("https://digitalcommons.unl.edu/cgi/viewcontent.cgi?article=1193&amp;context=tractormuseumlit","Click for test report")</f>
        <v>Click for test report</v>
      </c>
      <c r="C2686">
        <v>2002</v>
      </c>
      <c r="D2686" t="s">
        <v>3044</v>
      </c>
      <c r="E2686" t="s">
        <v>3045</v>
      </c>
      <c r="F2686" t="s">
        <v>17</v>
      </c>
      <c r="G2686" t="s">
        <v>17</v>
      </c>
      <c r="H2686" t="s">
        <v>3046</v>
      </c>
      <c r="I2686" t="s">
        <v>28</v>
      </c>
      <c r="J2686" t="s">
        <v>20</v>
      </c>
      <c r="K2686" t="s">
        <v>21</v>
      </c>
      <c r="L2686" t="s">
        <v>1683</v>
      </c>
      <c r="N2686" t="s">
        <v>232</v>
      </c>
      <c r="O2686" t="s">
        <v>24</v>
      </c>
    </row>
    <row r="2687" spans="1:15" x14ac:dyDescent="0.25">
      <c r="A2687">
        <v>2686</v>
      </c>
      <c r="B2687" t="str">
        <f>HYPERLINK("https://digitalcommons.unl.edu/cgi/viewcontent.cgi?article=1192&amp;context=tractormuseumlit","Click for test report")</f>
        <v>Click for test report</v>
      </c>
      <c r="C2687">
        <v>2002</v>
      </c>
      <c r="D2687" t="s">
        <v>3041</v>
      </c>
      <c r="E2687" t="s">
        <v>3042</v>
      </c>
      <c r="F2687" t="s">
        <v>17</v>
      </c>
      <c r="G2687" t="s">
        <v>17</v>
      </c>
      <c r="H2687" t="s">
        <v>3043</v>
      </c>
      <c r="I2687" t="s">
        <v>28</v>
      </c>
      <c r="J2687" t="s">
        <v>96</v>
      </c>
      <c r="K2687" t="s">
        <v>21</v>
      </c>
      <c r="L2687" t="s">
        <v>310</v>
      </c>
      <c r="N2687" t="s">
        <v>1444</v>
      </c>
      <c r="O2687" t="s">
        <v>24</v>
      </c>
    </row>
    <row r="2688" spans="1:15" x14ac:dyDescent="0.25">
      <c r="A2688">
        <v>2687</v>
      </c>
      <c r="B2688" t="str">
        <f>HYPERLINK("https://digitalcommons.unl.edu/cgi/viewcontent.cgi?article=1186&amp;context=tractormuseumlit","Click for test report")</f>
        <v>Click for test report</v>
      </c>
      <c r="C2688">
        <v>2002</v>
      </c>
      <c r="D2688" t="s">
        <v>3038</v>
      </c>
      <c r="E2688" t="s">
        <v>3039</v>
      </c>
      <c r="F2688" t="s">
        <v>17</v>
      </c>
      <c r="G2688" t="s">
        <v>17</v>
      </c>
      <c r="H2688" t="s">
        <v>3040</v>
      </c>
      <c r="I2688" t="s">
        <v>28</v>
      </c>
      <c r="J2688" t="s">
        <v>29</v>
      </c>
      <c r="K2688" t="s">
        <v>21</v>
      </c>
      <c r="L2688" t="s">
        <v>990</v>
      </c>
      <c r="N2688" t="s">
        <v>103</v>
      </c>
      <c r="O2688" t="s">
        <v>24</v>
      </c>
    </row>
    <row r="2689" spans="1:15" x14ac:dyDescent="0.25">
      <c r="A2689">
        <v>2688</v>
      </c>
      <c r="B2689" t="str">
        <f>HYPERLINK("https://digitalcommons.unl.edu/cgi/viewcontent.cgi?article=1184&amp;context=tractormuseumlit","Click for test report")</f>
        <v>Click for test report</v>
      </c>
      <c r="C2689">
        <v>2002</v>
      </c>
      <c r="D2689" t="s">
        <v>3035</v>
      </c>
      <c r="E2689" t="s">
        <v>3036</v>
      </c>
      <c r="F2689" t="s">
        <v>17</v>
      </c>
      <c r="G2689" t="s">
        <v>17</v>
      </c>
      <c r="H2689" t="s">
        <v>3037</v>
      </c>
      <c r="I2689" t="s">
        <v>28</v>
      </c>
      <c r="J2689" t="s">
        <v>96</v>
      </c>
      <c r="K2689" t="s">
        <v>21</v>
      </c>
      <c r="L2689" t="s">
        <v>990</v>
      </c>
      <c r="N2689" t="s">
        <v>108</v>
      </c>
      <c r="O2689" t="s">
        <v>24</v>
      </c>
    </row>
    <row r="2690" spans="1:15" x14ac:dyDescent="0.25">
      <c r="A2690">
        <v>2689</v>
      </c>
      <c r="B2690" t="str">
        <f>HYPERLINK("https://digitalcommons.unl.edu/cgi/viewcontent.cgi?article=1182&amp;context=tractormuseumlit","Click for test report")</f>
        <v>Click for test report</v>
      </c>
      <c r="C2690">
        <v>2002</v>
      </c>
      <c r="D2690" t="s">
        <v>3032</v>
      </c>
      <c r="E2690" t="s">
        <v>3033</v>
      </c>
      <c r="F2690" t="s">
        <v>17</v>
      </c>
      <c r="G2690" t="s">
        <v>17</v>
      </c>
      <c r="H2690" t="s">
        <v>3034</v>
      </c>
      <c r="I2690" t="s">
        <v>28</v>
      </c>
      <c r="J2690" t="s">
        <v>29</v>
      </c>
      <c r="K2690" t="s">
        <v>21</v>
      </c>
      <c r="L2690" t="s">
        <v>990</v>
      </c>
      <c r="N2690" t="s">
        <v>138</v>
      </c>
      <c r="O2690" t="s">
        <v>32</v>
      </c>
    </row>
    <row r="2691" spans="1:15" x14ac:dyDescent="0.25">
      <c r="A2691">
        <v>2690</v>
      </c>
      <c r="B2691" t="str">
        <f>HYPERLINK("https://digitalcommons.unl.edu/cgi/viewcontent.cgi?article=1181&amp;context=tractormuseumlit","Click for test report")</f>
        <v>Click for test report</v>
      </c>
      <c r="C2691">
        <v>2002</v>
      </c>
      <c r="D2691" t="s">
        <v>3029</v>
      </c>
      <c r="E2691" t="s">
        <v>3030</v>
      </c>
      <c r="F2691" t="s">
        <v>17</v>
      </c>
      <c r="G2691" t="s">
        <v>17</v>
      </c>
      <c r="H2691" t="s">
        <v>3031</v>
      </c>
      <c r="I2691" t="s">
        <v>28</v>
      </c>
      <c r="J2691" t="s">
        <v>96</v>
      </c>
      <c r="K2691" t="s">
        <v>21</v>
      </c>
      <c r="L2691" t="s">
        <v>990</v>
      </c>
      <c r="N2691" t="s">
        <v>1418</v>
      </c>
      <c r="O2691" t="s">
        <v>32</v>
      </c>
    </row>
    <row r="2692" spans="1:15" x14ac:dyDescent="0.25">
      <c r="A2692">
        <v>2691</v>
      </c>
      <c r="B2692" t="str">
        <f>HYPERLINK("https://digitalcommons.unl.edu/cgi/viewcontent.cgi?article=3235&amp;context=tractormuseumlit","Click for test report")</f>
        <v>Click for test report</v>
      </c>
      <c r="C2692">
        <v>2002</v>
      </c>
      <c r="D2692" t="s">
        <v>3026</v>
      </c>
      <c r="E2692" t="s">
        <v>3027</v>
      </c>
      <c r="F2692" t="s">
        <v>17</v>
      </c>
      <c r="G2692" t="s">
        <v>17</v>
      </c>
      <c r="H2692" t="s">
        <v>3028</v>
      </c>
      <c r="I2692" t="s">
        <v>64</v>
      </c>
      <c r="J2692" t="s">
        <v>20</v>
      </c>
      <c r="K2692" t="s">
        <v>21</v>
      </c>
      <c r="L2692" t="s">
        <v>939</v>
      </c>
      <c r="N2692" t="s">
        <v>1042</v>
      </c>
      <c r="O2692" t="s">
        <v>1871</v>
      </c>
    </row>
    <row r="2693" spans="1:15" x14ac:dyDescent="0.25">
      <c r="A2693">
        <v>2692</v>
      </c>
      <c r="B2693" t="str">
        <f>HYPERLINK("https://digitalcommons.unl.edu/cgi/viewcontent.cgi?article=3236&amp;context=tractormuseumlit","Click for test report")</f>
        <v>Click for test report</v>
      </c>
      <c r="C2693">
        <v>2002</v>
      </c>
      <c r="D2693" t="s">
        <v>3023</v>
      </c>
      <c r="E2693" t="s">
        <v>3024</v>
      </c>
      <c r="F2693" t="s">
        <v>17</v>
      </c>
      <c r="G2693" t="s">
        <v>17</v>
      </c>
      <c r="H2693" t="s">
        <v>3025</v>
      </c>
      <c r="I2693" t="s">
        <v>50</v>
      </c>
      <c r="J2693" t="s">
        <v>20</v>
      </c>
      <c r="K2693" t="s">
        <v>21</v>
      </c>
      <c r="L2693" t="s">
        <v>55</v>
      </c>
      <c r="N2693" t="s">
        <v>722</v>
      </c>
      <c r="O2693" t="s">
        <v>24</v>
      </c>
    </row>
    <row r="2694" spans="1:15" x14ac:dyDescent="0.25">
      <c r="A2694">
        <v>2693</v>
      </c>
      <c r="B2694" t="str">
        <f>HYPERLINK("https://digitalcommons.unl.edu/cgi/viewcontent.cgi?article=3237&amp;context=tractormuseumlit","Click for test report")</f>
        <v>Click for test report</v>
      </c>
      <c r="C2694">
        <v>2002</v>
      </c>
      <c r="D2694" t="s">
        <v>3020</v>
      </c>
      <c r="E2694" t="s">
        <v>3021</v>
      </c>
      <c r="F2694" t="s">
        <v>17</v>
      </c>
      <c r="G2694" t="s">
        <v>17</v>
      </c>
      <c r="H2694" t="s">
        <v>3022</v>
      </c>
      <c r="I2694" t="s">
        <v>50</v>
      </c>
      <c r="J2694" t="s">
        <v>20</v>
      </c>
      <c r="K2694" t="s">
        <v>21</v>
      </c>
      <c r="L2694" t="s">
        <v>375</v>
      </c>
      <c r="N2694" t="s">
        <v>565</v>
      </c>
      <c r="O2694" t="s">
        <v>24</v>
      </c>
    </row>
    <row r="2695" spans="1:15" x14ac:dyDescent="0.25">
      <c r="A2695">
        <v>2694</v>
      </c>
      <c r="B2695" t="str">
        <f>HYPERLINK("https://digitalcommons.unl.edu/cgi/viewcontent.cgi?article=1190&amp;context=tractormuseumlit","Click for test report")</f>
        <v>Click for test report</v>
      </c>
      <c r="C2695">
        <v>2002</v>
      </c>
      <c r="D2695" t="s">
        <v>3016</v>
      </c>
      <c r="E2695" t="s">
        <v>3017</v>
      </c>
      <c r="F2695" t="s">
        <v>17</v>
      </c>
      <c r="G2695" t="s">
        <v>17</v>
      </c>
      <c r="H2695" t="s">
        <v>3018</v>
      </c>
      <c r="I2695" t="s">
        <v>28</v>
      </c>
      <c r="J2695" t="s">
        <v>29</v>
      </c>
      <c r="K2695" t="s">
        <v>21</v>
      </c>
      <c r="L2695" t="s">
        <v>3019</v>
      </c>
      <c r="N2695" t="s">
        <v>888</v>
      </c>
      <c r="O2695" t="s">
        <v>24</v>
      </c>
    </row>
    <row r="2696" spans="1:15" x14ac:dyDescent="0.25">
      <c r="A2696">
        <v>2695</v>
      </c>
      <c r="B2696" t="str">
        <f>HYPERLINK("https://digitalcommons.unl.edu/cgi/viewcontent.cgi?article=1188&amp;context=tractormuseumlit","Click for test report")</f>
        <v>Click for test report</v>
      </c>
      <c r="C2696">
        <v>2002</v>
      </c>
      <c r="D2696" t="s">
        <v>3013</v>
      </c>
      <c r="E2696" t="s">
        <v>3014</v>
      </c>
      <c r="F2696" t="s">
        <v>17</v>
      </c>
      <c r="G2696" t="s">
        <v>17</v>
      </c>
      <c r="H2696" t="s">
        <v>3015</v>
      </c>
      <c r="I2696" t="s">
        <v>28</v>
      </c>
      <c r="J2696" t="s">
        <v>29</v>
      </c>
      <c r="K2696" t="s">
        <v>21</v>
      </c>
      <c r="L2696" t="s">
        <v>986</v>
      </c>
      <c r="N2696" t="s">
        <v>301</v>
      </c>
      <c r="O2696" t="s">
        <v>24</v>
      </c>
    </row>
    <row r="2697" spans="1:15" x14ac:dyDescent="0.25">
      <c r="A2697">
        <v>2696</v>
      </c>
      <c r="B2697" t="str">
        <f>HYPERLINK("https://digitalcommons.unl.edu/cgi/viewcontent.cgi?article=1350&amp;context=tractormuseumlit","Click for test report")</f>
        <v>Click for test report</v>
      </c>
      <c r="C2697">
        <v>2002</v>
      </c>
      <c r="D2697" t="s">
        <v>3010</v>
      </c>
      <c r="E2697" t="s">
        <v>3011</v>
      </c>
      <c r="F2697" t="s">
        <v>111</v>
      </c>
      <c r="G2697" t="s">
        <v>414</v>
      </c>
      <c r="H2697" t="s">
        <v>3012</v>
      </c>
      <c r="I2697" t="s">
        <v>28</v>
      </c>
      <c r="J2697" t="s">
        <v>96</v>
      </c>
      <c r="K2697" t="s">
        <v>21</v>
      </c>
      <c r="L2697" t="s">
        <v>1590</v>
      </c>
      <c r="N2697" t="s">
        <v>892</v>
      </c>
      <c r="O2697" t="s">
        <v>24</v>
      </c>
    </row>
    <row r="2698" spans="1:15" x14ac:dyDescent="0.25">
      <c r="A2698">
        <v>2697</v>
      </c>
      <c r="B2698" t="str">
        <f>HYPERLINK("https://digitalcommons.unl.edu/cgi/viewcontent.cgi?article=1352&amp;context=tractormuseumlit","Click for test report")</f>
        <v>Click for test report</v>
      </c>
      <c r="C2698">
        <v>2002</v>
      </c>
      <c r="D2698" t="s">
        <v>3006</v>
      </c>
      <c r="E2698" t="s">
        <v>3007</v>
      </c>
      <c r="F2698" t="s">
        <v>111</v>
      </c>
      <c r="G2698" t="s">
        <v>414</v>
      </c>
      <c r="H2698" t="s">
        <v>3008</v>
      </c>
      <c r="I2698" t="s">
        <v>28</v>
      </c>
      <c r="J2698" t="s">
        <v>96</v>
      </c>
      <c r="K2698" t="s">
        <v>21</v>
      </c>
      <c r="L2698" t="s">
        <v>955</v>
      </c>
      <c r="N2698" t="s">
        <v>3009</v>
      </c>
      <c r="O2698" t="s">
        <v>24</v>
      </c>
    </row>
    <row r="2699" spans="1:15" x14ac:dyDescent="0.25">
      <c r="A2699">
        <v>2698</v>
      </c>
      <c r="B2699" t="str">
        <f>HYPERLINK("https://digitalcommons.unl.edu/cgi/viewcontent.cgi?article=1358&amp;context=tractormuseumlit","Click for test report")</f>
        <v>Click for test report</v>
      </c>
      <c r="C2699">
        <v>2002</v>
      </c>
      <c r="D2699" t="s">
        <v>3003</v>
      </c>
      <c r="E2699" t="s">
        <v>3004</v>
      </c>
      <c r="F2699" t="s">
        <v>111</v>
      </c>
      <c r="G2699" t="s">
        <v>414</v>
      </c>
      <c r="H2699" t="s">
        <v>3005</v>
      </c>
      <c r="I2699" t="s">
        <v>28</v>
      </c>
      <c r="J2699" t="s">
        <v>96</v>
      </c>
      <c r="K2699" t="s">
        <v>21</v>
      </c>
      <c r="L2699" t="s">
        <v>1060</v>
      </c>
      <c r="N2699" t="s">
        <v>390</v>
      </c>
      <c r="O2699" t="s">
        <v>24</v>
      </c>
    </row>
    <row r="2700" spans="1:15" x14ac:dyDescent="0.25">
      <c r="A2700">
        <v>2699</v>
      </c>
      <c r="B2700" t="str">
        <f>HYPERLINK("https://digitalcommons.unl.edu/cgi/viewcontent.cgi?article=1360&amp;context=tractormuseumlit","Click for test report")</f>
        <v>Click for test report</v>
      </c>
      <c r="C2700">
        <v>2002</v>
      </c>
      <c r="D2700" t="s">
        <v>2998</v>
      </c>
      <c r="E2700" t="s">
        <v>2999</v>
      </c>
      <c r="F2700" t="s">
        <v>111</v>
      </c>
      <c r="G2700" t="s">
        <v>414</v>
      </c>
      <c r="H2700" t="s">
        <v>3000</v>
      </c>
      <c r="I2700" t="s">
        <v>28</v>
      </c>
      <c r="J2700" t="s">
        <v>96</v>
      </c>
      <c r="K2700" t="s">
        <v>21</v>
      </c>
      <c r="L2700" t="s">
        <v>3001</v>
      </c>
      <c r="N2700" t="s">
        <v>3002</v>
      </c>
      <c r="O2700" t="s">
        <v>24</v>
      </c>
    </row>
    <row r="2701" spans="1:15" x14ac:dyDescent="0.25">
      <c r="A2701">
        <v>2700</v>
      </c>
      <c r="B2701" t="str">
        <f>HYPERLINK("https://digitalcommons.unl.edu/cgi/viewcontent.cgi?article=3809&amp;context=tractormuseumlit","Click for test report")</f>
        <v>Click for test report</v>
      </c>
      <c r="C2701">
        <v>2003</v>
      </c>
      <c r="E2701" t="s">
        <v>2994</v>
      </c>
      <c r="F2701" t="s">
        <v>2942</v>
      </c>
      <c r="G2701" t="s">
        <v>414</v>
      </c>
      <c r="H2701" t="s">
        <v>2995</v>
      </c>
      <c r="I2701" t="s">
        <v>50</v>
      </c>
      <c r="J2701" t="s">
        <v>20</v>
      </c>
      <c r="K2701" t="s">
        <v>21</v>
      </c>
      <c r="L2701" t="s">
        <v>404</v>
      </c>
      <c r="N2701" t="s">
        <v>2090</v>
      </c>
      <c r="O2701" t="s">
        <v>2997</v>
      </c>
    </row>
    <row r="2702" spans="1:15" x14ac:dyDescent="0.25">
      <c r="A2702">
        <v>2701</v>
      </c>
      <c r="B2702" t="str">
        <f>HYPERLINK("https://digitalcommons.unl.edu/cgi/viewcontent.cgi?article=3809&amp;context=tractormuseumlit","Click for test report")</f>
        <v>Click for test report</v>
      </c>
      <c r="C2702">
        <v>2003</v>
      </c>
      <c r="E2702" t="s">
        <v>2994</v>
      </c>
      <c r="F2702" t="s">
        <v>2942</v>
      </c>
      <c r="G2702" t="s">
        <v>414</v>
      </c>
      <c r="H2702" t="s">
        <v>2995</v>
      </c>
      <c r="I2702" t="s">
        <v>50</v>
      </c>
      <c r="J2702" t="s">
        <v>20</v>
      </c>
      <c r="K2702" t="s">
        <v>21</v>
      </c>
      <c r="L2702" t="s">
        <v>1994</v>
      </c>
      <c r="N2702" t="s">
        <v>2090</v>
      </c>
      <c r="O2702" t="s">
        <v>2996</v>
      </c>
    </row>
    <row r="2703" spans="1:15" x14ac:dyDescent="0.25">
      <c r="A2703">
        <v>2702</v>
      </c>
      <c r="B2703" t="str">
        <f>HYPERLINK("https://digitalcommons.unl.edu/cgi/viewcontent.cgi?article=4336&amp;context=tractormuseumlit","Click for test report")</f>
        <v>Click for test report</v>
      </c>
      <c r="C2703">
        <v>2003</v>
      </c>
      <c r="E2703" t="s">
        <v>2990</v>
      </c>
      <c r="F2703" t="s">
        <v>2942</v>
      </c>
      <c r="G2703" t="s">
        <v>414</v>
      </c>
      <c r="H2703" t="s">
        <v>2991</v>
      </c>
      <c r="I2703" t="s">
        <v>50</v>
      </c>
      <c r="J2703" t="s">
        <v>20</v>
      </c>
      <c r="K2703" t="s">
        <v>21</v>
      </c>
      <c r="L2703" t="s">
        <v>58</v>
      </c>
      <c r="N2703" t="s">
        <v>747</v>
      </c>
      <c r="O2703" t="s">
        <v>2993</v>
      </c>
    </row>
    <row r="2704" spans="1:15" x14ac:dyDescent="0.25">
      <c r="A2704">
        <v>2703</v>
      </c>
      <c r="B2704" t="str">
        <f>HYPERLINK("https://digitalcommons.unl.edu/cgi/viewcontent.cgi?article=4336&amp;context=tractormuseumlit","Click for test report")</f>
        <v>Click for test report</v>
      </c>
      <c r="C2704">
        <v>2003</v>
      </c>
      <c r="E2704" t="s">
        <v>2990</v>
      </c>
      <c r="F2704" t="s">
        <v>2942</v>
      </c>
      <c r="G2704" t="s">
        <v>414</v>
      </c>
      <c r="H2704" t="s">
        <v>2991</v>
      </c>
      <c r="I2704" t="s">
        <v>50</v>
      </c>
      <c r="J2704" t="s">
        <v>20</v>
      </c>
      <c r="K2704" t="s">
        <v>21</v>
      </c>
      <c r="L2704" t="s">
        <v>743</v>
      </c>
      <c r="N2704" t="s">
        <v>747</v>
      </c>
      <c r="O2704" t="s">
        <v>2992</v>
      </c>
    </row>
    <row r="2705" spans="1:15" x14ac:dyDescent="0.25">
      <c r="A2705">
        <v>2704</v>
      </c>
      <c r="B2705" t="str">
        <f>HYPERLINK("https://digitalcommons.unl.edu/cgi/viewcontent.cgi?article=3287&amp;context=tractormuseumlit","Click for test report")</f>
        <v>Click for test report</v>
      </c>
      <c r="C2705">
        <v>2003</v>
      </c>
      <c r="E2705" t="s">
        <v>2985</v>
      </c>
      <c r="F2705" t="s">
        <v>2986</v>
      </c>
      <c r="G2705" t="s">
        <v>778</v>
      </c>
      <c r="H2705" t="s">
        <v>2987</v>
      </c>
      <c r="I2705" t="s">
        <v>50</v>
      </c>
      <c r="J2705" t="s">
        <v>20</v>
      </c>
      <c r="K2705" t="s">
        <v>21</v>
      </c>
      <c r="L2705" t="s">
        <v>343</v>
      </c>
      <c r="N2705" t="s">
        <v>1350</v>
      </c>
      <c r="O2705" t="s">
        <v>2989</v>
      </c>
    </row>
    <row r="2706" spans="1:15" x14ac:dyDescent="0.25">
      <c r="A2706">
        <v>2705</v>
      </c>
      <c r="B2706" t="str">
        <f>HYPERLINK("https://digitalcommons.unl.edu/cgi/viewcontent.cgi?article=3287&amp;context=tractormuseumlit","Click for test report")</f>
        <v>Click for test report</v>
      </c>
      <c r="C2706">
        <v>2003</v>
      </c>
      <c r="E2706" t="s">
        <v>2985</v>
      </c>
      <c r="F2706" t="s">
        <v>2986</v>
      </c>
      <c r="G2706" t="s">
        <v>778</v>
      </c>
      <c r="H2706" t="s">
        <v>2987</v>
      </c>
      <c r="I2706" t="s">
        <v>50</v>
      </c>
      <c r="J2706" t="s">
        <v>20</v>
      </c>
      <c r="K2706" t="s">
        <v>21</v>
      </c>
      <c r="L2706" t="s">
        <v>565</v>
      </c>
      <c r="N2706" t="s">
        <v>1350</v>
      </c>
      <c r="O2706" t="s">
        <v>2988</v>
      </c>
    </row>
    <row r="2707" spans="1:15" x14ac:dyDescent="0.25">
      <c r="A2707">
        <v>2706</v>
      </c>
      <c r="B2707" t="str">
        <f>HYPERLINK("https://digitalcommons.unl.edu/cgi/viewcontent.cgi?article=4337&amp;context=tractormuseumlit","Click for test report")</f>
        <v>Click for test report</v>
      </c>
      <c r="C2707">
        <v>2003</v>
      </c>
      <c r="E2707" t="s">
        <v>2981</v>
      </c>
      <c r="F2707" t="s">
        <v>2942</v>
      </c>
      <c r="G2707" t="s">
        <v>414</v>
      </c>
      <c r="H2707" t="s">
        <v>2982</v>
      </c>
      <c r="I2707" t="s">
        <v>50</v>
      </c>
      <c r="J2707" t="s">
        <v>20</v>
      </c>
      <c r="K2707" t="s">
        <v>21</v>
      </c>
      <c r="L2707" t="s">
        <v>343</v>
      </c>
      <c r="N2707" t="s">
        <v>2030</v>
      </c>
      <c r="O2707" t="s">
        <v>2984</v>
      </c>
    </row>
    <row r="2708" spans="1:15" x14ac:dyDescent="0.25">
      <c r="A2708">
        <v>2707</v>
      </c>
      <c r="B2708" t="str">
        <f>HYPERLINK("https://digitalcommons.unl.edu/cgi/viewcontent.cgi?article=4337&amp;context=tractormuseumlit","Click for test report")</f>
        <v>Click for test report</v>
      </c>
      <c r="C2708">
        <v>2003</v>
      </c>
      <c r="E2708" t="s">
        <v>2981</v>
      </c>
      <c r="F2708" t="s">
        <v>2942</v>
      </c>
      <c r="G2708" t="s">
        <v>414</v>
      </c>
      <c r="H2708" t="s">
        <v>2982</v>
      </c>
      <c r="I2708" t="s">
        <v>50</v>
      </c>
      <c r="J2708" t="s">
        <v>20</v>
      </c>
      <c r="K2708" t="s">
        <v>21</v>
      </c>
      <c r="L2708" t="s">
        <v>565</v>
      </c>
      <c r="N2708" t="s">
        <v>2030</v>
      </c>
      <c r="O2708" t="s">
        <v>2983</v>
      </c>
    </row>
    <row r="2709" spans="1:15" x14ac:dyDescent="0.25">
      <c r="A2709">
        <v>2708</v>
      </c>
      <c r="B2709" t="str">
        <f>HYPERLINK("https://digitalcommons.unl.edu/cgi/viewcontent.cgi?article=4339&amp;context=tractormuseumlit","Click for test report")</f>
        <v>Click for test report</v>
      </c>
      <c r="C2709">
        <v>2003</v>
      </c>
      <c r="E2709" t="s">
        <v>2978</v>
      </c>
      <c r="F2709" t="s">
        <v>1136</v>
      </c>
      <c r="G2709" t="s">
        <v>414</v>
      </c>
      <c r="H2709" t="s">
        <v>2979</v>
      </c>
      <c r="I2709" t="s">
        <v>19</v>
      </c>
      <c r="J2709" t="s">
        <v>20</v>
      </c>
      <c r="K2709" t="s">
        <v>21</v>
      </c>
      <c r="L2709" t="s">
        <v>46</v>
      </c>
      <c r="N2709" t="s">
        <v>123</v>
      </c>
      <c r="O2709" t="s">
        <v>2980</v>
      </c>
    </row>
    <row r="2710" spans="1:15" x14ac:dyDescent="0.25">
      <c r="A2710">
        <v>2709</v>
      </c>
      <c r="B2710" t="str">
        <f>HYPERLINK("https://digitalcommons.unl.edu/cgi/viewcontent.cgi?article=3825&amp;context=tractormuseumlit","Click for test report")</f>
        <v>Click for test report</v>
      </c>
      <c r="C2710">
        <v>2003</v>
      </c>
      <c r="E2710" t="s">
        <v>2975</v>
      </c>
      <c r="F2710" t="s">
        <v>1136</v>
      </c>
      <c r="G2710" t="s">
        <v>414</v>
      </c>
      <c r="H2710" t="s">
        <v>2976</v>
      </c>
      <c r="I2710" t="s">
        <v>19</v>
      </c>
      <c r="J2710" t="s">
        <v>20</v>
      </c>
      <c r="K2710" t="s">
        <v>21</v>
      </c>
      <c r="L2710" t="s">
        <v>2652</v>
      </c>
      <c r="N2710" t="s">
        <v>374</v>
      </c>
      <c r="O2710" t="s">
        <v>2977</v>
      </c>
    </row>
    <row r="2711" spans="1:15" x14ac:dyDescent="0.25">
      <c r="A2711">
        <v>2710</v>
      </c>
      <c r="B2711" t="str">
        <f>HYPERLINK("https://digitalcommons.unl.edu/cgi/viewcontent.cgi?article=3826&amp;context=tractormuseumlit","Click for test report")</f>
        <v>Click for test report</v>
      </c>
      <c r="C2711">
        <v>2003</v>
      </c>
      <c r="E2711" t="s">
        <v>2972</v>
      </c>
      <c r="F2711" t="s">
        <v>1136</v>
      </c>
      <c r="G2711" t="s">
        <v>414</v>
      </c>
      <c r="H2711" t="s">
        <v>2973</v>
      </c>
      <c r="I2711" t="s">
        <v>28</v>
      </c>
      <c r="J2711" t="s">
        <v>20</v>
      </c>
      <c r="K2711" t="s">
        <v>21</v>
      </c>
      <c r="L2711" t="s">
        <v>328</v>
      </c>
      <c r="N2711" t="s">
        <v>853</v>
      </c>
      <c r="O2711" t="s">
        <v>2974</v>
      </c>
    </row>
    <row r="2712" spans="1:15" x14ac:dyDescent="0.25">
      <c r="A2712">
        <v>2711</v>
      </c>
      <c r="B2712" t="str">
        <f>HYPERLINK("https://digitalcommons.unl.edu/cgi/viewcontent.cgi?article=3827&amp;context=tractormuseumlit","Click for test report")</f>
        <v>Click for test report</v>
      </c>
      <c r="C2712">
        <v>2003</v>
      </c>
      <c r="E2712" t="s">
        <v>2969</v>
      </c>
      <c r="F2712" t="s">
        <v>1136</v>
      </c>
      <c r="G2712" t="s">
        <v>414</v>
      </c>
      <c r="H2712" t="s">
        <v>2970</v>
      </c>
      <c r="I2712" t="s">
        <v>28</v>
      </c>
      <c r="J2712" t="s">
        <v>20</v>
      </c>
      <c r="K2712" t="s">
        <v>21</v>
      </c>
      <c r="L2712" t="s">
        <v>2660</v>
      </c>
      <c r="N2712" t="s">
        <v>1821</v>
      </c>
      <c r="O2712" t="s">
        <v>2971</v>
      </c>
    </row>
    <row r="2713" spans="1:15" x14ac:dyDescent="0.25">
      <c r="A2713">
        <v>2712</v>
      </c>
      <c r="B2713" t="str">
        <f>HYPERLINK("https://digitalcommons.unl.edu/cgi/viewcontent.cgi?article=3828&amp;context=tractormuseumlit","Click for test report")</f>
        <v>Click for test report</v>
      </c>
      <c r="C2713">
        <v>2003</v>
      </c>
      <c r="E2713" t="s">
        <v>2966</v>
      </c>
      <c r="F2713" t="s">
        <v>1136</v>
      </c>
      <c r="G2713" t="s">
        <v>414</v>
      </c>
      <c r="H2713" t="s">
        <v>2967</v>
      </c>
      <c r="I2713" t="s">
        <v>28</v>
      </c>
      <c r="J2713" t="s">
        <v>20</v>
      </c>
      <c r="K2713" t="s">
        <v>21</v>
      </c>
      <c r="L2713" t="s">
        <v>888</v>
      </c>
      <c r="N2713" t="s">
        <v>71</v>
      </c>
      <c r="O2713" t="s">
        <v>2968</v>
      </c>
    </row>
    <row r="2714" spans="1:15" x14ac:dyDescent="0.25">
      <c r="A2714">
        <v>2713</v>
      </c>
      <c r="B2714" t="str">
        <f>HYPERLINK("https://digitalcommons.unl.edu/cgi/viewcontent.cgi?article=3830&amp;context=tractormuseumlit","Click for test report")</f>
        <v>Click for test report</v>
      </c>
      <c r="C2714">
        <v>2003</v>
      </c>
      <c r="E2714" t="s">
        <v>2962</v>
      </c>
      <c r="F2714" t="s">
        <v>135</v>
      </c>
      <c r="G2714" t="s">
        <v>135</v>
      </c>
      <c r="H2714" t="s">
        <v>2963</v>
      </c>
      <c r="I2714" t="s">
        <v>2964</v>
      </c>
      <c r="J2714" t="s">
        <v>29</v>
      </c>
      <c r="K2714" t="s">
        <v>21</v>
      </c>
      <c r="L2714" t="s">
        <v>571</v>
      </c>
      <c r="N2714" t="s">
        <v>574</v>
      </c>
      <c r="O2714" t="s">
        <v>2965</v>
      </c>
    </row>
    <row r="2715" spans="1:15" x14ac:dyDescent="0.25">
      <c r="A2715">
        <v>2714</v>
      </c>
      <c r="B2715" t="str">
        <f>HYPERLINK("https://digitalcommons.unl.edu/cgi/viewcontent.cgi?article=4340&amp;context=tractormuseumlit","Click for test report")</f>
        <v>Click for test report</v>
      </c>
      <c r="C2715">
        <v>2003</v>
      </c>
      <c r="E2715" t="s">
        <v>2958</v>
      </c>
      <c r="F2715" t="s">
        <v>2946</v>
      </c>
      <c r="G2715" t="s">
        <v>2537</v>
      </c>
      <c r="H2715" t="s">
        <v>2961</v>
      </c>
      <c r="I2715" t="s">
        <v>1961</v>
      </c>
      <c r="J2715" t="s">
        <v>20</v>
      </c>
      <c r="K2715" t="s">
        <v>21</v>
      </c>
      <c r="L2715" t="s">
        <v>731</v>
      </c>
      <c r="N2715" t="s">
        <v>735</v>
      </c>
      <c r="O2715" t="s">
        <v>2960</v>
      </c>
    </row>
    <row r="2716" spans="1:15" x14ac:dyDescent="0.25">
      <c r="A2716">
        <v>2715</v>
      </c>
      <c r="B2716" t="str">
        <f>HYPERLINK("https://digitalcommons.unl.edu/cgi/viewcontent.cgi?article=4340&amp;context=tractormuseumlit","Click for test report")</f>
        <v>Click for test report</v>
      </c>
      <c r="C2716">
        <v>2003</v>
      </c>
      <c r="E2716" t="s">
        <v>2958</v>
      </c>
      <c r="F2716" t="s">
        <v>2946</v>
      </c>
      <c r="G2716" t="s">
        <v>2537</v>
      </c>
      <c r="H2716" t="s">
        <v>2959</v>
      </c>
      <c r="I2716" t="s">
        <v>1961</v>
      </c>
      <c r="J2716" t="s">
        <v>20</v>
      </c>
      <c r="K2716" t="s">
        <v>21</v>
      </c>
      <c r="L2716" t="s">
        <v>731</v>
      </c>
      <c r="N2716" t="s">
        <v>735</v>
      </c>
      <c r="O2716" t="s">
        <v>2960</v>
      </c>
    </row>
    <row r="2717" spans="1:15" x14ac:dyDescent="0.25">
      <c r="A2717">
        <v>2716</v>
      </c>
      <c r="B2717" t="str">
        <f>HYPERLINK("https://digitalcommons.unl.edu/cgi/viewcontent.cgi?article=4341&amp;context=tractormuseumlit","Click for test report")</f>
        <v>Click for test report</v>
      </c>
      <c r="C2717">
        <v>2003</v>
      </c>
      <c r="E2717" t="s">
        <v>2954</v>
      </c>
      <c r="F2717" t="s">
        <v>2946</v>
      </c>
      <c r="G2717" t="s">
        <v>2537</v>
      </c>
      <c r="H2717" t="s">
        <v>2957</v>
      </c>
      <c r="I2717" t="s">
        <v>1961</v>
      </c>
      <c r="J2717" t="s">
        <v>20</v>
      </c>
      <c r="K2717" t="s">
        <v>21</v>
      </c>
      <c r="L2717" t="s">
        <v>764</v>
      </c>
      <c r="N2717" t="s">
        <v>731</v>
      </c>
      <c r="O2717" t="s">
        <v>2956</v>
      </c>
    </row>
    <row r="2718" spans="1:15" x14ac:dyDescent="0.25">
      <c r="A2718">
        <v>2717</v>
      </c>
      <c r="B2718" t="str">
        <f>HYPERLINK("https://digitalcommons.unl.edu/cgi/viewcontent.cgi?article=4341&amp;context=tractormuseumlit","Click for test report")</f>
        <v>Click for test report</v>
      </c>
      <c r="C2718">
        <v>2003</v>
      </c>
      <c r="E2718" t="s">
        <v>2954</v>
      </c>
      <c r="F2718" t="s">
        <v>2946</v>
      </c>
      <c r="G2718" t="s">
        <v>2537</v>
      </c>
      <c r="H2718" t="s">
        <v>2955</v>
      </c>
      <c r="I2718" t="s">
        <v>1961</v>
      </c>
      <c r="J2718" t="s">
        <v>20</v>
      </c>
      <c r="K2718" t="s">
        <v>21</v>
      </c>
      <c r="L2718" t="s">
        <v>764</v>
      </c>
      <c r="N2718" t="s">
        <v>731</v>
      </c>
      <c r="O2718" t="s">
        <v>2956</v>
      </c>
    </row>
    <row r="2719" spans="1:15" x14ac:dyDescent="0.25">
      <c r="A2719">
        <v>2718</v>
      </c>
      <c r="B2719" t="str">
        <f>HYPERLINK("https://digitalcommons.unl.edu/cgi/viewcontent.cgi?article=4342&amp;context=tractormuseumlit","Click for test report")</f>
        <v>Click for test report</v>
      </c>
      <c r="C2719">
        <v>2003</v>
      </c>
      <c r="E2719" t="s">
        <v>2950</v>
      </c>
      <c r="F2719" t="s">
        <v>2946</v>
      </c>
      <c r="G2719" t="s">
        <v>2537</v>
      </c>
      <c r="H2719" t="s">
        <v>2953</v>
      </c>
      <c r="I2719" t="s">
        <v>1961</v>
      </c>
      <c r="J2719" t="s">
        <v>20</v>
      </c>
      <c r="K2719" t="s">
        <v>21</v>
      </c>
      <c r="L2719" t="s">
        <v>746</v>
      </c>
      <c r="N2719" t="s">
        <v>2747</v>
      </c>
      <c r="O2719" t="s">
        <v>2952</v>
      </c>
    </row>
    <row r="2720" spans="1:15" x14ac:dyDescent="0.25">
      <c r="A2720">
        <v>2719</v>
      </c>
      <c r="B2720" t="str">
        <f>HYPERLINK("https://digitalcommons.unl.edu/cgi/viewcontent.cgi?article=4342&amp;context=tractormuseumlit","Click for test report")</f>
        <v>Click for test report</v>
      </c>
      <c r="C2720">
        <v>2003</v>
      </c>
      <c r="E2720" t="s">
        <v>2950</v>
      </c>
      <c r="F2720" t="s">
        <v>2946</v>
      </c>
      <c r="G2720" t="s">
        <v>2537</v>
      </c>
      <c r="H2720" t="s">
        <v>2951</v>
      </c>
      <c r="I2720" t="s">
        <v>1961</v>
      </c>
      <c r="J2720" t="s">
        <v>20</v>
      </c>
      <c r="K2720" t="s">
        <v>21</v>
      </c>
      <c r="L2720" t="s">
        <v>746</v>
      </c>
      <c r="N2720" t="s">
        <v>2747</v>
      </c>
      <c r="O2720" t="s">
        <v>2952</v>
      </c>
    </row>
    <row r="2721" spans="1:15" x14ac:dyDescent="0.25">
      <c r="A2721">
        <v>2720</v>
      </c>
      <c r="B2721" t="str">
        <f>HYPERLINK("https://digitalcommons.unl.edu/cgi/viewcontent.cgi?article=4343&amp;context=tractormuseumlit","Click for test report")</f>
        <v>Click for test report</v>
      </c>
      <c r="C2721">
        <v>2003</v>
      </c>
      <c r="E2721" t="s">
        <v>2945</v>
      </c>
      <c r="F2721" t="s">
        <v>2946</v>
      </c>
      <c r="G2721" t="s">
        <v>2537</v>
      </c>
      <c r="H2721" t="s">
        <v>2949</v>
      </c>
      <c r="I2721" t="s">
        <v>1961</v>
      </c>
      <c r="J2721" t="s">
        <v>20</v>
      </c>
      <c r="K2721" t="s">
        <v>21</v>
      </c>
      <c r="L2721" t="s">
        <v>55</v>
      </c>
      <c r="N2721" t="s">
        <v>1867</v>
      </c>
      <c r="O2721" t="s">
        <v>2948</v>
      </c>
    </row>
    <row r="2722" spans="1:15" x14ac:dyDescent="0.25">
      <c r="A2722">
        <v>2721</v>
      </c>
      <c r="B2722" t="str">
        <f>HYPERLINK("https://digitalcommons.unl.edu/cgi/viewcontent.cgi?article=4343&amp;context=tractormuseumlit","Click for test report")</f>
        <v>Click for test report</v>
      </c>
      <c r="C2722">
        <v>2003</v>
      </c>
      <c r="E2722" t="s">
        <v>2945</v>
      </c>
      <c r="F2722" t="s">
        <v>2946</v>
      </c>
      <c r="G2722" t="s">
        <v>2537</v>
      </c>
      <c r="H2722" t="s">
        <v>2947</v>
      </c>
      <c r="I2722" t="s">
        <v>1961</v>
      </c>
      <c r="J2722" t="s">
        <v>20</v>
      </c>
      <c r="K2722" t="s">
        <v>21</v>
      </c>
      <c r="L2722" t="s">
        <v>55</v>
      </c>
      <c r="N2722" t="s">
        <v>1867</v>
      </c>
      <c r="O2722" t="s">
        <v>2948</v>
      </c>
    </row>
    <row r="2723" spans="1:15" x14ac:dyDescent="0.25">
      <c r="A2723">
        <v>2722</v>
      </c>
      <c r="B2723" t="str">
        <f>HYPERLINK("https://digitalcommons.unl.edu/cgi/viewcontent.cgi?article=4338&amp;context=tractormuseumlit","Click for test report")</f>
        <v>Click for test report</v>
      </c>
      <c r="C2723">
        <v>2003</v>
      </c>
      <c r="E2723" t="s">
        <v>2941</v>
      </c>
      <c r="F2723" t="s">
        <v>2942</v>
      </c>
      <c r="G2723" t="s">
        <v>414</v>
      </c>
      <c r="H2723" t="s">
        <v>2943</v>
      </c>
      <c r="I2723" t="s">
        <v>50</v>
      </c>
      <c r="J2723" t="s">
        <v>20</v>
      </c>
      <c r="K2723" t="s">
        <v>21</v>
      </c>
      <c r="L2723" t="s">
        <v>2030</v>
      </c>
      <c r="N2723" t="s">
        <v>1051</v>
      </c>
      <c r="O2723" t="s">
        <v>2944</v>
      </c>
    </row>
    <row r="2724" spans="1:15" x14ac:dyDescent="0.25">
      <c r="A2724">
        <v>2723</v>
      </c>
      <c r="B2724" t="str">
        <f>HYPERLINK("https://digitalcommons.unl.edu/cgi/viewcontent.cgi?article=3223&amp;context=tractormuseumlit","Click for test report")</f>
        <v>Click for test report</v>
      </c>
      <c r="C2724">
        <v>2003</v>
      </c>
      <c r="E2724" t="s">
        <v>2939</v>
      </c>
      <c r="F2724" t="s">
        <v>384</v>
      </c>
      <c r="G2724" t="s">
        <v>112</v>
      </c>
      <c r="H2724" t="s">
        <v>2940</v>
      </c>
      <c r="I2724" t="s">
        <v>64</v>
      </c>
      <c r="J2724" t="s">
        <v>20</v>
      </c>
      <c r="K2724" t="s">
        <v>21</v>
      </c>
      <c r="L2724" t="s">
        <v>705</v>
      </c>
      <c r="N2724" t="s">
        <v>1796</v>
      </c>
      <c r="O2724" t="s">
        <v>1871</v>
      </c>
    </row>
    <row r="2725" spans="1:15" x14ac:dyDescent="0.25">
      <c r="A2725">
        <v>2724</v>
      </c>
      <c r="B2725" t="str">
        <f>HYPERLINK("https://digitalcommons.unl.edu/cgi/viewcontent.cgi?article=3871&amp;context=tractormuseumlit","Click for test report")</f>
        <v>Click for test report</v>
      </c>
      <c r="C2725">
        <v>2003</v>
      </c>
      <c r="E2725" t="s">
        <v>2937</v>
      </c>
      <c r="F2725" t="s">
        <v>1820</v>
      </c>
      <c r="G2725" t="s">
        <v>135</v>
      </c>
      <c r="H2725" t="s">
        <v>2938</v>
      </c>
      <c r="I2725" t="s">
        <v>1808</v>
      </c>
      <c r="J2725" t="s">
        <v>20</v>
      </c>
      <c r="K2725" t="s">
        <v>21</v>
      </c>
      <c r="L2725" t="s">
        <v>119</v>
      </c>
      <c r="N2725" t="s">
        <v>364</v>
      </c>
      <c r="O2725" t="s">
        <v>24</v>
      </c>
    </row>
    <row r="2726" spans="1:15" x14ac:dyDescent="0.25">
      <c r="A2726">
        <v>2725</v>
      </c>
      <c r="B2726" t="str">
        <f>HYPERLINK("https://digitalcommons.unl.edu/cgi/viewcontent.cgi?article=3871&amp;context=tractormuseumlit","Click for test report")</f>
        <v>Click for test report</v>
      </c>
      <c r="C2726">
        <v>2003</v>
      </c>
      <c r="E2726" t="s">
        <v>2937</v>
      </c>
      <c r="F2726" t="s">
        <v>1820</v>
      </c>
      <c r="G2726" t="s">
        <v>135</v>
      </c>
      <c r="H2726" t="s">
        <v>2938</v>
      </c>
      <c r="I2726" t="s">
        <v>1808</v>
      </c>
      <c r="J2726" t="s">
        <v>348</v>
      </c>
      <c r="K2726" t="s">
        <v>21</v>
      </c>
      <c r="L2726" t="s">
        <v>119</v>
      </c>
      <c r="N2726" t="s">
        <v>571</v>
      </c>
      <c r="O2726" t="s">
        <v>24</v>
      </c>
    </row>
    <row r="2727" spans="1:15" x14ac:dyDescent="0.25">
      <c r="A2727">
        <v>2726</v>
      </c>
      <c r="B2727" t="str">
        <f>HYPERLINK("https://digitalcommons.unl.edu/cgi/viewcontent.cgi?article=3872&amp;context=tractormuseumlit","Click for test report")</f>
        <v>Click for test report</v>
      </c>
      <c r="C2727">
        <v>2003</v>
      </c>
      <c r="E2727" t="s">
        <v>2934</v>
      </c>
      <c r="F2727" t="s">
        <v>1820</v>
      </c>
      <c r="G2727" t="s">
        <v>191</v>
      </c>
      <c r="H2727" t="s">
        <v>2935</v>
      </c>
      <c r="I2727" t="s">
        <v>1808</v>
      </c>
      <c r="J2727" t="s">
        <v>20</v>
      </c>
      <c r="K2727" t="s">
        <v>21</v>
      </c>
      <c r="L2727" t="s">
        <v>119</v>
      </c>
      <c r="N2727" t="s">
        <v>364</v>
      </c>
      <c r="O2727" t="s">
        <v>2936</v>
      </c>
    </row>
    <row r="2728" spans="1:15" x14ac:dyDescent="0.25">
      <c r="A2728">
        <v>2727</v>
      </c>
      <c r="B2728" t="str">
        <f>HYPERLINK("https://digitalcommons.unl.edu/cgi/viewcontent.cgi?article=3872&amp;context=tractormuseumlit","Click for test report")</f>
        <v>Click for test report</v>
      </c>
      <c r="C2728">
        <v>2003</v>
      </c>
      <c r="E2728" t="s">
        <v>2934</v>
      </c>
      <c r="F2728" t="s">
        <v>1820</v>
      </c>
      <c r="G2728" t="s">
        <v>191</v>
      </c>
      <c r="H2728" t="s">
        <v>2935</v>
      </c>
      <c r="I2728" t="s">
        <v>1808</v>
      </c>
      <c r="J2728" t="s">
        <v>348</v>
      </c>
      <c r="K2728" t="s">
        <v>21</v>
      </c>
      <c r="L2728" t="s">
        <v>119</v>
      </c>
      <c r="N2728" t="s">
        <v>571</v>
      </c>
      <c r="O2728" t="s">
        <v>2936</v>
      </c>
    </row>
    <row r="2729" spans="1:15" x14ac:dyDescent="0.25">
      <c r="A2729">
        <v>2728</v>
      </c>
      <c r="B2729" t="str">
        <f>HYPERLINK("https://digitalcommons.unl.edu/cgi/viewcontent.cgi?article=3873&amp;context=tractormuseumlit","Click for test report")</f>
        <v>Click for test report</v>
      </c>
      <c r="C2729">
        <v>2003</v>
      </c>
      <c r="E2729" t="s">
        <v>2931</v>
      </c>
      <c r="F2729" t="s">
        <v>2682</v>
      </c>
      <c r="G2729" t="s">
        <v>135</v>
      </c>
      <c r="H2729" t="s">
        <v>2932</v>
      </c>
      <c r="I2729" t="s">
        <v>28</v>
      </c>
      <c r="J2729" t="s">
        <v>20</v>
      </c>
      <c r="K2729" t="s">
        <v>21</v>
      </c>
      <c r="L2729" t="s">
        <v>939</v>
      </c>
      <c r="N2729" t="s">
        <v>126</v>
      </c>
      <c r="O2729" t="s">
        <v>2933</v>
      </c>
    </row>
    <row r="2730" spans="1:15" x14ac:dyDescent="0.25">
      <c r="A2730">
        <v>2729</v>
      </c>
      <c r="B2730" t="str">
        <f>HYPERLINK("https://digitalcommons.unl.edu/cgi/viewcontent.cgi?article=3873&amp;context=tractormuseumlit","Click for test report")</f>
        <v>Click for test report</v>
      </c>
      <c r="C2730">
        <v>2003</v>
      </c>
      <c r="E2730" t="s">
        <v>2931</v>
      </c>
      <c r="F2730" t="s">
        <v>2682</v>
      </c>
      <c r="G2730" t="s">
        <v>135</v>
      </c>
      <c r="H2730" t="s">
        <v>2932</v>
      </c>
      <c r="I2730" t="s">
        <v>28</v>
      </c>
      <c r="J2730" t="s">
        <v>348</v>
      </c>
      <c r="K2730" t="s">
        <v>21</v>
      </c>
      <c r="L2730" t="s">
        <v>939</v>
      </c>
      <c r="N2730" t="s">
        <v>363</v>
      </c>
      <c r="O2730" t="s">
        <v>2933</v>
      </c>
    </row>
    <row r="2731" spans="1:15" x14ac:dyDescent="0.25">
      <c r="A2731">
        <v>2730</v>
      </c>
      <c r="B2731" t="str">
        <f>HYPERLINK("https://digitalcommons.unl.edu/cgi/viewcontent.cgi?article=3874&amp;context=tractormuseumlit","Click for test report")</f>
        <v>Click for test report</v>
      </c>
      <c r="C2731">
        <v>2003</v>
      </c>
      <c r="E2731" t="s">
        <v>2929</v>
      </c>
      <c r="F2731" t="s">
        <v>1820</v>
      </c>
      <c r="G2731" t="s">
        <v>191</v>
      </c>
      <c r="H2731" t="s">
        <v>2930</v>
      </c>
      <c r="I2731" t="s">
        <v>28</v>
      </c>
      <c r="J2731" t="s">
        <v>20</v>
      </c>
      <c r="K2731" t="s">
        <v>21</v>
      </c>
      <c r="L2731" t="s">
        <v>939</v>
      </c>
      <c r="N2731" t="s">
        <v>126</v>
      </c>
      <c r="O2731" t="s">
        <v>24</v>
      </c>
    </row>
    <row r="2732" spans="1:15" x14ac:dyDescent="0.25">
      <c r="A2732">
        <v>2731</v>
      </c>
      <c r="B2732" t="str">
        <f>HYPERLINK("https://digitalcommons.unl.edu/cgi/viewcontent.cgi?article=3874&amp;context=tractormuseumlit","Click for test report")</f>
        <v>Click for test report</v>
      </c>
      <c r="C2732">
        <v>2003</v>
      </c>
      <c r="E2732" t="s">
        <v>2929</v>
      </c>
      <c r="F2732" t="s">
        <v>1820</v>
      </c>
      <c r="G2732" t="s">
        <v>191</v>
      </c>
      <c r="H2732" t="s">
        <v>2930</v>
      </c>
      <c r="I2732" t="s">
        <v>28</v>
      </c>
      <c r="J2732" t="s">
        <v>348</v>
      </c>
      <c r="K2732" t="s">
        <v>21</v>
      </c>
      <c r="L2732" t="s">
        <v>939</v>
      </c>
      <c r="N2732" t="s">
        <v>363</v>
      </c>
      <c r="O2732" t="s">
        <v>24</v>
      </c>
    </row>
    <row r="2733" spans="1:15" x14ac:dyDescent="0.25">
      <c r="A2733">
        <v>2732</v>
      </c>
      <c r="B2733" t="str">
        <f>HYPERLINK("https://digitalcommons.unl.edu/cgi/viewcontent.cgi?article=3875&amp;context=tractormuseumlit","Click for test report")</f>
        <v>Click for test report</v>
      </c>
      <c r="C2733">
        <v>2003</v>
      </c>
      <c r="E2733" t="s">
        <v>2926</v>
      </c>
      <c r="F2733" t="s">
        <v>2682</v>
      </c>
      <c r="G2733" t="s">
        <v>135</v>
      </c>
      <c r="H2733" t="s">
        <v>2927</v>
      </c>
      <c r="I2733" t="s">
        <v>28</v>
      </c>
      <c r="J2733" t="s">
        <v>20</v>
      </c>
      <c r="K2733" t="s">
        <v>21</v>
      </c>
      <c r="L2733" t="s">
        <v>319</v>
      </c>
      <c r="N2733" t="s">
        <v>528</v>
      </c>
      <c r="O2733" t="s">
        <v>2928</v>
      </c>
    </row>
    <row r="2734" spans="1:15" x14ac:dyDescent="0.25">
      <c r="A2734">
        <v>2733</v>
      </c>
      <c r="B2734" t="str">
        <f>HYPERLINK("https://digitalcommons.unl.edu/cgi/viewcontent.cgi?article=3875&amp;context=tractormuseumlit","Click for test report")</f>
        <v>Click for test report</v>
      </c>
      <c r="C2734">
        <v>2003</v>
      </c>
      <c r="E2734" t="s">
        <v>2926</v>
      </c>
      <c r="F2734" t="s">
        <v>2682</v>
      </c>
      <c r="G2734" t="s">
        <v>135</v>
      </c>
      <c r="H2734" t="s">
        <v>2927</v>
      </c>
      <c r="I2734" t="s">
        <v>28</v>
      </c>
      <c r="J2734" t="s">
        <v>348</v>
      </c>
      <c r="K2734" t="s">
        <v>21</v>
      </c>
      <c r="L2734" t="s">
        <v>319</v>
      </c>
      <c r="N2734" t="s">
        <v>119</v>
      </c>
      <c r="O2734" t="s">
        <v>2928</v>
      </c>
    </row>
    <row r="2735" spans="1:15" x14ac:dyDescent="0.25">
      <c r="A2735">
        <v>2734</v>
      </c>
      <c r="B2735" t="str">
        <f>HYPERLINK("https://digitalcommons.unl.edu/cgi/viewcontent.cgi?article=3876&amp;context=tractormuseumlit","Click for test report")</f>
        <v>Click for test report</v>
      </c>
      <c r="C2735">
        <v>2003</v>
      </c>
      <c r="E2735" t="s">
        <v>2924</v>
      </c>
      <c r="F2735" t="s">
        <v>1820</v>
      </c>
      <c r="G2735" t="s">
        <v>191</v>
      </c>
      <c r="H2735" t="s">
        <v>2925</v>
      </c>
      <c r="I2735" t="s">
        <v>28</v>
      </c>
      <c r="J2735" t="s">
        <v>20</v>
      </c>
      <c r="K2735" t="s">
        <v>21</v>
      </c>
      <c r="L2735" t="s">
        <v>319</v>
      </c>
      <c r="N2735" t="s">
        <v>528</v>
      </c>
      <c r="O2735" t="s">
        <v>24</v>
      </c>
    </row>
    <row r="2736" spans="1:15" x14ac:dyDescent="0.25">
      <c r="A2736">
        <v>2735</v>
      </c>
      <c r="B2736" t="str">
        <f>HYPERLINK("https://digitalcommons.unl.edu/cgi/viewcontent.cgi?article=3876&amp;context=tractormuseumlit","Click for test report")</f>
        <v>Click for test report</v>
      </c>
      <c r="C2736">
        <v>2003</v>
      </c>
      <c r="E2736" t="s">
        <v>2924</v>
      </c>
      <c r="F2736" t="s">
        <v>1820</v>
      </c>
      <c r="G2736" t="s">
        <v>191</v>
      </c>
      <c r="H2736" t="s">
        <v>2925</v>
      </c>
      <c r="I2736" t="s">
        <v>28</v>
      </c>
      <c r="J2736" t="s">
        <v>348</v>
      </c>
      <c r="K2736" t="s">
        <v>21</v>
      </c>
      <c r="L2736" t="s">
        <v>319</v>
      </c>
      <c r="N2736" t="s">
        <v>119</v>
      </c>
      <c r="O2736" t="s">
        <v>24</v>
      </c>
    </row>
    <row r="2737" spans="1:15" x14ac:dyDescent="0.25">
      <c r="A2737">
        <v>2736</v>
      </c>
      <c r="B2737" t="str">
        <f>HYPERLINK("https://digitalcommons.unl.edu/cgi/viewcontent.cgi?article=3224&amp;context=tractormuseumlit","Click for test report")</f>
        <v>Click for test report</v>
      </c>
      <c r="C2737">
        <v>2003</v>
      </c>
      <c r="E2737" t="s">
        <v>2922</v>
      </c>
      <c r="F2737" t="s">
        <v>384</v>
      </c>
      <c r="G2737" t="s">
        <v>112</v>
      </c>
      <c r="H2737" t="s">
        <v>2923</v>
      </c>
      <c r="I2737" t="s">
        <v>64</v>
      </c>
      <c r="J2737" t="s">
        <v>20</v>
      </c>
      <c r="K2737" t="s">
        <v>21</v>
      </c>
      <c r="L2737" t="s">
        <v>23</v>
      </c>
      <c r="N2737" t="s">
        <v>454</v>
      </c>
      <c r="O2737" t="s">
        <v>1871</v>
      </c>
    </row>
    <row r="2738" spans="1:15" x14ac:dyDescent="0.25">
      <c r="A2738">
        <v>2737</v>
      </c>
      <c r="B2738" t="str">
        <f>HYPERLINK("https://digitalcommons.unl.edu/cgi/viewcontent.cgi?article=3225&amp;context=tractormuseumlit","Click for test report")</f>
        <v>Click for test report</v>
      </c>
      <c r="C2738">
        <v>2003</v>
      </c>
      <c r="E2738" t="s">
        <v>2921</v>
      </c>
      <c r="F2738" t="s">
        <v>384</v>
      </c>
      <c r="G2738" t="s">
        <v>112</v>
      </c>
      <c r="H2738" t="s">
        <v>121</v>
      </c>
      <c r="I2738" t="s">
        <v>64</v>
      </c>
      <c r="J2738" t="s">
        <v>20</v>
      </c>
      <c r="K2738" t="s">
        <v>21</v>
      </c>
      <c r="L2738" t="s">
        <v>1386</v>
      </c>
      <c r="N2738" t="s">
        <v>374</v>
      </c>
      <c r="O2738" t="s">
        <v>1871</v>
      </c>
    </row>
    <row r="2739" spans="1:15" x14ac:dyDescent="0.25">
      <c r="A2739">
        <v>2738</v>
      </c>
      <c r="B2739" t="str">
        <f>HYPERLINK("https://digitalcommons.unl.edu/cgi/viewcontent.cgi?article=3226&amp;context=tractormuseumlit","Click for test report")</f>
        <v>Click for test report</v>
      </c>
      <c r="C2739">
        <v>2003</v>
      </c>
      <c r="E2739" t="s">
        <v>2919</v>
      </c>
      <c r="F2739" t="s">
        <v>384</v>
      </c>
      <c r="G2739" t="s">
        <v>112</v>
      </c>
      <c r="H2739" t="s">
        <v>2920</v>
      </c>
      <c r="I2739" t="s">
        <v>64</v>
      </c>
      <c r="J2739" t="s">
        <v>20</v>
      </c>
      <c r="K2739" t="s">
        <v>21</v>
      </c>
      <c r="L2739" t="s">
        <v>853</v>
      </c>
      <c r="N2739" t="s">
        <v>363</v>
      </c>
      <c r="O2739" t="s">
        <v>1871</v>
      </c>
    </row>
    <row r="2740" spans="1:15" x14ac:dyDescent="0.25">
      <c r="A2740">
        <v>2739</v>
      </c>
      <c r="B2740" t="str">
        <f>HYPERLINK("https://digitalcommons.unl.edu/cgi/viewcontent.cgi?article=3227&amp;context=tractormuseumlit","Click for test report")</f>
        <v>Click for test report</v>
      </c>
      <c r="C2740">
        <v>2003</v>
      </c>
      <c r="E2740" t="s">
        <v>2917</v>
      </c>
      <c r="F2740" t="s">
        <v>17</v>
      </c>
      <c r="G2740" t="s">
        <v>17</v>
      </c>
      <c r="H2740" t="s">
        <v>2918</v>
      </c>
      <c r="I2740" t="s">
        <v>50</v>
      </c>
      <c r="J2740" t="s">
        <v>20</v>
      </c>
      <c r="K2740" t="s">
        <v>21</v>
      </c>
      <c r="L2740" t="s">
        <v>340</v>
      </c>
      <c r="N2740" t="s">
        <v>743</v>
      </c>
      <c r="O2740" t="s">
        <v>24</v>
      </c>
    </row>
    <row r="2741" spans="1:15" x14ac:dyDescent="0.25">
      <c r="A2741">
        <v>2740</v>
      </c>
      <c r="B2741" t="str">
        <f>HYPERLINK("https://digitalcommons.unl.edu/cgi/viewcontent.cgi?article=3228&amp;context=tractormuseumlit","Click for test report")</f>
        <v>Click for test report</v>
      </c>
      <c r="C2741">
        <v>2003</v>
      </c>
      <c r="E2741" t="s">
        <v>2916</v>
      </c>
      <c r="F2741" t="s">
        <v>17</v>
      </c>
      <c r="G2741" t="s">
        <v>17</v>
      </c>
      <c r="H2741" t="s">
        <v>1244</v>
      </c>
      <c r="I2741" t="s">
        <v>50</v>
      </c>
      <c r="J2741" t="s">
        <v>20</v>
      </c>
      <c r="K2741" t="s">
        <v>21</v>
      </c>
      <c r="L2741" t="s">
        <v>561</v>
      </c>
      <c r="N2741" t="s">
        <v>716</v>
      </c>
      <c r="O2741" t="s">
        <v>24</v>
      </c>
    </row>
    <row r="2742" spans="1:15" x14ac:dyDescent="0.25">
      <c r="A2742">
        <v>2741</v>
      </c>
      <c r="B2742" t="str">
        <f>HYPERLINK("https://digitalcommons.unl.edu/cgi/viewcontent.cgi?article=1164&amp;context=tractormuseumlit","Click for test report")</f>
        <v>Click for test report</v>
      </c>
      <c r="C2742">
        <v>2003</v>
      </c>
      <c r="E2742" t="s">
        <v>2915</v>
      </c>
      <c r="F2742" t="s">
        <v>1136</v>
      </c>
      <c r="G2742" t="s">
        <v>111</v>
      </c>
      <c r="H2742" t="s">
        <v>2465</v>
      </c>
      <c r="I2742" t="s">
        <v>64</v>
      </c>
      <c r="J2742" t="s">
        <v>20</v>
      </c>
      <c r="K2742" t="s">
        <v>21</v>
      </c>
      <c r="L2742" t="s">
        <v>839</v>
      </c>
      <c r="N2742" t="s">
        <v>336</v>
      </c>
      <c r="O2742" t="s">
        <v>1871</v>
      </c>
    </row>
    <row r="2743" spans="1:15" x14ac:dyDescent="0.25">
      <c r="A2743">
        <v>2742</v>
      </c>
      <c r="B2743" t="str">
        <f>HYPERLINK("https://digitalcommons.unl.edu/cgi/viewcontent.cgi?article=4002&amp;context=tractormuseumlit","Click for test report")</f>
        <v>Click for test report</v>
      </c>
      <c r="C2743">
        <v>2003</v>
      </c>
      <c r="E2743" t="s">
        <v>2914</v>
      </c>
      <c r="F2743" t="s">
        <v>778</v>
      </c>
      <c r="G2743" t="s">
        <v>778</v>
      </c>
      <c r="H2743" t="s">
        <v>1845</v>
      </c>
      <c r="I2743" t="s">
        <v>1961</v>
      </c>
      <c r="J2743" t="s">
        <v>348</v>
      </c>
      <c r="K2743" t="s">
        <v>21</v>
      </c>
      <c r="L2743" t="s">
        <v>375</v>
      </c>
      <c r="N2743" t="s">
        <v>722</v>
      </c>
      <c r="O2743" t="s">
        <v>24</v>
      </c>
    </row>
    <row r="2744" spans="1:15" x14ac:dyDescent="0.25">
      <c r="A2744">
        <v>2743</v>
      </c>
      <c r="B2744" t="str">
        <f>HYPERLINK("https://digitalcommons.unl.edu/cgi/viewcontent.cgi?article=4002&amp;context=tractormuseumlit","Click for test report")</f>
        <v>Click for test report</v>
      </c>
      <c r="C2744">
        <v>2003</v>
      </c>
      <c r="E2744" t="s">
        <v>2914</v>
      </c>
      <c r="F2744" t="s">
        <v>778</v>
      </c>
      <c r="G2744" t="s">
        <v>778</v>
      </c>
      <c r="H2744" t="s">
        <v>1845</v>
      </c>
      <c r="I2744" t="s">
        <v>1961</v>
      </c>
      <c r="J2744" t="s">
        <v>20</v>
      </c>
      <c r="K2744" t="s">
        <v>21</v>
      </c>
      <c r="L2744" t="s">
        <v>375</v>
      </c>
      <c r="N2744" t="s">
        <v>565</v>
      </c>
      <c r="O2744" t="s">
        <v>24</v>
      </c>
    </row>
    <row r="2745" spans="1:15" x14ac:dyDescent="0.25">
      <c r="A2745">
        <v>2744</v>
      </c>
      <c r="B2745" t="str">
        <f>HYPERLINK("https://digitalcommons.unl.edu/cgi/viewcontent.cgi?article=3218&amp;context=tractormuseumlit","Click for test report")</f>
        <v>Click for test report</v>
      </c>
      <c r="C2745">
        <v>2003</v>
      </c>
      <c r="D2745" t="s">
        <v>2911</v>
      </c>
      <c r="E2745" t="s">
        <v>2912</v>
      </c>
      <c r="F2745" t="s">
        <v>17</v>
      </c>
      <c r="G2745" t="s">
        <v>17</v>
      </c>
      <c r="H2745" t="s">
        <v>2913</v>
      </c>
      <c r="I2745" t="s">
        <v>19</v>
      </c>
      <c r="J2745" t="s">
        <v>20</v>
      </c>
      <c r="K2745" t="s">
        <v>21</v>
      </c>
      <c r="L2745" t="s">
        <v>375</v>
      </c>
      <c r="N2745" t="s">
        <v>340</v>
      </c>
      <c r="O2745" t="s">
        <v>24</v>
      </c>
    </row>
    <row r="2746" spans="1:15" x14ac:dyDescent="0.25">
      <c r="A2746">
        <v>2745</v>
      </c>
      <c r="B2746" t="str">
        <f>HYPERLINK("https://digitalcommons.unl.edu/cgi/viewcontent.cgi?article=3219&amp;context=tractormuseumlit","Click for test report")</f>
        <v>Click for test report</v>
      </c>
      <c r="C2746">
        <v>2003</v>
      </c>
      <c r="D2746" t="s">
        <v>2908</v>
      </c>
      <c r="E2746" t="s">
        <v>2909</v>
      </c>
      <c r="F2746" t="s">
        <v>17</v>
      </c>
      <c r="G2746" t="s">
        <v>17</v>
      </c>
      <c r="H2746" t="s">
        <v>2910</v>
      </c>
      <c r="I2746" t="s">
        <v>19</v>
      </c>
      <c r="J2746" t="s">
        <v>20</v>
      </c>
      <c r="K2746" t="s">
        <v>21</v>
      </c>
      <c r="L2746" t="s">
        <v>122</v>
      </c>
      <c r="N2746" t="s">
        <v>127</v>
      </c>
      <c r="O2746" t="s">
        <v>24</v>
      </c>
    </row>
    <row r="2747" spans="1:15" x14ac:dyDescent="0.25">
      <c r="A2747">
        <v>2746</v>
      </c>
      <c r="B2747" t="str">
        <f>HYPERLINK("https://digitalcommons.unl.edu/cgi/viewcontent.cgi?article=3220&amp;context=tractormuseumlit","Click for test report")</f>
        <v>Click for test report</v>
      </c>
      <c r="C2747">
        <v>2003</v>
      </c>
      <c r="D2747" t="s">
        <v>2905</v>
      </c>
      <c r="E2747" t="s">
        <v>2906</v>
      </c>
      <c r="F2747" t="s">
        <v>17</v>
      </c>
      <c r="G2747" t="s">
        <v>17</v>
      </c>
      <c r="H2747" t="s">
        <v>2907</v>
      </c>
      <c r="I2747" t="s">
        <v>64</v>
      </c>
      <c r="J2747" t="s">
        <v>20</v>
      </c>
      <c r="K2747" t="s">
        <v>21</v>
      </c>
      <c r="L2747" t="s">
        <v>363</v>
      </c>
      <c r="N2747" t="s">
        <v>23</v>
      </c>
      <c r="O2747" t="s">
        <v>1871</v>
      </c>
    </row>
    <row r="2748" spans="1:15" x14ac:dyDescent="0.25">
      <c r="A2748">
        <v>2747</v>
      </c>
      <c r="B2748" t="str">
        <f>HYPERLINK("https://digitalcommons.unl.edu/cgi/viewcontent.cgi?article=3221&amp;context=tractormuseumlit","Click for test report")</f>
        <v>Click for test report</v>
      </c>
      <c r="C2748">
        <v>2003</v>
      </c>
      <c r="D2748" t="s">
        <v>2902</v>
      </c>
      <c r="E2748" t="s">
        <v>2903</v>
      </c>
      <c r="F2748" t="s">
        <v>17</v>
      </c>
      <c r="G2748" t="s">
        <v>17</v>
      </c>
      <c r="H2748" t="s">
        <v>2904</v>
      </c>
      <c r="I2748" t="s">
        <v>28</v>
      </c>
      <c r="J2748" t="s">
        <v>20</v>
      </c>
      <c r="K2748" t="s">
        <v>21</v>
      </c>
      <c r="L2748" t="s">
        <v>1449</v>
      </c>
      <c r="N2748" t="s">
        <v>787</v>
      </c>
      <c r="O2748" t="s">
        <v>24</v>
      </c>
    </row>
    <row r="2749" spans="1:15" x14ac:dyDescent="0.25">
      <c r="A2749">
        <v>2748</v>
      </c>
      <c r="B2749" t="str">
        <f>HYPERLINK("https://digitalcommons.unl.edu/cgi/viewcontent.cgi?article=3222&amp;context=tractormuseumlit","Click for test report")</f>
        <v>Click for test report</v>
      </c>
      <c r="C2749">
        <v>2003</v>
      </c>
      <c r="D2749" t="s">
        <v>2899</v>
      </c>
      <c r="E2749" t="s">
        <v>2900</v>
      </c>
      <c r="F2749" t="s">
        <v>17</v>
      </c>
      <c r="G2749" t="s">
        <v>17</v>
      </c>
      <c r="H2749" t="s">
        <v>2901</v>
      </c>
      <c r="I2749" t="s">
        <v>28</v>
      </c>
      <c r="J2749" t="s">
        <v>20</v>
      </c>
      <c r="K2749" t="s">
        <v>21</v>
      </c>
      <c r="L2749" t="s">
        <v>161</v>
      </c>
      <c r="N2749" t="s">
        <v>315</v>
      </c>
      <c r="O2749" t="s">
        <v>24</v>
      </c>
    </row>
    <row r="2750" spans="1:15" x14ac:dyDescent="0.25">
      <c r="A2750">
        <v>2749</v>
      </c>
      <c r="B2750" t="str">
        <f>HYPERLINK("https://digitalcommons.unl.edu/cgi/viewcontent.cgi?article=1348&amp;context=tractormuseumlit","Click for test report")</f>
        <v>Click for test report</v>
      </c>
      <c r="C2750">
        <v>2003</v>
      </c>
      <c r="D2750" t="s">
        <v>2896</v>
      </c>
      <c r="E2750" t="s">
        <v>2897</v>
      </c>
      <c r="F2750" t="s">
        <v>111</v>
      </c>
      <c r="G2750" t="s">
        <v>414</v>
      </c>
      <c r="H2750" t="s">
        <v>2898</v>
      </c>
      <c r="I2750" t="s">
        <v>28</v>
      </c>
      <c r="J2750" t="s">
        <v>96</v>
      </c>
      <c r="K2750" t="s">
        <v>21</v>
      </c>
      <c r="L2750" t="s">
        <v>1029</v>
      </c>
      <c r="N2750" t="s">
        <v>1041</v>
      </c>
      <c r="O2750" t="s">
        <v>24</v>
      </c>
    </row>
    <row r="2751" spans="1:15" x14ac:dyDescent="0.25">
      <c r="A2751">
        <v>2750</v>
      </c>
      <c r="B2751" t="str">
        <f>HYPERLINK("https://digitalcommons.unl.edu/cgi/viewcontent.cgi?article=1349&amp;context=tractormuseumlit","Click for test report")</f>
        <v>Click for test report</v>
      </c>
      <c r="C2751">
        <v>2003</v>
      </c>
      <c r="D2751" t="s">
        <v>2893</v>
      </c>
      <c r="E2751" t="s">
        <v>2894</v>
      </c>
      <c r="F2751" t="s">
        <v>111</v>
      </c>
      <c r="G2751" t="s">
        <v>414</v>
      </c>
      <c r="H2751" t="s">
        <v>2895</v>
      </c>
      <c r="I2751" t="s">
        <v>28</v>
      </c>
      <c r="J2751" t="s">
        <v>96</v>
      </c>
      <c r="K2751" t="s">
        <v>21</v>
      </c>
      <c r="L2751" t="s">
        <v>1028</v>
      </c>
      <c r="N2751" t="s">
        <v>1240</v>
      </c>
      <c r="O2751" t="s">
        <v>24</v>
      </c>
    </row>
    <row r="2752" spans="1:15" x14ac:dyDescent="0.25">
      <c r="A2752">
        <v>2751</v>
      </c>
      <c r="B2752" t="str">
        <f>HYPERLINK("https://digitalcommons.unl.edu/cgi/viewcontent.cgi?article=1354&amp;context=tractormuseumlit","Click for test report")</f>
        <v>Click for test report</v>
      </c>
      <c r="C2752">
        <v>2003</v>
      </c>
      <c r="D2752" t="s">
        <v>2890</v>
      </c>
      <c r="E2752" t="s">
        <v>2891</v>
      </c>
      <c r="F2752" t="s">
        <v>111</v>
      </c>
      <c r="G2752" t="s">
        <v>414</v>
      </c>
      <c r="H2752" t="s">
        <v>2892</v>
      </c>
      <c r="I2752" t="s">
        <v>28</v>
      </c>
      <c r="J2752" t="s">
        <v>96</v>
      </c>
      <c r="K2752" t="s">
        <v>21</v>
      </c>
      <c r="L2752" t="s">
        <v>108</v>
      </c>
      <c r="N2752" t="s">
        <v>200</v>
      </c>
      <c r="O2752" t="s">
        <v>24</v>
      </c>
    </row>
    <row r="2753" spans="1:15" x14ac:dyDescent="0.25">
      <c r="A2753">
        <v>2752</v>
      </c>
      <c r="B2753" t="str">
        <f>HYPERLINK("https://digitalcommons.unl.edu/cgi/viewcontent.cgi?article=1356&amp;context=tractormuseumlit","Click for test report")</f>
        <v>Click for test report</v>
      </c>
      <c r="C2753">
        <v>2003</v>
      </c>
      <c r="D2753" t="s">
        <v>2887</v>
      </c>
      <c r="E2753" t="s">
        <v>2888</v>
      </c>
      <c r="F2753" t="s">
        <v>111</v>
      </c>
      <c r="G2753" t="s">
        <v>414</v>
      </c>
      <c r="H2753" t="s">
        <v>2889</v>
      </c>
      <c r="I2753" t="s">
        <v>28</v>
      </c>
      <c r="J2753" t="s">
        <v>96</v>
      </c>
      <c r="K2753" t="s">
        <v>21</v>
      </c>
      <c r="L2753" t="s">
        <v>2113</v>
      </c>
      <c r="N2753" t="s">
        <v>991</v>
      </c>
      <c r="O2753" t="s">
        <v>24</v>
      </c>
    </row>
    <row r="2754" spans="1:15" x14ac:dyDescent="0.25">
      <c r="A2754">
        <v>2753</v>
      </c>
      <c r="B2754" t="str">
        <f>HYPERLINK("https://digitalcommons.unl.edu/cgi/viewcontent.cgi?article=1224&amp;context=tractormuseumlit","Click for test report")</f>
        <v>Click for test report</v>
      </c>
      <c r="C2754">
        <v>2003</v>
      </c>
      <c r="D2754" t="s">
        <v>2884</v>
      </c>
      <c r="E2754" t="s">
        <v>2885</v>
      </c>
      <c r="F2754" t="s">
        <v>1282</v>
      </c>
      <c r="G2754" t="s">
        <v>191</v>
      </c>
      <c r="H2754" t="s">
        <v>2886</v>
      </c>
      <c r="I2754" t="s">
        <v>28</v>
      </c>
      <c r="J2754" t="s">
        <v>20</v>
      </c>
      <c r="K2754" t="s">
        <v>21</v>
      </c>
      <c r="L2754" t="s">
        <v>1449</v>
      </c>
      <c r="N2754" t="s">
        <v>527</v>
      </c>
      <c r="O2754" t="s">
        <v>24</v>
      </c>
    </row>
    <row r="2755" spans="1:15" x14ac:dyDescent="0.25">
      <c r="A2755">
        <v>2754</v>
      </c>
      <c r="B2755" t="str">
        <f>HYPERLINK("https://digitalcommons.unl.edu/cgi/viewcontent.cgi?article=1226&amp;context=tractormuseumlit","Click for test report")</f>
        <v>Click for test report</v>
      </c>
      <c r="C2755">
        <v>2003</v>
      </c>
      <c r="D2755" t="s">
        <v>2881</v>
      </c>
      <c r="E2755" t="s">
        <v>2882</v>
      </c>
      <c r="F2755" t="s">
        <v>1282</v>
      </c>
      <c r="G2755" t="s">
        <v>191</v>
      </c>
      <c r="H2755" t="s">
        <v>2883</v>
      </c>
      <c r="I2755" t="s">
        <v>28</v>
      </c>
      <c r="J2755" t="s">
        <v>20</v>
      </c>
      <c r="K2755" t="s">
        <v>21</v>
      </c>
      <c r="L2755" t="s">
        <v>505</v>
      </c>
      <c r="N2755" t="s">
        <v>1821</v>
      </c>
      <c r="O2755" t="s">
        <v>24</v>
      </c>
    </row>
    <row r="2756" spans="1:15" x14ac:dyDescent="0.25">
      <c r="A2756">
        <v>2755</v>
      </c>
      <c r="B2756" t="str">
        <f>HYPERLINK("https://digitalcommons.unl.edu/cgi/viewcontent.cgi?article=1228&amp;context=tractormuseumlit","Click for test report")</f>
        <v>Click for test report</v>
      </c>
      <c r="C2756">
        <v>2003</v>
      </c>
      <c r="D2756" t="s">
        <v>2877</v>
      </c>
      <c r="E2756" t="s">
        <v>2878</v>
      </c>
      <c r="F2756" t="s">
        <v>1282</v>
      </c>
      <c r="G2756" t="s">
        <v>191</v>
      </c>
      <c r="H2756" t="s">
        <v>2879</v>
      </c>
      <c r="I2756" t="s">
        <v>28</v>
      </c>
      <c r="J2756" t="s">
        <v>20</v>
      </c>
      <c r="K2756" t="s">
        <v>21</v>
      </c>
      <c r="L2756" t="s">
        <v>1444</v>
      </c>
      <c r="N2756" t="s">
        <v>2880</v>
      </c>
      <c r="O2756" t="s">
        <v>24</v>
      </c>
    </row>
    <row r="2757" spans="1:15" x14ac:dyDescent="0.25">
      <c r="A2757">
        <v>2756</v>
      </c>
      <c r="B2757" t="str">
        <f>HYPERLINK("https://digitalcommons.unl.edu/cgi/viewcontent.cgi?article=1230&amp;context=tractormuseumlit","Click for test report")</f>
        <v>Click for test report</v>
      </c>
      <c r="C2757">
        <v>2003</v>
      </c>
      <c r="D2757" t="s">
        <v>2874</v>
      </c>
      <c r="E2757" t="s">
        <v>2875</v>
      </c>
      <c r="F2757" t="s">
        <v>1282</v>
      </c>
      <c r="G2757" t="s">
        <v>191</v>
      </c>
      <c r="H2757" t="s">
        <v>2876</v>
      </c>
      <c r="I2757" t="s">
        <v>28</v>
      </c>
      <c r="J2757" t="s">
        <v>20</v>
      </c>
      <c r="K2757" t="s">
        <v>21</v>
      </c>
      <c r="L2757" t="s">
        <v>964</v>
      </c>
      <c r="N2757" t="s">
        <v>167</v>
      </c>
      <c r="O2757" t="s">
        <v>24</v>
      </c>
    </row>
    <row r="2758" spans="1:15" x14ac:dyDescent="0.25">
      <c r="A2758">
        <v>2757</v>
      </c>
      <c r="B2758" t="str">
        <f>HYPERLINK("https://digitalcommons.unl.edu/cgi/viewcontent.cgi?article=1308&amp;context=tractormuseumlit","Click for test report")</f>
        <v>Click for test report</v>
      </c>
      <c r="C2758">
        <v>2003</v>
      </c>
      <c r="D2758" t="s">
        <v>2871</v>
      </c>
      <c r="E2758" t="s">
        <v>2872</v>
      </c>
      <c r="F2758" t="s">
        <v>1282</v>
      </c>
      <c r="G2758" t="s">
        <v>135</v>
      </c>
      <c r="H2758" t="s">
        <v>2873</v>
      </c>
      <c r="I2758" t="s">
        <v>28</v>
      </c>
      <c r="J2758" t="s">
        <v>20</v>
      </c>
      <c r="K2758" t="s">
        <v>21</v>
      </c>
      <c r="L2758" t="s">
        <v>814</v>
      </c>
      <c r="N2758" t="s">
        <v>328</v>
      </c>
      <c r="O2758" t="s">
        <v>24</v>
      </c>
    </row>
    <row r="2759" spans="1:15" x14ac:dyDescent="0.25">
      <c r="A2759">
        <v>2758</v>
      </c>
      <c r="B2759" t="str">
        <f>HYPERLINK("https://digitalcommons.unl.edu/cgi/viewcontent.cgi?article=1272&amp;context=tractormuseumlit","Click for test report")</f>
        <v>Click for test report</v>
      </c>
      <c r="C2759">
        <v>2003</v>
      </c>
      <c r="D2759" t="s">
        <v>2868</v>
      </c>
      <c r="E2759" t="s">
        <v>2869</v>
      </c>
      <c r="F2759" t="s">
        <v>1282</v>
      </c>
      <c r="G2759" t="s">
        <v>135</v>
      </c>
      <c r="H2759" t="s">
        <v>2870</v>
      </c>
      <c r="I2759" t="s">
        <v>28</v>
      </c>
      <c r="J2759" t="s">
        <v>20</v>
      </c>
      <c r="K2759" t="s">
        <v>21</v>
      </c>
      <c r="L2759" t="s">
        <v>1546</v>
      </c>
      <c r="N2759" t="s">
        <v>319</v>
      </c>
      <c r="O2759" t="s">
        <v>24</v>
      </c>
    </row>
    <row r="2760" spans="1:15" x14ac:dyDescent="0.25">
      <c r="A2760">
        <v>2759</v>
      </c>
      <c r="B2760" t="str">
        <f>HYPERLINK("https://digitalcommons.unl.edu/cgi/viewcontent.cgi?article=1273&amp;context=tractormuseumlit","Click for test report")</f>
        <v>Click for test report</v>
      </c>
      <c r="C2760">
        <v>2003</v>
      </c>
      <c r="D2760" t="s">
        <v>2865</v>
      </c>
      <c r="E2760" t="s">
        <v>2866</v>
      </c>
      <c r="F2760" t="s">
        <v>1282</v>
      </c>
      <c r="G2760" t="s">
        <v>135</v>
      </c>
      <c r="H2760" t="s">
        <v>2867</v>
      </c>
      <c r="I2760" t="s">
        <v>28</v>
      </c>
      <c r="J2760" t="s">
        <v>20</v>
      </c>
      <c r="K2760" t="s">
        <v>21</v>
      </c>
      <c r="L2760" t="s">
        <v>1597</v>
      </c>
      <c r="N2760" t="s">
        <v>155</v>
      </c>
      <c r="O2760" t="s">
        <v>24</v>
      </c>
    </row>
    <row r="2761" spans="1:15" x14ac:dyDescent="0.25">
      <c r="A2761">
        <v>2760</v>
      </c>
      <c r="B2761" t="str">
        <f>HYPERLINK("https://digitalcommons.unl.edu/cgi/viewcontent.cgi?article=1274&amp;context=tractormuseumlit","Click for test report")</f>
        <v>Click for test report</v>
      </c>
      <c r="C2761">
        <v>2003</v>
      </c>
      <c r="D2761" t="s">
        <v>2862</v>
      </c>
      <c r="E2761" t="s">
        <v>2863</v>
      </c>
      <c r="F2761" t="s">
        <v>1282</v>
      </c>
      <c r="G2761" t="s">
        <v>135</v>
      </c>
      <c r="H2761" t="s">
        <v>2864</v>
      </c>
      <c r="I2761" t="s">
        <v>28</v>
      </c>
      <c r="J2761" t="s">
        <v>20</v>
      </c>
      <c r="K2761" t="s">
        <v>21</v>
      </c>
      <c r="L2761" t="s">
        <v>1000</v>
      </c>
      <c r="N2761" t="s">
        <v>114</v>
      </c>
      <c r="O2761" t="s">
        <v>24</v>
      </c>
    </row>
    <row r="2762" spans="1:15" x14ac:dyDescent="0.25">
      <c r="A2762">
        <v>2761</v>
      </c>
      <c r="B2762" t="str">
        <f>HYPERLINK("https://digitalcommons.unl.edu/cgi/viewcontent.cgi?article=3334&amp;context=tractormuseumlit","Click for test report")</f>
        <v>Click for test report</v>
      </c>
      <c r="C2762">
        <v>2003</v>
      </c>
      <c r="D2762" t="s">
        <v>2859</v>
      </c>
      <c r="F2762" t="s">
        <v>1136</v>
      </c>
      <c r="G2762" t="s">
        <v>414</v>
      </c>
      <c r="H2762" t="s">
        <v>2860</v>
      </c>
      <c r="I2762" t="s">
        <v>28</v>
      </c>
      <c r="J2762" t="s">
        <v>20</v>
      </c>
      <c r="K2762" t="s">
        <v>21</v>
      </c>
      <c r="L2762" t="s">
        <v>315</v>
      </c>
      <c r="O2762" t="s">
        <v>2861</v>
      </c>
    </row>
    <row r="2763" spans="1:15" x14ac:dyDescent="0.25">
      <c r="A2763">
        <v>2762</v>
      </c>
      <c r="B2763" t="str">
        <f>HYPERLINK("https://digitalcommons.unl.edu/cgi/viewcontent.cgi?article=3335&amp;context=tractormuseumlit","Click for test report")</f>
        <v>Click for test report</v>
      </c>
      <c r="C2763">
        <v>2003</v>
      </c>
      <c r="D2763" t="s">
        <v>2856</v>
      </c>
      <c r="F2763" t="s">
        <v>1136</v>
      </c>
      <c r="G2763" t="s">
        <v>414</v>
      </c>
      <c r="H2763" t="s">
        <v>2857</v>
      </c>
      <c r="I2763" t="s">
        <v>28</v>
      </c>
      <c r="J2763" t="s">
        <v>20</v>
      </c>
      <c r="K2763" t="s">
        <v>21</v>
      </c>
      <c r="L2763" t="s">
        <v>469</v>
      </c>
      <c r="O2763" t="s">
        <v>2858</v>
      </c>
    </row>
    <row r="2764" spans="1:15" x14ac:dyDescent="0.25">
      <c r="A2764">
        <v>2763</v>
      </c>
      <c r="B2764" t="str">
        <f>HYPERLINK("https://digitalcommons.unl.edu/cgi/viewcontent.cgi?article=3192&amp;context=tractormuseumlit","Click for test report")</f>
        <v>Click for test report</v>
      </c>
      <c r="C2764">
        <v>2004</v>
      </c>
      <c r="E2764" t="s">
        <v>2854</v>
      </c>
      <c r="F2764" t="s">
        <v>135</v>
      </c>
      <c r="G2764" t="s">
        <v>2848</v>
      </c>
      <c r="H2764" t="s">
        <v>706</v>
      </c>
      <c r="I2764" t="s">
        <v>28</v>
      </c>
      <c r="J2764" t="s">
        <v>20</v>
      </c>
      <c r="K2764" t="s">
        <v>21</v>
      </c>
      <c r="L2764" t="s">
        <v>325</v>
      </c>
      <c r="N2764" t="s">
        <v>774</v>
      </c>
      <c r="O2764" t="s">
        <v>2855</v>
      </c>
    </row>
    <row r="2765" spans="1:15" x14ac:dyDescent="0.25">
      <c r="A2765">
        <v>2764</v>
      </c>
      <c r="B2765" t="str">
        <f>HYPERLINK("https://digitalcommons.unl.edu/cgi/viewcontent.cgi?article=3193&amp;context=tractormuseumlit","Click for test report")</f>
        <v>Click for test report</v>
      </c>
      <c r="C2765">
        <v>2004</v>
      </c>
      <c r="E2765" t="s">
        <v>2852</v>
      </c>
      <c r="F2765" t="s">
        <v>135</v>
      </c>
      <c r="G2765" t="s">
        <v>2848</v>
      </c>
      <c r="H2765" t="s">
        <v>658</v>
      </c>
      <c r="I2765" t="s">
        <v>28</v>
      </c>
      <c r="J2765" t="s">
        <v>20</v>
      </c>
      <c r="K2765" t="s">
        <v>21</v>
      </c>
      <c r="L2765" t="s">
        <v>315</v>
      </c>
      <c r="N2765" t="s">
        <v>909</v>
      </c>
      <c r="O2765" t="s">
        <v>2853</v>
      </c>
    </row>
    <row r="2766" spans="1:15" x14ac:dyDescent="0.25">
      <c r="A2766">
        <v>2765</v>
      </c>
      <c r="B2766" t="str">
        <f>HYPERLINK("https://digitalcommons.unl.edu/cgi/viewcontent.cgi?article=3194&amp;context=tractormuseumlit","Click for test report")</f>
        <v>Click for test report</v>
      </c>
      <c r="C2766">
        <v>2004</v>
      </c>
      <c r="E2766" t="s">
        <v>2850</v>
      </c>
      <c r="F2766" t="s">
        <v>135</v>
      </c>
      <c r="G2766" t="s">
        <v>2848</v>
      </c>
      <c r="H2766" t="s">
        <v>516</v>
      </c>
      <c r="I2766" t="s">
        <v>28</v>
      </c>
      <c r="J2766" t="s">
        <v>20</v>
      </c>
      <c r="K2766" t="s">
        <v>21</v>
      </c>
      <c r="L2766" t="s">
        <v>833</v>
      </c>
      <c r="N2766" t="s">
        <v>901</v>
      </c>
      <c r="O2766" t="s">
        <v>2851</v>
      </c>
    </row>
    <row r="2767" spans="1:15" x14ac:dyDescent="0.25">
      <c r="A2767">
        <v>2766</v>
      </c>
      <c r="B2767" t="str">
        <f>HYPERLINK("https://digitalcommons.unl.edu/cgi/viewcontent.cgi?article=3195&amp;context=tractormuseumlit","Click for test report")</f>
        <v>Click for test report</v>
      </c>
      <c r="C2767">
        <v>2004</v>
      </c>
      <c r="E2767" t="s">
        <v>2847</v>
      </c>
      <c r="F2767" t="s">
        <v>135</v>
      </c>
      <c r="G2767" t="s">
        <v>2848</v>
      </c>
      <c r="H2767" t="s">
        <v>376</v>
      </c>
      <c r="I2767" t="s">
        <v>28</v>
      </c>
      <c r="J2767" t="s">
        <v>20</v>
      </c>
      <c r="K2767" t="s">
        <v>21</v>
      </c>
      <c r="L2767" t="s">
        <v>1879</v>
      </c>
      <c r="N2767" t="s">
        <v>161</v>
      </c>
      <c r="O2767" t="s">
        <v>2849</v>
      </c>
    </row>
    <row r="2768" spans="1:15" x14ac:dyDescent="0.25">
      <c r="A2768">
        <v>2767</v>
      </c>
      <c r="B2768" t="str">
        <f>HYPERLINK("https://digitalcommons.unl.edu/cgi/viewcontent.cgi?article=4325&amp;context=tractormuseumlit","Click for test report")</f>
        <v>Click for test report</v>
      </c>
      <c r="C2768">
        <v>2004</v>
      </c>
      <c r="E2768" t="s">
        <v>2845</v>
      </c>
      <c r="F2768" t="s">
        <v>2672</v>
      </c>
      <c r="G2768" t="s">
        <v>191</v>
      </c>
      <c r="H2768" t="s">
        <v>2846</v>
      </c>
      <c r="I2768" t="s">
        <v>50</v>
      </c>
      <c r="J2768" t="s">
        <v>348</v>
      </c>
      <c r="K2768" t="s">
        <v>21</v>
      </c>
      <c r="L2768" t="s">
        <v>407</v>
      </c>
      <c r="N2768" t="s">
        <v>2826</v>
      </c>
      <c r="O2768" t="s">
        <v>2842</v>
      </c>
    </row>
    <row r="2769" spans="1:15" x14ac:dyDescent="0.25">
      <c r="A2769">
        <v>2768</v>
      </c>
      <c r="B2769" t="str">
        <f>HYPERLINK("https://digitalcommons.unl.edu/cgi/viewcontent.cgi?article=4325&amp;context=tractormuseumlit","Click for test report")</f>
        <v>Click for test report</v>
      </c>
      <c r="C2769">
        <v>2004</v>
      </c>
      <c r="E2769" t="s">
        <v>2845</v>
      </c>
      <c r="F2769" t="s">
        <v>2672</v>
      </c>
      <c r="G2769" t="s">
        <v>191</v>
      </c>
      <c r="H2769" t="s">
        <v>2846</v>
      </c>
      <c r="I2769" t="s">
        <v>50</v>
      </c>
      <c r="J2769" t="s">
        <v>20</v>
      </c>
      <c r="K2769" t="s">
        <v>21</v>
      </c>
      <c r="L2769" t="s">
        <v>407</v>
      </c>
      <c r="N2769" t="s">
        <v>1802</v>
      </c>
      <c r="O2769" t="s">
        <v>2841</v>
      </c>
    </row>
    <row r="2770" spans="1:15" x14ac:dyDescent="0.25">
      <c r="A2770">
        <v>2769</v>
      </c>
      <c r="B2770" t="str">
        <f>HYPERLINK("https://digitalcommons.unl.edu/cgi/viewcontent.cgi?article=3879&amp;context=tractormuseumlit","Click for test report")</f>
        <v>Click for test report</v>
      </c>
      <c r="C2770">
        <v>2004</v>
      </c>
      <c r="E2770" t="s">
        <v>2843</v>
      </c>
      <c r="F2770" t="s">
        <v>2672</v>
      </c>
      <c r="G2770" t="s">
        <v>191</v>
      </c>
      <c r="H2770" t="s">
        <v>2844</v>
      </c>
      <c r="I2770" t="s">
        <v>50</v>
      </c>
      <c r="J2770" t="s">
        <v>20</v>
      </c>
      <c r="K2770" t="s">
        <v>21</v>
      </c>
      <c r="L2770" t="s">
        <v>731</v>
      </c>
      <c r="N2770" t="s">
        <v>750</v>
      </c>
      <c r="O2770" t="s">
        <v>2842</v>
      </c>
    </row>
    <row r="2771" spans="1:15" x14ac:dyDescent="0.25">
      <c r="A2771">
        <v>2770</v>
      </c>
      <c r="B2771" t="str">
        <f>HYPERLINK("https://digitalcommons.unl.edu/cgi/viewcontent.cgi?article=3879&amp;context=tractormuseumlit","Click for test report")</f>
        <v>Click for test report</v>
      </c>
      <c r="C2771">
        <v>2004</v>
      </c>
      <c r="E2771" t="s">
        <v>2843</v>
      </c>
      <c r="F2771" t="s">
        <v>2672</v>
      </c>
      <c r="G2771" t="s">
        <v>191</v>
      </c>
      <c r="H2771" t="s">
        <v>2844</v>
      </c>
      <c r="I2771" t="s">
        <v>50</v>
      </c>
      <c r="J2771" t="s">
        <v>348</v>
      </c>
      <c r="K2771" t="s">
        <v>21</v>
      </c>
      <c r="L2771" t="s">
        <v>731</v>
      </c>
      <c r="N2771" t="s">
        <v>1650</v>
      </c>
      <c r="O2771" t="s">
        <v>2841</v>
      </c>
    </row>
    <row r="2772" spans="1:15" x14ac:dyDescent="0.25">
      <c r="A2772">
        <v>2771</v>
      </c>
      <c r="B2772" t="str">
        <f>HYPERLINK("https://digitalcommons.unl.edu/cgi/viewcontent.cgi?article=3880&amp;context=tractormuseumlit","Click for test report")</f>
        <v>Click for test report</v>
      </c>
      <c r="C2772">
        <v>2004</v>
      </c>
      <c r="E2772" t="s">
        <v>2839</v>
      </c>
      <c r="F2772" t="s">
        <v>2672</v>
      </c>
      <c r="G2772" t="s">
        <v>191</v>
      </c>
      <c r="H2772" t="s">
        <v>2840</v>
      </c>
      <c r="I2772" t="s">
        <v>50</v>
      </c>
      <c r="J2772" t="s">
        <v>20</v>
      </c>
      <c r="K2772" t="s">
        <v>21</v>
      </c>
      <c r="L2772" t="s">
        <v>728</v>
      </c>
      <c r="N2772" t="s">
        <v>1970</v>
      </c>
      <c r="O2772" t="s">
        <v>2842</v>
      </c>
    </row>
    <row r="2773" spans="1:15" x14ac:dyDescent="0.25">
      <c r="A2773">
        <v>2772</v>
      </c>
      <c r="B2773" t="str">
        <f>HYPERLINK("https://digitalcommons.unl.edu/cgi/viewcontent.cgi?article=3880&amp;context=tractormuseumlit","Click for test report")</f>
        <v>Click for test report</v>
      </c>
      <c r="C2773">
        <v>2004</v>
      </c>
      <c r="E2773" t="s">
        <v>2839</v>
      </c>
      <c r="F2773" t="s">
        <v>2672</v>
      </c>
      <c r="G2773" t="s">
        <v>191</v>
      </c>
      <c r="H2773" t="s">
        <v>2840</v>
      </c>
      <c r="I2773" t="s">
        <v>50</v>
      </c>
      <c r="J2773" t="s">
        <v>348</v>
      </c>
      <c r="K2773" t="s">
        <v>21</v>
      </c>
      <c r="L2773" t="s">
        <v>728</v>
      </c>
      <c r="N2773" t="s">
        <v>1994</v>
      </c>
      <c r="O2773" t="s">
        <v>2841</v>
      </c>
    </row>
    <row r="2774" spans="1:15" x14ac:dyDescent="0.25">
      <c r="A2774">
        <v>2773</v>
      </c>
      <c r="B2774" t="str">
        <f>HYPERLINK("https://digitalcommons.unl.edu/cgi/viewcontent.cgi?article=3881&amp;context=tractormuseumlit","Click for test report")</f>
        <v>Click for test report</v>
      </c>
      <c r="C2774">
        <v>2004</v>
      </c>
      <c r="E2774" t="s">
        <v>2837</v>
      </c>
      <c r="F2774" t="s">
        <v>2232</v>
      </c>
      <c r="G2774" t="s">
        <v>135</v>
      </c>
      <c r="H2774" t="s">
        <v>2838</v>
      </c>
      <c r="I2774" t="s">
        <v>50</v>
      </c>
      <c r="J2774" t="s">
        <v>348</v>
      </c>
      <c r="K2774" t="s">
        <v>21</v>
      </c>
      <c r="L2774" t="s">
        <v>2188</v>
      </c>
      <c r="N2774" t="s">
        <v>1802</v>
      </c>
      <c r="O2774" t="s">
        <v>24</v>
      </c>
    </row>
    <row r="2775" spans="1:15" x14ac:dyDescent="0.25">
      <c r="A2775">
        <v>2774</v>
      </c>
      <c r="B2775" t="str">
        <f>HYPERLINK("https://digitalcommons.unl.edu/cgi/viewcontent.cgi?article=3881&amp;context=tractormuseumlit","Click for test report")</f>
        <v>Click for test report</v>
      </c>
      <c r="C2775">
        <v>2004</v>
      </c>
      <c r="E2775" t="s">
        <v>2837</v>
      </c>
      <c r="F2775" t="s">
        <v>2232</v>
      </c>
      <c r="G2775" t="s">
        <v>135</v>
      </c>
      <c r="H2775" t="s">
        <v>2838</v>
      </c>
      <c r="I2775" t="s">
        <v>50</v>
      </c>
      <c r="J2775" t="s">
        <v>20</v>
      </c>
      <c r="K2775" t="s">
        <v>21</v>
      </c>
      <c r="L2775" t="s">
        <v>2188</v>
      </c>
      <c r="N2775" t="s">
        <v>1802</v>
      </c>
      <c r="O2775" t="s">
        <v>24</v>
      </c>
    </row>
    <row r="2776" spans="1:15" x14ac:dyDescent="0.25">
      <c r="A2776">
        <v>2775</v>
      </c>
      <c r="B2776" t="str">
        <f>HYPERLINK("https://digitalcommons.unl.edu/cgi/viewcontent.cgi?article=3882&amp;context=tractormuseumlit","Click for test report")</f>
        <v>Click for test report</v>
      </c>
      <c r="C2776">
        <v>2004</v>
      </c>
      <c r="E2776" t="s">
        <v>2835</v>
      </c>
      <c r="F2776" t="s">
        <v>2232</v>
      </c>
      <c r="G2776" t="s">
        <v>135</v>
      </c>
      <c r="H2776" t="s">
        <v>2836</v>
      </c>
      <c r="I2776" t="s">
        <v>50</v>
      </c>
      <c r="J2776" t="s">
        <v>348</v>
      </c>
      <c r="K2776" t="s">
        <v>21</v>
      </c>
      <c r="L2776" t="s">
        <v>407</v>
      </c>
      <c r="N2776" t="s">
        <v>1802</v>
      </c>
      <c r="O2776" t="s">
        <v>24</v>
      </c>
    </row>
    <row r="2777" spans="1:15" x14ac:dyDescent="0.25">
      <c r="A2777">
        <v>2776</v>
      </c>
      <c r="B2777" t="str">
        <f>HYPERLINK("https://digitalcommons.unl.edu/cgi/viewcontent.cgi?article=3882&amp;context=tractormuseumlit","Click for test report")</f>
        <v>Click for test report</v>
      </c>
      <c r="C2777">
        <v>2004</v>
      </c>
      <c r="E2777" t="s">
        <v>2835</v>
      </c>
      <c r="F2777" t="s">
        <v>2232</v>
      </c>
      <c r="G2777" t="s">
        <v>135</v>
      </c>
      <c r="H2777" t="s">
        <v>2836</v>
      </c>
      <c r="I2777" t="s">
        <v>50</v>
      </c>
      <c r="J2777" t="s">
        <v>20</v>
      </c>
      <c r="K2777" t="s">
        <v>21</v>
      </c>
      <c r="L2777" t="s">
        <v>407</v>
      </c>
      <c r="N2777" t="s">
        <v>1802</v>
      </c>
      <c r="O2777" t="s">
        <v>24</v>
      </c>
    </row>
    <row r="2778" spans="1:15" x14ac:dyDescent="0.25">
      <c r="A2778">
        <v>2777</v>
      </c>
      <c r="B2778" t="str">
        <f>HYPERLINK("https://digitalcommons.unl.edu/cgi/viewcontent.cgi?article=3883&amp;context=tractormuseumlit","Click for test report")</f>
        <v>Click for test report</v>
      </c>
      <c r="C2778">
        <v>2004</v>
      </c>
      <c r="E2778" t="s">
        <v>2833</v>
      </c>
      <c r="F2778" t="s">
        <v>2232</v>
      </c>
      <c r="G2778" t="s">
        <v>135</v>
      </c>
      <c r="H2778" t="s">
        <v>2834</v>
      </c>
      <c r="I2778" t="s">
        <v>50</v>
      </c>
      <c r="J2778" t="s">
        <v>348</v>
      </c>
      <c r="K2778" t="s">
        <v>21</v>
      </c>
      <c r="L2778" t="s">
        <v>731</v>
      </c>
      <c r="N2778" t="s">
        <v>1650</v>
      </c>
      <c r="O2778" t="s">
        <v>24</v>
      </c>
    </row>
    <row r="2779" spans="1:15" x14ac:dyDescent="0.25">
      <c r="A2779">
        <v>2778</v>
      </c>
      <c r="B2779" t="str">
        <f>HYPERLINK("https://digitalcommons.unl.edu/cgi/viewcontent.cgi?article=3883&amp;context=tractormuseumlit","Click for test report")</f>
        <v>Click for test report</v>
      </c>
      <c r="C2779">
        <v>2004</v>
      </c>
      <c r="E2779" t="s">
        <v>2833</v>
      </c>
      <c r="F2779" t="s">
        <v>2232</v>
      </c>
      <c r="G2779" t="s">
        <v>135</v>
      </c>
      <c r="H2779" t="s">
        <v>2834</v>
      </c>
      <c r="I2779" t="s">
        <v>50</v>
      </c>
      <c r="J2779" t="s">
        <v>20</v>
      </c>
      <c r="K2779" t="s">
        <v>21</v>
      </c>
      <c r="L2779" t="s">
        <v>731</v>
      </c>
      <c r="N2779" t="s">
        <v>750</v>
      </c>
      <c r="O2779" t="s">
        <v>24</v>
      </c>
    </row>
    <row r="2780" spans="1:15" x14ac:dyDescent="0.25">
      <c r="A2780">
        <v>2779</v>
      </c>
      <c r="B2780" t="str">
        <f>HYPERLINK("https://digitalcommons.unl.edu/cgi/viewcontent.cgi?article=3884&amp;context=tractormuseumlit","Click for test report")</f>
        <v>Click for test report</v>
      </c>
      <c r="C2780">
        <v>2004</v>
      </c>
      <c r="E2780" t="s">
        <v>2831</v>
      </c>
      <c r="F2780" t="s">
        <v>2232</v>
      </c>
      <c r="G2780" t="s">
        <v>135</v>
      </c>
      <c r="H2780" t="s">
        <v>2832</v>
      </c>
      <c r="I2780" t="s">
        <v>50</v>
      </c>
      <c r="J2780" t="s">
        <v>20</v>
      </c>
      <c r="K2780" t="s">
        <v>21</v>
      </c>
      <c r="L2780" t="s">
        <v>731</v>
      </c>
      <c r="N2780" t="s">
        <v>750</v>
      </c>
      <c r="O2780" t="s">
        <v>24</v>
      </c>
    </row>
    <row r="2781" spans="1:15" x14ac:dyDescent="0.25">
      <c r="A2781">
        <v>2780</v>
      </c>
      <c r="B2781" t="str">
        <f>HYPERLINK("https://digitalcommons.unl.edu/cgi/viewcontent.cgi?article=3884&amp;context=tractormuseumlit","Click for test report")</f>
        <v>Click for test report</v>
      </c>
      <c r="C2781">
        <v>2004</v>
      </c>
      <c r="E2781" t="s">
        <v>2831</v>
      </c>
      <c r="F2781" t="s">
        <v>2232</v>
      </c>
      <c r="G2781" t="s">
        <v>135</v>
      </c>
      <c r="H2781" t="s">
        <v>2832</v>
      </c>
      <c r="I2781" t="s">
        <v>50</v>
      </c>
      <c r="J2781" t="s">
        <v>348</v>
      </c>
      <c r="K2781" t="s">
        <v>21</v>
      </c>
      <c r="L2781" t="s">
        <v>731</v>
      </c>
      <c r="N2781" t="s">
        <v>1650</v>
      </c>
      <c r="O2781" t="s">
        <v>24</v>
      </c>
    </row>
    <row r="2782" spans="1:15" x14ac:dyDescent="0.25">
      <c r="A2782">
        <v>2781</v>
      </c>
      <c r="B2782" t="str">
        <f>HYPERLINK("https://digitalcommons.unl.edu/cgi/viewcontent.cgi?article=3885&amp;context=tractormuseumlit","Click for test report")</f>
        <v>Click for test report</v>
      </c>
      <c r="C2782">
        <v>2004</v>
      </c>
      <c r="E2782" t="s">
        <v>2829</v>
      </c>
      <c r="F2782" t="s">
        <v>2232</v>
      </c>
      <c r="G2782" t="s">
        <v>135</v>
      </c>
      <c r="H2782" t="s">
        <v>2830</v>
      </c>
      <c r="I2782" t="s">
        <v>50</v>
      </c>
      <c r="J2782" t="s">
        <v>348</v>
      </c>
      <c r="K2782" t="s">
        <v>21</v>
      </c>
      <c r="L2782" t="s">
        <v>728</v>
      </c>
      <c r="N2782" t="s">
        <v>1970</v>
      </c>
      <c r="O2782" t="s">
        <v>24</v>
      </c>
    </row>
    <row r="2783" spans="1:15" x14ac:dyDescent="0.25">
      <c r="A2783">
        <v>2782</v>
      </c>
      <c r="B2783" t="str">
        <f>HYPERLINK("https://digitalcommons.unl.edu/cgi/viewcontent.cgi?article=3885&amp;context=tractormuseumlit","Click for test report")</f>
        <v>Click for test report</v>
      </c>
      <c r="C2783">
        <v>2004</v>
      </c>
      <c r="E2783" t="s">
        <v>2829</v>
      </c>
      <c r="F2783" t="s">
        <v>2232</v>
      </c>
      <c r="G2783" t="s">
        <v>135</v>
      </c>
      <c r="H2783" t="s">
        <v>2830</v>
      </c>
      <c r="I2783" t="s">
        <v>50</v>
      </c>
      <c r="J2783" t="s">
        <v>20</v>
      </c>
      <c r="K2783" t="s">
        <v>21</v>
      </c>
      <c r="L2783" t="s">
        <v>728</v>
      </c>
      <c r="N2783" t="s">
        <v>1970</v>
      </c>
      <c r="O2783" t="s">
        <v>24</v>
      </c>
    </row>
    <row r="2784" spans="1:15" x14ac:dyDescent="0.25">
      <c r="A2784">
        <v>2783</v>
      </c>
      <c r="B2784" t="str">
        <f>HYPERLINK("https://digitalcommons.unl.edu/cgi/viewcontent.cgi?article=3886&amp;context=tractormuseumlit","Click for test report")</f>
        <v>Click for test report</v>
      </c>
      <c r="C2784">
        <v>2004</v>
      </c>
      <c r="E2784" t="s">
        <v>2827</v>
      </c>
      <c r="F2784" t="s">
        <v>2232</v>
      </c>
      <c r="G2784" t="s">
        <v>135</v>
      </c>
      <c r="H2784" t="s">
        <v>2828</v>
      </c>
      <c r="I2784" t="s">
        <v>50</v>
      </c>
      <c r="J2784" t="s">
        <v>348</v>
      </c>
      <c r="K2784" t="s">
        <v>21</v>
      </c>
      <c r="L2784" t="s">
        <v>728</v>
      </c>
      <c r="N2784" t="s">
        <v>1994</v>
      </c>
      <c r="O2784" t="s">
        <v>24</v>
      </c>
    </row>
    <row r="2785" spans="1:15" x14ac:dyDescent="0.25">
      <c r="A2785">
        <v>2784</v>
      </c>
      <c r="B2785" t="str">
        <f>HYPERLINK("https://digitalcommons.unl.edu/cgi/viewcontent.cgi?article=3886&amp;context=tractormuseumlit","Click for test report")</f>
        <v>Click for test report</v>
      </c>
      <c r="C2785">
        <v>2004</v>
      </c>
      <c r="E2785" t="s">
        <v>2827</v>
      </c>
      <c r="F2785" t="s">
        <v>2232</v>
      </c>
      <c r="G2785" t="s">
        <v>135</v>
      </c>
      <c r="H2785" t="s">
        <v>2828</v>
      </c>
      <c r="I2785" t="s">
        <v>50</v>
      </c>
      <c r="J2785" t="s">
        <v>20</v>
      </c>
      <c r="K2785" t="s">
        <v>21</v>
      </c>
      <c r="L2785" t="s">
        <v>728</v>
      </c>
      <c r="N2785" t="s">
        <v>1970</v>
      </c>
      <c r="O2785" t="s">
        <v>24</v>
      </c>
    </row>
    <row r="2786" spans="1:15" x14ac:dyDescent="0.25">
      <c r="A2786">
        <v>2785</v>
      </c>
      <c r="B2786" t="str">
        <f>HYPERLINK("https://digitalcommons.unl.edu/cgi/viewcontent.cgi?article=3887&amp;context=tractormuseumlit","Click for test report")</f>
        <v>Click for test report</v>
      </c>
      <c r="C2786">
        <v>2004</v>
      </c>
      <c r="E2786" t="s">
        <v>2823</v>
      </c>
      <c r="F2786" t="s">
        <v>2814</v>
      </c>
      <c r="G2786" t="s">
        <v>191</v>
      </c>
      <c r="H2786" t="s">
        <v>2824</v>
      </c>
      <c r="I2786" t="s">
        <v>50</v>
      </c>
      <c r="J2786" t="s">
        <v>20</v>
      </c>
      <c r="K2786" t="s">
        <v>21</v>
      </c>
      <c r="L2786" t="s">
        <v>407</v>
      </c>
      <c r="N2786" t="s">
        <v>2826</v>
      </c>
      <c r="O2786" t="s">
        <v>2816</v>
      </c>
    </row>
    <row r="2787" spans="1:15" x14ac:dyDescent="0.25">
      <c r="A2787">
        <v>2786</v>
      </c>
      <c r="B2787" t="str">
        <f>HYPERLINK("https://digitalcommons.unl.edu/cgi/viewcontent.cgi?article=3887&amp;context=tractormuseumlit","Click for test report")</f>
        <v>Click for test report</v>
      </c>
      <c r="C2787">
        <v>2004</v>
      </c>
      <c r="E2787" t="s">
        <v>2823</v>
      </c>
      <c r="F2787" t="s">
        <v>2814</v>
      </c>
      <c r="G2787" t="s">
        <v>191</v>
      </c>
      <c r="H2787" t="s">
        <v>2824</v>
      </c>
      <c r="I2787" t="s">
        <v>50</v>
      </c>
      <c r="J2787" t="s">
        <v>348</v>
      </c>
      <c r="K2787" t="s">
        <v>21</v>
      </c>
      <c r="L2787" t="s">
        <v>407</v>
      </c>
      <c r="N2787" t="s">
        <v>2825</v>
      </c>
      <c r="O2787" t="s">
        <v>2816</v>
      </c>
    </row>
    <row r="2788" spans="1:15" x14ac:dyDescent="0.25">
      <c r="A2788">
        <v>2787</v>
      </c>
      <c r="B2788" t="str">
        <f>HYPERLINK("https://digitalcommons.unl.edu/cgi/viewcontent.cgi?article=3888&amp;context=tractormuseumlit","Click for test report")</f>
        <v>Click for test report</v>
      </c>
      <c r="C2788">
        <v>2004</v>
      </c>
      <c r="E2788" t="s">
        <v>2821</v>
      </c>
      <c r="F2788" t="s">
        <v>2814</v>
      </c>
      <c r="G2788" t="s">
        <v>191</v>
      </c>
      <c r="H2788" t="s">
        <v>2822</v>
      </c>
      <c r="I2788" t="s">
        <v>50</v>
      </c>
      <c r="J2788" t="s">
        <v>20</v>
      </c>
      <c r="K2788" t="s">
        <v>21</v>
      </c>
      <c r="L2788" t="s">
        <v>731</v>
      </c>
      <c r="N2788" t="s">
        <v>410</v>
      </c>
      <c r="O2788" t="s">
        <v>2816</v>
      </c>
    </row>
    <row r="2789" spans="1:15" x14ac:dyDescent="0.25">
      <c r="A2789">
        <v>2788</v>
      </c>
      <c r="B2789" t="str">
        <f>HYPERLINK("https://digitalcommons.unl.edu/cgi/viewcontent.cgi?article=3888&amp;context=tractormuseumlit","Click for test report")</f>
        <v>Click for test report</v>
      </c>
      <c r="C2789">
        <v>2004</v>
      </c>
      <c r="E2789" t="s">
        <v>2821</v>
      </c>
      <c r="F2789" t="s">
        <v>2814</v>
      </c>
      <c r="G2789" t="s">
        <v>191</v>
      </c>
      <c r="H2789" t="s">
        <v>2822</v>
      </c>
      <c r="I2789" t="s">
        <v>50</v>
      </c>
      <c r="J2789" t="s">
        <v>348</v>
      </c>
      <c r="K2789" t="s">
        <v>21</v>
      </c>
      <c r="L2789" t="s">
        <v>731</v>
      </c>
      <c r="N2789" t="s">
        <v>1009</v>
      </c>
      <c r="O2789" t="s">
        <v>2816</v>
      </c>
    </row>
    <row r="2790" spans="1:15" x14ac:dyDescent="0.25">
      <c r="A2790">
        <v>2789</v>
      </c>
      <c r="B2790" t="str">
        <f>HYPERLINK("https://digitalcommons.unl.edu/cgi/viewcontent.cgi?article=3889&amp;context=tractormuseumlit","Click for test report")</f>
        <v>Click for test report</v>
      </c>
      <c r="C2790">
        <v>2004</v>
      </c>
      <c r="E2790" t="s">
        <v>2819</v>
      </c>
      <c r="F2790" t="s">
        <v>2814</v>
      </c>
      <c r="G2790" t="s">
        <v>191</v>
      </c>
      <c r="H2790" t="s">
        <v>2820</v>
      </c>
      <c r="I2790" t="s">
        <v>50</v>
      </c>
      <c r="J2790" t="s">
        <v>20</v>
      </c>
      <c r="K2790" t="s">
        <v>21</v>
      </c>
      <c r="L2790" t="s">
        <v>349</v>
      </c>
      <c r="N2790" t="s">
        <v>750</v>
      </c>
      <c r="O2790" t="s">
        <v>2816</v>
      </c>
    </row>
    <row r="2791" spans="1:15" x14ac:dyDescent="0.25">
      <c r="A2791">
        <v>2790</v>
      </c>
      <c r="B2791" t="str">
        <f>HYPERLINK("https://digitalcommons.unl.edu/cgi/viewcontent.cgi?article=3889&amp;context=tractormuseumlit","Click for test report")</f>
        <v>Click for test report</v>
      </c>
      <c r="C2791">
        <v>2004</v>
      </c>
      <c r="E2791" t="s">
        <v>2819</v>
      </c>
      <c r="F2791" t="s">
        <v>2814</v>
      </c>
      <c r="G2791" t="s">
        <v>191</v>
      </c>
      <c r="H2791" t="s">
        <v>2820</v>
      </c>
      <c r="I2791" t="s">
        <v>50</v>
      </c>
      <c r="J2791" t="s">
        <v>348</v>
      </c>
      <c r="K2791" t="s">
        <v>21</v>
      </c>
      <c r="L2791" t="s">
        <v>349</v>
      </c>
      <c r="N2791" t="s">
        <v>1650</v>
      </c>
      <c r="O2791" t="s">
        <v>2816</v>
      </c>
    </row>
    <row r="2792" spans="1:15" x14ac:dyDescent="0.25">
      <c r="A2792">
        <v>2791</v>
      </c>
      <c r="B2792" t="str">
        <f>HYPERLINK("https://digitalcommons.unl.edu/cgi/viewcontent.cgi?article=3890&amp;context=tractormuseumlit","Click for test report")</f>
        <v>Click for test report</v>
      </c>
      <c r="C2792">
        <v>2004</v>
      </c>
      <c r="E2792" t="s">
        <v>2817</v>
      </c>
      <c r="F2792" t="s">
        <v>2814</v>
      </c>
      <c r="G2792" t="s">
        <v>191</v>
      </c>
      <c r="H2792" t="s">
        <v>2818</v>
      </c>
      <c r="I2792" t="s">
        <v>50</v>
      </c>
      <c r="J2792" t="s">
        <v>20</v>
      </c>
      <c r="K2792" t="s">
        <v>21</v>
      </c>
      <c r="L2792" t="s">
        <v>1371</v>
      </c>
      <c r="N2792" t="s">
        <v>1051</v>
      </c>
      <c r="O2792" t="s">
        <v>2816</v>
      </c>
    </row>
    <row r="2793" spans="1:15" x14ac:dyDescent="0.25">
      <c r="A2793">
        <v>2792</v>
      </c>
      <c r="B2793" t="str">
        <f>HYPERLINK("https://digitalcommons.unl.edu/cgi/viewcontent.cgi?article=3890&amp;context=tractormuseumlit","Click for test report")</f>
        <v>Click for test report</v>
      </c>
      <c r="C2793">
        <v>2004</v>
      </c>
      <c r="E2793" t="s">
        <v>2817</v>
      </c>
      <c r="F2793" t="s">
        <v>2814</v>
      </c>
      <c r="G2793" t="s">
        <v>191</v>
      </c>
      <c r="H2793" t="s">
        <v>2818</v>
      </c>
      <c r="I2793" t="s">
        <v>50</v>
      </c>
      <c r="J2793" t="s">
        <v>348</v>
      </c>
      <c r="K2793" t="s">
        <v>21</v>
      </c>
      <c r="L2793" t="s">
        <v>1371</v>
      </c>
      <c r="N2793" t="s">
        <v>404</v>
      </c>
      <c r="O2793" t="s">
        <v>2816</v>
      </c>
    </row>
    <row r="2794" spans="1:15" x14ac:dyDescent="0.25">
      <c r="A2794">
        <v>2793</v>
      </c>
      <c r="B2794" t="str">
        <f>HYPERLINK("https://digitalcommons.unl.edu/cgi/viewcontent.cgi?article=3891&amp;context=tractormuseumlit","Click for test report")</f>
        <v>Click for test report</v>
      </c>
      <c r="C2794">
        <v>2004</v>
      </c>
      <c r="E2794" t="s">
        <v>2813</v>
      </c>
      <c r="F2794" t="s">
        <v>2814</v>
      </c>
      <c r="G2794" t="s">
        <v>191</v>
      </c>
      <c r="H2794" t="s">
        <v>2815</v>
      </c>
      <c r="I2794" t="s">
        <v>50</v>
      </c>
      <c r="J2794" t="s">
        <v>20</v>
      </c>
      <c r="K2794" t="s">
        <v>21</v>
      </c>
      <c r="L2794" t="s">
        <v>565</v>
      </c>
      <c r="N2794" t="s">
        <v>349</v>
      </c>
      <c r="O2794" t="s">
        <v>2816</v>
      </c>
    </row>
    <row r="2795" spans="1:15" x14ac:dyDescent="0.25">
      <c r="A2795">
        <v>2794</v>
      </c>
      <c r="B2795" t="str">
        <f>HYPERLINK("https://digitalcommons.unl.edu/cgi/viewcontent.cgi?article=3891&amp;context=tractormuseumlit","Click for test report")</f>
        <v>Click for test report</v>
      </c>
      <c r="C2795">
        <v>2004</v>
      </c>
      <c r="E2795" t="s">
        <v>2813</v>
      </c>
      <c r="F2795" t="s">
        <v>2814</v>
      </c>
      <c r="G2795" t="s">
        <v>191</v>
      </c>
      <c r="H2795" t="s">
        <v>2815</v>
      </c>
      <c r="I2795" t="s">
        <v>50</v>
      </c>
      <c r="J2795" t="s">
        <v>348</v>
      </c>
      <c r="K2795" t="s">
        <v>21</v>
      </c>
      <c r="L2795" t="s">
        <v>565</v>
      </c>
      <c r="N2795" t="s">
        <v>728</v>
      </c>
      <c r="O2795" t="s">
        <v>2816</v>
      </c>
    </row>
    <row r="2796" spans="1:15" x14ac:dyDescent="0.25">
      <c r="A2796">
        <v>2795</v>
      </c>
      <c r="B2796" t="str">
        <f>HYPERLINK("https://digitalcommons.unl.edu/cgi/viewcontent.cgi?article=3196&amp;context=tractormuseumlit","Click for test report")</f>
        <v>Click for test report</v>
      </c>
      <c r="C2796">
        <v>2004</v>
      </c>
      <c r="E2796" t="s">
        <v>2812</v>
      </c>
      <c r="F2796" t="s">
        <v>2062</v>
      </c>
      <c r="G2796" t="s">
        <v>778</v>
      </c>
      <c r="H2796" t="s">
        <v>1905</v>
      </c>
      <c r="I2796" t="s">
        <v>19</v>
      </c>
      <c r="J2796" t="s">
        <v>20</v>
      </c>
      <c r="K2796" t="s">
        <v>21</v>
      </c>
      <c r="L2796" t="s">
        <v>52</v>
      </c>
      <c r="N2796" t="s">
        <v>1051</v>
      </c>
      <c r="O2796" t="s">
        <v>24</v>
      </c>
    </row>
    <row r="2797" spans="1:15" x14ac:dyDescent="0.25">
      <c r="A2797">
        <v>2796</v>
      </c>
      <c r="B2797" t="str">
        <f>HYPERLINK("https://digitalcommons.unl.edu/cgi/viewcontent.cgi?article=3196&amp;context=tractormuseumlit","Click for test report")</f>
        <v>Click for test report</v>
      </c>
      <c r="C2797">
        <v>2004</v>
      </c>
      <c r="E2797" t="s">
        <v>2812</v>
      </c>
      <c r="F2797" t="s">
        <v>2062</v>
      </c>
      <c r="G2797" t="s">
        <v>778</v>
      </c>
      <c r="H2797" t="s">
        <v>1905</v>
      </c>
      <c r="I2797" t="s">
        <v>19</v>
      </c>
      <c r="J2797" t="s">
        <v>348</v>
      </c>
      <c r="K2797" t="s">
        <v>21</v>
      </c>
      <c r="L2797" t="s">
        <v>52</v>
      </c>
      <c r="N2797" t="s">
        <v>1970</v>
      </c>
      <c r="O2797" t="s">
        <v>24</v>
      </c>
    </row>
    <row r="2798" spans="1:15" x14ac:dyDescent="0.25">
      <c r="A2798">
        <v>2797</v>
      </c>
      <c r="B2798" t="str">
        <f>HYPERLINK("https://digitalcommons.unl.edu/cgi/viewcontent.cgi?article=3197&amp;context=tractormuseumlit","Click for test report")</f>
        <v>Click for test report</v>
      </c>
      <c r="C2798">
        <v>2004</v>
      </c>
      <c r="E2798" t="s">
        <v>2811</v>
      </c>
      <c r="F2798" t="s">
        <v>2062</v>
      </c>
      <c r="G2798" t="s">
        <v>778</v>
      </c>
      <c r="H2798" t="s">
        <v>1903</v>
      </c>
      <c r="I2798" t="s">
        <v>19</v>
      </c>
      <c r="J2798" t="s">
        <v>20</v>
      </c>
      <c r="K2798" t="s">
        <v>21</v>
      </c>
      <c r="L2798" t="s">
        <v>130</v>
      </c>
      <c r="N2798" t="s">
        <v>746</v>
      </c>
      <c r="O2798" t="s">
        <v>24</v>
      </c>
    </row>
    <row r="2799" spans="1:15" x14ac:dyDescent="0.25">
      <c r="A2799">
        <v>2798</v>
      </c>
      <c r="B2799" t="str">
        <f>HYPERLINK("https://digitalcommons.unl.edu/cgi/viewcontent.cgi?article=3197&amp;context=tractormuseumlit","Click for test report")</f>
        <v>Click for test report</v>
      </c>
      <c r="C2799">
        <v>2004</v>
      </c>
      <c r="E2799" t="s">
        <v>2811</v>
      </c>
      <c r="F2799" t="s">
        <v>2062</v>
      </c>
      <c r="G2799" t="s">
        <v>778</v>
      </c>
      <c r="H2799" t="s">
        <v>1903</v>
      </c>
      <c r="I2799" t="s">
        <v>19</v>
      </c>
      <c r="J2799" t="s">
        <v>348</v>
      </c>
      <c r="K2799" t="s">
        <v>21</v>
      </c>
      <c r="L2799" t="s">
        <v>130</v>
      </c>
      <c r="N2799" t="s">
        <v>746</v>
      </c>
      <c r="O2799" t="s">
        <v>24</v>
      </c>
    </row>
    <row r="2800" spans="1:15" x14ac:dyDescent="0.25">
      <c r="A2800">
        <v>2799</v>
      </c>
      <c r="B2800" t="str">
        <f>HYPERLINK("https://digitalcommons.unl.edu/cgi/viewcontent.cgi?article=1587&amp;context=tractormuseumlit","Click for test report")</f>
        <v>Click for test report</v>
      </c>
      <c r="C2800">
        <v>2004</v>
      </c>
      <c r="E2800" t="s">
        <v>2810</v>
      </c>
      <c r="F2800" t="s">
        <v>2062</v>
      </c>
      <c r="G2800" t="s">
        <v>778</v>
      </c>
      <c r="H2800" t="s">
        <v>1901</v>
      </c>
      <c r="I2800" t="s">
        <v>19</v>
      </c>
      <c r="J2800" t="s">
        <v>20</v>
      </c>
      <c r="K2800" t="s">
        <v>21</v>
      </c>
      <c r="L2800" t="s">
        <v>336</v>
      </c>
      <c r="N2800" t="s">
        <v>46</v>
      </c>
      <c r="O2800" t="s">
        <v>24</v>
      </c>
    </row>
    <row r="2801" spans="1:15" x14ac:dyDescent="0.25">
      <c r="A2801">
        <v>2800</v>
      </c>
      <c r="B2801" t="str">
        <f>HYPERLINK("https://digitalcommons.unl.edu/cgi/viewcontent.cgi?article=1587&amp;context=tractormuseumlit","Click for test report")</f>
        <v>Click for test report</v>
      </c>
      <c r="C2801">
        <v>2004</v>
      </c>
      <c r="E2801" t="s">
        <v>2810</v>
      </c>
      <c r="F2801" t="s">
        <v>2062</v>
      </c>
      <c r="G2801" t="s">
        <v>778</v>
      </c>
      <c r="H2801" t="s">
        <v>1901</v>
      </c>
      <c r="I2801" t="s">
        <v>19</v>
      </c>
      <c r="J2801" t="s">
        <v>348</v>
      </c>
      <c r="K2801" t="s">
        <v>21</v>
      </c>
      <c r="L2801" t="s">
        <v>336</v>
      </c>
      <c r="N2801" t="s">
        <v>123</v>
      </c>
      <c r="O2801" t="s">
        <v>24</v>
      </c>
    </row>
    <row r="2802" spans="1:15" x14ac:dyDescent="0.25">
      <c r="A2802">
        <v>2801</v>
      </c>
      <c r="B2802" t="str">
        <f>HYPERLINK("https://digitalcommons.unl.edu/cgi/viewcontent.cgi?article=3199&amp;context=tractormuseumlit","Click for test report")</f>
        <v>Click for test report</v>
      </c>
      <c r="C2802">
        <v>2004</v>
      </c>
      <c r="E2802" t="s">
        <v>2809</v>
      </c>
      <c r="F2802" t="s">
        <v>2062</v>
      </c>
      <c r="G2802" t="s">
        <v>778</v>
      </c>
      <c r="H2802" t="s">
        <v>2472</v>
      </c>
      <c r="I2802" t="s">
        <v>19</v>
      </c>
      <c r="J2802" t="s">
        <v>20</v>
      </c>
      <c r="K2802" t="s">
        <v>21</v>
      </c>
      <c r="L2802" t="s">
        <v>359</v>
      </c>
      <c r="N2802" t="s">
        <v>571</v>
      </c>
      <c r="O2802" t="s">
        <v>24</v>
      </c>
    </row>
    <row r="2803" spans="1:15" x14ac:dyDescent="0.25">
      <c r="A2803">
        <v>2802</v>
      </c>
      <c r="B2803" t="str">
        <f>HYPERLINK("https://digitalcommons.unl.edu/cgi/viewcontent.cgi?article=3200&amp;context=tractormuseumlit","Click for test report")</f>
        <v>Click for test report</v>
      </c>
      <c r="C2803">
        <v>2004</v>
      </c>
      <c r="E2803" t="s">
        <v>2808</v>
      </c>
      <c r="F2803" t="s">
        <v>2062</v>
      </c>
      <c r="G2803" t="s">
        <v>778</v>
      </c>
      <c r="H2803" t="s">
        <v>2470</v>
      </c>
      <c r="I2803" t="s">
        <v>19</v>
      </c>
      <c r="J2803" t="s">
        <v>20</v>
      </c>
      <c r="K2803" t="s">
        <v>21</v>
      </c>
      <c r="L2803" t="s">
        <v>474</v>
      </c>
      <c r="N2803" t="s">
        <v>794</v>
      </c>
      <c r="O2803" t="s">
        <v>24</v>
      </c>
    </row>
    <row r="2804" spans="1:15" x14ac:dyDescent="0.25">
      <c r="A2804">
        <v>2803</v>
      </c>
      <c r="B2804" t="str">
        <f>HYPERLINK("https://digitalcommons.unl.edu/cgi/viewcontent.cgi?article=3201&amp;context=tractormuseumlit","Click for test report")</f>
        <v>Click for test report</v>
      </c>
      <c r="C2804">
        <v>2004</v>
      </c>
      <c r="E2804" t="s">
        <v>2807</v>
      </c>
      <c r="F2804" t="s">
        <v>2062</v>
      </c>
      <c r="G2804" t="s">
        <v>778</v>
      </c>
      <c r="H2804" t="s">
        <v>2072</v>
      </c>
      <c r="I2804" t="s">
        <v>19</v>
      </c>
      <c r="J2804" t="s">
        <v>20</v>
      </c>
      <c r="K2804" t="s">
        <v>21</v>
      </c>
      <c r="L2804" t="s">
        <v>818</v>
      </c>
      <c r="N2804" t="s">
        <v>1514</v>
      </c>
      <c r="O2804" t="s">
        <v>24</v>
      </c>
    </row>
    <row r="2805" spans="1:15" x14ac:dyDescent="0.25">
      <c r="A2805">
        <v>2804</v>
      </c>
      <c r="B2805" t="str">
        <f>HYPERLINK("https://digitalcommons.unl.edu/cgi/viewcontent.cgi?article=3202&amp;context=tractormuseumlit","Click for test report")</f>
        <v>Click for test report</v>
      </c>
      <c r="C2805">
        <v>2004</v>
      </c>
      <c r="E2805" t="s">
        <v>2806</v>
      </c>
      <c r="F2805" t="s">
        <v>2062</v>
      </c>
      <c r="G2805" t="s">
        <v>778</v>
      </c>
      <c r="H2805" t="s">
        <v>1899</v>
      </c>
      <c r="I2805" t="s">
        <v>28</v>
      </c>
      <c r="J2805" t="s">
        <v>20</v>
      </c>
      <c r="K2805" t="s">
        <v>21</v>
      </c>
      <c r="L2805" t="s">
        <v>52</v>
      </c>
      <c r="N2805" t="s">
        <v>574</v>
      </c>
      <c r="O2805" t="s">
        <v>2801</v>
      </c>
    </row>
    <row r="2806" spans="1:15" x14ac:dyDescent="0.25">
      <c r="A2806">
        <v>2805</v>
      </c>
      <c r="B2806" t="str">
        <f>HYPERLINK("https://digitalcommons.unl.edu/cgi/viewcontent.cgi?article=3203&amp;context=tractormuseumlit","Click for test report")</f>
        <v>Click for test report</v>
      </c>
      <c r="C2806">
        <v>2004</v>
      </c>
      <c r="E2806" t="s">
        <v>2805</v>
      </c>
      <c r="F2806" t="s">
        <v>2062</v>
      </c>
      <c r="G2806" t="s">
        <v>778</v>
      </c>
      <c r="H2806" t="s">
        <v>1897</v>
      </c>
      <c r="I2806" t="s">
        <v>28</v>
      </c>
      <c r="J2806" t="s">
        <v>20</v>
      </c>
      <c r="K2806" t="s">
        <v>21</v>
      </c>
      <c r="L2806" t="s">
        <v>677</v>
      </c>
      <c r="N2806" t="s">
        <v>461</v>
      </c>
      <c r="O2806" t="s">
        <v>2801</v>
      </c>
    </row>
    <row r="2807" spans="1:15" x14ac:dyDescent="0.25">
      <c r="A2807">
        <v>2806</v>
      </c>
      <c r="B2807" t="str">
        <f>HYPERLINK("https://digitalcommons.unl.edu/cgi/viewcontent.cgi?article=3204&amp;context=tractormuseumlit","Click for test report")</f>
        <v>Click for test report</v>
      </c>
      <c r="C2807">
        <v>2004</v>
      </c>
      <c r="E2807" t="s">
        <v>2804</v>
      </c>
      <c r="F2807" t="s">
        <v>2062</v>
      </c>
      <c r="G2807" t="s">
        <v>778</v>
      </c>
      <c r="H2807" t="s">
        <v>1895</v>
      </c>
      <c r="I2807" t="s">
        <v>28</v>
      </c>
      <c r="J2807" t="s">
        <v>20</v>
      </c>
      <c r="K2807" t="s">
        <v>21</v>
      </c>
      <c r="L2807" t="s">
        <v>122</v>
      </c>
      <c r="N2807" t="s">
        <v>46</v>
      </c>
      <c r="O2807" t="s">
        <v>2801</v>
      </c>
    </row>
    <row r="2808" spans="1:15" x14ac:dyDescent="0.25">
      <c r="A2808">
        <v>2807</v>
      </c>
      <c r="B2808" t="str">
        <f>HYPERLINK("https://digitalcommons.unl.edu/cgi/viewcontent.cgi?article=3205&amp;context=tractormuseumlit","Click for test report")</f>
        <v>Click for test report</v>
      </c>
      <c r="C2808">
        <v>2004</v>
      </c>
      <c r="E2808" t="s">
        <v>2803</v>
      </c>
      <c r="F2808" t="s">
        <v>2062</v>
      </c>
      <c r="G2808" t="s">
        <v>778</v>
      </c>
      <c r="H2808" t="s">
        <v>2498</v>
      </c>
      <c r="I2808" t="s">
        <v>28</v>
      </c>
      <c r="J2808" t="s">
        <v>20</v>
      </c>
      <c r="K2808" t="s">
        <v>21</v>
      </c>
      <c r="L2808" t="s">
        <v>1386</v>
      </c>
      <c r="N2808" t="s">
        <v>46</v>
      </c>
      <c r="O2808" t="s">
        <v>2801</v>
      </c>
    </row>
    <row r="2809" spans="1:15" x14ac:dyDescent="0.25">
      <c r="A2809">
        <v>2808</v>
      </c>
      <c r="B2809" t="str">
        <f>HYPERLINK("https://digitalcommons.unl.edu/cgi/viewcontent.cgi?article=3206&amp;context=tractormuseumlit","Click for test report")</f>
        <v>Click for test report</v>
      </c>
      <c r="C2809">
        <v>2004</v>
      </c>
      <c r="E2809" t="s">
        <v>2802</v>
      </c>
      <c r="F2809" t="s">
        <v>2062</v>
      </c>
      <c r="G2809" t="s">
        <v>778</v>
      </c>
      <c r="H2809" t="s">
        <v>2496</v>
      </c>
      <c r="I2809" t="s">
        <v>28</v>
      </c>
      <c r="J2809" t="s">
        <v>20</v>
      </c>
      <c r="K2809" t="s">
        <v>21</v>
      </c>
      <c r="L2809" t="s">
        <v>839</v>
      </c>
      <c r="N2809" t="s">
        <v>336</v>
      </c>
      <c r="O2809" t="s">
        <v>2801</v>
      </c>
    </row>
    <row r="2810" spans="1:15" x14ac:dyDescent="0.25">
      <c r="A2810">
        <v>2809</v>
      </c>
      <c r="B2810" t="str">
        <f>HYPERLINK("https://digitalcommons.unl.edu/cgi/viewcontent.cgi?article=3207&amp;context=tractormuseumlit","Click for test report")</f>
        <v>Click for test report</v>
      </c>
      <c r="C2810">
        <v>2004</v>
      </c>
      <c r="E2810" t="s">
        <v>2800</v>
      </c>
      <c r="F2810" t="s">
        <v>2062</v>
      </c>
      <c r="G2810" t="s">
        <v>778</v>
      </c>
      <c r="H2810" t="s">
        <v>2494</v>
      </c>
      <c r="I2810" t="s">
        <v>28</v>
      </c>
      <c r="J2810" t="s">
        <v>20</v>
      </c>
      <c r="K2810" t="s">
        <v>21</v>
      </c>
      <c r="L2810" t="s">
        <v>402</v>
      </c>
      <c r="N2810" t="s">
        <v>363</v>
      </c>
      <c r="O2810" t="s">
        <v>2801</v>
      </c>
    </row>
    <row r="2811" spans="1:15" x14ac:dyDescent="0.25">
      <c r="A2811">
        <v>2810</v>
      </c>
      <c r="B2811" t="str">
        <f>HYPERLINK("https://digitalcommons.unl.edu/cgi/viewcontent.cgi?article=1138&amp;context=tractormuseumlit","Click for test report")</f>
        <v>Click for test report</v>
      </c>
      <c r="C2811">
        <v>2004</v>
      </c>
      <c r="E2811" t="s">
        <v>2798</v>
      </c>
      <c r="F2811" t="s">
        <v>1136</v>
      </c>
      <c r="G2811" t="s">
        <v>111</v>
      </c>
      <c r="H2811" t="s">
        <v>2799</v>
      </c>
      <c r="I2811" t="s">
        <v>64</v>
      </c>
      <c r="J2811" t="s">
        <v>20</v>
      </c>
      <c r="K2811" t="s">
        <v>21</v>
      </c>
      <c r="L2811" t="s">
        <v>127</v>
      </c>
      <c r="N2811" t="s">
        <v>713</v>
      </c>
      <c r="O2811" t="s">
        <v>1871</v>
      </c>
    </row>
    <row r="2812" spans="1:15" x14ac:dyDescent="0.25">
      <c r="A2812">
        <v>2811</v>
      </c>
      <c r="B2812" t="str">
        <f>HYPERLINK("https://digitalcommons.unl.edu/cgi/viewcontent.cgi?article=1160&amp;context=tractormuseumlit","Click for test report")</f>
        <v>Click for test report</v>
      </c>
      <c r="C2812">
        <v>2004</v>
      </c>
      <c r="E2812" t="s">
        <v>2796</v>
      </c>
      <c r="F2812" t="s">
        <v>1136</v>
      </c>
      <c r="G2812" t="s">
        <v>111</v>
      </c>
      <c r="H2812" t="s">
        <v>2797</v>
      </c>
      <c r="I2812" t="s">
        <v>64</v>
      </c>
      <c r="J2812" t="s">
        <v>20</v>
      </c>
      <c r="K2812" t="s">
        <v>21</v>
      </c>
      <c r="L2812" t="s">
        <v>567</v>
      </c>
      <c r="N2812" t="s">
        <v>46</v>
      </c>
      <c r="O2812" t="s">
        <v>1871</v>
      </c>
    </row>
    <row r="2813" spans="1:15" x14ac:dyDescent="0.25">
      <c r="A2813">
        <v>2812</v>
      </c>
      <c r="B2813" t="str">
        <f>HYPERLINK("https://digitalcommons.unl.edu/cgi/viewcontent.cgi?article=3208&amp;context=tractormuseumlit","Click for test report")</f>
        <v>Click for test report</v>
      </c>
      <c r="C2813">
        <v>2004</v>
      </c>
      <c r="E2813" t="s">
        <v>2794</v>
      </c>
      <c r="F2813" t="s">
        <v>1526</v>
      </c>
      <c r="G2813" t="s">
        <v>17</v>
      </c>
      <c r="H2813" t="s">
        <v>2795</v>
      </c>
      <c r="I2813" t="s">
        <v>50</v>
      </c>
      <c r="J2813" t="s">
        <v>20</v>
      </c>
      <c r="K2813" t="s">
        <v>21</v>
      </c>
      <c r="L2813" t="s">
        <v>1867</v>
      </c>
      <c r="N2813" t="s">
        <v>1864</v>
      </c>
      <c r="O2813" t="s">
        <v>24</v>
      </c>
    </row>
    <row r="2814" spans="1:15" x14ac:dyDescent="0.25">
      <c r="A2814">
        <v>2813</v>
      </c>
      <c r="B2814" t="str">
        <f>HYPERLINK("https://digitalcommons.unl.edu/cgi/viewcontent.cgi?article=3209&amp;context=tractormuseumlit","Click for test report")</f>
        <v>Click for test report</v>
      </c>
      <c r="C2814">
        <v>2004</v>
      </c>
      <c r="E2814" t="s">
        <v>2792</v>
      </c>
      <c r="F2814" t="s">
        <v>17</v>
      </c>
      <c r="G2814" t="s">
        <v>17</v>
      </c>
      <c r="H2814" t="s">
        <v>2793</v>
      </c>
      <c r="I2814" t="s">
        <v>50</v>
      </c>
      <c r="J2814" t="s">
        <v>20</v>
      </c>
      <c r="K2814" t="s">
        <v>21</v>
      </c>
      <c r="L2814" t="s">
        <v>705</v>
      </c>
      <c r="N2814" t="s">
        <v>247</v>
      </c>
      <c r="O2814" t="s">
        <v>24</v>
      </c>
    </row>
    <row r="2815" spans="1:15" x14ac:dyDescent="0.25">
      <c r="A2815">
        <v>2814</v>
      </c>
      <c r="B2815" t="str">
        <f>HYPERLINK("https://digitalcommons.unl.edu/cgi/viewcontent.cgi?article=3210&amp;context=tractormuseumlit","Click for test report")</f>
        <v>Click for test report</v>
      </c>
      <c r="C2815">
        <v>2004</v>
      </c>
      <c r="E2815" t="s">
        <v>2790</v>
      </c>
      <c r="F2815" t="s">
        <v>384</v>
      </c>
      <c r="G2815" t="s">
        <v>112</v>
      </c>
      <c r="H2815" t="s">
        <v>2791</v>
      </c>
      <c r="I2815" t="s">
        <v>64</v>
      </c>
      <c r="J2815" t="s">
        <v>20</v>
      </c>
      <c r="K2815" t="s">
        <v>21</v>
      </c>
      <c r="L2815" t="s">
        <v>774</v>
      </c>
      <c r="N2815" t="s">
        <v>374</v>
      </c>
      <c r="O2815" t="s">
        <v>1871</v>
      </c>
    </row>
    <row r="2816" spans="1:15" x14ac:dyDescent="0.25">
      <c r="A2816">
        <v>2815</v>
      </c>
      <c r="B2816" t="str">
        <f>HYPERLINK("https://digitalcommons.unl.edu/cgi/viewcontent.cgi?article=3211&amp;context=tractormuseumlit","Click for test report")</f>
        <v>Click for test report</v>
      </c>
      <c r="C2816">
        <v>2004</v>
      </c>
      <c r="E2816" t="s">
        <v>2788</v>
      </c>
      <c r="F2816" t="s">
        <v>384</v>
      </c>
      <c r="G2816" t="s">
        <v>112</v>
      </c>
      <c r="H2816" t="s">
        <v>2789</v>
      </c>
      <c r="I2816" t="s">
        <v>64</v>
      </c>
      <c r="J2816" t="s">
        <v>20</v>
      </c>
      <c r="K2816" t="s">
        <v>21</v>
      </c>
      <c r="L2816" t="s">
        <v>328</v>
      </c>
      <c r="N2816" t="s">
        <v>363</v>
      </c>
      <c r="O2816" t="s">
        <v>1871</v>
      </c>
    </row>
    <row r="2817" spans="1:15" x14ac:dyDescent="0.25">
      <c r="A2817">
        <v>2816</v>
      </c>
      <c r="B2817" t="str">
        <f>HYPERLINK("https://digitalcommons.unl.edu/cgi/viewcontent.cgi?article=3212&amp;context=tractormuseumlit","Click for test report")</f>
        <v>Click for test report</v>
      </c>
      <c r="C2817">
        <v>2004</v>
      </c>
      <c r="E2817" t="s">
        <v>2786</v>
      </c>
      <c r="F2817" t="s">
        <v>384</v>
      </c>
      <c r="G2817" t="s">
        <v>112</v>
      </c>
      <c r="H2817" t="s">
        <v>2787</v>
      </c>
      <c r="I2817" t="s">
        <v>64</v>
      </c>
      <c r="J2817" t="s">
        <v>20</v>
      </c>
      <c r="K2817" t="s">
        <v>21</v>
      </c>
      <c r="L2817" t="s">
        <v>786</v>
      </c>
      <c r="N2817" t="s">
        <v>1042</v>
      </c>
      <c r="O2817" t="s">
        <v>1871</v>
      </c>
    </row>
    <row r="2818" spans="1:15" x14ac:dyDescent="0.25">
      <c r="A2818">
        <v>2817</v>
      </c>
      <c r="B2818" t="str">
        <f>HYPERLINK("https://digitalcommons.unl.edu/cgi/viewcontent.cgi?article=3213&amp;context=tractormuseumlit","Click for test report")</f>
        <v>Click for test report</v>
      </c>
      <c r="C2818">
        <v>2004</v>
      </c>
      <c r="E2818" t="s">
        <v>2783</v>
      </c>
      <c r="F2818" t="s">
        <v>1820</v>
      </c>
      <c r="G2818" t="s">
        <v>191</v>
      </c>
      <c r="H2818" t="s">
        <v>2784</v>
      </c>
      <c r="I2818" t="s">
        <v>50</v>
      </c>
      <c r="J2818" t="s">
        <v>348</v>
      </c>
      <c r="K2818" t="s">
        <v>21</v>
      </c>
      <c r="L2818" t="s">
        <v>55</v>
      </c>
      <c r="N2818" t="s">
        <v>58</v>
      </c>
      <c r="O2818" t="s">
        <v>2785</v>
      </c>
    </row>
    <row r="2819" spans="1:15" x14ac:dyDescent="0.25">
      <c r="A2819">
        <v>2818</v>
      </c>
      <c r="B2819" t="str">
        <f>HYPERLINK("https://digitalcommons.unl.edu/cgi/viewcontent.cgi?article=3213&amp;context=tractormuseumlit","Click for test report")</f>
        <v>Click for test report</v>
      </c>
      <c r="C2819">
        <v>2004</v>
      </c>
      <c r="E2819" t="s">
        <v>2783</v>
      </c>
      <c r="F2819" t="s">
        <v>1820</v>
      </c>
      <c r="G2819" t="s">
        <v>191</v>
      </c>
      <c r="H2819" t="s">
        <v>2784</v>
      </c>
      <c r="I2819" t="s">
        <v>50</v>
      </c>
      <c r="J2819" t="s">
        <v>20</v>
      </c>
      <c r="K2819" t="s">
        <v>21</v>
      </c>
      <c r="L2819" t="s">
        <v>55</v>
      </c>
      <c r="N2819" t="s">
        <v>1867</v>
      </c>
      <c r="O2819" t="s">
        <v>2785</v>
      </c>
    </row>
    <row r="2820" spans="1:15" x14ac:dyDescent="0.25">
      <c r="A2820">
        <v>2819</v>
      </c>
      <c r="B2820" t="str">
        <f>HYPERLINK("https://digitalcommons.unl.edu/cgi/viewcontent.cgi?article=3895&amp;context=tractormuseumlit","Click for test report")</f>
        <v>Click for test report</v>
      </c>
      <c r="C2820">
        <v>2004</v>
      </c>
      <c r="E2820" t="s">
        <v>2780</v>
      </c>
      <c r="F2820" t="s">
        <v>1820</v>
      </c>
      <c r="G2820" t="s">
        <v>191</v>
      </c>
      <c r="H2820" t="s">
        <v>2781</v>
      </c>
      <c r="I2820" t="s">
        <v>19</v>
      </c>
      <c r="J2820" t="s">
        <v>348</v>
      </c>
      <c r="K2820" t="s">
        <v>21</v>
      </c>
      <c r="L2820" t="s">
        <v>446</v>
      </c>
      <c r="N2820" t="s">
        <v>457</v>
      </c>
      <c r="O2820" t="s">
        <v>2782</v>
      </c>
    </row>
    <row r="2821" spans="1:15" x14ac:dyDescent="0.25">
      <c r="A2821">
        <v>2820</v>
      </c>
      <c r="B2821" t="str">
        <f>HYPERLINK("https://digitalcommons.unl.edu/cgi/viewcontent.cgi?article=3895&amp;context=tractormuseumlit","Click for test report")</f>
        <v>Click for test report</v>
      </c>
      <c r="C2821">
        <v>2004</v>
      </c>
      <c r="E2821" t="s">
        <v>2780</v>
      </c>
      <c r="F2821" t="s">
        <v>1820</v>
      </c>
      <c r="G2821" t="s">
        <v>191</v>
      </c>
      <c r="H2821" t="s">
        <v>2781</v>
      </c>
      <c r="I2821" t="s">
        <v>19</v>
      </c>
      <c r="J2821" t="s">
        <v>20</v>
      </c>
      <c r="K2821" t="s">
        <v>21</v>
      </c>
      <c r="L2821" t="s">
        <v>446</v>
      </c>
      <c r="N2821" t="s">
        <v>247</v>
      </c>
      <c r="O2821" t="s">
        <v>2782</v>
      </c>
    </row>
    <row r="2822" spans="1:15" x14ac:dyDescent="0.25">
      <c r="A2822">
        <v>2821</v>
      </c>
      <c r="B2822" t="str">
        <f>HYPERLINK("https://digitalcommons.unl.edu/cgi/viewcontent.cgi?article=3896&amp;context=tractormuseumlit","Click for test report")</f>
        <v>Click for test report</v>
      </c>
      <c r="C2822">
        <v>2004</v>
      </c>
      <c r="E2822" t="s">
        <v>2778</v>
      </c>
      <c r="F2822" t="s">
        <v>2682</v>
      </c>
      <c r="G2822" t="s">
        <v>135</v>
      </c>
      <c r="H2822" t="s">
        <v>2779</v>
      </c>
      <c r="I2822" t="s">
        <v>50</v>
      </c>
      <c r="J2822" t="s">
        <v>348</v>
      </c>
      <c r="K2822" t="s">
        <v>21</v>
      </c>
      <c r="L2822" t="s">
        <v>55</v>
      </c>
      <c r="N2822" t="s">
        <v>58</v>
      </c>
      <c r="O2822" t="s">
        <v>24</v>
      </c>
    </row>
    <row r="2823" spans="1:15" x14ac:dyDescent="0.25">
      <c r="A2823">
        <v>2822</v>
      </c>
      <c r="B2823" t="str">
        <f>HYPERLINK("https://digitalcommons.unl.edu/cgi/viewcontent.cgi?article=3896&amp;context=tractormuseumlit","Click for test report")</f>
        <v>Click for test report</v>
      </c>
      <c r="C2823">
        <v>2004</v>
      </c>
      <c r="E2823" t="s">
        <v>2778</v>
      </c>
      <c r="F2823" t="s">
        <v>2682</v>
      </c>
      <c r="G2823" t="s">
        <v>135</v>
      </c>
      <c r="H2823" t="s">
        <v>2779</v>
      </c>
      <c r="I2823" t="s">
        <v>50</v>
      </c>
      <c r="J2823" t="s">
        <v>20</v>
      </c>
      <c r="K2823" t="s">
        <v>21</v>
      </c>
      <c r="L2823" t="s">
        <v>55</v>
      </c>
      <c r="N2823" t="s">
        <v>1867</v>
      </c>
      <c r="O2823" t="s">
        <v>24</v>
      </c>
    </row>
    <row r="2824" spans="1:15" x14ac:dyDescent="0.25">
      <c r="A2824">
        <v>2823</v>
      </c>
      <c r="B2824" t="str">
        <f>HYPERLINK("https://digitalcommons.unl.edu/cgi/viewcontent.cgi?article=3897&amp;context=tractormuseumlit","Click for test report")</f>
        <v>Click for test report</v>
      </c>
      <c r="C2824">
        <v>2004</v>
      </c>
      <c r="E2824" t="s">
        <v>2776</v>
      </c>
      <c r="F2824" t="s">
        <v>2682</v>
      </c>
      <c r="G2824" t="s">
        <v>135</v>
      </c>
      <c r="H2824" t="s">
        <v>2777</v>
      </c>
      <c r="I2824" t="s">
        <v>1961</v>
      </c>
      <c r="J2824" t="s">
        <v>20</v>
      </c>
      <c r="K2824" t="s">
        <v>21</v>
      </c>
      <c r="L2824" t="s">
        <v>51</v>
      </c>
      <c r="N2824" t="s">
        <v>716</v>
      </c>
      <c r="O2824" t="s">
        <v>24</v>
      </c>
    </row>
    <row r="2825" spans="1:15" x14ac:dyDescent="0.25">
      <c r="A2825">
        <v>2824</v>
      </c>
      <c r="B2825" t="str">
        <f>HYPERLINK("https://digitalcommons.unl.edu/cgi/viewcontent.cgi?article=3897&amp;context=tractormuseumlit","Click for test report")</f>
        <v>Click for test report</v>
      </c>
      <c r="C2825">
        <v>2004</v>
      </c>
      <c r="E2825" t="s">
        <v>2776</v>
      </c>
      <c r="F2825" t="s">
        <v>2682</v>
      </c>
      <c r="G2825" t="s">
        <v>135</v>
      </c>
      <c r="H2825" t="s">
        <v>2777</v>
      </c>
      <c r="I2825" t="s">
        <v>1961</v>
      </c>
      <c r="J2825" t="s">
        <v>348</v>
      </c>
      <c r="K2825" t="s">
        <v>21</v>
      </c>
      <c r="L2825" t="s">
        <v>51</v>
      </c>
      <c r="N2825" t="s">
        <v>343</v>
      </c>
      <c r="O2825" t="s">
        <v>24</v>
      </c>
    </row>
    <row r="2826" spans="1:15" x14ac:dyDescent="0.25">
      <c r="A2826">
        <v>2825</v>
      </c>
      <c r="B2826" t="str">
        <f>HYPERLINK("https://digitalcommons.unl.edu/cgi/viewcontent.cgi?article=3898&amp;context=tractormuseumlit","Click for test report")</f>
        <v>Click for test report</v>
      </c>
      <c r="C2826">
        <v>2004</v>
      </c>
      <c r="E2826" t="s">
        <v>2774</v>
      </c>
      <c r="F2826" t="s">
        <v>2682</v>
      </c>
      <c r="G2826" t="s">
        <v>135</v>
      </c>
      <c r="H2826" t="s">
        <v>2775</v>
      </c>
      <c r="I2826" t="s">
        <v>19</v>
      </c>
      <c r="J2826" t="s">
        <v>20</v>
      </c>
      <c r="K2826" t="s">
        <v>21</v>
      </c>
      <c r="L2826" t="s">
        <v>446</v>
      </c>
      <c r="N2826" t="s">
        <v>247</v>
      </c>
      <c r="O2826" t="s">
        <v>24</v>
      </c>
    </row>
    <row r="2827" spans="1:15" x14ac:dyDescent="0.25">
      <c r="A2827">
        <v>2826</v>
      </c>
      <c r="B2827" t="str">
        <f>HYPERLINK("https://digitalcommons.unl.edu/cgi/viewcontent.cgi?article=3898&amp;context=tractormuseumlit","Click for test report")</f>
        <v>Click for test report</v>
      </c>
      <c r="C2827">
        <v>2004</v>
      </c>
      <c r="E2827" t="s">
        <v>2774</v>
      </c>
      <c r="F2827" t="s">
        <v>2682</v>
      </c>
      <c r="G2827" t="s">
        <v>135</v>
      </c>
      <c r="H2827" t="s">
        <v>2775</v>
      </c>
      <c r="I2827" t="s">
        <v>19</v>
      </c>
      <c r="J2827" t="s">
        <v>348</v>
      </c>
      <c r="K2827" t="s">
        <v>21</v>
      </c>
      <c r="L2827" t="s">
        <v>446</v>
      </c>
      <c r="N2827" t="s">
        <v>457</v>
      </c>
      <c r="O2827" t="s">
        <v>24</v>
      </c>
    </row>
    <row r="2828" spans="1:15" x14ac:dyDescent="0.25">
      <c r="A2828">
        <v>2827</v>
      </c>
      <c r="B2828" t="str">
        <f>HYPERLINK("https://digitalcommons.unl.edu/cgi/viewcontent.cgi?article=3902&amp;context=tractormuseumlit","Click for test report")</f>
        <v>Click for test report</v>
      </c>
      <c r="C2828">
        <v>2004</v>
      </c>
      <c r="E2828" t="s">
        <v>2773</v>
      </c>
      <c r="F2828" t="s">
        <v>1136</v>
      </c>
      <c r="G2828" t="s">
        <v>414</v>
      </c>
      <c r="H2828" t="s">
        <v>2429</v>
      </c>
      <c r="I2828" t="s">
        <v>19</v>
      </c>
      <c r="J2828" t="s">
        <v>348</v>
      </c>
      <c r="K2828" t="s">
        <v>21</v>
      </c>
      <c r="L2828" t="s">
        <v>52</v>
      </c>
      <c r="N2828" t="s">
        <v>1970</v>
      </c>
      <c r="O2828" t="s">
        <v>2430</v>
      </c>
    </row>
    <row r="2829" spans="1:15" x14ac:dyDescent="0.25">
      <c r="A2829">
        <v>2828</v>
      </c>
      <c r="B2829" t="str">
        <f>HYPERLINK("https://digitalcommons.unl.edu/cgi/viewcontent.cgi?article=3902&amp;context=tractormuseumlit","Click for test report")</f>
        <v>Click for test report</v>
      </c>
      <c r="C2829">
        <v>2004</v>
      </c>
      <c r="E2829" t="s">
        <v>2773</v>
      </c>
      <c r="F2829" t="s">
        <v>1136</v>
      </c>
      <c r="G2829" t="s">
        <v>414</v>
      </c>
      <c r="H2829" t="s">
        <v>2429</v>
      </c>
      <c r="I2829" t="s">
        <v>19</v>
      </c>
      <c r="J2829" t="s">
        <v>20</v>
      </c>
      <c r="K2829" t="s">
        <v>21</v>
      </c>
      <c r="L2829" t="s">
        <v>52</v>
      </c>
      <c r="N2829" t="s">
        <v>1051</v>
      </c>
      <c r="O2829" t="s">
        <v>2430</v>
      </c>
    </row>
    <row r="2830" spans="1:15" x14ac:dyDescent="0.25">
      <c r="A2830">
        <v>2829</v>
      </c>
      <c r="B2830" t="str">
        <f>HYPERLINK("https://digitalcommons.unl.edu/cgi/viewcontent.cgi?article=3903&amp;context=tractormuseumlit","Click for test report")</f>
        <v>Click for test report</v>
      </c>
      <c r="C2830">
        <v>2004</v>
      </c>
      <c r="E2830" t="s">
        <v>2772</v>
      </c>
      <c r="F2830" t="s">
        <v>1136</v>
      </c>
      <c r="G2830" t="s">
        <v>414</v>
      </c>
      <c r="H2830" t="s">
        <v>2429</v>
      </c>
      <c r="I2830" t="s">
        <v>64</v>
      </c>
      <c r="J2830" t="s">
        <v>20</v>
      </c>
      <c r="K2830" t="s">
        <v>21</v>
      </c>
      <c r="L2830" t="s">
        <v>52</v>
      </c>
      <c r="N2830" t="s">
        <v>574</v>
      </c>
      <c r="O2830" t="s">
        <v>2462</v>
      </c>
    </row>
    <row r="2831" spans="1:15" x14ac:dyDescent="0.25">
      <c r="A2831">
        <v>2830</v>
      </c>
      <c r="B2831" t="str">
        <f>HYPERLINK("https://digitalcommons.unl.edu/cgi/viewcontent.cgi?article=3904&amp;context=tractormuseumlit","Click for test report")</f>
        <v>Click for test report</v>
      </c>
      <c r="C2831">
        <v>2004</v>
      </c>
      <c r="E2831" t="s">
        <v>2771</v>
      </c>
      <c r="F2831" t="s">
        <v>1136</v>
      </c>
      <c r="G2831" t="s">
        <v>414</v>
      </c>
      <c r="H2831" t="s">
        <v>2069</v>
      </c>
      <c r="I2831" t="s">
        <v>19</v>
      </c>
      <c r="J2831" t="s">
        <v>348</v>
      </c>
      <c r="K2831" t="s">
        <v>21</v>
      </c>
      <c r="L2831" t="s">
        <v>130</v>
      </c>
      <c r="N2831" t="s">
        <v>746</v>
      </c>
      <c r="O2831" t="s">
        <v>24</v>
      </c>
    </row>
    <row r="2832" spans="1:15" x14ac:dyDescent="0.25">
      <c r="A2832">
        <v>2831</v>
      </c>
      <c r="B2832" t="str">
        <f>HYPERLINK("https://digitalcommons.unl.edu/cgi/viewcontent.cgi?article=3904&amp;context=tractormuseumlit","Click for test report")</f>
        <v>Click for test report</v>
      </c>
      <c r="C2832">
        <v>2004</v>
      </c>
      <c r="E2832" t="s">
        <v>2771</v>
      </c>
      <c r="F2832" t="s">
        <v>1136</v>
      </c>
      <c r="G2832" t="s">
        <v>414</v>
      </c>
      <c r="H2832" t="s">
        <v>2069</v>
      </c>
      <c r="I2832" t="s">
        <v>19</v>
      </c>
      <c r="J2832" t="s">
        <v>20</v>
      </c>
      <c r="K2832" t="s">
        <v>21</v>
      </c>
      <c r="L2832" t="s">
        <v>130</v>
      </c>
      <c r="N2832" t="s">
        <v>746</v>
      </c>
      <c r="O2832" t="s">
        <v>24</v>
      </c>
    </row>
    <row r="2833" spans="1:15" x14ac:dyDescent="0.25">
      <c r="A2833">
        <v>2832</v>
      </c>
      <c r="B2833" t="str">
        <f>HYPERLINK("https://digitalcommons.unl.edu/cgi/viewcontent.cgi?article=3905&amp;context=tractormuseumlit","Click for test report")</f>
        <v>Click for test report</v>
      </c>
      <c r="C2833">
        <v>2004</v>
      </c>
      <c r="E2833" t="s">
        <v>2770</v>
      </c>
      <c r="F2833" t="s">
        <v>1136</v>
      </c>
      <c r="G2833" t="s">
        <v>414</v>
      </c>
      <c r="H2833" t="s">
        <v>2069</v>
      </c>
      <c r="I2833" t="s">
        <v>64</v>
      </c>
      <c r="J2833" t="s">
        <v>20</v>
      </c>
      <c r="K2833" t="s">
        <v>21</v>
      </c>
      <c r="L2833" t="s">
        <v>677</v>
      </c>
      <c r="N2833" t="s">
        <v>461</v>
      </c>
      <c r="O2833" t="s">
        <v>1871</v>
      </c>
    </row>
    <row r="2834" spans="1:15" x14ac:dyDescent="0.25">
      <c r="A2834">
        <v>2833</v>
      </c>
      <c r="B2834" t="str">
        <f>HYPERLINK("https://digitalcommons.unl.edu/cgi/viewcontent.cgi?article=3906&amp;context=tractormuseumlit","Click for test report")</f>
        <v>Click for test report</v>
      </c>
      <c r="C2834">
        <v>2004</v>
      </c>
      <c r="E2834" t="s">
        <v>2769</v>
      </c>
      <c r="F2834" t="s">
        <v>1136</v>
      </c>
      <c r="G2834" t="s">
        <v>414</v>
      </c>
      <c r="H2834" t="s">
        <v>2066</v>
      </c>
      <c r="I2834" t="s">
        <v>19</v>
      </c>
      <c r="J2834" t="s">
        <v>20</v>
      </c>
      <c r="K2834" t="s">
        <v>21</v>
      </c>
      <c r="L2834" t="s">
        <v>336</v>
      </c>
      <c r="N2834" t="s">
        <v>46</v>
      </c>
      <c r="O2834" t="s">
        <v>24</v>
      </c>
    </row>
    <row r="2835" spans="1:15" x14ac:dyDescent="0.25">
      <c r="A2835">
        <v>2834</v>
      </c>
      <c r="B2835" t="str">
        <f>HYPERLINK("https://digitalcommons.unl.edu/cgi/viewcontent.cgi?article=3906&amp;context=tractormuseumlit","Click for test report")</f>
        <v>Click for test report</v>
      </c>
      <c r="C2835">
        <v>2004</v>
      </c>
      <c r="E2835" t="s">
        <v>2769</v>
      </c>
      <c r="F2835" t="s">
        <v>1136</v>
      </c>
      <c r="G2835" t="s">
        <v>414</v>
      </c>
      <c r="H2835" t="s">
        <v>2066</v>
      </c>
      <c r="I2835" t="s">
        <v>19</v>
      </c>
      <c r="J2835" t="s">
        <v>348</v>
      </c>
      <c r="K2835" t="s">
        <v>21</v>
      </c>
      <c r="L2835" t="s">
        <v>336</v>
      </c>
      <c r="N2835" t="s">
        <v>123</v>
      </c>
      <c r="O2835" t="s">
        <v>24</v>
      </c>
    </row>
    <row r="2836" spans="1:15" x14ac:dyDescent="0.25">
      <c r="A2836">
        <v>2835</v>
      </c>
      <c r="B2836" t="str">
        <f>HYPERLINK("https://digitalcommons.unl.edu/cgi/viewcontent.cgi?article=3907&amp;context=tractormuseumlit","Click for test report")</f>
        <v>Click for test report</v>
      </c>
      <c r="C2836">
        <v>2004</v>
      </c>
      <c r="E2836" t="s">
        <v>2768</v>
      </c>
      <c r="F2836" t="s">
        <v>1136</v>
      </c>
      <c r="G2836" t="s">
        <v>414</v>
      </c>
      <c r="H2836" t="s">
        <v>2066</v>
      </c>
      <c r="I2836" t="s">
        <v>64</v>
      </c>
      <c r="J2836" t="s">
        <v>20</v>
      </c>
      <c r="K2836" t="s">
        <v>21</v>
      </c>
      <c r="L2836" t="s">
        <v>122</v>
      </c>
      <c r="N2836" t="s">
        <v>46</v>
      </c>
      <c r="O2836" t="s">
        <v>1871</v>
      </c>
    </row>
    <row r="2837" spans="1:15" x14ac:dyDescent="0.25">
      <c r="A2837">
        <v>2836</v>
      </c>
      <c r="B2837" t="str">
        <f>HYPERLINK("https://digitalcommons.unl.edu/cgi/viewcontent.cgi?article=3214&amp;context=tractormuseumlit","Click for test report")</f>
        <v>Click for test report</v>
      </c>
      <c r="C2837">
        <v>2004</v>
      </c>
      <c r="E2837" t="s">
        <v>2767</v>
      </c>
      <c r="F2837" t="s">
        <v>2062</v>
      </c>
      <c r="G2837" t="s">
        <v>778</v>
      </c>
      <c r="H2837" t="s">
        <v>2059</v>
      </c>
      <c r="I2837" t="s">
        <v>1961</v>
      </c>
      <c r="J2837" t="s">
        <v>20</v>
      </c>
      <c r="K2837" t="s">
        <v>21</v>
      </c>
      <c r="L2837" t="s">
        <v>1347</v>
      </c>
      <c r="N2837" t="s">
        <v>1051</v>
      </c>
      <c r="O2837" t="s">
        <v>24</v>
      </c>
    </row>
    <row r="2838" spans="1:15" x14ac:dyDescent="0.25">
      <c r="A2838">
        <v>2837</v>
      </c>
      <c r="B2838" t="str">
        <f>HYPERLINK("https://digitalcommons.unl.edu/cgi/viewcontent.cgi?article=3214&amp;context=tractormuseumlit","Click for test report")</f>
        <v>Click for test report</v>
      </c>
      <c r="C2838">
        <v>2004</v>
      </c>
      <c r="E2838" t="s">
        <v>2767</v>
      </c>
      <c r="F2838" t="s">
        <v>2062</v>
      </c>
      <c r="G2838" t="s">
        <v>778</v>
      </c>
      <c r="H2838" t="s">
        <v>2059</v>
      </c>
      <c r="I2838" t="s">
        <v>1961</v>
      </c>
      <c r="J2838" t="s">
        <v>348</v>
      </c>
      <c r="K2838" t="s">
        <v>21</v>
      </c>
      <c r="L2838" t="s">
        <v>1347</v>
      </c>
      <c r="N2838" t="s">
        <v>1970</v>
      </c>
      <c r="O2838" t="s">
        <v>24</v>
      </c>
    </row>
    <row r="2839" spans="1:15" x14ac:dyDescent="0.25">
      <c r="A2839">
        <v>2838</v>
      </c>
      <c r="B2839" t="str">
        <f>HYPERLINK("https://digitalcommons.unl.edu/cgi/viewcontent.cgi?article=3215&amp;context=tractormuseumlit","Click for test report")</f>
        <v>Click for test report</v>
      </c>
      <c r="C2839">
        <v>2004</v>
      </c>
      <c r="E2839" t="s">
        <v>2766</v>
      </c>
      <c r="F2839" t="s">
        <v>2062</v>
      </c>
      <c r="G2839" t="s">
        <v>778</v>
      </c>
      <c r="H2839" t="s">
        <v>2056</v>
      </c>
      <c r="I2839" t="s">
        <v>1961</v>
      </c>
      <c r="J2839" t="s">
        <v>20</v>
      </c>
      <c r="K2839" t="s">
        <v>21</v>
      </c>
      <c r="L2839" t="s">
        <v>344</v>
      </c>
      <c r="N2839" t="s">
        <v>747</v>
      </c>
      <c r="O2839" t="s">
        <v>24</v>
      </c>
    </row>
    <row r="2840" spans="1:15" x14ac:dyDescent="0.25">
      <c r="A2840">
        <v>2839</v>
      </c>
      <c r="B2840" t="str">
        <f>HYPERLINK("https://digitalcommons.unl.edu/cgi/viewcontent.cgi?article=3215&amp;context=tractormuseumlit","Click for test report")</f>
        <v>Click for test report</v>
      </c>
      <c r="C2840">
        <v>2004</v>
      </c>
      <c r="E2840" t="s">
        <v>2766</v>
      </c>
      <c r="F2840" t="s">
        <v>2062</v>
      </c>
      <c r="G2840" t="s">
        <v>778</v>
      </c>
      <c r="H2840" t="s">
        <v>2056</v>
      </c>
      <c r="I2840" t="s">
        <v>1961</v>
      </c>
      <c r="J2840" t="s">
        <v>348</v>
      </c>
      <c r="K2840" t="s">
        <v>21</v>
      </c>
      <c r="L2840" t="s">
        <v>344</v>
      </c>
      <c r="N2840" t="s">
        <v>1350</v>
      </c>
      <c r="O2840" t="s">
        <v>24</v>
      </c>
    </row>
    <row r="2841" spans="1:15" x14ac:dyDescent="0.25">
      <c r="A2841">
        <v>2840</v>
      </c>
      <c r="B2841" t="str">
        <f>HYPERLINK("https://digitalcommons.unl.edu/cgi/viewcontent.cgi?article=3216&amp;context=tractormuseumlit","Click for test report")</f>
        <v>Click for test report</v>
      </c>
      <c r="C2841">
        <v>2004</v>
      </c>
      <c r="E2841" t="s">
        <v>2765</v>
      </c>
      <c r="F2841" t="s">
        <v>2062</v>
      </c>
      <c r="G2841" t="s">
        <v>778</v>
      </c>
      <c r="H2841" t="s">
        <v>2053</v>
      </c>
      <c r="I2841" t="s">
        <v>1961</v>
      </c>
      <c r="J2841" t="s">
        <v>348</v>
      </c>
      <c r="K2841" t="s">
        <v>21</v>
      </c>
      <c r="L2841" t="s">
        <v>562</v>
      </c>
      <c r="N2841" t="s">
        <v>378</v>
      </c>
      <c r="O2841" t="s">
        <v>24</v>
      </c>
    </row>
    <row r="2842" spans="1:15" x14ac:dyDescent="0.25">
      <c r="A2842">
        <v>2841</v>
      </c>
      <c r="B2842" t="str">
        <f>HYPERLINK("https://digitalcommons.unl.edu/cgi/viewcontent.cgi?article=3216&amp;context=tractormuseumlit","Click for test report")</f>
        <v>Click for test report</v>
      </c>
      <c r="C2842">
        <v>2004</v>
      </c>
      <c r="E2842" t="s">
        <v>2765</v>
      </c>
      <c r="F2842" t="s">
        <v>2062</v>
      </c>
      <c r="G2842" t="s">
        <v>778</v>
      </c>
      <c r="H2842" t="s">
        <v>2053</v>
      </c>
      <c r="I2842" t="s">
        <v>1961</v>
      </c>
      <c r="J2842" t="s">
        <v>20</v>
      </c>
      <c r="K2842" t="s">
        <v>21</v>
      </c>
      <c r="L2842" t="s">
        <v>562</v>
      </c>
      <c r="N2842" t="s">
        <v>743</v>
      </c>
      <c r="O2842" t="s">
        <v>24</v>
      </c>
    </row>
    <row r="2843" spans="1:15" x14ac:dyDescent="0.25">
      <c r="A2843">
        <v>2842</v>
      </c>
      <c r="B2843" t="str">
        <f>HYPERLINK("https://digitalcommons.unl.edu/cgi/viewcontent.cgi?article=3908&amp;context=tractormuseumlit","Click for test report")</f>
        <v>Click for test report</v>
      </c>
      <c r="C2843">
        <v>2004</v>
      </c>
      <c r="E2843" t="s">
        <v>2763</v>
      </c>
      <c r="F2843" t="s">
        <v>1136</v>
      </c>
      <c r="G2843" t="s">
        <v>414</v>
      </c>
      <c r="H2843" t="s">
        <v>2041</v>
      </c>
      <c r="I2843" t="s">
        <v>1961</v>
      </c>
      <c r="J2843" t="s">
        <v>348</v>
      </c>
      <c r="K2843" t="s">
        <v>21</v>
      </c>
      <c r="L2843" t="s">
        <v>1347</v>
      </c>
      <c r="N2843" t="s">
        <v>1970</v>
      </c>
      <c r="O2843" t="s">
        <v>2764</v>
      </c>
    </row>
    <row r="2844" spans="1:15" x14ac:dyDescent="0.25">
      <c r="A2844">
        <v>2843</v>
      </c>
      <c r="B2844" t="str">
        <f>HYPERLINK("https://digitalcommons.unl.edu/cgi/viewcontent.cgi?article=3908&amp;context=tractormuseumlit","Click for test report")</f>
        <v>Click for test report</v>
      </c>
      <c r="C2844">
        <v>2004</v>
      </c>
      <c r="E2844" t="s">
        <v>2763</v>
      </c>
      <c r="F2844" t="s">
        <v>1136</v>
      </c>
      <c r="G2844" t="s">
        <v>414</v>
      </c>
      <c r="H2844" t="s">
        <v>2041</v>
      </c>
      <c r="I2844" t="s">
        <v>1961</v>
      </c>
      <c r="J2844" t="s">
        <v>20</v>
      </c>
      <c r="K2844" t="s">
        <v>21</v>
      </c>
      <c r="L2844" t="s">
        <v>1347</v>
      </c>
      <c r="N2844" t="s">
        <v>1051</v>
      </c>
      <c r="O2844" t="s">
        <v>2764</v>
      </c>
    </row>
    <row r="2845" spans="1:15" x14ac:dyDescent="0.25">
      <c r="A2845">
        <v>2844</v>
      </c>
      <c r="B2845" t="str">
        <f>HYPERLINK("https://digitalcommons.unl.edu/cgi/viewcontent.cgi?article=3909&amp;context=tractormuseumlit","Click for test report")</f>
        <v>Click for test report</v>
      </c>
      <c r="C2845">
        <v>2004</v>
      </c>
      <c r="E2845" t="s">
        <v>2761</v>
      </c>
      <c r="F2845" t="s">
        <v>1136</v>
      </c>
      <c r="G2845" t="s">
        <v>414</v>
      </c>
      <c r="H2845" t="s">
        <v>2038</v>
      </c>
      <c r="I2845" t="s">
        <v>1961</v>
      </c>
      <c r="J2845" t="s">
        <v>348</v>
      </c>
      <c r="K2845" t="s">
        <v>21</v>
      </c>
      <c r="L2845" t="s">
        <v>344</v>
      </c>
      <c r="N2845" t="s">
        <v>1350</v>
      </c>
      <c r="O2845" t="s">
        <v>2762</v>
      </c>
    </row>
    <row r="2846" spans="1:15" x14ac:dyDescent="0.25">
      <c r="A2846">
        <v>2845</v>
      </c>
      <c r="B2846" t="str">
        <f>HYPERLINK("https://digitalcommons.unl.edu/cgi/viewcontent.cgi?article=3909&amp;context=tractormuseumlit","Click for test report")</f>
        <v>Click for test report</v>
      </c>
      <c r="C2846">
        <v>2004</v>
      </c>
      <c r="E2846" t="s">
        <v>2761</v>
      </c>
      <c r="F2846" t="s">
        <v>1136</v>
      </c>
      <c r="G2846" t="s">
        <v>414</v>
      </c>
      <c r="H2846" t="s">
        <v>2038</v>
      </c>
      <c r="I2846" t="s">
        <v>1961</v>
      </c>
      <c r="J2846" t="s">
        <v>20</v>
      </c>
      <c r="K2846" t="s">
        <v>21</v>
      </c>
      <c r="L2846" t="s">
        <v>344</v>
      </c>
      <c r="N2846" t="s">
        <v>747</v>
      </c>
      <c r="O2846" t="s">
        <v>2762</v>
      </c>
    </row>
    <row r="2847" spans="1:15" x14ac:dyDescent="0.25">
      <c r="A2847">
        <v>2846</v>
      </c>
      <c r="B2847" t="str">
        <f>HYPERLINK("https://digitalcommons.unl.edu/cgi/viewcontent.cgi?article=3910&amp;context=tractormuseumlit","Click for test report")</f>
        <v>Click for test report</v>
      </c>
      <c r="C2847">
        <v>2004</v>
      </c>
      <c r="E2847" t="s">
        <v>2759</v>
      </c>
      <c r="F2847" t="s">
        <v>1136</v>
      </c>
      <c r="G2847" t="s">
        <v>414</v>
      </c>
      <c r="H2847" t="s">
        <v>2035</v>
      </c>
      <c r="I2847" t="s">
        <v>1961</v>
      </c>
      <c r="J2847" t="s">
        <v>20</v>
      </c>
      <c r="K2847" t="s">
        <v>21</v>
      </c>
      <c r="L2847" t="s">
        <v>562</v>
      </c>
      <c r="N2847" t="s">
        <v>743</v>
      </c>
      <c r="O2847" t="s">
        <v>2760</v>
      </c>
    </row>
    <row r="2848" spans="1:15" x14ac:dyDescent="0.25">
      <c r="A2848">
        <v>2847</v>
      </c>
      <c r="B2848" t="str">
        <f>HYPERLINK("https://digitalcommons.unl.edu/cgi/viewcontent.cgi?article=3910&amp;context=tractormuseumlit","Click for test report")</f>
        <v>Click for test report</v>
      </c>
      <c r="C2848">
        <v>2004</v>
      </c>
      <c r="E2848" t="s">
        <v>2759</v>
      </c>
      <c r="F2848" t="s">
        <v>1136</v>
      </c>
      <c r="G2848" t="s">
        <v>414</v>
      </c>
      <c r="H2848" t="s">
        <v>2035</v>
      </c>
      <c r="I2848" t="s">
        <v>1961</v>
      </c>
      <c r="J2848" t="s">
        <v>348</v>
      </c>
      <c r="K2848" t="s">
        <v>21</v>
      </c>
      <c r="L2848" t="s">
        <v>562</v>
      </c>
      <c r="N2848" t="s">
        <v>378</v>
      </c>
      <c r="O2848" t="s">
        <v>2760</v>
      </c>
    </row>
    <row r="2849" spans="1:15" x14ac:dyDescent="0.25">
      <c r="A2849">
        <v>2848</v>
      </c>
      <c r="B2849" t="str">
        <f>HYPERLINK("https://digitalcommons.unl.edu/cgi/viewcontent.cgi?article=1163&amp;context=tractormuseumlit","Click for test report")</f>
        <v>Click for test report</v>
      </c>
      <c r="C2849">
        <v>2004</v>
      </c>
      <c r="E2849" t="s">
        <v>2758</v>
      </c>
      <c r="F2849" t="s">
        <v>1136</v>
      </c>
      <c r="G2849" t="s">
        <v>111</v>
      </c>
      <c r="H2849" t="s">
        <v>2465</v>
      </c>
      <c r="I2849" t="s">
        <v>19</v>
      </c>
      <c r="J2849" t="s">
        <v>20</v>
      </c>
      <c r="K2849" t="s">
        <v>21</v>
      </c>
      <c r="L2849" t="s">
        <v>474</v>
      </c>
      <c r="N2849" t="s">
        <v>794</v>
      </c>
      <c r="O2849" t="s">
        <v>2468</v>
      </c>
    </row>
    <row r="2850" spans="1:15" x14ac:dyDescent="0.25">
      <c r="A2850">
        <v>2849</v>
      </c>
      <c r="B2850" t="str">
        <f>HYPERLINK("https://digitalcommons.unl.edu/cgi/viewcontent.cgi?article=1167&amp;context=tractormuseumlit","Click for test report")</f>
        <v>Click for test report</v>
      </c>
      <c r="C2850">
        <v>2004</v>
      </c>
      <c r="E2850" t="s">
        <v>2757</v>
      </c>
      <c r="F2850" t="s">
        <v>1136</v>
      </c>
      <c r="G2850" t="s">
        <v>111</v>
      </c>
      <c r="H2850" t="s">
        <v>2079</v>
      </c>
      <c r="I2850" t="s">
        <v>19</v>
      </c>
      <c r="J2850" t="s">
        <v>20</v>
      </c>
      <c r="K2850" t="s">
        <v>21</v>
      </c>
      <c r="L2850" t="s">
        <v>818</v>
      </c>
      <c r="N2850" t="s">
        <v>1514</v>
      </c>
      <c r="O2850" t="s">
        <v>2080</v>
      </c>
    </row>
    <row r="2851" spans="1:15" x14ac:dyDescent="0.25">
      <c r="A2851">
        <v>2850</v>
      </c>
      <c r="B2851" t="str">
        <f>HYPERLINK("https://digitalcommons.unl.edu/cgi/viewcontent.cgi?article=1168&amp;context=tractormuseumlit","Click for test report")</f>
        <v>Click for test report</v>
      </c>
      <c r="C2851">
        <v>2004</v>
      </c>
      <c r="E2851" t="s">
        <v>2756</v>
      </c>
      <c r="F2851" t="s">
        <v>1136</v>
      </c>
      <c r="G2851" t="s">
        <v>111</v>
      </c>
      <c r="H2851" t="s">
        <v>2079</v>
      </c>
      <c r="I2851" t="s">
        <v>64</v>
      </c>
      <c r="J2851" t="s">
        <v>20</v>
      </c>
      <c r="K2851" t="s">
        <v>21</v>
      </c>
      <c r="L2851" t="s">
        <v>402</v>
      </c>
      <c r="N2851" t="s">
        <v>363</v>
      </c>
      <c r="O2851" t="s">
        <v>1871</v>
      </c>
    </row>
    <row r="2852" spans="1:15" x14ac:dyDescent="0.25">
      <c r="A2852">
        <v>2851</v>
      </c>
      <c r="B2852" t="str">
        <f>HYPERLINK("https://digitalcommons.unl.edu/cgi/viewcontent.cgi?article=3913&amp;context=tractormuseumlit","Click for test report")</f>
        <v>Click for test report</v>
      </c>
      <c r="C2852">
        <v>2004</v>
      </c>
      <c r="E2852" t="s">
        <v>2754</v>
      </c>
      <c r="F2852" t="s">
        <v>2232</v>
      </c>
      <c r="G2852" t="s">
        <v>135</v>
      </c>
      <c r="H2852" t="s">
        <v>2755</v>
      </c>
      <c r="I2852" t="s">
        <v>50</v>
      </c>
      <c r="J2852" t="s">
        <v>20</v>
      </c>
      <c r="K2852" t="s">
        <v>21</v>
      </c>
      <c r="L2852" t="s">
        <v>764</v>
      </c>
      <c r="N2852" t="s">
        <v>731</v>
      </c>
      <c r="O2852" t="s">
        <v>24</v>
      </c>
    </row>
    <row r="2853" spans="1:15" x14ac:dyDescent="0.25">
      <c r="A2853">
        <v>2852</v>
      </c>
      <c r="B2853" t="str">
        <f>HYPERLINK("https://digitalcommons.unl.edu/cgi/viewcontent.cgi?article=3913&amp;context=tractormuseumlit","Click for test report")</f>
        <v>Click for test report</v>
      </c>
      <c r="C2853">
        <v>2004</v>
      </c>
      <c r="E2853" t="s">
        <v>2754</v>
      </c>
      <c r="F2853" t="s">
        <v>2232</v>
      </c>
      <c r="G2853" t="s">
        <v>135</v>
      </c>
      <c r="H2853" t="s">
        <v>2755</v>
      </c>
      <c r="I2853" t="s">
        <v>50</v>
      </c>
      <c r="J2853" t="s">
        <v>348</v>
      </c>
      <c r="K2853" t="s">
        <v>21</v>
      </c>
      <c r="L2853" t="s">
        <v>764</v>
      </c>
      <c r="N2853" t="s">
        <v>1970</v>
      </c>
      <c r="O2853" t="s">
        <v>24</v>
      </c>
    </row>
    <row r="2854" spans="1:15" x14ac:dyDescent="0.25">
      <c r="A2854">
        <v>2853</v>
      </c>
      <c r="B2854" t="str">
        <f>HYPERLINK("https://digitalcommons.unl.edu/cgi/viewcontent.cgi?article=3914&amp;context=tractormuseumlit","Click for test report")</f>
        <v>Click for test report</v>
      </c>
      <c r="C2854">
        <v>2004</v>
      </c>
      <c r="E2854" t="s">
        <v>2752</v>
      </c>
      <c r="F2854" t="s">
        <v>2232</v>
      </c>
      <c r="G2854" t="s">
        <v>135</v>
      </c>
      <c r="H2854" t="s">
        <v>2753</v>
      </c>
      <c r="I2854" t="s">
        <v>50</v>
      </c>
      <c r="J2854" t="s">
        <v>348</v>
      </c>
      <c r="K2854" t="s">
        <v>21</v>
      </c>
      <c r="L2854" t="s">
        <v>565</v>
      </c>
      <c r="N2854" t="s">
        <v>1864</v>
      </c>
      <c r="O2854" t="s">
        <v>24</v>
      </c>
    </row>
    <row r="2855" spans="1:15" x14ac:dyDescent="0.25">
      <c r="A2855">
        <v>2854</v>
      </c>
      <c r="B2855" t="str">
        <f>HYPERLINK("https://digitalcommons.unl.edu/cgi/viewcontent.cgi?article=3914&amp;context=tractormuseumlit","Click for test report")</f>
        <v>Click for test report</v>
      </c>
      <c r="C2855">
        <v>2004</v>
      </c>
      <c r="E2855" t="s">
        <v>2752</v>
      </c>
      <c r="F2855" t="s">
        <v>2232</v>
      </c>
      <c r="G2855" t="s">
        <v>135</v>
      </c>
      <c r="H2855" t="s">
        <v>2753</v>
      </c>
      <c r="I2855" t="s">
        <v>50</v>
      </c>
      <c r="J2855" t="s">
        <v>20</v>
      </c>
      <c r="K2855" t="s">
        <v>21</v>
      </c>
      <c r="L2855" t="s">
        <v>565</v>
      </c>
      <c r="N2855" t="s">
        <v>1864</v>
      </c>
      <c r="O2855" t="s">
        <v>24</v>
      </c>
    </row>
    <row r="2856" spans="1:15" x14ac:dyDescent="0.25">
      <c r="A2856">
        <v>2855</v>
      </c>
      <c r="B2856" t="str">
        <f>HYPERLINK("https://digitalcommons.unl.edu/cgi/viewcontent.cgi?article=3915&amp;context=tractormuseumlit","Click for test report")</f>
        <v>Click for test report</v>
      </c>
      <c r="C2856">
        <v>2004</v>
      </c>
      <c r="E2856" t="s">
        <v>2750</v>
      </c>
      <c r="F2856" t="s">
        <v>2232</v>
      </c>
      <c r="G2856" t="s">
        <v>135</v>
      </c>
      <c r="H2856" t="s">
        <v>2751</v>
      </c>
      <c r="I2856" t="s">
        <v>50</v>
      </c>
      <c r="J2856" t="s">
        <v>348</v>
      </c>
      <c r="K2856" t="s">
        <v>21</v>
      </c>
      <c r="L2856" t="s">
        <v>340</v>
      </c>
      <c r="N2856" t="s">
        <v>1347</v>
      </c>
      <c r="O2856" t="s">
        <v>24</v>
      </c>
    </row>
    <row r="2857" spans="1:15" x14ac:dyDescent="0.25">
      <c r="A2857">
        <v>2856</v>
      </c>
      <c r="B2857" t="str">
        <f>HYPERLINK("https://digitalcommons.unl.edu/cgi/viewcontent.cgi?article=3915&amp;context=tractormuseumlit","Click for test report")</f>
        <v>Click for test report</v>
      </c>
      <c r="C2857">
        <v>2004</v>
      </c>
      <c r="E2857" t="s">
        <v>2750</v>
      </c>
      <c r="F2857" t="s">
        <v>2232</v>
      </c>
      <c r="G2857" t="s">
        <v>135</v>
      </c>
      <c r="H2857" t="s">
        <v>2751</v>
      </c>
      <c r="I2857" t="s">
        <v>50</v>
      </c>
      <c r="J2857" t="s">
        <v>20</v>
      </c>
      <c r="K2857" t="s">
        <v>21</v>
      </c>
      <c r="L2857" t="s">
        <v>340</v>
      </c>
      <c r="N2857" t="s">
        <v>1347</v>
      </c>
      <c r="O2857" t="s">
        <v>24</v>
      </c>
    </row>
    <row r="2858" spans="1:15" x14ac:dyDescent="0.25">
      <c r="A2858">
        <v>2857</v>
      </c>
      <c r="B2858" t="str">
        <f>HYPERLINK("https://digitalcommons.unl.edu/cgi/viewcontent.cgi?article=3916&amp;context=tractormuseumlit","Click for test report")</f>
        <v>Click for test report</v>
      </c>
      <c r="C2858">
        <v>2004</v>
      </c>
      <c r="E2858" t="s">
        <v>2748</v>
      </c>
      <c r="F2858" t="s">
        <v>2672</v>
      </c>
      <c r="G2858" t="s">
        <v>191</v>
      </c>
      <c r="H2858" t="s">
        <v>2749</v>
      </c>
      <c r="I2858" t="s">
        <v>50</v>
      </c>
      <c r="J2858" t="s">
        <v>348</v>
      </c>
      <c r="K2858" t="s">
        <v>21</v>
      </c>
      <c r="L2858" t="s">
        <v>764</v>
      </c>
      <c r="N2858" t="s">
        <v>1970</v>
      </c>
      <c r="O2858" t="s">
        <v>24</v>
      </c>
    </row>
    <row r="2859" spans="1:15" x14ac:dyDescent="0.25">
      <c r="A2859">
        <v>2858</v>
      </c>
      <c r="B2859" t="str">
        <f>HYPERLINK("https://digitalcommons.unl.edu/cgi/viewcontent.cgi?article=3916&amp;context=tractormuseumlit","Click for test report")</f>
        <v>Click for test report</v>
      </c>
      <c r="C2859">
        <v>2004</v>
      </c>
      <c r="E2859" t="s">
        <v>2748</v>
      </c>
      <c r="F2859" t="s">
        <v>2672</v>
      </c>
      <c r="G2859" t="s">
        <v>191</v>
      </c>
      <c r="H2859" t="s">
        <v>2749</v>
      </c>
      <c r="I2859" t="s">
        <v>50</v>
      </c>
      <c r="J2859" t="s">
        <v>20</v>
      </c>
      <c r="K2859" t="s">
        <v>21</v>
      </c>
      <c r="L2859" t="s">
        <v>764</v>
      </c>
      <c r="N2859" t="s">
        <v>353</v>
      </c>
      <c r="O2859" t="s">
        <v>24</v>
      </c>
    </row>
    <row r="2860" spans="1:15" x14ac:dyDescent="0.25">
      <c r="A2860">
        <v>2859</v>
      </c>
      <c r="B2860" t="str">
        <f>HYPERLINK("https://digitalcommons.unl.edu/cgi/viewcontent.cgi?article=3918&amp;context=tractormuseumlit","Click for test report")</f>
        <v>Click for test report</v>
      </c>
      <c r="C2860">
        <v>2004</v>
      </c>
      <c r="E2860" t="s">
        <v>2745</v>
      </c>
      <c r="F2860" t="s">
        <v>2672</v>
      </c>
      <c r="G2860" t="s">
        <v>191</v>
      </c>
      <c r="H2860" t="s">
        <v>2746</v>
      </c>
      <c r="I2860" t="s">
        <v>50</v>
      </c>
      <c r="J2860" t="s">
        <v>348</v>
      </c>
      <c r="K2860" t="s">
        <v>21</v>
      </c>
      <c r="L2860" t="s">
        <v>340</v>
      </c>
      <c r="N2860" t="s">
        <v>2747</v>
      </c>
      <c r="O2860" t="s">
        <v>24</v>
      </c>
    </row>
    <row r="2861" spans="1:15" x14ac:dyDescent="0.25">
      <c r="A2861">
        <v>2860</v>
      </c>
      <c r="B2861" t="str">
        <f>HYPERLINK("https://digitalcommons.unl.edu/cgi/viewcontent.cgi?article=3918&amp;context=tractormuseumlit","Click for test report")</f>
        <v>Click for test report</v>
      </c>
      <c r="C2861">
        <v>2004</v>
      </c>
      <c r="E2861" t="s">
        <v>2745</v>
      </c>
      <c r="F2861" t="s">
        <v>2672</v>
      </c>
      <c r="G2861" t="s">
        <v>191</v>
      </c>
      <c r="H2861" t="s">
        <v>2746</v>
      </c>
      <c r="I2861" t="s">
        <v>50</v>
      </c>
      <c r="J2861" t="s">
        <v>20</v>
      </c>
      <c r="K2861" t="s">
        <v>21</v>
      </c>
      <c r="L2861" t="s">
        <v>340</v>
      </c>
      <c r="N2861" t="s">
        <v>1347</v>
      </c>
      <c r="O2861" t="s">
        <v>24</v>
      </c>
    </row>
    <row r="2862" spans="1:15" x14ac:dyDescent="0.25">
      <c r="A2862">
        <v>2861</v>
      </c>
      <c r="B2862" t="str">
        <f>HYPERLINK("https://digitalcommons.unl.edu/cgi/viewcontent.cgi?article=3919&amp;context=tractormuseumlit","Click for test report")</f>
        <v>Click for test report</v>
      </c>
      <c r="C2862">
        <v>2004</v>
      </c>
      <c r="E2862" t="s">
        <v>2741</v>
      </c>
      <c r="F2862" t="s">
        <v>2742</v>
      </c>
      <c r="G2862" t="s">
        <v>191</v>
      </c>
      <c r="H2862" t="s">
        <v>2743</v>
      </c>
      <c r="I2862" t="s">
        <v>1961</v>
      </c>
      <c r="J2862" t="s">
        <v>348</v>
      </c>
      <c r="K2862" t="s">
        <v>21</v>
      </c>
      <c r="L2862" t="s">
        <v>51</v>
      </c>
      <c r="N2862" t="s">
        <v>343</v>
      </c>
      <c r="O2862" t="s">
        <v>2744</v>
      </c>
    </row>
    <row r="2863" spans="1:15" x14ac:dyDescent="0.25">
      <c r="A2863">
        <v>2862</v>
      </c>
      <c r="B2863" t="str">
        <f>HYPERLINK("https://digitalcommons.unl.edu/cgi/viewcontent.cgi?article=3919&amp;context=tractormuseumlit","Click for test report")</f>
        <v>Click for test report</v>
      </c>
      <c r="C2863">
        <v>2004</v>
      </c>
      <c r="E2863" t="s">
        <v>2741</v>
      </c>
      <c r="F2863" t="s">
        <v>2742</v>
      </c>
      <c r="G2863" t="s">
        <v>191</v>
      </c>
      <c r="H2863" t="s">
        <v>2743</v>
      </c>
      <c r="I2863" t="s">
        <v>1961</v>
      </c>
      <c r="J2863" t="s">
        <v>20</v>
      </c>
      <c r="K2863" t="s">
        <v>21</v>
      </c>
      <c r="L2863" t="s">
        <v>51</v>
      </c>
      <c r="N2863" t="s">
        <v>716</v>
      </c>
      <c r="O2863" t="s">
        <v>2744</v>
      </c>
    </row>
    <row r="2864" spans="1:15" x14ac:dyDescent="0.25">
      <c r="A2864">
        <v>2863</v>
      </c>
      <c r="B2864" t="str">
        <f>HYPERLINK("https://digitalcommons.unl.edu/cgi/viewcontent.cgi?article=3186&amp;context=tractormuseumlit","Click for test report")</f>
        <v>Click for test report</v>
      </c>
      <c r="C2864">
        <v>2004</v>
      </c>
      <c r="D2864" t="s">
        <v>2738</v>
      </c>
      <c r="E2864" t="s">
        <v>2739</v>
      </c>
      <c r="F2864" t="s">
        <v>17</v>
      </c>
      <c r="G2864" t="s">
        <v>17</v>
      </c>
      <c r="H2864" t="s">
        <v>2740</v>
      </c>
      <c r="I2864" t="s">
        <v>19</v>
      </c>
      <c r="J2864" t="s">
        <v>20</v>
      </c>
      <c r="K2864" t="s">
        <v>21</v>
      </c>
      <c r="L2864" t="s">
        <v>853</v>
      </c>
      <c r="N2864" t="s">
        <v>842</v>
      </c>
      <c r="O2864" t="s">
        <v>24</v>
      </c>
    </row>
    <row r="2865" spans="1:15" x14ac:dyDescent="0.25">
      <c r="A2865">
        <v>2864</v>
      </c>
      <c r="B2865" t="str">
        <f>HYPERLINK("https://digitalcommons.unl.edu/cgi/viewcontent.cgi?article=3187&amp;context=tractormuseumlit","Click for test report")</f>
        <v>Click for test report</v>
      </c>
      <c r="C2865">
        <v>2004</v>
      </c>
      <c r="D2865" t="s">
        <v>2734</v>
      </c>
      <c r="E2865" t="s">
        <v>2735</v>
      </c>
      <c r="F2865" t="s">
        <v>17</v>
      </c>
      <c r="G2865" t="s">
        <v>17</v>
      </c>
      <c r="H2865" t="s">
        <v>2736</v>
      </c>
      <c r="I2865" t="s">
        <v>19</v>
      </c>
      <c r="J2865" t="s">
        <v>20</v>
      </c>
      <c r="K2865" t="s">
        <v>21</v>
      </c>
      <c r="L2865" t="s">
        <v>818</v>
      </c>
      <c r="N2865" t="s">
        <v>839</v>
      </c>
      <c r="O2865" t="s">
        <v>2737</v>
      </c>
    </row>
    <row r="2866" spans="1:15" x14ac:dyDescent="0.25">
      <c r="A2866">
        <v>2865</v>
      </c>
      <c r="B2866" t="str">
        <f>HYPERLINK("https://digitalcommons.unl.edu/cgi/viewcontent.cgi?article=3188&amp;context=tractormuseumlit","Click for test report")</f>
        <v>Click for test report</v>
      </c>
      <c r="C2866">
        <v>2004</v>
      </c>
      <c r="D2866" t="s">
        <v>2731</v>
      </c>
      <c r="E2866" t="s">
        <v>2732</v>
      </c>
      <c r="F2866" t="s">
        <v>17</v>
      </c>
      <c r="G2866" t="s">
        <v>17</v>
      </c>
      <c r="H2866" t="s">
        <v>2733</v>
      </c>
      <c r="I2866" t="s">
        <v>64</v>
      </c>
      <c r="J2866" t="s">
        <v>20</v>
      </c>
      <c r="K2866" t="s">
        <v>21</v>
      </c>
      <c r="L2866" t="s">
        <v>76</v>
      </c>
      <c r="N2866" t="s">
        <v>328</v>
      </c>
      <c r="O2866" t="s">
        <v>1871</v>
      </c>
    </row>
    <row r="2867" spans="1:15" x14ac:dyDescent="0.25">
      <c r="A2867">
        <v>2866</v>
      </c>
      <c r="B2867" t="str">
        <f>HYPERLINK("https://digitalcommons.unl.edu/cgi/viewcontent.cgi?article=1317&amp;context=tractormuseumlit","Click for test report")</f>
        <v>Click for test report</v>
      </c>
      <c r="C2867">
        <v>2004</v>
      </c>
      <c r="D2867" t="s">
        <v>2729</v>
      </c>
      <c r="F2867" t="s">
        <v>1282</v>
      </c>
      <c r="G2867" t="s">
        <v>135</v>
      </c>
      <c r="H2867" t="s">
        <v>2730</v>
      </c>
      <c r="I2867" t="s">
        <v>50</v>
      </c>
      <c r="J2867" t="s">
        <v>20</v>
      </c>
      <c r="K2867" t="s">
        <v>21</v>
      </c>
      <c r="L2867" t="s">
        <v>2699</v>
      </c>
      <c r="O2867" t="s">
        <v>24</v>
      </c>
    </row>
    <row r="2868" spans="1:15" x14ac:dyDescent="0.25">
      <c r="A2868">
        <v>2867</v>
      </c>
      <c r="B2868" t="str">
        <f>HYPERLINK("https://digitalcommons.unl.edu/cgi/viewcontent.cgi?article=1250&amp;context=tractormuseumlit","Click for test report")</f>
        <v>Click for test report</v>
      </c>
      <c r="C2868">
        <v>2004</v>
      </c>
      <c r="D2868" t="s">
        <v>2727</v>
      </c>
      <c r="F2868" t="s">
        <v>1282</v>
      </c>
      <c r="G2868" t="s">
        <v>191</v>
      </c>
      <c r="H2868" t="s">
        <v>2728</v>
      </c>
      <c r="I2868" t="s">
        <v>50</v>
      </c>
      <c r="J2868" t="s">
        <v>20</v>
      </c>
      <c r="K2868" t="s">
        <v>21</v>
      </c>
      <c r="L2868" t="s">
        <v>2188</v>
      </c>
      <c r="O2868" t="s">
        <v>24</v>
      </c>
    </row>
    <row r="2869" spans="1:15" x14ac:dyDescent="0.25">
      <c r="A2869">
        <v>2868</v>
      </c>
      <c r="B2869" t="str">
        <f>HYPERLINK("https://digitalcommons.unl.edu/cgi/viewcontent.cgi?article=3189&amp;context=tractormuseumlit","Click for test report")</f>
        <v>Click for test report</v>
      </c>
      <c r="C2869">
        <v>2004</v>
      </c>
      <c r="D2869" t="s">
        <v>2724</v>
      </c>
      <c r="F2869" t="s">
        <v>17</v>
      </c>
      <c r="G2869" t="s">
        <v>17</v>
      </c>
      <c r="H2869" t="s">
        <v>2725</v>
      </c>
      <c r="I2869" t="s">
        <v>50</v>
      </c>
      <c r="J2869" t="s">
        <v>348</v>
      </c>
      <c r="K2869" t="s">
        <v>21</v>
      </c>
      <c r="L2869" t="s">
        <v>2511</v>
      </c>
      <c r="O2869" t="s">
        <v>2726</v>
      </c>
    </row>
    <row r="2870" spans="1:15" x14ac:dyDescent="0.25">
      <c r="A2870">
        <v>2869</v>
      </c>
      <c r="B2870" t="str">
        <f>HYPERLINK("https://digitalcommons.unl.edu/cgi/viewcontent.cgi?article=3190&amp;context=tractormuseumlit","Click for test report")</f>
        <v>Click for test report</v>
      </c>
      <c r="C2870">
        <v>2004</v>
      </c>
      <c r="D2870" t="s">
        <v>2721</v>
      </c>
      <c r="F2870" t="s">
        <v>17</v>
      </c>
      <c r="G2870" t="s">
        <v>17</v>
      </c>
      <c r="H2870" t="s">
        <v>2722</v>
      </c>
      <c r="I2870" t="s">
        <v>50</v>
      </c>
      <c r="J2870" t="s">
        <v>20</v>
      </c>
      <c r="K2870" t="s">
        <v>21</v>
      </c>
      <c r="L2870" t="s">
        <v>750</v>
      </c>
      <c r="O2870" t="s">
        <v>2723</v>
      </c>
    </row>
    <row r="2871" spans="1:15" x14ac:dyDescent="0.25">
      <c r="A2871">
        <v>2870</v>
      </c>
      <c r="B2871" t="str">
        <f>HYPERLINK("https://digitalcommons.unl.edu/cgi/viewcontent.cgi?article=1131&amp;context=tractormuseumlit","Click for test report")</f>
        <v>Click for test report</v>
      </c>
      <c r="C2871">
        <v>2004</v>
      </c>
      <c r="D2871" t="s">
        <v>2719</v>
      </c>
      <c r="F2871" t="s">
        <v>111</v>
      </c>
      <c r="G2871" t="s">
        <v>111</v>
      </c>
      <c r="H2871" t="s">
        <v>2720</v>
      </c>
      <c r="I2871" t="s">
        <v>1961</v>
      </c>
      <c r="J2871" t="s">
        <v>20</v>
      </c>
      <c r="K2871" t="s">
        <v>21</v>
      </c>
      <c r="L2871" t="s">
        <v>378</v>
      </c>
      <c r="O2871" t="s">
        <v>24</v>
      </c>
    </row>
    <row r="2872" spans="1:15" x14ac:dyDescent="0.25">
      <c r="A2872">
        <v>2871</v>
      </c>
      <c r="B2872" t="str">
        <f>HYPERLINK("https://digitalcommons.unl.edu/cgi/viewcontent.cgi?article=1136&amp;context=tractormuseumlit","Click for test report")</f>
        <v>Click for test report</v>
      </c>
      <c r="C2872">
        <v>2004</v>
      </c>
      <c r="D2872" t="s">
        <v>2717</v>
      </c>
      <c r="F2872" t="s">
        <v>111</v>
      </c>
      <c r="G2872" t="s">
        <v>111</v>
      </c>
      <c r="H2872" t="s">
        <v>2718</v>
      </c>
      <c r="I2872" t="s">
        <v>1961</v>
      </c>
      <c r="J2872" t="s">
        <v>20</v>
      </c>
      <c r="K2872" t="s">
        <v>21</v>
      </c>
      <c r="L2872" t="s">
        <v>55</v>
      </c>
      <c r="O2872" t="s">
        <v>24</v>
      </c>
    </row>
    <row r="2873" spans="1:15" x14ac:dyDescent="0.25">
      <c r="A2873">
        <v>2872</v>
      </c>
      <c r="B2873" t="str">
        <f>HYPERLINK("https://digitalcommons.unl.edu/cgi/viewcontent.cgi?article=1162&amp;context=tractormuseumlit","Click for test report")</f>
        <v>Click for test report</v>
      </c>
      <c r="C2873">
        <v>2004</v>
      </c>
      <c r="D2873" t="s">
        <v>2714</v>
      </c>
      <c r="E2873" t="s">
        <v>2715</v>
      </c>
      <c r="F2873" t="s">
        <v>111</v>
      </c>
      <c r="G2873" t="s">
        <v>111</v>
      </c>
      <c r="H2873" t="s">
        <v>2716</v>
      </c>
      <c r="I2873" t="s">
        <v>64</v>
      </c>
      <c r="J2873" t="s">
        <v>20</v>
      </c>
      <c r="K2873" t="s">
        <v>21</v>
      </c>
      <c r="L2873" t="s">
        <v>528</v>
      </c>
      <c r="N2873" t="s">
        <v>364</v>
      </c>
      <c r="O2873" t="s">
        <v>1871</v>
      </c>
    </row>
    <row r="2874" spans="1:15" x14ac:dyDescent="0.25">
      <c r="A2874">
        <v>2873</v>
      </c>
      <c r="B2874" t="str">
        <f>HYPERLINK("https://digitalcommons.unl.edu/cgi/viewcontent.cgi?article=1166&amp;context=tractormuseumlit","Click for test report")</f>
        <v>Click for test report</v>
      </c>
      <c r="C2874">
        <v>2004</v>
      </c>
      <c r="D2874" t="s">
        <v>2711</v>
      </c>
      <c r="E2874" t="s">
        <v>2712</v>
      </c>
      <c r="F2874" t="s">
        <v>111</v>
      </c>
      <c r="G2874" t="s">
        <v>111</v>
      </c>
      <c r="H2874" t="s">
        <v>2713</v>
      </c>
      <c r="I2874" t="s">
        <v>64</v>
      </c>
      <c r="J2874" t="s">
        <v>20</v>
      </c>
      <c r="K2874" t="s">
        <v>21</v>
      </c>
      <c r="L2874" t="s">
        <v>118</v>
      </c>
      <c r="N2874" t="s">
        <v>794</v>
      </c>
      <c r="O2874" t="s">
        <v>1871</v>
      </c>
    </row>
    <row r="2875" spans="1:15" x14ac:dyDescent="0.25">
      <c r="A2875">
        <v>2874</v>
      </c>
      <c r="B2875" t="str">
        <f>HYPERLINK("https://digitalcommons.unl.edu/cgi/viewcontent.cgi?article=3336&amp;context=tractormuseumlit","Click for test report")</f>
        <v>Click for test report</v>
      </c>
      <c r="C2875">
        <v>2004</v>
      </c>
      <c r="D2875" t="s">
        <v>2708</v>
      </c>
      <c r="E2875" t="s">
        <v>2709</v>
      </c>
      <c r="F2875" t="s">
        <v>17</v>
      </c>
      <c r="G2875" t="s">
        <v>17</v>
      </c>
      <c r="H2875" t="s">
        <v>2710</v>
      </c>
      <c r="I2875" t="s">
        <v>28</v>
      </c>
      <c r="J2875" t="s">
        <v>29</v>
      </c>
      <c r="K2875" t="s">
        <v>21</v>
      </c>
      <c r="L2875" t="s">
        <v>990</v>
      </c>
      <c r="N2875" t="s">
        <v>616</v>
      </c>
      <c r="O2875" t="s">
        <v>32</v>
      </c>
    </row>
    <row r="2876" spans="1:15" x14ac:dyDescent="0.25">
      <c r="A2876">
        <v>2875</v>
      </c>
      <c r="B2876" t="str">
        <f>HYPERLINK("https://digitalcommons.unl.edu/cgi/viewcontent.cgi?article=3337&amp;context=tractormuseumlit","Click for test report")</f>
        <v>Click for test report</v>
      </c>
      <c r="C2876">
        <v>2004</v>
      </c>
      <c r="D2876" t="s">
        <v>2704</v>
      </c>
      <c r="E2876" t="s">
        <v>2705</v>
      </c>
      <c r="F2876" t="s">
        <v>17</v>
      </c>
      <c r="G2876" t="s">
        <v>17</v>
      </c>
      <c r="H2876" t="s">
        <v>2706</v>
      </c>
      <c r="I2876" t="s">
        <v>28</v>
      </c>
      <c r="J2876" t="s">
        <v>96</v>
      </c>
      <c r="K2876" t="s">
        <v>21</v>
      </c>
      <c r="L2876" t="s">
        <v>280</v>
      </c>
      <c r="N2876" t="s">
        <v>2707</v>
      </c>
      <c r="O2876" t="s">
        <v>32</v>
      </c>
    </row>
    <row r="2877" spans="1:15" x14ac:dyDescent="0.25">
      <c r="A2877">
        <v>2876</v>
      </c>
      <c r="B2877" t="str">
        <f>HYPERLINK("https://digitalcommons.unl.edu/cgi/viewcontent.cgi?article=3191&amp;context=tractormuseumlit","Click for test report")</f>
        <v>Click for test report</v>
      </c>
      <c r="C2877">
        <v>2004</v>
      </c>
      <c r="D2877" t="s">
        <v>2701</v>
      </c>
      <c r="F2877" t="s">
        <v>17</v>
      </c>
      <c r="G2877" t="s">
        <v>17</v>
      </c>
      <c r="H2877" t="s">
        <v>2702</v>
      </c>
      <c r="I2877" t="s">
        <v>19</v>
      </c>
      <c r="J2877" t="s">
        <v>20</v>
      </c>
      <c r="K2877" t="s">
        <v>21</v>
      </c>
      <c r="L2877" t="s">
        <v>818</v>
      </c>
      <c r="O2877" t="s">
        <v>2703</v>
      </c>
    </row>
    <row r="2878" spans="1:15" x14ac:dyDescent="0.25">
      <c r="A2878">
        <v>2877</v>
      </c>
      <c r="B2878" t="str">
        <f>HYPERLINK("https://digitalcommons.unl.edu/cgi/viewcontent.cgi?article=1249&amp;context=tractormuseumlit","Click for test report")</f>
        <v>Click for test report</v>
      </c>
      <c r="C2878">
        <v>2004</v>
      </c>
      <c r="D2878" t="s">
        <v>2697</v>
      </c>
      <c r="F2878" t="s">
        <v>1282</v>
      </c>
      <c r="G2878" t="s">
        <v>191</v>
      </c>
      <c r="H2878" t="s">
        <v>2698</v>
      </c>
      <c r="I2878" t="s">
        <v>50</v>
      </c>
      <c r="J2878" t="s">
        <v>20</v>
      </c>
      <c r="K2878" t="s">
        <v>21</v>
      </c>
      <c r="L2878" t="s">
        <v>2699</v>
      </c>
      <c r="O2878" t="s">
        <v>2700</v>
      </c>
    </row>
    <row r="2879" spans="1:15" x14ac:dyDescent="0.25">
      <c r="A2879">
        <v>2878</v>
      </c>
      <c r="B2879" t="str">
        <f>HYPERLINK("https://digitalcommons.unl.edu/cgi/viewcontent.cgi?article=1318&amp;context=tractormuseumlit","Click for test report")</f>
        <v>Click for test report</v>
      </c>
      <c r="C2879">
        <v>2004</v>
      </c>
      <c r="D2879" t="s">
        <v>2695</v>
      </c>
      <c r="F2879" t="s">
        <v>1282</v>
      </c>
      <c r="G2879" t="s">
        <v>135</v>
      </c>
      <c r="H2879" t="s">
        <v>2696</v>
      </c>
      <c r="I2879" t="s">
        <v>50</v>
      </c>
      <c r="J2879" t="s">
        <v>20</v>
      </c>
      <c r="K2879" t="s">
        <v>21</v>
      </c>
      <c r="L2879" t="s">
        <v>2188</v>
      </c>
      <c r="O2879" t="s">
        <v>2691</v>
      </c>
    </row>
    <row r="2880" spans="1:15" x14ac:dyDescent="0.25">
      <c r="A2880">
        <v>2879</v>
      </c>
      <c r="B2880" t="str">
        <f>HYPERLINK("https://digitalcommons.unl.edu/cgi/viewcontent.cgi?article=4309&amp;context=tractormuseumlit","Click for test report")</f>
        <v>Click for test report</v>
      </c>
      <c r="C2880">
        <v>2004</v>
      </c>
      <c r="D2880" t="s">
        <v>2693</v>
      </c>
      <c r="F2880" t="s">
        <v>1282</v>
      </c>
      <c r="G2880" t="s">
        <v>191</v>
      </c>
      <c r="H2880" t="s">
        <v>2694</v>
      </c>
      <c r="I2880" t="s">
        <v>50</v>
      </c>
      <c r="J2880" t="s">
        <v>20</v>
      </c>
      <c r="K2880" t="s">
        <v>21</v>
      </c>
      <c r="L2880" t="s">
        <v>2188</v>
      </c>
      <c r="O2880" t="s">
        <v>2691</v>
      </c>
    </row>
    <row r="2881" spans="1:15" x14ac:dyDescent="0.25">
      <c r="A2881">
        <v>2880</v>
      </c>
      <c r="B2881" t="str">
        <f>HYPERLINK("https://digitalcommons.unl.edu/cgi/viewcontent.cgi?article=4310&amp;context=tractormuseumlit","Click for test report")</f>
        <v>Click for test report</v>
      </c>
      <c r="C2881">
        <v>2004</v>
      </c>
      <c r="D2881" t="s">
        <v>2689</v>
      </c>
      <c r="F2881" t="s">
        <v>1282</v>
      </c>
      <c r="G2881" t="s">
        <v>135</v>
      </c>
      <c r="H2881" t="s">
        <v>2692</v>
      </c>
      <c r="I2881" t="s">
        <v>50</v>
      </c>
      <c r="J2881" t="s">
        <v>20</v>
      </c>
      <c r="K2881" t="s">
        <v>21</v>
      </c>
      <c r="L2881" t="s">
        <v>2188</v>
      </c>
      <c r="O2881" t="s">
        <v>2691</v>
      </c>
    </row>
    <row r="2882" spans="1:15" x14ac:dyDescent="0.25">
      <c r="A2882">
        <v>2881</v>
      </c>
      <c r="B2882" t="str">
        <f>HYPERLINK("https://digitalcommons.unl.edu/cgi/viewcontent.cgi?article=4310&amp;context=tractormuseumlit","Click for test report")</f>
        <v>Click for test report</v>
      </c>
      <c r="C2882">
        <v>2004</v>
      </c>
      <c r="D2882" t="s">
        <v>2689</v>
      </c>
      <c r="F2882" t="s">
        <v>1282</v>
      </c>
      <c r="G2882" t="s">
        <v>135</v>
      </c>
      <c r="H2882" t="s">
        <v>2690</v>
      </c>
      <c r="I2882" t="s">
        <v>50</v>
      </c>
      <c r="J2882" t="s">
        <v>20</v>
      </c>
      <c r="K2882" t="s">
        <v>21</v>
      </c>
      <c r="L2882" t="s">
        <v>2188</v>
      </c>
      <c r="O2882" t="s">
        <v>2691</v>
      </c>
    </row>
    <row r="2883" spans="1:15" x14ac:dyDescent="0.25">
      <c r="A2883">
        <v>2882</v>
      </c>
      <c r="B2883" t="str">
        <f>HYPERLINK("https://digitalcommons.unl.edu/cgi/viewcontent.cgi?article=3893&amp;context=tractormuseumlit","Click for test report")</f>
        <v>Click for test report</v>
      </c>
      <c r="C2883">
        <v>2005</v>
      </c>
      <c r="E2883" t="s">
        <v>2687</v>
      </c>
      <c r="F2883" t="s">
        <v>1820</v>
      </c>
      <c r="G2883" t="s">
        <v>191</v>
      </c>
      <c r="H2883" t="s">
        <v>2688</v>
      </c>
      <c r="I2883" t="s">
        <v>19</v>
      </c>
      <c r="J2883" t="s">
        <v>348</v>
      </c>
      <c r="K2883" t="s">
        <v>21</v>
      </c>
      <c r="L2883" t="s">
        <v>127</v>
      </c>
      <c r="N2883" t="s">
        <v>1796</v>
      </c>
      <c r="O2883" t="s">
        <v>24</v>
      </c>
    </row>
    <row r="2884" spans="1:15" x14ac:dyDescent="0.25">
      <c r="A2884">
        <v>2883</v>
      </c>
      <c r="B2884" t="str">
        <f>HYPERLINK("https://digitalcommons.unl.edu/cgi/viewcontent.cgi?article=3893&amp;context=tractormuseumlit","Click for test report")</f>
        <v>Click for test report</v>
      </c>
      <c r="C2884">
        <v>2005</v>
      </c>
      <c r="E2884" t="s">
        <v>2687</v>
      </c>
      <c r="F2884" t="s">
        <v>1820</v>
      </c>
      <c r="G2884" t="s">
        <v>191</v>
      </c>
      <c r="H2884" t="s">
        <v>2688</v>
      </c>
      <c r="I2884" t="s">
        <v>19</v>
      </c>
      <c r="J2884" t="s">
        <v>20</v>
      </c>
      <c r="K2884" t="s">
        <v>21</v>
      </c>
      <c r="L2884" t="s">
        <v>127</v>
      </c>
      <c r="N2884" t="s">
        <v>55</v>
      </c>
      <c r="O2884" t="s">
        <v>24</v>
      </c>
    </row>
    <row r="2885" spans="1:15" x14ac:dyDescent="0.25">
      <c r="A2885">
        <v>2884</v>
      </c>
      <c r="B2885" t="str">
        <f>HYPERLINK("https://digitalcommons.unl.edu/cgi/viewcontent.cgi?article=3894&amp;context=tractormuseumlit","Click for test report")</f>
        <v>Click for test report</v>
      </c>
      <c r="C2885">
        <v>2005</v>
      </c>
      <c r="E2885" t="s">
        <v>2684</v>
      </c>
      <c r="F2885" t="s">
        <v>1820</v>
      </c>
      <c r="G2885" t="s">
        <v>191</v>
      </c>
      <c r="H2885" t="s">
        <v>2685</v>
      </c>
      <c r="I2885" t="s">
        <v>1961</v>
      </c>
      <c r="J2885" t="s">
        <v>20</v>
      </c>
      <c r="K2885" t="s">
        <v>21</v>
      </c>
      <c r="L2885" t="s">
        <v>45</v>
      </c>
      <c r="N2885" t="s">
        <v>461</v>
      </c>
      <c r="O2885" t="s">
        <v>2686</v>
      </c>
    </row>
    <row r="2886" spans="1:15" x14ac:dyDescent="0.25">
      <c r="A2886">
        <v>2885</v>
      </c>
      <c r="B2886" t="str">
        <f>HYPERLINK("https://digitalcommons.unl.edu/cgi/viewcontent.cgi?article=3894&amp;context=tractormuseumlit","Click for test report")</f>
        <v>Click for test report</v>
      </c>
      <c r="C2886">
        <v>2005</v>
      </c>
      <c r="E2886" t="s">
        <v>2684</v>
      </c>
      <c r="F2886" t="s">
        <v>1820</v>
      </c>
      <c r="G2886" t="s">
        <v>191</v>
      </c>
      <c r="H2886" t="s">
        <v>2685</v>
      </c>
      <c r="I2886" t="s">
        <v>1961</v>
      </c>
      <c r="J2886" t="s">
        <v>348</v>
      </c>
      <c r="K2886" t="s">
        <v>21</v>
      </c>
      <c r="L2886" t="s">
        <v>45</v>
      </c>
      <c r="N2886" t="s">
        <v>562</v>
      </c>
      <c r="O2886" t="s">
        <v>2686</v>
      </c>
    </row>
    <row r="2887" spans="1:15" x14ac:dyDescent="0.25">
      <c r="A2887">
        <v>2886</v>
      </c>
      <c r="B2887" t="str">
        <f>HYPERLINK("https://digitalcommons.unl.edu/cgi/viewcontent.cgi?article=3176&amp;context=tractormuseumlit","Click for test report")</f>
        <v>Click for test report</v>
      </c>
      <c r="C2887">
        <v>2005</v>
      </c>
      <c r="E2887" t="s">
        <v>2681</v>
      </c>
      <c r="F2887" t="s">
        <v>2682</v>
      </c>
      <c r="G2887" t="s">
        <v>135</v>
      </c>
      <c r="H2887" t="s">
        <v>2683</v>
      </c>
      <c r="I2887" t="s">
        <v>1961</v>
      </c>
      <c r="J2887" t="s">
        <v>20</v>
      </c>
      <c r="K2887" t="s">
        <v>21</v>
      </c>
      <c r="L2887" t="s">
        <v>45</v>
      </c>
      <c r="N2887" t="s">
        <v>461</v>
      </c>
      <c r="O2887" t="s">
        <v>24</v>
      </c>
    </row>
    <row r="2888" spans="1:15" x14ac:dyDescent="0.25">
      <c r="A2888">
        <v>2887</v>
      </c>
      <c r="B2888" t="str">
        <f>HYPERLINK("https://digitalcommons.unl.edu/cgi/viewcontent.cgi?article=3176&amp;context=tractormuseumlit","Click for test report")</f>
        <v>Click for test report</v>
      </c>
      <c r="C2888">
        <v>2005</v>
      </c>
      <c r="E2888" t="s">
        <v>2681</v>
      </c>
      <c r="F2888" t="s">
        <v>2682</v>
      </c>
      <c r="G2888" t="s">
        <v>135</v>
      </c>
      <c r="H2888" t="s">
        <v>2683</v>
      </c>
      <c r="I2888" t="s">
        <v>1961</v>
      </c>
      <c r="J2888" t="s">
        <v>348</v>
      </c>
      <c r="K2888" t="s">
        <v>21</v>
      </c>
      <c r="L2888" t="s">
        <v>45</v>
      </c>
      <c r="N2888" t="s">
        <v>562</v>
      </c>
      <c r="O2888" t="s">
        <v>24</v>
      </c>
    </row>
    <row r="2889" spans="1:15" x14ac:dyDescent="0.25">
      <c r="A2889">
        <v>2888</v>
      </c>
      <c r="B2889" t="str">
        <f>HYPERLINK("https://digitalcommons.unl.edu/cgi/viewcontent.cgi?article=3177&amp;context=tractormuseumlit","Click for test report")</f>
        <v>Click for test report</v>
      </c>
      <c r="C2889">
        <v>2005</v>
      </c>
      <c r="E2889" t="s">
        <v>2679</v>
      </c>
      <c r="F2889" t="s">
        <v>2062</v>
      </c>
      <c r="G2889" t="s">
        <v>778</v>
      </c>
      <c r="H2889" t="s">
        <v>2680</v>
      </c>
      <c r="I2889" t="s">
        <v>1961</v>
      </c>
      <c r="J2889" t="s">
        <v>348</v>
      </c>
      <c r="K2889" t="s">
        <v>21</v>
      </c>
      <c r="L2889" t="s">
        <v>725</v>
      </c>
      <c r="N2889" t="s">
        <v>2188</v>
      </c>
      <c r="O2889" t="s">
        <v>24</v>
      </c>
    </row>
    <row r="2890" spans="1:15" x14ac:dyDescent="0.25">
      <c r="A2890">
        <v>2889</v>
      </c>
      <c r="B2890" t="str">
        <f>HYPERLINK("https://digitalcommons.unl.edu/cgi/viewcontent.cgi?article=3177&amp;context=tractormuseumlit","Click for test report")</f>
        <v>Click for test report</v>
      </c>
      <c r="C2890">
        <v>2005</v>
      </c>
      <c r="E2890" t="s">
        <v>2679</v>
      </c>
      <c r="F2890" t="s">
        <v>2062</v>
      </c>
      <c r="G2890" t="s">
        <v>778</v>
      </c>
      <c r="H2890" t="s">
        <v>2680</v>
      </c>
      <c r="I2890" t="s">
        <v>1961</v>
      </c>
      <c r="J2890" t="s">
        <v>20</v>
      </c>
      <c r="K2890" t="s">
        <v>21</v>
      </c>
      <c r="L2890" t="s">
        <v>725</v>
      </c>
      <c r="N2890" t="s">
        <v>2188</v>
      </c>
      <c r="O2890" t="s">
        <v>24</v>
      </c>
    </row>
    <row r="2891" spans="1:15" x14ac:dyDescent="0.25">
      <c r="A2891">
        <v>2890</v>
      </c>
      <c r="B2891" t="str">
        <f>HYPERLINK("https://digitalcommons.unl.edu/cgi/viewcontent.cgi?article=4385&amp;context=tractormuseumlit","Click for test report")</f>
        <v>Click for test report</v>
      </c>
      <c r="C2891">
        <v>2005</v>
      </c>
      <c r="E2891" t="s">
        <v>2677</v>
      </c>
      <c r="F2891" t="s">
        <v>1136</v>
      </c>
      <c r="G2891" t="s">
        <v>414</v>
      </c>
      <c r="H2891" t="s">
        <v>2044</v>
      </c>
      <c r="I2891" t="s">
        <v>1961</v>
      </c>
      <c r="J2891" t="s">
        <v>20</v>
      </c>
      <c r="K2891" t="s">
        <v>21</v>
      </c>
      <c r="L2891" t="s">
        <v>725</v>
      </c>
      <c r="N2891" t="s">
        <v>2188</v>
      </c>
      <c r="O2891" t="s">
        <v>2678</v>
      </c>
    </row>
    <row r="2892" spans="1:15" x14ac:dyDescent="0.25">
      <c r="A2892">
        <v>2891</v>
      </c>
      <c r="B2892" t="str">
        <f>HYPERLINK("https://digitalcommons.unl.edu/cgi/viewcontent.cgi?article=4385&amp;context=tractormuseumlit","Click for test report")</f>
        <v>Click for test report</v>
      </c>
      <c r="C2892">
        <v>2005</v>
      </c>
      <c r="E2892" t="s">
        <v>2677</v>
      </c>
      <c r="F2892" t="s">
        <v>1136</v>
      </c>
      <c r="G2892" t="s">
        <v>414</v>
      </c>
      <c r="H2892" t="s">
        <v>2044</v>
      </c>
      <c r="I2892" t="s">
        <v>1961</v>
      </c>
      <c r="J2892" t="s">
        <v>348</v>
      </c>
      <c r="K2892" t="s">
        <v>21</v>
      </c>
      <c r="L2892" t="s">
        <v>725</v>
      </c>
      <c r="N2892" t="s">
        <v>2188</v>
      </c>
      <c r="O2892" t="s">
        <v>2678</v>
      </c>
    </row>
    <row r="2893" spans="1:15" x14ac:dyDescent="0.25">
      <c r="A2893">
        <v>2892</v>
      </c>
      <c r="B2893" t="str">
        <f>HYPERLINK("https://digitalcommons.unl.edu/cgi/viewcontent.cgi?article=3911&amp;context=tractormuseumlit","Click for test report")</f>
        <v>Click for test report</v>
      </c>
      <c r="C2893">
        <v>2005</v>
      </c>
      <c r="E2893" t="s">
        <v>2675</v>
      </c>
      <c r="F2893" t="s">
        <v>1136</v>
      </c>
      <c r="G2893" t="s">
        <v>414</v>
      </c>
      <c r="H2893" t="s">
        <v>2303</v>
      </c>
      <c r="I2893" t="s">
        <v>19</v>
      </c>
      <c r="J2893" t="s">
        <v>20</v>
      </c>
      <c r="K2893" t="s">
        <v>21</v>
      </c>
      <c r="L2893" t="s">
        <v>2676</v>
      </c>
      <c r="N2893" t="s">
        <v>51</v>
      </c>
      <c r="O2893" t="s">
        <v>24</v>
      </c>
    </row>
    <row r="2894" spans="1:15" x14ac:dyDescent="0.25">
      <c r="A2894">
        <v>2893</v>
      </c>
      <c r="B2894" t="str">
        <f>HYPERLINK("https://digitalcommons.unl.edu/cgi/viewcontent.cgi?article=3911&amp;context=tractormuseumlit","Click for test report")</f>
        <v>Click for test report</v>
      </c>
      <c r="C2894">
        <v>2005</v>
      </c>
      <c r="E2894" t="s">
        <v>2675</v>
      </c>
      <c r="F2894" t="s">
        <v>1136</v>
      </c>
      <c r="G2894" t="s">
        <v>414</v>
      </c>
      <c r="H2894" t="s">
        <v>2303</v>
      </c>
      <c r="I2894" t="s">
        <v>19</v>
      </c>
      <c r="J2894" t="s">
        <v>348</v>
      </c>
      <c r="K2894" t="s">
        <v>21</v>
      </c>
      <c r="L2894" t="s">
        <v>2676</v>
      </c>
      <c r="N2894" t="s">
        <v>561</v>
      </c>
      <c r="O2894" t="s">
        <v>24</v>
      </c>
    </row>
    <row r="2895" spans="1:15" x14ac:dyDescent="0.25">
      <c r="A2895">
        <v>2894</v>
      </c>
      <c r="B2895" t="str">
        <f>HYPERLINK("https://digitalcommons.unl.edu/cgi/viewcontent.cgi?article=3912&amp;context=tractormuseumlit","Click for test report")</f>
        <v>Click for test report</v>
      </c>
      <c r="C2895">
        <v>2005</v>
      </c>
      <c r="E2895" t="s">
        <v>2674</v>
      </c>
      <c r="F2895" t="s">
        <v>1136</v>
      </c>
      <c r="G2895" t="s">
        <v>414</v>
      </c>
      <c r="H2895" t="s">
        <v>2301</v>
      </c>
      <c r="I2895" t="s">
        <v>19</v>
      </c>
      <c r="J2895" t="s">
        <v>348</v>
      </c>
      <c r="K2895" t="s">
        <v>21</v>
      </c>
      <c r="L2895" t="s">
        <v>328</v>
      </c>
      <c r="N2895" t="s">
        <v>677</v>
      </c>
      <c r="O2895" t="s">
        <v>24</v>
      </c>
    </row>
    <row r="2896" spans="1:15" x14ac:dyDescent="0.25">
      <c r="A2896">
        <v>2895</v>
      </c>
      <c r="B2896" t="str">
        <f>HYPERLINK("https://digitalcommons.unl.edu/cgi/viewcontent.cgi?article=3912&amp;context=tractormuseumlit","Click for test report")</f>
        <v>Click for test report</v>
      </c>
      <c r="C2896">
        <v>2005</v>
      </c>
      <c r="E2896" t="s">
        <v>2674</v>
      </c>
      <c r="F2896" t="s">
        <v>1136</v>
      </c>
      <c r="G2896" t="s">
        <v>414</v>
      </c>
      <c r="H2896" t="s">
        <v>2301</v>
      </c>
      <c r="I2896" t="s">
        <v>19</v>
      </c>
      <c r="J2896" t="s">
        <v>20</v>
      </c>
      <c r="K2896" t="s">
        <v>21</v>
      </c>
      <c r="L2896" t="s">
        <v>328</v>
      </c>
      <c r="N2896" t="s">
        <v>23</v>
      </c>
      <c r="O2896" t="s">
        <v>24</v>
      </c>
    </row>
    <row r="2897" spans="1:15" x14ac:dyDescent="0.25">
      <c r="A2897">
        <v>2896</v>
      </c>
      <c r="B2897" t="str">
        <f>HYPERLINK("https://digitalcommons.unl.edu/cgi/viewcontent.cgi?article=3917&amp;context=tractormuseumlit","Click for test report")</f>
        <v>Click for test report</v>
      </c>
      <c r="C2897">
        <v>2005</v>
      </c>
      <c r="E2897" t="s">
        <v>2671</v>
      </c>
      <c r="F2897" t="s">
        <v>2672</v>
      </c>
      <c r="G2897" t="s">
        <v>191</v>
      </c>
      <c r="H2897" t="s">
        <v>2673</v>
      </c>
      <c r="I2897" t="s">
        <v>50</v>
      </c>
      <c r="J2897" t="s">
        <v>20</v>
      </c>
      <c r="K2897" t="s">
        <v>21</v>
      </c>
      <c r="L2897" t="s">
        <v>565</v>
      </c>
      <c r="N2897" t="s">
        <v>1864</v>
      </c>
      <c r="O2897" t="s">
        <v>24</v>
      </c>
    </row>
    <row r="2898" spans="1:15" x14ac:dyDescent="0.25">
      <c r="A2898">
        <v>2897</v>
      </c>
      <c r="B2898" t="str">
        <f>HYPERLINK("https://digitalcommons.unl.edu/cgi/viewcontent.cgi?article=3917&amp;context=tractormuseumlit","Click for test report")</f>
        <v>Click for test report</v>
      </c>
      <c r="C2898">
        <v>2005</v>
      </c>
      <c r="E2898" t="s">
        <v>2671</v>
      </c>
      <c r="F2898" t="s">
        <v>2672</v>
      </c>
      <c r="G2898" t="s">
        <v>191</v>
      </c>
      <c r="H2898" t="s">
        <v>2673</v>
      </c>
      <c r="I2898" t="s">
        <v>50</v>
      </c>
      <c r="J2898" t="s">
        <v>348</v>
      </c>
      <c r="K2898" t="s">
        <v>21</v>
      </c>
      <c r="L2898" t="s">
        <v>565</v>
      </c>
      <c r="N2898" t="s">
        <v>728</v>
      </c>
      <c r="O2898" t="s">
        <v>24</v>
      </c>
    </row>
    <row r="2899" spans="1:15" x14ac:dyDescent="0.25">
      <c r="A2899">
        <v>2898</v>
      </c>
      <c r="B2899" t="str">
        <f>HYPERLINK("https://digitalcommons.unl.edu/cgi/viewcontent.cgi?article=1171&amp;context=tractormuseumlit","Click for test report")</f>
        <v>Click for test report</v>
      </c>
      <c r="C2899">
        <v>2005</v>
      </c>
      <c r="E2899" t="s">
        <v>2669</v>
      </c>
      <c r="F2899" t="s">
        <v>1136</v>
      </c>
      <c r="G2899" t="s">
        <v>111</v>
      </c>
      <c r="H2899" t="s">
        <v>2670</v>
      </c>
      <c r="I2899" t="s">
        <v>64</v>
      </c>
      <c r="J2899" t="s">
        <v>20</v>
      </c>
      <c r="K2899" t="s">
        <v>21</v>
      </c>
      <c r="L2899" t="s">
        <v>1029</v>
      </c>
      <c r="N2899" t="s">
        <v>1037</v>
      </c>
      <c r="O2899" t="s">
        <v>1871</v>
      </c>
    </row>
    <row r="2900" spans="1:15" x14ac:dyDescent="0.25">
      <c r="A2900">
        <v>2899</v>
      </c>
      <c r="B2900" t="str">
        <f>HYPERLINK("https://digitalcommons.unl.edu/cgi/viewcontent.cgi?article=1173&amp;context=tractormuseumlit","Click for test report")</f>
        <v>Click for test report</v>
      </c>
      <c r="C2900">
        <v>2005</v>
      </c>
      <c r="E2900" t="s">
        <v>2667</v>
      </c>
      <c r="F2900" t="s">
        <v>1136</v>
      </c>
      <c r="G2900" t="s">
        <v>111</v>
      </c>
      <c r="H2900" t="s">
        <v>2668</v>
      </c>
      <c r="I2900" t="s">
        <v>64</v>
      </c>
      <c r="J2900" t="s">
        <v>20</v>
      </c>
      <c r="K2900" t="s">
        <v>21</v>
      </c>
      <c r="L2900" t="s">
        <v>2660</v>
      </c>
      <c r="N2900" t="s">
        <v>115</v>
      </c>
      <c r="O2900" t="s">
        <v>1871</v>
      </c>
    </row>
    <row r="2901" spans="1:15" x14ac:dyDescent="0.25">
      <c r="A2901">
        <v>2900</v>
      </c>
      <c r="B2901" t="str">
        <f>HYPERLINK("https://digitalcommons.unl.edu/cgi/viewcontent.cgi?article=1174&amp;context=tractormuseumlit","Click for test report")</f>
        <v>Click for test report</v>
      </c>
      <c r="C2901">
        <v>2005</v>
      </c>
      <c r="E2901" t="s">
        <v>2665</v>
      </c>
      <c r="F2901" t="s">
        <v>1136</v>
      </c>
      <c r="G2901" t="s">
        <v>111</v>
      </c>
      <c r="H2901" t="s">
        <v>2666</v>
      </c>
      <c r="I2901" t="s">
        <v>64</v>
      </c>
      <c r="J2901" t="s">
        <v>20</v>
      </c>
      <c r="K2901" t="s">
        <v>21</v>
      </c>
      <c r="L2901" t="s">
        <v>504</v>
      </c>
      <c r="N2901" t="s">
        <v>75</v>
      </c>
      <c r="O2901" t="s">
        <v>1871</v>
      </c>
    </row>
    <row r="2902" spans="1:15" x14ac:dyDescent="0.25">
      <c r="A2902">
        <v>2901</v>
      </c>
      <c r="B2902" t="str">
        <f>HYPERLINK("https://digitalcommons.unl.edu/cgi/viewcontent.cgi?article=1176&amp;context=tractormuseumlit","Click for test report")</f>
        <v>Click for test report</v>
      </c>
      <c r="C2902">
        <v>2005</v>
      </c>
      <c r="E2902" t="s">
        <v>2663</v>
      </c>
      <c r="F2902" t="s">
        <v>1136</v>
      </c>
      <c r="G2902" t="s">
        <v>111</v>
      </c>
      <c r="H2902" t="s">
        <v>2664</v>
      </c>
      <c r="I2902" t="s">
        <v>64</v>
      </c>
      <c r="J2902" t="s">
        <v>20</v>
      </c>
      <c r="K2902" t="s">
        <v>21</v>
      </c>
      <c r="L2902" t="s">
        <v>306</v>
      </c>
      <c r="N2902" t="s">
        <v>552</v>
      </c>
      <c r="O2902" t="s">
        <v>1871</v>
      </c>
    </row>
    <row r="2903" spans="1:15" x14ac:dyDescent="0.25">
      <c r="A2903">
        <v>2902</v>
      </c>
      <c r="B2903" t="str">
        <f>HYPERLINK("https://digitalcommons.unl.edu/cgi/viewcontent.cgi?article=3178&amp;context=tractormuseumlit","Click for test report")</f>
        <v>Click for test report</v>
      </c>
      <c r="C2903">
        <v>2005</v>
      </c>
      <c r="E2903" t="s">
        <v>2661</v>
      </c>
      <c r="F2903" t="s">
        <v>2062</v>
      </c>
      <c r="G2903" t="s">
        <v>778</v>
      </c>
      <c r="H2903" t="s">
        <v>2662</v>
      </c>
      <c r="I2903" t="s">
        <v>28</v>
      </c>
      <c r="J2903" t="s">
        <v>20</v>
      </c>
      <c r="K2903" t="s">
        <v>21</v>
      </c>
      <c r="L2903" t="s">
        <v>1029</v>
      </c>
      <c r="N2903" t="s">
        <v>1037</v>
      </c>
      <c r="O2903" t="s">
        <v>24</v>
      </c>
    </row>
    <row r="2904" spans="1:15" x14ac:dyDescent="0.25">
      <c r="A2904">
        <v>2903</v>
      </c>
      <c r="B2904" t="str">
        <f>HYPERLINK("https://digitalcommons.unl.edu/cgi/viewcontent.cgi?article=3179&amp;context=tractormuseumlit","Click for test report")</f>
        <v>Click for test report</v>
      </c>
      <c r="C2904">
        <v>2005</v>
      </c>
      <c r="E2904" t="s">
        <v>2658</v>
      </c>
      <c r="F2904" t="s">
        <v>2062</v>
      </c>
      <c r="G2904" t="s">
        <v>778</v>
      </c>
      <c r="H2904" t="s">
        <v>2659</v>
      </c>
      <c r="I2904" t="s">
        <v>28</v>
      </c>
      <c r="J2904" t="s">
        <v>20</v>
      </c>
      <c r="K2904" t="s">
        <v>21</v>
      </c>
      <c r="L2904" t="s">
        <v>2660</v>
      </c>
      <c r="N2904" t="s">
        <v>115</v>
      </c>
      <c r="O2904" t="s">
        <v>24</v>
      </c>
    </row>
    <row r="2905" spans="1:15" x14ac:dyDescent="0.25">
      <c r="A2905">
        <v>2904</v>
      </c>
      <c r="B2905" t="str">
        <f>HYPERLINK("https://digitalcommons.unl.edu/cgi/viewcontent.cgi?article=3180&amp;context=tractormuseumlit","Click for test report")</f>
        <v>Click for test report</v>
      </c>
      <c r="C2905">
        <v>2005</v>
      </c>
      <c r="E2905" t="s">
        <v>2656</v>
      </c>
      <c r="F2905" t="s">
        <v>2062</v>
      </c>
      <c r="G2905" t="s">
        <v>778</v>
      </c>
      <c r="H2905" t="s">
        <v>2657</v>
      </c>
      <c r="I2905" t="s">
        <v>28</v>
      </c>
      <c r="J2905" t="s">
        <v>20</v>
      </c>
      <c r="K2905" t="s">
        <v>21</v>
      </c>
      <c r="L2905" t="s">
        <v>504</v>
      </c>
      <c r="N2905" t="s">
        <v>75</v>
      </c>
      <c r="O2905" t="s">
        <v>24</v>
      </c>
    </row>
    <row r="2906" spans="1:15" x14ac:dyDescent="0.25">
      <c r="A2906">
        <v>2905</v>
      </c>
      <c r="B2906" t="str">
        <f>HYPERLINK("https://digitalcommons.unl.edu/cgi/viewcontent.cgi?article=3181&amp;context=tractormuseumlit","Click for test report")</f>
        <v>Click for test report</v>
      </c>
      <c r="C2906">
        <v>2005</v>
      </c>
      <c r="E2906" t="s">
        <v>2654</v>
      </c>
      <c r="F2906" t="s">
        <v>2062</v>
      </c>
      <c r="G2906" t="s">
        <v>778</v>
      </c>
      <c r="H2906" t="s">
        <v>2655</v>
      </c>
      <c r="I2906" t="s">
        <v>28</v>
      </c>
      <c r="J2906" t="s">
        <v>20</v>
      </c>
      <c r="K2906" t="s">
        <v>21</v>
      </c>
      <c r="L2906" t="s">
        <v>306</v>
      </c>
      <c r="N2906" t="s">
        <v>552</v>
      </c>
      <c r="O2906" t="s">
        <v>24</v>
      </c>
    </row>
    <row r="2907" spans="1:15" x14ac:dyDescent="0.25">
      <c r="A2907">
        <v>2906</v>
      </c>
      <c r="B2907" t="str">
        <f>HYPERLINK("https://digitalcommons.unl.edu/cgi/viewcontent.cgi?article=3920&amp;context=tractormuseumlit","Click for test report")</f>
        <v>Click for test report</v>
      </c>
      <c r="C2907">
        <v>2005</v>
      </c>
      <c r="E2907" t="s">
        <v>2653</v>
      </c>
      <c r="F2907" t="s">
        <v>1136</v>
      </c>
      <c r="G2907" t="s">
        <v>414</v>
      </c>
      <c r="H2907" t="s">
        <v>2303</v>
      </c>
      <c r="I2907" t="s">
        <v>64</v>
      </c>
      <c r="J2907" t="s">
        <v>20</v>
      </c>
      <c r="K2907" t="s">
        <v>21</v>
      </c>
      <c r="L2907" t="s">
        <v>119</v>
      </c>
      <c r="N2907" t="s">
        <v>705</v>
      </c>
      <c r="O2907" t="s">
        <v>1871</v>
      </c>
    </row>
    <row r="2908" spans="1:15" x14ac:dyDescent="0.25">
      <c r="A2908">
        <v>2907</v>
      </c>
      <c r="B2908" t="str">
        <f>HYPERLINK("https://digitalcommons.unl.edu/cgi/viewcontent.cgi?article=3921&amp;context=tractormuseumlit","Click for test report")</f>
        <v>Click for test report</v>
      </c>
      <c r="C2908">
        <v>2005</v>
      </c>
      <c r="E2908" t="s">
        <v>2651</v>
      </c>
      <c r="F2908" t="s">
        <v>1136</v>
      </c>
      <c r="G2908" t="s">
        <v>414</v>
      </c>
      <c r="H2908" t="s">
        <v>2301</v>
      </c>
      <c r="I2908" t="s">
        <v>64</v>
      </c>
      <c r="J2908" t="s">
        <v>20</v>
      </c>
      <c r="K2908" t="s">
        <v>21</v>
      </c>
      <c r="L2908" t="s">
        <v>527</v>
      </c>
      <c r="N2908" t="s">
        <v>2652</v>
      </c>
      <c r="O2908" t="s">
        <v>1871</v>
      </c>
    </row>
    <row r="2909" spans="1:15" x14ac:dyDescent="0.25">
      <c r="A2909">
        <v>2908</v>
      </c>
      <c r="B2909" t="str">
        <f>HYPERLINK("https://digitalcommons.unl.edu/cgi/viewcontent.cgi?article=3182&amp;context=tractormuseumlit","Click for test report")</f>
        <v>Click for test report</v>
      </c>
      <c r="C2909">
        <v>2005</v>
      </c>
      <c r="E2909" t="s">
        <v>2649</v>
      </c>
      <c r="F2909" t="s">
        <v>1246</v>
      </c>
      <c r="G2909" t="s">
        <v>191</v>
      </c>
      <c r="H2909" t="s">
        <v>2650</v>
      </c>
      <c r="I2909" t="s">
        <v>50</v>
      </c>
      <c r="J2909" t="s">
        <v>348</v>
      </c>
      <c r="K2909" t="s">
        <v>21</v>
      </c>
      <c r="L2909" t="s">
        <v>764</v>
      </c>
      <c r="N2909" t="s">
        <v>725</v>
      </c>
      <c r="O2909" t="s">
        <v>24</v>
      </c>
    </row>
    <row r="2910" spans="1:15" x14ac:dyDescent="0.25">
      <c r="A2910">
        <v>2909</v>
      </c>
      <c r="B2910" t="str">
        <f>HYPERLINK("https://digitalcommons.unl.edu/cgi/viewcontent.cgi?article=3182&amp;context=tractormuseumlit","Click for test report")</f>
        <v>Click for test report</v>
      </c>
      <c r="C2910">
        <v>2005</v>
      </c>
      <c r="E2910" t="s">
        <v>2649</v>
      </c>
      <c r="F2910" t="s">
        <v>1246</v>
      </c>
      <c r="G2910" t="s">
        <v>191</v>
      </c>
      <c r="H2910" t="s">
        <v>2650</v>
      </c>
      <c r="I2910" t="s">
        <v>50</v>
      </c>
      <c r="J2910" t="s">
        <v>20</v>
      </c>
      <c r="K2910" t="s">
        <v>21</v>
      </c>
      <c r="L2910" t="s">
        <v>764</v>
      </c>
      <c r="N2910" t="s">
        <v>1864</v>
      </c>
      <c r="O2910" t="s">
        <v>24</v>
      </c>
    </row>
    <row r="2911" spans="1:15" x14ac:dyDescent="0.25">
      <c r="A2911">
        <v>2910</v>
      </c>
      <c r="B2911" t="str">
        <f>HYPERLINK("https://digitalcommons.unl.edu/cgi/viewcontent.cgi?article=3183&amp;context=tractormuseumlit","Click for test report")</f>
        <v>Click for test report</v>
      </c>
      <c r="C2911">
        <v>2005</v>
      </c>
      <c r="E2911" t="s">
        <v>2647</v>
      </c>
      <c r="F2911" t="s">
        <v>1246</v>
      </c>
      <c r="G2911" t="s">
        <v>191</v>
      </c>
      <c r="H2911" t="s">
        <v>2648</v>
      </c>
      <c r="I2911" t="s">
        <v>50</v>
      </c>
      <c r="J2911" t="s">
        <v>20</v>
      </c>
      <c r="K2911" t="s">
        <v>21</v>
      </c>
      <c r="L2911" t="s">
        <v>716</v>
      </c>
      <c r="N2911" t="s">
        <v>1867</v>
      </c>
      <c r="O2911" t="s">
        <v>24</v>
      </c>
    </row>
    <row r="2912" spans="1:15" x14ac:dyDescent="0.25">
      <c r="A2912">
        <v>2911</v>
      </c>
      <c r="B2912" t="str">
        <f>HYPERLINK("https://digitalcommons.unl.edu/cgi/viewcontent.cgi?article=3184&amp;context=tractormuseumlit","Click for test report")</f>
        <v>Click for test report</v>
      </c>
      <c r="C2912">
        <v>2005</v>
      </c>
      <c r="E2912" t="s">
        <v>2645</v>
      </c>
      <c r="F2912" t="s">
        <v>1246</v>
      </c>
      <c r="G2912" t="s">
        <v>135</v>
      </c>
      <c r="H2912" t="s">
        <v>2646</v>
      </c>
      <c r="I2912" t="s">
        <v>50</v>
      </c>
      <c r="J2912" t="s">
        <v>20</v>
      </c>
      <c r="K2912" t="s">
        <v>21</v>
      </c>
      <c r="L2912" t="s">
        <v>764</v>
      </c>
      <c r="N2912" t="s">
        <v>1864</v>
      </c>
      <c r="O2912" t="s">
        <v>24</v>
      </c>
    </row>
    <row r="2913" spans="1:15" x14ac:dyDescent="0.25">
      <c r="A2913">
        <v>2912</v>
      </c>
      <c r="B2913" t="str">
        <f>HYPERLINK("https://digitalcommons.unl.edu/cgi/viewcontent.cgi?article=3184&amp;context=tractormuseumlit","Click for test report")</f>
        <v>Click for test report</v>
      </c>
      <c r="C2913">
        <v>2005</v>
      </c>
      <c r="E2913" t="s">
        <v>2645</v>
      </c>
      <c r="F2913" t="s">
        <v>1246</v>
      </c>
      <c r="G2913" t="s">
        <v>135</v>
      </c>
      <c r="H2913" t="s">
        <v>2646</v>
      </c>
      <c r="I2913" t="s">
        <v>50</v>
      </c>
      <c r="J2913" t="s">
        <v>348</v>
      </c>
      <c r="K2913" t="s">
        <v>21</v>
      </c>
      <c r="L2913" t="s">
        <v>764</v>
      </c>
      <c r="N2913" t="s">
        <v>725</v>
      </c>
      <c r="O2913" t="s">
        <v>24</v>
      </c>
    </row>
    <row r="2914" spans="1:15" x14ac:dyDescent="0.25">
      <c r="A2914">
        <v>2913</v>
      </c>
      <c r="B2914" t="str">
        <f>HYPERLINK("https://digitalcommons.unl.edu/cgi/viewcontent.cgi?article=3185&amp;context=tractormuseumlit","Click for test report")</f>
        <v>Click for test report</v>
      </c>
      <c r="C2914">
        <v>2005</v>
      </c>
      <c r="E2914" t="s">
        <v>2643</v>
      </c>
      <c r="F2914" t="s">
        <v>1246</v>
      </c>
      <c r="G2914" t="s">
        <v>135</v>
      </c>
      <c r="H2914" t="s">
        <v>2644</v>
      </c>
      <c r="I2914" t="s">
        <v>50</v>
      </c>
      <c r="J2914" t="s">
        <v>20</v>
      </c>
      <c r="K2914" t="s">
        <v>21</v>
      </c>
      <c r="L2914" t="s">
        <v>716</v>
      </c>
      <c r="N2914" t="s">
        <v>1867</v>
      </c>
      <c r="O2914" t="s">
        <v>24</v>
      </c>
    </row>
    <row r="2915" spans="1:15" x14ac:dyDescent="0.25">
      <c r="A2915">
        <v>2914</v>
      </c>
      <c r="B2915" t="str">
        <f>HYPERLINK("https://digitalcommons.unl.edu/cgi/viewcontent.cgi?article=1353&amp;context=tractormuseumlit","Click for test report")</f>
        <v>Click for test report</v>
      </c>
      <c r="C2915">
        <v>2005</v>
      </c>
      <c r="D2915" t="s">
        <v>2640</v>
      </c>
      <c r="E2915" t="s">
        <v>2641</v>
      </c>
      <c r="F2915" t="s">
        <v>111</v>
      </c>
      <c r="G2915" t="s">
        <v>414</v>
      </c>
      <c r="H2915" t="s">
        <v>2642</v>
      </c>
      <c r="I2915" t="s">
        <v>28</v>
      </c>
      <c r="J2915" t="s">
        <v>96</v>
      </c>
      <c r="K2915" t="s">
        <v>21</v>
      </c>
      <c r="L2915" t="s">
        <v>1947</v>
      </c>
      <c r="N2915" t="s">
        <v>504</v>
      </c>
      <c r="O2915" t="s">
        <v>24</v>
      </c>
    </row>
    <row r="2916" spans="1:15" x14ac:dyDescent="0.25">
      <c r="A2916">
        <v>2915</v>
      </c>
      <c r="B2916" t="str">
        <f>HYPERLINK("https://digitalcommons.unl.edu/cgi/viewcontent.cgi?article=1361&amp;context=tractormuseumlit","Click for test report")</f>
        <v>Click for test report</v>
      </c>
      <c r="C2916">
        <v>2005</v>
      </c>
      <c r="D2916" t="s">
        <v>2636</v>
      </c>
      <c r="E2916" t="s">
        <v>2637</v>
      </c>
      <c r="F2916" t="s">
        <v>111</v>
      </c>
      <c r="G2916" t="s">
        <v>414</v>
      </c>
      <c r="H2916" t="s">
        <v>2638</v>
      </c>
      <c r="I2916" t="s">
        <v>28</v>
      </c>
      <c r="J2916" t="s">
        <v>96</v>
      </c>
      <c r="K2916" t="s">
        <v>21</v>
      </c>
      <c r="L2916" t="s">
        <v>2639</v>
      </c>
      <c r="N2916" t="s">
        <v>1486</v>
      </c>
      <c r="O2916" t="s">
        <v>24</v>
      </c>
    </row>
    <row r="2917" spans="1:15" x14ac:dyDescent="0.25">
      <c r="A2917">
        <v>2916</v>
      </c>
      <c r="B2917" t="str">
        <f>HYPERLINK("https://digitalcommons.unl.edu/cgi/viewcontent.cgi?article=3688&amp;context=tractormuseumlit","Click for test report")</f>
        <v>Click for test report</v>
      </c>
      <c r="C2917">
        <v>2005</v>
      </c>
      <c r="D2917" t="s">
        <v>2635</v>
      </c>
      <c r="G2917" t="s">
        <v>322</v>
      </c>
      <c r="H2917" t="s">
        <v>24</v>
      </c>
      <c r="I2917" t="s">
        <v>24</v>
      </c>
      <c r="O2917" t="s">
        <v>24</v>
      </c>
    </row>
    <row r="2918" spans="1:15" x14ac:dyDescent="0.25">
      <c r="A2918">
        <v>2917</v>
      </c>
      <c r="B2918" t="str">
        <f>HYPERLINK("https://digitalcommons.unl.edu/cgi/viewcontent.cgi?article=1177&amp;context=tractormuseumlit","Click for test report")</f>
        <v>Click for test report</v>
      </c>
      <c r="C2918">
        <v>2005</v>
      </c>
      <c r="D2918" t="s">
        <v>2633</v>
      </c>
      <c r="F2918" t="s">
        <v>2631</v>
      </c>
      <c r="G2918" t="s">
        <v>111</v>
      </c>
      <c r="H2918" t="s">
        <v>2634</v>
      </c>
      <c r="I2918" t="s">
        <v>50</v>
      </c>
      <c r="J2918" t="s">
        <v>20</v>
      </c>
      <c r="K2918" t="s">
        <v>21</v>
      </c>
      <c r="L2918" t="s">
        <v>353</v>
      </c>
      <c r="O2918" t="s">
        <v>24</v>
      </c>
    </row>
    <row r="2919" spans="1:15" x14ac:dyDescent="0.25">
      <c r="A2919">
        <v>2918</v>
      </c>
      <c r="B2919" t="str">
        <f>HYPERLINK("https://digitalcommons.unl.edu/cgi/viewcontent.cgi?article=1178&amp;context=tractormuseumlit","Click for test report")</f>
        <v>Click for test report</v>
      </c>
      <c r="C2919">
        <v>2005</v>
      </c>
      <c r="D2919" t="s">
        <v>2630</v>
      </c>
      <c r="F2919" t="s">
        <v>2631</v>
      </c>
      <c r="G2919" t="s">
        <v>111</v>
      </c>
      <c r="H2919" t="s">
        <v>2632</v>
      </c>
      <c r="I2919" t="s">
        <v>50</v>
      </c>
      <c r="J2919" t="s">
        <v>20</v>
      </c>
      <c r="K2919" t="s">
        <v>21</v>
      </c>
      <c r="L2919" t="s">
        <v>740</v>
      </c>
      <c r="O2919" t="s">
        <v>24</v>
      </c>
    </row>
    <row r="2920" spans="1:15" x14ac:dyDescent="0.25">
      <c r="A2920">
        <v>2919</v>
      </c>
      <c r="B2920" t="str">
        <f>HYPERLINK("https://digitalcommons.unl.edu/cgi/viewcontent.cgi?article=3164&amp;context=tractormuseumlit","Click for test report")</f>
        <v>Click for test report</v>
      </c>
      <c r="C2920">
        <v>2005</v>
      </c>
      <c r="D2920" t="s">
        <v>2583</v>
      </c>
      <c r="F2920" t="s">
        <v>2574</v>
      </c>
      <c r="G2920" t="s">
        <v>778</v>
      </c>
      <c r="H2920" t="s">
        <v>2629</v>
      </c>
      <c r="I2920" t="s">
        <v>50</v>
      </c>
      <c r="J2920" t="s">
        <v>20</v>
      </c>
      <c r="K2920" t="s">
        <v>21</v>
      </c>
      <c r="L2920" t="s">
        <v>1371</v>
      </c>
      <c r="O2920" t="s">
        <v>24</v>
      </c>
    </row>
    <row r="2921" spans="1:15" x14ac:dyDescent="0.25">
      <c r="A2921">
        <v>2920</v>
      </c>
      <c r="B2921" t="str">
        <f>HYPERLINK("https://digitalcommons.unl.edu/cgi/viewcontent.cgi?article=3165&amp;context=tractormuseumlit","Click for test report")</f>
        <v>Click for test report</v>
      </c>
      <c r="C2921">
        <v>2005</v>
      </c>
      <c r="D2921" t="s">
        <v>2580</v>
      </c>
      <c r="F2921" t="s">
        <v>2574</v>
      </c>
      <c r="G2921" t="s">
        <v>778</v>
      </c>
      <c r="H2921" t="s">
        <v>2628</v>
      </c>
      <c r="I2921" t="s">
        <v>50</v>
      </c>
      <c r="J2921" t="s">
        <v>20</v>
      </c>
      <c r="K2921" t="s">
        <v>21</v>
      </c>
      <c r="L2921" t="s">
        <v>340</v>
      </c>
      <c r="O2921" t="s">
        <v>24</v>
      </c>
    </row>
    <row r="2922" spans="1:15" x14ac:dyDescent="0.25">
      <c r="A2922">
        <v>2921</v>
      </c>
      <c r="B2922" t="str">
        <f>HYPERLINK("https://digitalcommons.unl.edu/cgi/viewcontent.cgi?article=3166&amp;context=tractormuseumlit","Click for test report")</f>
        <v>Click for test report</v>
      </c>
      <c r="C2922">
        <v>2005</v>
      </c>
      <c r="D2922" t="s">
        <v>2625</v>
      </c>
      <c r="F2922" t="s">
        <v>17</v>
      </c>
      <c r="G2922" t="s">
        <v>17</v>
      </c>
      <c r="H2922" t="s">
        <v>2626</v>
      </c>
      <c r="I2922" t="s">
        <v>1008</v>
      </c>
      <c r="J2922" t="s">
        <v>20</v>
      </c>
      <c r="K2922" t="s">
        <v>21</v>
      </c>
      <c r="L2922" t="s">
        <v>2627</v>
      </c>
      <c r="O2922" t="s">
        <v>24</v>
      </c>
    </row>
    <row r="2923" spans="1:15" x14ac:dyDescent="0.25">
      <c r="A2923">
        <v>2922</v>
      </c>
      <c r="B2923" t="str">
        <f>HYPERLINK("https://digitalcommons.unl.edu/cgi/viewcontent.cgi?article=3167&amp;context=tractormuseumlit","Click for test report")</f>
        <v>Click for test report</v>
      </c>
      <c r="C2923">
        <v>2005</v>
      </c>
      <c r="D2923" t="s">
        <v>2624</v>
      </c>
      <c r="F2923" t="s">
        <v>17</v>
      </c>
      <c r="G2923" t="s">
        <v>17</v>
      </c>
      <c r="H2923" t="s">
        <v>1993</v>
      </c>
      <c r="I2923" t="s">
        <v>1008</v>
      </c>
      <c r="J2923" t="s">
        <v>20</v>
      </c>
      <c r="K2923" t="s">
        <v>21</v>
      </c>
      <c r="L2923" t="s">
        <v>410</v>
      </c>
      <c r="O2923" t="s">
        <v>24</v>
      </c>
    </row>
    <row r="2924" spans="1:15" x14ac:dyDescent="0.25">
      <c r="A2924">
        <v>2923</v>
      </c>
      <c r="B2924" t="str">
        <f>HYPERLINK("https://digitalcommons.unl.edu/cgi/viewcontent.cgi?article=3168&amp;context=tractormuseumlit","Click for test report")</f>
        <v>Click for test report</v>
      </c>
      <c r="C2924">
        <v>2005</v>
      </c>
      <c r="D2924" t="s">
        <v>2623</v>
      </c>
      <c r="F2924" t="s">
        <v>17</v>
      </c>
      <c r="G2924" t="s">
        <v>17</v>
      </c>
      <c r="H2924" t="s">
        <v>1990</v>
      </c>
      <c r="I2924" t="s">
        <v>1008</v>
      </c>
      <c r="J2924" t="s">
        <v>20</v>
      </c>
      <c r="K2924" t="s">
        <v>21</v>
      </c>
      <c r="L2924" t="s">
        <v>750</v>
      </c>
      <c r="O2924" t="s">
        <v>24</v>
      </c>
    </row>
    <row r="2925" spans="1:15" x14ac:dyDescent="0.25">
      <c r="A2925">
        <v>2924</v>
      </c>
      <c r="B2925" t="str">
        <f>HYPERLINK("https://digitalcommons.unl.edu/cgi/viewcontent.cgi?article=1259&amp;context=tractormuseumlit","Click for test report")</f>
        <v>Click for test report</v>
      </c>
      <c r="C2925">
        <v>2005</v>
      </c>
      <c r="D2925" t="s">
        <v>2620</v>
      </c>
      <c r="E2925" t="s">
        <v>2621</v>
      </c>
      <c r="F2925" t="s">
        <v>2537</v>
      </c>
      <c r="G2925" t="s">
        <v>2537</v>
      </c>
      <c r="H2925" t="s">
        <v>2622</v>
      </c>
      <c r="I2925" t="s">
        <v>19</v>
      </c>
      <c r="J2925" t="s">
        <v>348</v>
      </c>
      <c r="K2925" t="s">
        <v>21</v>
      </c>
      <c r="L2925" t="s">
        <v>46</v>
      </c>
      <c r="N2925" t="s">
        <v>55</v>
      </c>
      <c r="O2925" t="s">
        <v>24</v>
      </c>
    </row>
    <row r="2926" spans="1:15" x14ac:dyDescent="0.25">
      <c r="A2926">
        <v>2925</v>
      </c>
      <c r="B2926" t="str">
        <f>HYPERLINK("https://digitalcommons.unl.edu/cgi/viewcontent.cgi?article=1259&amp;context=tractormuseumlit","Click for test report")</f>
        <v>Click for test report</v>
      </c>
      <c r="C2926">
        <v>2005</v>
      </c>
      <c r="D2926" t="s">
        <v>2620</v>
      </c>
      <c r="E2926" t="s">
        <v>2621</v>
      </c>
      <c r="F2926" t="s">
        <v>2537</v>
      </c>
      <c r="G2926" t="s">
        <v>2537</v>
      </c>
      <c r="H2926" t="s">
        <v>2622</v>
      </c>
      <c r="I2926" t="s">
        <v>19</v>
      </c>
      <c r="J2926" t="s">
        <v>20</v>
      </c>
      <c r="K2926" t="s">
        <v>21</v>
      </c>
      <c r="L2926" t="s">
        <v>46</v>
      </c>
      <c r="N2926" t="s">
        <v>55</v>
      </c>
      <c r="O2926" t="s">
        <v>24</v>
      </c>
    </row>
    <row r="2927" spans="1:15" x14ac:dyDescent="0.25">
      <c r="A2927">
        <v>2926</v>
      </c>
      <c r="B2927" t="str">
        <f>HYPERLINK("https://digitalcommons.unl.edu/cgi/viewcontent.cgi?article=1260&amp;context=tractormuseumlit","Click for test report")</f>
        <v>Click for test report</v>
      </c>
      <c r="C2927">
        <v>2005</v>
      </c>
      <c r="D2927" t="s">
        <v>2617</v>
      </c>
      <c r="E2927" t="s">
        <v>2618</v>
      </c>
      <c r="F2927" t="s">
        <v>2537</v>
      </c>
      <c r="G2927" t="s">
        <v>2537</v>
      </c>
      <c r="H2927" t="s">
        <v>2619</v>
      </c>
      <c r="I2927" t="s">
        <v>19</v>
      </c>
      <c r="J2927" t="s">
        <v>348</v>
      </c>
      <c r="K2927" t="s">
        <v>21</v>
      </c>
      <c r="L2927" t="s">
        <v>22</v>
      </c>
      <c r="N2927" t="s">
        <v>131</v>
      </c>
      <c r="O2927" t="s">
        <v>24</v>
      </c>
    </row>
    <row r="2928" spans="1:15" x14ac:dyDescent="0.25">
      <c r="A2928">
        <v>2927</v>
      </c>
      <c r="B2928" t="str">
        <f>HYPERLINK("https://digitalcommons.unl.edu/cgi/viewcontent.cgi?article=1260&amp;context=tractormuseumlit","Click for test report")</f>
        <v>Click for test report</v>
      </c>
      <c r="C2928">
        <v>2005</v>
      </c>
      <c r="D2928" t="s">
        <v>2617</v>
      </c>
      <c r="E2928" t="s">
        <v>2618</v>
      </c>
      <c r="F2928" t="s">
        <v>2537</v>
      </c>
      <c r="G2928" t="s">
        <v>2537</v>
      </c>
      <c r="H2928" t="s">
        <v>2619</v>
      </c>
      <c r="I2928" t="s">
        <v>19</v>
      </c>
      <c r="J2928" t="s">
        <v>20</v>
      </c>
      <c r="K2928" t="s">
        <v>21</v>
      </c>
      <c r="L2928" t="s">
        <v>22</v>
      </c>
      <c r="N2928" t="s">
        <v>339</v>
      </c>
      <c r="O2928" t="s">
        <v>24</v>
      </c>
    </row>
    <row r="2929" spans="1:15" x14ac:dyDescent="0.25">
      <c r="A2929">
        <v>2928</v>
      </c>
      <c r="B2929" t="str">
        <f>HYPERLINK("https://digitalcommons.unl.edu/cgi/viewcontent.cgi?article=1261&amp;context=tractormuseumlit","Click for test report")</f>
        <v>Click for test report</v>
      </c>
      <c r="C2929">
        <v>2005</v>
      </c>
      <c r="D2929" t="s">
        <v>2614</v>
      </c>
      <c r="E2929" t="s">
        <v>2615</v>
      </c>
      <c r="F2929" t="s">
        <v>2537</v>
      </c>
      <c r="G2929" t="s">
        <v>2537</v>
      </c>
      <c r="H2929" t="s">
        <v>2616</v>
      </c>
      <c r="I2929" t="s">
        <v>19</v>
      </c>
      <c r="J2929" t="s">
        <v>348</v>
      </c>
      <c r="K2929" t="s">
        <v>21</v>
      </c>
      <c r="L2929" t="s">
        <v>774</v>
      </c>
      <c r="N2929" t="s">
        <v>446</v>
      </c>
      <c r="O2929" t="s">
        <v>24</v>
      </c>
    </row>
    <row r="2930" spans="1:15" x14ac:dyDescent="0.25">
      <c r="A2930">
        <v>2929</v>
      </c>
      <c r="B2930" t="str">
        <f>HYPERLINK("https://digitalcommons.unl.edu/cgi/viewcontent.cgi?article=1261&amp;context=tractormuseumlit","Click for test report")</f>
        <v>Click for test report</v>
      </c>
      <c r="C2930">
        <v>2005</v>
      </c>
      <c r="D2930" t="s">
        <v>2614</v>
      </c>
      <c r="E2930" t="s">
        <v>2615</v>
      </c>
      <c r="F2930" t="s">
        <v>2537</v>
      </c>
      <c r="G2930" t="s">
        <v>2537</v>
      </c>
      <c r="H2930" t="s">
        <v>2616</v>
      </c>
      <c r="I2930" t="s">
        <v>19</v>
      </c>
      <c r="J2930" t="s">
        <v>20</v>
      </c>
      <c r="K2930" t="s">
        <v>21</v>
      </c>
      <c r="L2930" t="s">
        <v>774</v>
      </c>
      <c r="N2930" t="s">
        <v>122</v>
      </c>
      <c r="O2930" t="s">
        <v>24</v>
      </c>
    </row>
    <row r="2931" spans="1:15" x14ac:dyDescent="0.25">
      <c r="A2931">
        <v>2930</v>
      </c>
      <c r="B2931" t="str">
        <f>HYPERLINK("https://digitalcommons.unl.edu/cgi/viewcontent.cgi?article=1351&amp;context=tractormuseumlit","Click for test report")</f>
        <v>Click for test report</v>
      </c>
      <c r="C2931">
        <v>2005</v>
      </c>
      <c r="D2931" t="s">
        <v>2611</v>
      </c>
      <c r="E2931" t="s">
        <v>2612</v>
      </c>
      <c r="F2931" t="s">
        <v>111</v>
      </c>
      <c r="G2931" t="s">
        <v>414</v>
      </c>
      <c r="H2931" t="s">
        <v>2613</v>
      </c>
      <c r="I2931" t="s">
        <v>28</v>
      </c>
      <c r="J2931" t="s">
        <v>96</v>
      </c>
      <c r="K2931" t="s">
        <v>21</v>
      </c>
      <c r="L2931" t="s">
        <v>1237</v>
      </c>
      <c r="N2931" t="s">
        <v>70</v>
      </c>
      <c r="O2931" t="s">
        <v>24</v>
      </c>
    </row>
    <row r="2932" spans="1:15" x14ac:dyDescent="0.25">
      <c r="A2932">
        <v>2931</v>
      </c>
      <c r="B2932" t="str">
        <f>HYPERLINK("https://digitalcommons.unl.edu/cgi/viewcontent.cgi?article=1355&amp;context=tractormuseumlit","Click for test report")</f>
        <v>Click for test report</v>
      </c>
      <c r="C2932">
        <v>2005</v>
      </c>
      <c r="D2932" t="s">
        <v>2608</v>
      </c>
      <c r="E2932" t="s">
        <v>2609</v>
      </c>
      <c r="F2932" t="s">
        <v>111</v>
      </c>
      <c r="G2932" t="s">
        <v>414</v>
      </c>
      <c r="H2932" t="s">
        <v>2610</v>
      </c>
      <c r="I2932" t="s">
        <v>28</v>
      </c>
      <c r="J2932" t="s">
        <v>96</v>
      </c>
      <c r="K2932" t="s">
        <v>21</v>
      </c>
      <c r="L2932" t="s">
        <v>981</v>
      </c>
      <c r="N2932" t="s">
        <v>995</v>
      </c>
      <c r="O2932" t="s">
        <v>24</v>
      </c>
    </row>
    <row r="2933" spans="1:15" x14ac:dyDescent="0.25">
      <c r="A2933">
        <v>2932</v>
      </c>
      <c r="B2933" t="str">
        <f>HYPERLINK("https://digitalcommons.unl.edu/cgi/viewcontent.cgi?article=1357&amp;context=tractormuseumlit","Click for test report")</f>
        <v>Click for test report</v>
      </c>
      <c r="C2933">
        <v>2005</v>
      </c>
      <c r="D2933" t="s">
        <v>2605</v>
      </c>
      <c r="E2933" t="s">
        <v>2606</v>
      </c>
      <c r="F2933" t="s">
        <v>111</v>
      </c>
      <c r="G2933" t="s">
        <v>414</v>
      </c>
      <c r="H2933" t="s">
        <v>2607</v>
      </c>
      <c r="I2933" t="s">
        <v>28</v>
      </c>
      <c r="J2933" t="s">
        <v>96</v>
      </c>
      <c r="K2933" t="s">
        <v>21</v>
      </c>
      <c r="L2933" t="s">
        <v>1069</v>
      </c>
      <c r="N2933" t="s">
        <v>981</v>
      </c>
      <c r="O2933" t="s">
        <v>24</v>
      </c>
    </row>
    <row r="2934" spans="1:15" x14ac:dyDescent="0.25">
      <c r="A2934">
        <v>2933</v>
      </c>
      <c r="B2934" t="str">
        <f>HYPERLINK("https://digitalcommons.unl.edu/cgi/viewcontent.cgi?article=1359&amp;context=tractormuseumlit","Click for test report")</f>
        <v>Click for test report</v>
      </c>
      <c r="C2934">
        <v>2005</v>
      </c>
      <c r="D2934" t="s">
        <v>2602</v>
      </c>
      <c r="E2934" t="s">
        <v>2603</v>
      </c>
      <c r="F2934" t="s">
        <v>111</v>
      </c>
      <c r="G2934" t="s">
        <v>414</v>
      </c>
      <c r="H2934" t="s">
        <v>2604</v>
      </c>
      <c r="I2934" t="s">
        <v>28</v>
      </c>
      <c r="J2934" t="s">
        <v>96</v>
      </c>
      <c r="K2934" t="s">
        <v>21</v>
      </c>
      <c r="L2934" t="s">
        <v>1933</v>
      </c>
      <c r="N2934" t="s">
        <v>1934</v>
      </c>
      <c r="O2934" t="s">
        <v>24</v>
      </c>
    </row>
    <row r="2935" spans="1:15" x14ac:dyDescent="0.25">
      <c r="A2935">
        <v>2934</v>
      </c>
      <c r="B2935" t="str">
        <f>HYPERLINK("https://digitalcommons.unl.edu/cgi/viewcontent.cgi?article=3169&amp;context=tractormuseumlit","Click for test report")</f>
        <v>Click for test report</v>
      </c>
      <c r="C2935">
        <v>2005</v>
      </c>
      <c r="D2935" t="s">
        <v>2600</v>
      </c>
      <c r="F2935" t="s">
        <v>2574</v>
      </c>
      <c r="G2935" t="s">
        <v>778</v>
      </c>
      <c r="H2935" t="s">
        <v>2601</v>
      </c>
      <c r="I2935" t="s">
        <v>50</v>
      </c>
      <c r="J2935" t="s">
        <v>20</v>
      </c>
      <c r="K2935" t="s">
        <v>21</v>
      </c>
      <c r="L2935" t="s">
        <v>407</v>
      </c>
      <c r="O2935" t="s">
        <v>24</v>
      </c>
    </row>
    <row r="2936" spans="1:15" x14ac:dyDescent="0.25">
      <c r="A2936">
        <v>2935</v>
      </c>
      <c r="B2936" t="str">
        <f>HYPERLINK("https://digitalcommons.unl.edu/cgi/viewcontent.cgi?article=3170&amp;context=tractormuseumlit","Click for test report")</f>
        <v>Click for test report</v>
      </c>
      <c r="C2936">
        <v>2005</v>
      </c>
      <c r="D2936" t="s">
        <v>2577</v>
      </c>
      <c r="F2936" t="s">
        <v>2574</v>
      </c>
      <c r="G2936" t="s">
        <v>778</v>
      </c>
      <c r="H2936" t="s">
        <v>2599</v>
      </c>
      <c r="I2936" t="s">
        <v>50</v>
      </c>
      <c r="J2936" t="s">
        <v>348</v>
      </c>
      <c r="K2936" t="s">
        <v>21</v>
      </c>
      <c r="L2936" t="s">
        <v>349</v>
      </c>
      <c r="O2936" t="s">
        <v>24</v>
      </c>
    </row>
    <row r="2937" spans="1:15" x14ac:dyDescent="0.25">
      <c r="A2937">
        <v>2936</v>
      </c>
      <c r="B2937" t="str">
        <f>HYPERLINK("https://digitalcommons.unl.edu/cgi/viewcontent.cgi?article=3338&amp;context=tractormuseumlit","Click for test report")</f>
        <v>Click for test report</v>
      </c>
      <c r="C2937">
        <v>2005</v>
      </c>
      <c r="D2937" t="s">
        <v>2573</v>
      </c>
      <c r="F2937" t="s">
        <v>2574</v>
      </c>
      <c r="G2937" t="s">
        <v>778</v>
      </c>
      <c r="H2937" t="s">
        <v>2598</v>
      </c>
      <c r="I2937" t="s">
        <v>50</v>
      </c>
      <c r="J2937" t="s">
        <v>348</v>
      </c>
      <c r="K2937" t="s">
        <v>21</v>
      </c>
      <c r="L2937" t="s">
        <v>743</v>
      </c>
      <c r="O2937" t="s">
        <v>24</v>
      </c>
    </row>
    <row r="2938" spans="1:15" x14ac:dyDescent="0.25">
      <c r="A2938">
        <v>2937</v>
      </c>
      <c r="B2938" t="str">
        <f>HYPERLINK("https://digitalcommons.unl.edu/cgi/viewcontent.cgi?article=3172&amp;context=tractormuseumlit","Click for test report")</f>
        <v>Click for test report</v>
      </c>
      <c r="C2938">
        <v>2005</v>
      </c>
      <c r="D2938" t="s">
        <v>2596</v>
      </c>
      <c r="F2938" t="s">
        <v>17</v>
      </c>
      <c r="G2938" t="s">
        <v>17</v>
      </c>
      <c r="H2938" t="s">
        <v>2597</v>
      </c>
      <c r="I2938" t="s">
        <v>50</v>
      </c>
      <c r="J2938" t="s">
        <v>20</v>
      </c>
      <c r="K2938" t="s">
        <v>21</v>
      </c>
      <c r="L2938" t="s">
        <v>410</v>
      </c>
      <c r="O2938" t="s">
        <v>24</v>
      </c>
    </row>
    <row r="2939" spans="1:15" x14ac:dyDescent="0.25">
      <c r="A2939">
        <v>2938</v>
      </c>
      <c r="B2939" t="str">
        <f>HYPERLINK("https://digitalcommons.unl.edu/cgi/viewcontent.cgi?article=3173&amp;context=tractormuseumlit","Click for test report")</f>
        <v>Click for test report</v>
      </c>
      <c r="C2939">
        <v>2005</v>
      </c>
      <c r="D2939" t="s">
        <v>2594</v>
      </c>
      <c r="F2939" t="s">
        <v>17</v>
      </c>
      <c r="G2939" t="s">
        <v>17</v>
      </c>
      <c r="H2939" t="s">
        <v>2595</v>
      </c>
      <c r="I2939" t="s">
        <v>50</v>
      </c>
      <c r="J2939" t="s">
        <v>20</v>
      </c>
      <c r="K2939" t="s">
        <v>21</v>
      </c>
      <c r="L2939" t="s">
        <v>404</v>
      </c>
      <c r="O2939" t="s">
        <v>24</v>
      </c>
    </row>
    <row r="2940" spans="1:15" x14ac:dyDescent="0.25">
      <c r="A2940">
        <v>2939</v>
      </c>
      <c r="B2940" t="str">
        <f>HYPERLINK("https://digitalcommons.unl.edu/cgi/viewcontent.cgi?article=3174&amp;context=tractormuseumlit","Click for test report")</f>
        <v>Click for test report</v>
      </c>
      <c r="C2940">
        <v>2005</v>
      </c>
      <c r="D2940" t="s">
        <v>2593</v>
      </c>
      <c r="F2940" t="s">
        <v>17</v>
      </c>
      <c r="G2940" t="s">
        <v>17</v>
      </c>
      <c r="H2940" t="s">
        <v>2063</v>
      </c>
      <c r="I2940" t="s">
        <v>50</v>
      </c>
      <c r="J2940" t="s">
        <v>20</v>
      </c>
      <c r="K2940" t="s">
        <v>21</v>
      </c>
      <c r="L2940" t="s">
        <v>747</v>
      </c>
      <c r="O2940" t="s">
        <v>24</v>
      </c>
    </row>
    <row r="2941" spans="1:15" x14ac:dyDescent="0.25">
      <c r="A2941">
        <v>2940</v>
      </c>
      <c r="B2941" t="str">
        <f>HYPERLINK("https://digitalcommons.unl.edu/cgi/viewcontent.cgi?article=3175&amp;context=tractormuseumlit","Click for test report")</f>
        <v>Click for test report</v>
      </c>
      <c r="C2941">
        <v>2005</v>
      </c>
      <c r="D2941" t="s">
        <v>2591</v>
      </c>
      <c r="F2941" t="s">
        <v>17</v>
      </c>
      <c r="G2941" t="s">
        <v>17</v>
      </c>
      <c r="H2941" t="s">
        <v>2592</v>
      </c>
      <c r="I2941" t="s">
        <v>50</v>
      </c>
      <c r="J2941" t="s">
        <v>20</v>
      </c>
      <c r="K2941" t="s">
        <v>21</v>
      </c>
      <c r="L2941" t="s">
        <v>740</v>
      </c>
      <c r="O2941" t="s">
        <v>24</v>
      </c>
    </row>
    <row r="2942" spans="1:15" x14ac:dyDescent="0.25">
      <c r="A2942">
        <v>2941</v>
      </c>
      <c r="B2942" t="str">
        <f>HYPERLINK("https://digitalcommons.unl.edu/cgi/viewcontent.cgi?article=1362&amp;context=tractormuseumlit","Click for test report")</f>
        <v>Click for test report</v>
      </c>
      <c r="C2942">
        <v>2005</v>
      </c>
      <c r="D2942" t="s">
        <v>2587</v>
      </c>
      <c r="E2942" t="s">
        <v>2588</v>
      </c>
      <c r="F2942" t="s">
        <v>111</v>
      </c>
      <c r="G2942" t="s">
        <v>414</v>
      </c>
      <c r="H2942" t="s">
        <v>2589</v>
      </c>
      <c r="I2942" t="s">
        <v>28</v>
      </c>
      <c r="J2942" t="s">
        <v>96</v>
      </c>
      <c r="K2942" t="s">
        <v>21</v>
      </c>
      <c r="N2942" t="s">
        <v>2590</v>
      </c>
      <c r="O2942" t="s">
        <v>2163</v>
      </c>
    </row>
    <row r="2943" spans="1:15" x14ac:dyDescent="0.25">
      <c r="A2943">
        <v>2942</v>
      </c>
      <c r="B2943" t="str">
        <f>HYPERLINK("https://digitalcommons.unl.edu/cgi/viewcontent.cgi?article=3163&amp;context=tractormuseumlit","Click for test report")</f>
        <v>Click for test report</v>
      </c>
      <c r="C2943">
        <v>2006</v>
      </c>
      <c r="E2943" t="s">
        <v>2586</v>
      </c>
      <c r="F2943" t="s">
        <v>778</v>
      </c>
      <c r="G2943" t="s">
        <v>778</v>
      </c>
      <c r="H2943" t="s">
        <v>2048</v>
      </c>
      <c r="I2943" t="s">
        <v>19</v>
      </c>
      <c r="J2943" t="s">
        <v>348</v>
      </c>
      <c r="K2943" t="s">
        <v>21</v>
      </c>
      <c r="L2943" t="s">
        <v>364</v>
      </c>
      <c r="N2943" t="s">
        <v>565</v>
      </c>
      <c r="O2943" t="s">
        <v>24</v>
      </c>
    </row>
    <row r="2944" spans="1:15" x14ac:dyDescent="0.25">
      <c r="A2944">
        <v>2943</v>
      </c>
      <c r="B2944" t="str">
        <f>HYPERLINK("https://digitalcommons.unl.edu/cgi/viewcontent.cgi?article=3163&amp;context=tractormuseumlit","Click for test report")</f>
        <v>Click for test report</v>
      </c>
      <c r="C2944">
        <v>2006</v>
      </c>
      <c r="E2944" t="s">
        <v>2586</v>
      </c>
      <c r="F2944" t="s">
        <v>778</v>
      </c>
      <c r="G2944" t="s">
        <v>778</v>
      </c>
      <c r="H2944" t="s">
        <v>2048</v>
      </c>
      <c r="I2944" t="s">
        <v>19</v>
      </c>
      <c r="J2944" t="s">
        <v>20</v>
      </c>
      <c r="K2944" t="s">
        <v>21</v>
      </c>
      <c r="L2944" t="s">
        <v>364</v>
      </c>
      <c r="N2944" t="s">
        <v>461</v>
      </c>
      <c r="O2944" t="s">
        <v>24</v>
      </c>
    </row>
    <row r="2945" spans="1:15" x14ac:dyDescent="0.25">
      <c r="A2945">
        <v>2944</v>
      </c>
      <c r="B2945" t="str">
        <f>HYPERLINK("https://digitalcommons.unl.edu/cgi/viewcontent.cgi?article=3164&amp;context=tractormuseumlit","Click for test report")</f>
        <v>Click for test report</v>
      </c>
      <c r="C2945">
        <v>2006</v>
      </c>
      <c r="D2945" t="s">
        <v>2583</v>
      </c>
      <c r="F2945" t="s">
        <v>2574</v>
      </c>
      <c r="G2945" t="s">
        <v>778</v>
      </c>
      <c r="H2945" t="s">
        <v>2584</v>
      </c>
      <c r="I2945" t="s">
        <v>50</v>
      </c>
      <c r="J2945" t="s">
        <v>20</v>
      </c>
      <c r="K2945" t="s">
        <v>21</v>
      </c>
      <c r="L2945" t="s">
        <v>1371</v>
      </c>
      <c r="O2945" t="s">
        <v>2585</v>
      </c>
    </row>
    <row r="2946" spans="1:15" x14ac:dyDescent="0.25">
      <c r="A2946">
        <v>2945</v>
      </c>
      <c r="B2946" t="str">
        <f>HYPERLINK("https://digitalcommons.unl.edu/cgi/viewcontent.cgi?article=3165&amp;context=tractormuseumlit","Click for test report")</f>
        <v>Click for test report</v>
      </c>
      <c r="C2946">
        <v>2006</v>
      </c>
      <c r="D2946" t="s">
        <v>2580</v>
      </c>
      <c r="F2946" t="s">
        <v>2574</v>
      </c>
      <c r="G2946" t="s">
        <v>778</v>
      </c>
      <c r="H2946" t="s">
        <v>2581</v>
      </c>
      <c r="I2946" t="s">
        <v>50</v>
      </c>
      <c r="J2946" t="s">
        <v>20</v>
      </c>
      <c r="K2946" t="s">
        <v>21</v>
      </c>
      <c r="L2946" t="s">
        <v>340</v>
      </c>
      <c r="O2946" t="s">
        <v>2582</v>
      </c>
    </row>
    <row r="2947" spans="1:15" x14ac:dyDescent="0.25">
      <c r="A2947">
        <v>2946</v>
      </c>
      <c r="B2947" t="str">
        <f>HYPERLINK("https://digitalcommons.unl.edu/cgi/viewcontent.cgi?article=3170&amp;context=tractormuseumlit","Click for test report")</f>
        <v>Click for test report</v>
      </c>
      <c r="C2947">
        <v>2006</v>
      </c>
      <c r="D2947" t="s">
        <v>2577</v>
      </c>
      <c r="F2947" t="s">
        <v>2574</v>
      </c>
      <c r="G2947" t="s">
        <v>778</v>
      </c>
      <c r="H2947" t="s">
        <v>2578</v>
      </c>
      <c r="I2947" t="s">
        <v>50</v>
      </c>
      <c r="J2947" t="s">
        <v>348</v>
      </c>
      <c r="K2947" t="s">
        <v>21</v>
      </c>
      <c r="L2947" t="s">
        <v>349</v>
      </c>
      <c r="O2947" t="s">
        <v>2579</v>
      </c>
    </row>
    <row r="2948" spans="1:15" x14ac:dyDescent="0.25">
      <c r="A2948">
        <v>2947</v>
      </c>
      <c r="B2948" t="str">
        <f>HYPERLINK("https://digitalcommons.unl.edu/cgi/viewcontent.cgi?article=3338&amp;context=tractormuseumlit","Click for test report")</f>
        <v>Click for test report</v>
      </c>
      <c r="C2948">
        <v>2006</v>
      </c>
      <c r="D2948" t="s">
        <v>2573</v>
      </c>
      <c r="F2948" t="s">
        <v>2574</v>
      </c>
      <c r="G2948" t="s">
        <v>778</v>
      </c>
      <c r="H2948" t="s">
        <v>2575</v>
      </c>
      <c r="I2948" t="s">
        <v>50</v>
      </c>
      <c r="J2948" t="s">
        <v>348</v>
      </c>
      <c r="K2948" t="s">
        <v>21</v>
      </c>
      <c r="L2948" t="s">
        <v>743</v>
      </c>
      <c r="O2948" t="s">
        <v>2576</v>
      </c>
    </row>
    <row r="2949" spans="1:15" x14ac:dyDescent="0.25">
      <c r="A2949">
        <v>2948</v>
      </c>
      <c r="B2949" t="str">
        <f>HYPERLINK("https://digitalcommons.unl.edu/cgi/viewcontent.cgi?article=3155&amp;context=tractormuseumlit","Click for test report")</f>
        <v>Click for test report</v>
      </c>
      <c r="C2949">
        <v>2006</v>
      </c>
      <c r="D2949" t="s">
        <v>2571</v>
      </c>
      <c r="F2949" t="s">
        <v>17</v>
      </c>
      <c r="G2949" t="s">
        <v>17</v>
      </c>
      <c r="H2949" t="s">
        <v>2572</v>
      </c>
      <c r="I2949" t="s">
        <v>50</v>
      </c>
      <c r="J2949" t="s">
        <v>348</v>
      </c>
      <c r="K2949" t="s">
        <v>21</v>
      </c>
      <c r="L2949" t="s">
        <v>2090</v>
      </c>
      <c r="O2949" t="s">
        <v>24</v>
      </c>
    </row>
    <row r="2950" spans="1:15" x14ac:dyDescent="0.25">
      <c r="A2950">
        <v>2949</v>
      </c>
      <c r="B2950" t="str">
        <f>HYPERLINK("https://digitalcommons.unl.edu/cgi/viewcontent.cgi?article=3156&amp;context=tractormuseumlit","Click for test report")</f>
        <v>Click for test report</v>
      </c>
      <c r="C2950">
        <v>2006</v>
      </c>
      <c r="D2950" t="s">
        <v>2569</v>
      </c>
      <c r="F2950" t="s">
        <v>17</v>
      </c>
      <c r="G2950" t="s">
        <v>17</v>
      </c>
      <c r="H2950" t="s">
        <v>2570</v>
      </c>
      <c r="I2950" t="s">
        <v>50</v>
      </c>
      <c r="J2950" t="s">
        <v>348</v>
      </c>
      <c r="K2950" t="s">
        <v>21</v>
      </c>
      <c r="L2950" t="s">
        <v>2188</v>
      </c>
      <c r="O2950" t="s">
        <v>24</v>
      </c>
    </row>
    <row r="2951" spans="1:15" x14ac:dyDescent="0.25">
      <c r="A2951">
        <v>2950</v>
      </c>
      <c r="B2951" t="str">
        <f>HYPERLINK("https://digitalcommons.unl.edu/cgi/viewcontent.cgi?article=3157&amp;context=tractormuseumlit","Click for test report")</f>
        <v>Click for test report</v>
      </c>
      <c r="C2951">
        <v>2006</v>
      </c>
      <c r="D2951" t="s">
        <v>2567</v>
      </c>
      <c r="F2951" t="s">
        <v>17</v>
      </c>
      <c r="G2951" t="s">
        <v>17</v>
      </c>
      <c r="H2951" t="s">
        <v>2568</v>
      </c>
      <c r="I2951" t="s">
        <v>50</v>
      </c>
      <c r="J2951" t="s">
        <v>348</v>
      </c>
      <c r="K2951" t="s">
        <v>21</v>
      </c>
      <c r="L2951" t="s">
        <v>1970</v>
      </c>
      <c r="O2951" t="s">
        <v>24</v>
      </c>
    </row>
    <row r="2952" spans="1:15" x14ac:dyDescent="0.25">
      <c r="A2952">
        <v>2951</v>
      </c>
      <c r="B2952" t="str">
        <f>HYPERLINK("https://digitalcommons.unl.edu/cgi/viewcontent.cgi?article=1195&amp;context=tractormuseumlit","Click for test report")</f>
        <v>Click for test report</v>
      </c>
      <c r="C2952">
        <v>2006</v>
      </c>
      <c r="D2952" t="s">
        <v>2565</v>
      </c>
      <c r="E2952" t="s">
        <v>2566</v>
      </c>
      <c r="F2952" t="s">
        <v>17</v>
      </c>
      <c r="G2952" t="s">
        <v>17</v>
      </c>
      <c r="H2952" t="s">
        <v>2564</v>
      </c>
      <c r="I2952" t="s">
        <v>28</v>
      </c>
      <c r="J2952" t="s">
        <v>20</v>
      </c>
      <c r="K2952" t="s">
        <v>21</v>
      </c>
      <c r="L2952" t="s">
        <v>231</v>
      </c>
      <c r="N2952" t="s">
        <v>1213</v>
      </c>
      <c r="O2952" t="s">
        <v>24</v>
      </c>
    </row>
    <row r="2953" spans="1:15" x14ac:dyDescent="0.25">
      <c r="A2953">
        <v>2952</v>
      </c>
      <c r="B2953" t="str">
        <f>HYPERLINK("https://digitalcommons.unl.edu/cgi/viewcontent.cgi?article=1196&amp;context=tractormuseumlit","Click for test report")</f>
        <v>Click for test report</v>
      </c>
      <c r="C2953">
        <v>2006</v>
      </c>
      <c r="D2953" t="s">
        <v>2562</v>
      </c>
      <c r="E2953" t="s">
        <v>2563</v>
      </c>
      <c r="F2953" t="s">
        <v>17</v>
      </c>
      <c r="G2953" t="s">
        <v>17</v>
      </c>
      <c r="H2953" t="s">
        <v>2564</v>
      </c>
      <c r="I2953" t="s">
        <v>64</v>
      </c>
      <c r="J2953" t="s">
        <v>20</v>
      </c>
      <c r="K2953" t="s">
        <v>21</v>
      </c>
      <c r="L2953" t="s">
        <v>231</v>
      </c>
      <c r="N2953" t="s">
        <v>813</v>
      </c>
      <c r="O2953" t="s">
        <v>1871</v>
      </c>
    </row>
    <row r="2954" spans="1:15" x14ac:dyDescent="0.25">
      <c r="A2954">
        <v>2953</v>
      </c>
      <c r="B2954" t="str">
        <f>HYPERLINK("https://digitalcommons.unl.edu/cgi/viewcontent.cgi?article=1341&amp;context=tractormuseumlit","Click for test report")</f>
        <v>Click for test report</v>
      </c>
      <c r="C2954">
        <v>2006</v>
      </c>
      <c r="D2954" t="s">
        <v>2559</v>
      </c>
      <c r="E2954" t="s">
        <v>2560</v>
      </c>
      <c r="F2954" t="s">
        <v>111</v>
      </c>
      <c r="G2954" t="s">
        <v>414</v>
      </c>
      <c r="H2954" t="s">
        <v>2561</v>
      </c>
      <c r="I2954" t="s">
        <v>64</v>
      </c>
      <c r="J2954" t="s">
        <v>20</v>
      </c>
      <c r="K2954" t="s">
        <v>21</v>
      </c>
      <c r="L2954" t="s">
        <v>434</v>
      </c>
      <c r="N2954" t="s">
        <v>402</v>
      </c>
      <c r="O2954" t="s">
        <v>1871</v>
      </c>
    </row>
    <row r="2955" spans="1:15" x14ac:dyDescent="0.25">
      <c r="A2955">
        <v>2954</v>
      </c>
      <c r="B2955" t="str">
        <f>HYPERLINK("https://digitalcommons.unl.edu/cgi/viewcontent.cgi?article=1343&amp;context=tractormuseumlit","Click for test report")</f>
        <v>Click for test report</v>
      </c>
      <c r="C2955">
        <v>2006</v>
      </c>
      <c r="D2955" t="s">
        <v>2556</v>
      </c>
      <c r="E2955" t="s">
        <v>2557</v>
      </c>
      <c r="F2955" t="s">
        <v>111</v>
      </c>
      <c r="G2955" t="s">
        <v>414</v>
      </c>
      <c r="H2955" t="s">
        <v>2558</v>
      </c>
      <c r="I2955" t="s">
        <v>64</v>
      </c>
      <c r="J2955" t="s">
        <v>20</v>
      </c>
      <c r="K2955" t="s">
        <v>21</v>
      </c>
      <c r="L2955" t="s">
        <v>114</v>
      </c>
      <c r="N2955" t="s">
        <v>1449</v>
      </c>
      <c r="O2955" t="s">
        <v>1871</v>
      </c>
    </row>
    <row r="2956" spans="1:15" x14ac:dyDescent="0.25">
      <c r="A2956">
        <v>2955</v>
      </c>
      <c r="B2956" t="str">
        <f>HYPERLINK("https://digitalcommons.unl.edu/cgi/viewcontent.cgi?article=1345&amp;context=tractormuseumlit","Click for test report")</f>
        <v>Click for test report</v>
      </c>
      <c r="C2956">
        <v>2006</v>
      </c>
      <c r="D2956" t="s">
        <v>2553</v>
      </c>
      <c r="E2956" t="s">
        <v>2554</v>
      </c>
      <c r="F2956" t="s">
        <v>1136</v>
      </c>
      <c r="G2956" t="s">
        <v>414</v>
      </c>
      <c r="H2956" t="s">
        <v>2555</v>
      </c>
      <c r="I2956" t="s">
        <v>64</v>
      </c>
      <c r="J2956" t="s">
        <v>20</v>
      </c>
      <c r="K2956" t="s">
        <v>21</v>
      </c>
      <c r="L2956" t="s">
        <v>65</v>
      </c>
      <c r="N2956" t="s">
        <v>833</v>
      </c>
      <c r="O2956" t="s">
        <v>1871</v>
      </c>
    </row>
    <row r="2957" spans="1:15" x14ac:dyDescent="0.25">
      <c r="A2957">
        <v>2956</v>
      </c>
      <c r="B2957" t="str">
        <f>HYPERLINK("https://digitalcommons.unl.edu/cgi/viewcontent.cgi?article=1347&amp;context=tractormuseumlit","Click for test report")</f>
        <v>Click for test report</v>
      </c>
      <c r="C2957">
        <v>2006</v>
      </c>
      <c r="D2957" t="s">
        <v>2550</v>
      </c>
      <c r="E2957" t="s">
        <v>2551</v>
      </c>
      <c r="F2957" t="s">
        <v>1136</v>
      </c>
      <c r="G2957" t="s">
        <v>414</v>
      </c>
      <c r="H2957" t="s">
        <v>2552</v>
      </c>
      <c r="I2957" t="s">
        <v>64</v>
      </c>
      <c r="J2957" t="s">
        <v>20</v>
      </c>
      <c r="K2957" t="s">
        <v>21</v>
      </c>
      <c r="L2957" t="s">
        <v>1237</v>
      </c>
      <c r="N2957" t="s">
        <v>552</v>
      </c>
      <c r="O2957" t="s">
        <v>1871</v>
      </c>
    </row>
    <row r="2958" spans="1:15" x14ac:dyDescent="0.25">
      <c r="A2958">
        <v>2957</v>
      </c>
      <c r="B2958" t="str">
        <f>HYPERLINK("https://digitalcommons.unl.edu/cgi/viewcontent.cgi?article=1262&amp;context=tractormuseumlit","Click for test report")</f>
        <v>Click for test report</v>
      </c>
      <c r="C2958">
        <v>2006</v>
      </c>
      <c r="D2958" t="s">
        <v>2545</v>
      </c>
      <c r="E2958" t="s">
        <v>2546</v>
      </c>
      <c r="F2958" t="s">
        <v>2537</v>
      </c>
      <c r="G2958" t="s">
        <v>2537</v>
      </c>
      <c r="H2958" t="s">
        <v>2548</v>
      </c>
      <c r="I2958" t="s">
        <v>1853</v>
      </c>
      <c r="J2958" t="s">
        <v>20</v>
      </c>
      <c r="K2958" t="s">
        <v>21</v>
      </c>
      <c r="L2958" t="s">
        <v>824</v>
      </c>
      <c r="N2958" t="s">
        <v>1397</v>
      </c>
      <c r="O2958" t="s">
        <v>2549</v>
      </c>
    </row>
    <row r="2959" spans="1:15" x14ac:dyDescent="0.25">
      <c r="A2959">
        <v>2958</v>
      </c>
      <c r="B2959" t="str">
        <f>HYPERLINK("https://digitalcommons.unl.edu/cgi/viewcontent.cgi?article=1262&amp;context=tractormuseumlit","Click for test report")</f>
        <v>Click for test report</v>
      </c>
      <c r="C2959">
        <v>2006</v>
      </c>
      <c r="D2959" t="s">
        <v>2545</v>
      </c>
      <c r="E2959" t="s">
        <v>2546</v>
      </c>
      <c r="F2959" t="s">
        <v>2537</v>
      </c>
      <c r="G2959" t="s">
        <v>2537</v>
      </c>
      <c r="H2959" t="s">
        <v>2547</v>
      </c>
      <c r="I2959" t="s">
        <v>1853</v>
      </c>
      <c r="J2959" t="s">
        <v>20</v>
      </c>
      <c r="K2959" t="s">
        <v>21</v>
      </c>
      <c r="L2959" t="s">
        <v>824</v>
      </c>
      <c r="N2959" t="s">
        <v>1397</v>
      </c>
      <c r="O2959" t="s">
        <v>2542</v>
      </c>
    </row>
    <row r="2960" spans="1:15" x14ac:dyDescent="0.25">
      <c r="A2960">
        <v>2959</v>
      </c>
      <c r="B2960" t="str">
        <f>HYPERLINK("https://digitalcommons.unl.edu/cgi/viewcontent.cgi?article=1263&amp;context=tractormuseumlit","Click for test report")</f>
        <v>Click for test report</v>
      </c>
      <c r="C2960">
        <v>2006</v>
      </c>
      <c r="D2960" t="s">
        <v>2539</v>
      </c>
      <c r="E2960" t="s">
        <v>2540</v>
      </c>
      <c r="F2960" t="s">
        <v>2537</v>
      </c>
      <c r="G2960" t="s">
        <v>2537</v>
      </c>
      <c r="H2960" t="s">
        <v>2543</v>
      </c>
      <c r="I2960" t="s">
        <v>1853</v>
      </c>
      <c r="J2960" t="s">
        <v>20</v>
      </c>
      <c r="K2960" t="s">
        <v>21</v>
      </c>
      <c r="L2960" t="s">
        <v>150</v>
      </c>
      <c r="N2960" t="s">
        <v>474</v>
      </c>
      <c r="O2960" t="s">
        <v>2544</v>
      </c>
    </row>
    <row r="2961" spans="1:15" x14ac:dyDescent="0.25">
      <c r="A2961">
        <v>2960</v>
      </c>
      <c r="B2961" t="str">
        <f>HYPERLINK("https://digitalcommons.unl.edu/cgi/viewcontent.cgi?article=1263&amp;context=tractormuseumlit","Click for test report")</f>
        <v>Click for test report</v>
      </c>
      <c r="C2961">
        <v>2006</v>
      </c>
      <c r="D2961" t="s">
        <v>2539</v>
      </c>
      <c r="E2961" t="s">
        <v>2540</v>
      </c>
      <c r="F2961" t="s">
        <v>2537</v>
      </c>
      <c r="G2961" t="s">
        <v>2537</v>
      </c>
      <c r="H2961" t="s">
        <v>2541</v>
      </c>
      <c r="I2961" t="s">
        <v>1853</v>
      </c>
      <c r="J2961" t="s">
        <v>20</v>
      </c>
      <c r="K2961" t="s">
        <v>21</v>
      </c>
      <c r="L2961" t="s">
        <v>150</v>
      </c>
      <c r="N2961" t="s">
        <v>474</v>
      </c>
      <c r="O2961" t="s">
        <v>2542</v>
      </c>
    </row>
    <row r="2962" spans="1:15" x14ac:dyDescent="0.25">
      <c r="A2962">
        <v>2961</v>
      </c>
      <c r="B2962" t="str">
        <f>HYPERLINK("https://digitalcommons.unl.edu/cgi/viewcontent.cgi?article=1265&amp;context=tractormuseumlit","Click for test report")</f>
        <v>Click for test report</v>
      </c>
      <c r="C2962">
        <v>2006</v>
      </c>
      <c r="D2962" t="s">
        <v>2535</v>
      </c>
      <c r="E2962" t="s">
        <v>2536</v>
      </c>
      <c r="F2962" t="s">
        <v>2537</v>
      </c>
      <c r="G2962" t="s">
        <v>2537</v>
      </c>
      <c r="H2962" t="s">
        <v>2538</v>
      </c>
      <c r="I2962" t="s">
        <v>1853</v>
      </c>
      <c r="J2962" t="s">
        <v>20</v>
      </c>
      <c r="K2962" t="s">
        <v>21</v>
      </c>
      <c r="L2962" t="s">
        <v>1771</v>
      </c>
      <c r="N2962" t="s">
        <v>1037</v>
      </c>
      <c r="O2962" t="s">
        <v>24</v>
      </c>
    </row>
    <row r="2963" spans="1:15" x14ac:dyDescent="0.25">
      <c r="A2963">
        <v>2962</v>
      </c>
      <c r="B2963" t="str">
        <f>HYPERLINK("https://digitalcommons.unl.edu/cgi/viewcontent.cgi?article=1132&amp;context=tractormuseumlit","Click for test report")</f>
        <v>Click for test report</v>
      </c>
      <c r="C2963">
        <v>2006</v>
      </c>
      <c r="D2963" t="s">
        <v>2533</v>
      </c>
      <c r="F2963" t="s">
        <v>111</v>
      </c>
      <c r="G2963" t="s">
        <v>111</v>
      </c>
      <c r="H2963" t="s">
        <v>2534</v>
      </c>
      <c r="I2963" t="s">
        <v>19</v>
      </c>
      <c r="J2963" t="s">
        <v>20</v>
      </c>
      <c r="K2963" t="s">
        <v>21</v>
      </c>
      <c r="L2963" t="s">
        <v>1371</v>
      </c>
      <c r="O2963" t="s">
        <v>24</v>
      </c>
    </row>
    <row r="2964" spans="1:15" x14ac:dyDescent="0.25">
      <c r="A2964">
        <v>2963</v>
      </c>
      <c r="B2964" t="str">
        <f>HYPERLINK("https://digitalcommons.unl.edu/cgi/viewcontent.cgi?article=3158&amp;context=tractormuseumlit","Click for test report")</f>
        <v>Click for test report</v>
      </c>
      <c r="C2964">
        <v>2006</v>
      </c>
      <c r="D2964" t="s">
        <v>2530</v>
      </c>
      <c r="E2964" t="s">
        <v>2531</v>
      </c>
      <c r="F2964" t="s">
        <v>17</v>
      </c>
      <c r="G2964" t="s">
        <v>17</v>
      </c>
      <c r="H2964" t="s">
        <v>2532</v>
      </c>
      <c r="I2964" t="s">
        <v>28</v>
      </c>
      <c r="J2964" t="s">
        <v>20</v>
      </c>
      <c r="K2964" t="s">
        <v>21</v>
      </c>
      <c r="L2964" t="s">
        <v>149</v>
      </c>
      <c r="N2964" t="s">
        <v>320</v>
      </c>
      <c r="O2964" t="s">
        <v>24</v>
      </c>
    </row>
    <row r="2965" spans="1:15" x14ac:dyDescent="0.25">
      <c r="A2965">
        <v>2964</v>
      </c>
      <c r="B2965" t="str">
        <f>HYPERLINK("https://digitalcommons.unl.edu/cgi/viewcontent.cgi?article=3159&amp;context=tractormuseumlit","Click for test report")</f>
        <v>Click for test report</v>
      </c>
      <c r="C2965">
        <v>2006</v>
      </c>
      <c r="D2965" t="s">
        <v>2527</v>
      </c>
      <c r="E2965" t="s">
        <v>2528</v>
      </c>
      <c r="F2965" t="s">
        <v>17</v>
      </c>
      <c r="G2965" t="s">
        <v>17</v>
      </c>
      <c r="H2965" t="s">
        <v>2529</v>
      </c>
      <c r="I2965" t="s">
        <v>28</v>
      </c>
      <c r="J2965" t="s">
        <v>20</v>
      </c>
      <c r="K2965" t="s">
        <v>21</v>
      </c>
      <c r="L2965" t="s">
        <v>167</v>
      </c>
      <c r="N2965" t="s">
        <v>1430</v>
      </c>
      <c r="O2965" t="s">
        <v>24</v>
      </c>
    </row>
    <row r="2966" spans="1:15" x14ac:dyDescent="0.25">
      <c r="A2966">
        <v>2965</v>
      </c>
      <c r="B2966" t="str">
        <f>HYPERLINK("https://digitalcommons.unl.edu/cgi/viewcontent.cgi?article=3160&amp;context=tractormuseumlit","Click for test report")</f>
        <v>Click for test report</v>
      </c>
      <c r="C2966">
        <v>2006</v>
      </c>
      <c r="D2966" t="s">
        <v>2524</v>
      </c>
      <c r="E2966" t="s">
        <v>2525</v>
      </c>
      <c r="F2966" t="s">
        <v>17</v>
      </c>
      <c r="G2966" t="s">
        <v>17</v>
      </c>
      <c r="H2966" t="s">
        <v>2526</v>
      </c>
      <c r="I2966" t="s">
        <v>28</v>
      </c>
      <c r="J2966" t="s">
        <v>96</v>
      </c>
      <c r="K2966" t="s">
        <v>21</v>
      </c>
      <c r="L2966" t="s">
        <v>892</v>
      </c>
      <c r="N2966" t="s">
        <v>150</v>
      </c>
      <c r="O2966" t="s">
        <v>24</v>
      </c>
    </row>
    <row r="2967" spans="1:15" x14ac:dyDescent="0.25">
      <c r="A2967">
        <v>2966</v>
      </c>
      <c r="B2967" t="str">
        <f>HYPERLINK("https://digitalcommons.unl.edu/cgi/viewcontent.cgi?article=3161&amp;context=tractormuseumlit","Click for test report")</f>
        <v>Click for test report</v>
      </c>
      <c r="C2967">
        <v>2006</v>
      </c>
      <c r="D2967" t="s">
        <v>2521</v>
      </c>
      <c r="E2967" t="s">
        <v>2522</v>
      </c>
      <c r="F2967" t="s">
        <v>17</v>
      </c>
      <c r="G2967" t="s">
        <v>17</v>
      </c>
      <c r="H2967" t="s">
        <v>2523</v>
      </c>
      <c r="I2967" t="s">
        <v>28</v>
      </c>
      <c r="J2967" t="s">
        <v>20</v>
      </c>
      <c r="K2967" t="s">
        <v>21</v>
      </c>
      <c r="L2967" t="s">
        <v>888</v>
      </c>
      <c r="N2967" t="s">
        <v>519</v>
      </c>
      <c r="O2967" t="s">
        <v>24</v>
      </c>
    </row>
    <row r="2968" spans="1:15" x14ac:dyDescent="0.25">
      <c r="A2968">
        <v>2967</v>
      </c>
      <c r="B2968" t="str">
        <f>HYPERLINK("https://digitalcommons.unl.edu/cgi/viewcontent.cgi?article=3162&amp;context=tractormuseumlit","Click for test report")</f>
        <v>Click for test report</v>
      </c>
      <c r="C2968">
        <v>2006</v>
      </c>
      <c r="D2968" t="s">
        <v>2518</v>
      </c>
      <c r="E2968" t="s">
        <v>2519</v>
      </c>
      <c r="F2968" t="s">
        <v>17</v>
      </c>
      <c r="G2968" t="s">
        <v>17</v>
      </c>
      <c r="H2968" t="s">
        <v>2520</v>
      </c>
      <c r="I2968" t="s">
        <v>28</v>
      </c>
      <c r="J2968" t="s">
        <v>96</v>
      </c>
      <c r="K2968" t="s">
        <v>21</v>
      </c>
      <c r="L2968" t="s">
        <v>212</v>
      </c>
      <c r="N2968" t="s">
        <v>892</v>
      </c>
      <c r="O2968" t="s">
        <v>24</v>
      </c>
    </row>
    <row r="2969" spans="1:15" x14ac:dyDescent="0.25">
      <c r="A2969">
        <v>2968</v>
      </c>
      <c r="B2969" t="str">
        <f>HYPERLINK("https://digitalcommons.unl.edu/cgi/viewcontent.cgi?article=1194&amp;context=tractormuseumlit","Click for test report")</f>
        <v>Click for test report</v>
      </c>
      <c r="C2969">
        <v>2006</v>
      </c>
      <c r="D2969" t="s">
        <v>2515</v>
      </c>
      <c r="E2969" t="s">
        <v>2516</v>
      </c>
      <c r="F2969" t="s">
        <v>17</v>
      </c>
      <c r="G2969" t="s">
        <v>17</v>
      </c>
      <c r="H2969" t="s">
        <v>2517</v>
      </c>
      <c r="I2969" t="s">
        <v>28</v>
      </c>
      <c r="J2969" t="s">
        <v>96</v>
      </c>
      <c r="K2969" t="s">
        <v>21</v>
      </c>
      <c r="L2969" t="s">
        <v>399</v>
      </c>
      <c r="N2969" t="s">
        <v>1444</v>
      </c>
      <c r="O2969" t="s">
        <v>24</v>
      </c>
    </row>
    <row r="2970" spans="1:15" x14ac:dyDescent="0.25">
      <c r="A2970">
        <v>2969</v>
      </c>
      <c r="B2970" t="str">
        <f>HYPERLINK("https://digitalcommons.unl.edu/cgi/viewcontent.cgi?article=1191&amp;context=tractormuseumlit","Click for test report")</f>
        <v>Click for test report</v>
      </c>
      <c r="C2970">
        <v>2006</v>
      </c>
      <c r="D2970" t="s">
        <v>2512</v>
      </c>
      <c r="E2970" t="s">
        <v>2513</v>
      </c>
      <c r="F2970" t="s">
        <v>17</v>
      </c>
      <c r="G2970" t="s">
        <v>17</v>
      </c>
      <c r="H2970" t="s">
        <v>2514</v>
      </c>
      <c r="I2970" t="s">
        <v>64</v>
      </c>
      <c r="J2970" t="s">
        <v>20</v>
      </c>
      <c r="K2970" t="s">
        <v>21</v>
      </c>
      <c r="L2970" t="s">
        <v>2135</v>
      </c>
      <c r="N2970" t="s">
        <v>1870</v>
      </c>
      <c r="O2970" t="s">
        <v>1871</v>
      </c>
    </row>
    <row r="2971" spans="1:15" x14ac:dyDescent="0.25">
      <c r="A2971">
        <v>2970</v>
      </c>
      <c r="B2971" t="str">
        <f>HYPERLINK("https://digitalcommons.unl.edu/cgi/viewcontent.cgi?article=1369&amp;context=tractormuseumlit","Click for test report")</f>
        <v>Click for test report</v>
      </c>
      <c r="C2971">
        <v>2006</v>
      </c>
      <c r="D2971" t="s">
        <v>2509</v>
      </c>
      <c r="F2971" t="s">
        <v>62</v>
      </c>
      <c r="G2971" t="s">
        <v>62</v>
      </c>
      <c r="H2971" t="s">
        <v>2510</v>
      </c>
      <c r="I2971" t="s">
        <v>28</v>
      </c>
      <c r="J2971" t="s">
        <v>20</v>
      </c>
      <c r="K2971" t="s">
        <v>21</v>
      </c>
      <c r="L2971" t="s">
        <v>2511</v>
      </c>
      <c r="O2971" t="s">
        <v>24</v>
      </c>
    </row>
    <row r="2972" spans="1:15" x14ac:dyDescent="0.25">
      <c r="A2972">
        <v>2971</v>
      </c>
      <c r="B2972" t="str">
        <f>HYPERLINK("https://digitalcommons.unl.edu/cgi/viewcontent.cgi?article=4003&amp;context=tractormuseumlit","Click for test report")</f>
        <v>Click for test report</v>
      </c>
      <c r="C2972">
        <v>2007</v>
      </c>
      <c r="E2972" t="s">
        <v>2506</v>
      </c>
      <c r="F2972" t="s">
        <v>1136</v>
      </c>
      <c r="G2972" t="s">
        <v>111</v>
      </c>
      <c r="H2972" t="s">
        <v>2507</v>
      </c>
      <c r="I2972" t="s">
        <v>1808</v>
      </c>
      <c r="J2972" t="s">
        <v>20</v>
      </c>
      <c r="K2972" t="s">
        <v>21</v>
      </c>
      <c r="L2972" t="s">
        <v>149</v>
      </c>
      <c r="N2972" t="s">
        <v>789</v>
      </c>
      <c r="O2972" t="s">
        <v>2508</v>
      </c>
    </row>
    <row r="2973" spans="1:15" x14ac:dyDescent="0.25">
      <c r="A2973">
        <v>2972</v>
      </c>
      <c r="B2973" t="str">
        <f>HYPERLINK("https://digitalcommons.unl.edu/cgi/viewcontent.cgi?article=4004&amp;context=tractormuseumlit","Click for test report")</f>
        <v>Click for test report</v>
      </c>
      <c r="C2973">
        <v>2007</v>
      </c>
      <c r="E2973" t="s">
        <v>2504</v>
      </c>
      <c r="F2973" t="s">
        <v>1136</v>
      </c>
      <c r="G2973" t="s">
        <v>778</v>
      </c>
      <c r="H2973" t="s">
        <v>2505</v>
      </c>
      <c r="I2973" t="s">
        <v>1808</v>
      </c>
      <c r="J2973" t="s">
        <v>20</v>
      </c>
      <c r="K2973" t="s">
        <v>21</v>
      </c>
      <c r="L2973" t="s">
        <v>149</v>
      </c>
      <c r="N2973" t="s">
        <v>789</v>
      </c>
      <c r="O2973" t="s">
        <v>24</v>
      </c>
    </row>
    <row r="2974" spans="1:15" x14ac:dyDescent="0.25">
      <c r="A2974">
        <v>2973</v>
      </c>
      <c r="B2974" t="str">
        <f>HYPERLINK("https://digitalcommons.unl.edu/cgi/viewcontent.cgi?article=4005&amp;context=tractormuseumlit","Click for test report")</f>
        <v>Click for test report</v>
      </c>
      <c r="C2974">
        <v>2007</v>
      </c>
      <c r="E2974" t="s">
        <v>2502</v>
      </c>
      <c r="F2974" t="s">
        <v>2062</v>
      </c>
      <c r="G2974" t="s">
        <v>778</v>
      </c>
      <c r="H2974" t="s">
        <v>2503</v>
      </c>
      <c r="I2974" t="s">
        <v>1808</v>
      </c>
      <c r="J2974" t="s">
        <v>20</v>
      </c>
      <c r="K2974" t="s">
        <v>21</v>
      </c>
      <c r="L2974" t="s">
        <v>1771</v>
      </c>
      <c r="N2974" t="s">
        <v>836</v>
      </c>
      <c r="O2974" t="s">
        <v>24</v>
      </c>
    </row>
    <row r="2975" spans="1:15" x14ac:dyDescent="0.25">
      <c r="A2975">
        <v>2974</v>
      </c>
      <c r="B2975" t="str">
        <f>HYPERLINK("https://digitalcommons.unl.edu/cgi/viewcontent.cgi?article=4006&amp;context=tractormuseumlit","Click for test report")</f>
        <v>Click for test report</v>
      </c>
      <c r="C2975">
        <v>2007</v>
      </c>
      <c r="E2975" t="s">
        <v>2499</v>
      </c>
      <c r="F2975" t="s">
        <v>1136</v>
      </c>
      <c r="G2975" t="s">
        <v>111</v>
      </c>
      <c r="H2975" t="s">
        <v>2500</v>
      </c>
      <c r="I2975" t="s">
        <v>1808</v>
      </c>
      <c r="J2975" t="s">
        <v>20</v>
      </c>
      <c r="K2975" t="s">
        <v>21</v>
      </c>
      <c r="L2975" t="s">
        <v>1771</v>
      </c>
      <c r="N2975" t="s">
        <v>836</v>
      </c>
      <c r="O2975" t="s">
        <v>2501</v>
      </c>
    </row>
    <row r="2976" spans="1:15" x14ac:dyDescent="0.25">
      <c r="A2976">
        <v>2975</v>
      </c>
      <c r="B2976" t="str">
        <f>HYPERLINK("https://digitalcommons.unl.edu/cgi/viewcontent.cgi?article=4010&amp;context=tractormuseumlit","Click for test report")</f>
        <v>Click for test report</v>
      </c>
      <c r="C2976">
        <v>2007</v>
      </c>
      <c r="E2976" t="s">
        <v>2497</v>
      </c>
      <c r="F2976" t="s">
        <v>2298</v>
      </c>
      <c r="G2976" t="s">
        <v>778</v>
      </c>
      <c r="H2976" t="s">
        <v>2498</v>
      </c>
      <c r="I2976" t="s">
        <v>64</v>
      </c>
      <c r="J2976" t="s">
        <v>20</v>
      </c>
      <c r="K2976" t="s">
        <v>21</v>
      </c>
      <c r="L2976" t="s">
        <v>527</v>
      </c>
      <c r="N2976" t="s">
        <v>45</v>
      </c>
      <c r="O2976" t="s">
        <v>1871</v>
      </c>
    </row>
    <row r="2977" spans="1:15" x14ac:dyDescent="0.25">
      <c r="A2977">
        <v>2976</v>
      </c>
      <c r="B2977" t="str">
        <f>HYPERLINK("https://digitalcommons.unl.edu/cgi/viewcontent.cgi?article=4011&amp;context=tractormuseumlit","Click for test report")</f>
        <v>Click for test report</v>
      </c>
      <c r="C2977">
        <v>2007</v>
      </c>
      <c r="E2977" t="s">
        <v>2495</v>
      </c>
      <c r="F2977" t="s">
        <v>2298</v>
      </c>
      <c r="G2977" t="s">
        <v>778</v>
      </c>
      <c r="H2977" t="s">
        <v>2496</v>
      </c>
      <c r="I2977" t="s">
        <v>64</v>
      </c>
      <c r="J2977" t="s">
        <v>20</v>
      </c>
      <c r="K2977" t="s">
        <v>21</v>
      </c>
      <c r="L2977" t="s">
        <v>2422</v>
      </c>
      <c r="N2977" t="s">
        <v>558</v>
      </c>
      <c r="O2977" t="s">
        <v>1871</v>
      </c>
    </row>
    <row r="2978" spans="1:15" x14ac:dyDescent="0.25">
      <c r="A2978">
        <v>2977</v>
      </c>
      <c r="B2978" t="str">
        <f>HYPERLINK("https://digitalcommons.unl.edu/cgi/viewcontent.cgi?article=4012&amp;context=tractormuseumlit","Click for test report")</f>
        <v>Click for test report</v>
      </c>
      <c r="C2978">
        <v>2007</v>
      </c>
      <c r="E2978" t="s">
        <v>2493</v>
      </c>
      <c r="F2978" t="s">
        <v>2298</v>
      </c>
      <c r="G2978" t="s">
        <v>778</v>
      </c>
      <c r="H2978" t="s">
        <v>2494</v>
      </c>
      <c r="I2978" t="s">
        <v>64</v>
      </c>
      <c r="J2978" t="s">
        <v>20</v>
      </c>
      <c r="K2978" t="s">
        <v>21</v>
      </c>
      <c r="L2978" t="s">
        <v>1425</v>
      </c>
      <c r="N2978" t="s">
        <v>333</v>
      </c>
      <c r="O2978" t="s">
        <v>1871</v>
      </c>
    </row>
    <row r="2979" spans="1:15" x14ac:dyDescent="0.25">
      <c r="A2979">
        <v>2978</v>
      </c>
      <c r="B2979" t="str">
        <f>HYPERLINK("https://digitalcommons.unl.edu/cgi/viewcontent.cgi?article=4013&amp;context=tractormuseumlit","Click for test report")</f>
        <v>Click for test report</v>
      </c>
      <c r="C2979">
        <v>2007</v>
      </c>
      <c r="E2979" t="s">
        <v>2492</v>
      </c>
      <c r="F2979" t="s">
        <v>1823</v>
      </c>
      <c r="G2979" t="s">
        <v>191</v>
      </c>
      <c r="H2979" t="s">
        <v>826</v>
      </c>
      <c r="I2979" t="s">
        <v>28</v>
      </c>
      <c r="J2979" t="s">
        <v>20</v>
      </c>
      <c r="K2979" t="s">
        <v>21</v>
      </c>
      <c r="L2979" t="s">
        <v>1042</v>
      </c>
      <c r="N2979" t="s">
        <v>705</v>
      </c>
      <c r="O2979" t="s">
        <v>1805</v>
      </c>
    </row>
    <row r="2980" spans="1:15" x14ac:dyDescent="0.25">
      <c r="A2980">
        <v>2979</v>
      </c>
      <c r="B2980" t="str">
        <f>HYPERLINK("https://digitalcommons.unl.edu/cgi/viewcontent.cgi?article=4014&amp;context=tractormuseumlit","Click for test report")</f>
        <v>Click for test report</v>
      </c>
      <c r="C2980">
        <v>2007</v>
      </c>
      <c r="E2980" t="s">
        <v>2490</v>
      </c>
      <c r="F2980" t="s">
        <v>1823</v>
      </c>
      <c r="G2980" t="s">
        <v>191</v>
      </c>
      <c r="H2980" t="s">
        <v>2491</v>
      </c>
      <c r="I2980" t="s">
        <v>28</v>
      </c>
      <c r="J2980" t="s">
        <v>20</v>
      </c>
      <c r="K2980" t="s">
        <v>21</v>
      </c>
      <c r="L2980" t="s">
        <v>320</v>
      </c>
      <c r="N2980" t="s">
        <v>774</v>
      </c>
      <c r="O2980" t="s">
        <v>1805</v>
      </c>
    </row>
    <row r="2981" spans="1:15" x14ac:dyDescent="0.25">
      <c r="A2981">
        <v>2980</v>
      </c>
      <c r="B2981" t="str">
        <f>HYPERLINK("https://digitalcommons.unl.edu/cgi/viewcontent.cgi?article=4016&amp;context=tractormuseumlit","Click for test report")</f>
        <v>Click for test report</v>
      </c>
      <c r="C2981">
        <v>2007</v>
      </c>
      <c r="E2981" t="s">
        <v>2488</v>
      </c>
      <c r="F2981" t="s">
        <v>1823</v>
      </c>
      <c r="G2981" t="s">
        <v>191</v>
      </c>
      <c r="H2981" t="s">
        <v>2489</v>
      </c>
      <c r="I2981" t="s">
        <v>28</v>
      </c>
      <c r="J2981" t="s">
        <v>20</v>
      </c>
      <c r="K2981" t="s">
        <v>21</v>
      </c>
      <c r="L2981" t="s">
        <v>76</v>
      </c>
      <c r="N2981" t="s">
        <v>474</v>
      </c>
      <c r="O2981" t="s">
        <v>1805</v>
      </c>
    </row>
    <row r="2982" spans="1:15" x14ac:dyDescent="0.25">
      <c r="A2982">
        <v>2981</v>
      </c>
      <c r="B2982" t="str">
        <f>HYPERLINK("https://digitalcommons.unl.edu/cgi/viewcontent.cgi?article=4018&amp;context=tractormuseumlit","Click for test report")</f>
        <v>Click for test report</v>
      </c>
      <c r="C2982">
        <v>2007</v>
      </c>
      <c r="E2982" t="s">
        <v>2486</v>
      </c>
      <c r="F2982" t="s">
        <v>1823</v>
      </c>
      <c r="G2982" t="s">
        <v>191</v>
      </c>
      <c r="H2982" t="s">
        <v>2487</v>
      </c>
      <c r="I2982" t="s">
        <v>28</v>
      </c>
      <c r="J2982" t="s">
        <v>20</v>
      </c>
      <c r="K2982" t="s">
        <v>21</v>
      </c>
      <c r="L2982" t="s">
        <v>1739</v>
      </c>
      <c r="N2982" t="s">
        <v>1037</v>
      </c>
      <c r="O2982" t="s">
        <v>1805</v>
      </c>
    </row>
    <row r="2983" spans="1:15" x14ac:dyDescent="0.25">
      <c r="A2983">
        <v>2982</v>
      </c>
      <c r="B2983" t="str">
        <f>HYPERLINK("https://digitalcommons.unl.edu/cgi/viewcontent.cgi?article=4020&amp;context=tractormuseumlit","Click for test report")</f>
        <v>Click for test report</v>
      </c>
      <c r="C2983">
        <v>2007</v>
      </c>
      <c r="E2983" t="s">
        <v>2484</v>
      </c>
      <c r="F2983" t="s">
        <v>1823</v>
      </c>
      <c r="G2983" t="s">
        <v>135</v>
      </c>
      <c r="H2983" t="s">
        <v>2485</v>
      </c>
      <c r="I2983" t="s">
        <v>28</v>
      </c>
      <c r="J2983" t="s">
        <v>20</v>
      </c>
      <c r="K2983" t="s">
        <v>21</v>
      </c>
      <c r="L2983" t="s">
        <v>1042</v>
      </c>
      <c r="N2983" t="s">
        <v>705</v>
      </c>
      <c r="O2983" t="s">
        <v>24</v>
      </c>
    </row>
    <row r="2984" spans="1:15" x14ac:dyDescent="0.25">
      <c r="A2984">
        <v>2983</v>
      </c>
      <c r="B2984" t="str">
        <f>HYPERLINK("https://digitalcommons.unl.edu/cgi/viewcontent.cgi?article=4021&amp;context=tractormuseumlit","Click for test report")</f>
        <v>Click for test report</v>
      </c>
      <c r="C2984">
        <v>2007</v>
      </c>
      <c r="E2984" t="s">
        <v>2482</v>
      </c>
      <c r="F2984" t="s">
        <v>1823</v>
      </c>
      <c r="G2984" t="s">
        <v>135</v>
      </c>
      <c r="H2984" t="s">
        <v>2483</v>
      </c>
      <c r="I2984" t="s">
        <v>28</v>
      </c>
      <c r="J2984" t="s">
        <v>20</v>
      </c>
      <c r="K2984" t="s">
        <v>21</v>
      </c>
      <c r="L2984" t="s">
        <v>320</v>
      </c>
      <c r="N2984" t="s">
        <v>774</v>
      </c>
      <c r="O2984" t="s">
        <v>24</v>
      </c>
    </row>
    <row r="2985" spans="1:15" x14ac:dyDescent="0.25">
      <c r="A2985">
        <v>2984</v>
      </c>
      <c r="B2985" t="str">
        <f>HYPERLINK("https://digitalcommons.unl.edu/cgi/viewcontent.cgi?article=4022&amp;context=tractormuseumlit","Click for test report")</f>
        <v>Click for test report</v>
      </c>
      <c r="C2985">
        <v>2007</v>
      </c>
      <c r="E2985" t="s">
        <v>2480</v>
      </c>
      <c r="F2985" t="s">
        <v>1823</v>
      </c>
      <c r="G2985" t="s">
        <v>135</v>
      </c>
      <c r="H2985" t="s">
        <v>2481</v>
      </c>
      <c r="I2985" t="s">
        <v>28</v>
      </c>
      <c r="J2985" t="s">
        <v>20</v>
      </c>
      <c r="K2985" t="s">
        <v>21</v>
      </c>
      <c r="L2985" t="s">
        <v>76</v>
      </c>
      <c r="N2985" t="s">
        <v>474</v>
      </c>
      <c r="O2985" t="s">
        <v>24</v>
      </c>
    </row>
    <row r="2986" spans="1:15" x14ac:dyDescent="0.25">
      <c r="A2986">
        <v>2985</v>
      </c>
      <c r="B2986" t="str">
        <f>HYPERLINK("https://digitalcommons.unl.edu/cgi/viewcontent.cgi?article=4023&amp;context=tractormuseumlit","Click for test report")</f>
        <v>Click for test report</v>
      </c>
      <c r="C2986">
        <v>2007</v>
      </c>
      <c r="E2986" t="s">
        <v>2478</v>
      </c>
      <c r="F2986" t="s">
        <v>1823</v>
      </c>
      <c r="G2986" t="s">
        <v>135</v>
      </c>
      <c r="H2986" t="s">
        <v>2479</v>
      </c>
      <c r="I2986" t="s">
        <v>28</v>
      </c>
      <c r="J2986" t="s">
        <v>20</v>
      </c>
      <c r="K2986" t="s">
        <v>21</v>
      </c>
      <c r="L2986" t="s">
        <v>1739</v>
      </c>
      <c r="N2986" t="s">
        <v>1037</v>
      </c>
      <c r="O2986" t="s">
        <v>24</v>
      </c>
    </row>
    <row r="2987" spans="1:15" x14ac:dyDescent="0.25">
      <c r="A2987">
        <v>2986</v>
      </c>
      <c r="B2987" t="str">
        <f>HYPERLINK("https://digitalcommons.unl.edu/cgi/viewcontent.cgi?article=4024&amp;context=tractormuseumlit","Click for test report")</f>
        <v>Click for test report</v>
      </c>
      <c r="C2987">
        <v>2007</v>
      </c>
      <c r="E2987" t="s">
        <v>2477</v>
      </c>
      <c r="F2987" t="s">
        <v>17</v>
      </c>
      <c r="G2987" t="s">
        <v>17</v>
      </c>
      <c r="H2987" t="s">
        <v>1529</v>
      </c>
      <c r="I2987" t="s">
        <v>28</v>
      </c>
      <c r="J2987" t="s">
        <v>20</v>
      </c>
      <c r="K2987" t="s">
        <v>21</v>
      </c>
      <c r="L2987" t="s">
        <v>740</v>
      </c>
      <c r="N2987" t="s">
        <v>1257</v>
      </c>
      <c r="O2987" t="s">
        <v>24</v>
      </c>
    </row>
    <row r="2988" spans="1:15" x14ac:dyDescent="0.25">
      <c r="A2988">
        <v>2987</v>
      </c>
      <c r="B2988" t="str">
        <f>HYPERLINK("https://digitalcommons.unl.edu/cgi/viewcontent.cgi?article=4025&amp;context=tractormuseumlit","Click for test report")</f>
        <v>Click for test report</v>
      </c>
      <c r="C2988">
        <v>2007</v>
      </c>
      <c r="E2988" t="s">
        <v>2476</v>
      </c>
      <c r="F2988" t="s">
        <v>17</v>
      </c>
      <c r="G2988" t="s">
        <v>17</v>
      </c>
      <c r="H2988" t="s">
        <v>1527</v>
      </c>
      <c r="I2988" t="s">
        <v>28</v>
      </c>
      <c r="J2988" t="s">
        <v>20</v>
      </c>
      <c r="K2988" t="s">
        <v>21</v>
      </c>
      <c r="L2988" t="s">
        <v>340</v>
      </c>
      <c r="N2988" t="s">
        <v>746</v>
      </c>
      <c r="O2988" t="s">
        <v>24</v>
      </c>
    </row>
    <row r="2989" spans="1:15" x14ac:dyDescent="0.25">
      <c r="A2989">
        <v>2988</v>
      </c>
      <c r="B2989" t="str">
        <f>HYPERLINK("https://digitalcommons.unl.edu/cgi/viewcontent.cgi?article=4026&amp;context=tractormuseumlit","Click for test report")</f>
        <v>Click for test report</v>
      </c>
      <c r="C2989">
        <v>2007</v>
      </c>
      <c r="E2989" t="s">
        <v>2475</v>
      </c>
      <c r="F2989" t="s">
        <v>17</v>
      </c>
      <c r="G2989" t="s">
        <v>17</v>
      </c>
      <c r="H2989" t="s">
        <v>1788</v>
      </c>
      <c r="I2989" t="s">
        <v>28</v>
      </c>
      <c r="J2989" t="s">
        <v>20</v>
      </c>
      <c r="K2989" t="s">
        <v>21</v>
      </c>
      <c r="L2989" t="s">
        <v>375</v>
      </c>
      <c r="N2989" t="s">
        <v>461</v>
      </c>
      <c r="O2989" t="s">
        <v>24</v>
      </c>
    </row>
    <row r="2990" spans="1:15" x14ac:dyDescent="0.25">
      <c r="A2990">
        <v>2989</v>
      </c>
      <c r="B2990" t="str">
        <f>HYPERLINK("https://digitalcommons.unl.edu/cgi/viewcontent.cgi?article=4027&amp;context=tractormuseumlit","Click for test report")</f>
        <v>Click for test report</v>
      </c>
      <c r="C2990">
        <v>2007</v>
      </c>
      <c r="E2990" t="s">
        <v>2473</v>
      </c>
      <c r="F2990" t="s">
        <v>17</v>
      </c>
      <c r="G2990" t="s">
        <v>17</v>
      </c>
      <c r="H2990" t="s">
        <v>2474</v>
      </c>
      <c r="I2990" t="s">
        <v>19</v>
      </c>
      <c r="J2990" t="s">
        <v>20</v>
      </c>
      <c r="K2990" t="s">
        <v>21</v>
      </c>
      <c r="L2990" t="s">
        <v>402</v>
      </c>
      <c r="N2990" t="s">
        <v>909</v>
      </c>
      <c r="O2990" t="s">
        <v>24</v>
      </c>
    </row>
    <row r="2991" spans="1:15" x14ac:dyDescent="0.25">
      <c r="A2991">
        <v>2990</v>
      </c>
      <c r="B2991" t="str">
        <f>HYPERLINK("https://digitalcommons.unl.edu/cgi/viewcontent.cgi?article=4028&amp;context=tractormuseumlit","Click for test report")</f>
        <v>Click for test report</v>
      </c>
      <c r="C2991">
        <v>2007</v>
      </c>
      <c r="E2991" t="s">
        <v>2471</v>
      </c>
      <c r="F2991" t="s">
        <v>2062</v>
      </c>
      <c r="G2991" t="s">
        <v>778</v>
      </c>
      <c r="H2991" t="s">
        <v>2472</v>
      </c>
      <c r="I2991" t="s">
        <v>1808</v>
      </c>
      <c r="J2991" t="s">
        <v>20</v>
      </c>
      <c r="K2991" t="s">
        <v>21</v>
      </c>
      <c r="L2991" t="s">
        <v>527</v>
      </c>
      <c r="N2991" t="s">
        <v>359</v>
      </c>
      <c r="O2991" t="s">
        <v>24</v>
      </c>
    </row>
    <row r="2992" spans="1:15" x14ac:dyDescent="0.25">
      <c r="A2992">
        <v>2991</v>
      </c>
      <c r="B2992" t="str">
        <f>HYPERLINK("https://digitalcommons.unl.edu/cgi/viewcontent.cgi?article=4029&amp;context=tractormuseumlit","Click for test report")</f>
        <v>Click for test report</v>
      </c>
      <c r="C2992">
        <v>2007</v>
      </c>
      <c r="E2992" t="s">
        <v>2469</v>
      </c>
      <c r="F2992" t="s">
        <v>2062</v>
      </c>
      <c r="G2992" t="s">
        <v>778</v>
      </c>
      <c r="H2992" t="s">
        <v>2470</v>
      </c>
      <c r="I2992" t="s">
        <v>1808</v>
      </c>
      <c r="J2992" t="s">
        <v>20</v>
      </c>
      <c r="K2992" t="s">
        <v>21</v>
      </c>
      <c r="L2992" t="s">
        <v>2422</v>
      </c>
      <c r="N2992" t="s">
        <v>1386</v>
      </c>
      <c r="O2992" t="s">
        <v>24</v>
      </c>
    </row>
    <row r="2993" spans="1:15" x14ac:dyDescent="0.25">
      <c r="A2993">
        <v>2992</v>
      </c>
      <c r="B2993" t="str">
        <f>HYPERLINK("https://digitalcommons.unl.edu/cgi/viewcontent.cgi?article=4030&amp;context=tractormuseumlit","Click for test report")</f>
        <v>Click for test report</v>
      </c>
      <c r="C2993">
        <v>2007</v>
      </c>
      <c r="E2993" t="s">
        <v>2467</v>
      </c>
      <c r="F2993" t="s">
        <v>1136</v>
      </c>
      <c r="G2993" t="s">
        <v>111</v>
      </c>
      <c r="H2993" t="s">
        <v>2465</v>
      </c>
      <c r="I2993" t="s">
        <v>1808</v>
      </c>
      <c r="J2993" t="s">
        <v>20</v>
      </c>
      <c r="K2993" t="s">
        <v>21</v>
      </c>
      <c r="L2993" t="s">
        <v>2422</v>
      </c>
      <c r="N2993" t="s">
        <v>1386</v>
      </c>
      <c r="O2993" t="s">
        <v>2468</v>
      </c>
    </row>
    <row r="2994" spans="1:15" x14ac:dyDescent="0.25">
      <c r="A2994">
        <v>2993</v>
      </c>
      <c r="B2994" t="str">
        <f>HYPERLINK("https://digitalcommons.unl.edu/cgi/viewcontent.cgi?article=4031&amp;context=tractormuseumlit","Click for test report")</f>
        <v>Click for test report</v>
      </c>
      <c r="C2994">
        <v>2007</v>
      </c>
      <c r="E2994" t="s">
        <v>2464</v>
      </c>
      <c r="F2994" t="s">
        <v>1136</v>
      </c>
      <c r="G2994" t="s">
        <v>111</v>
      </c>
      <c r="H2994" t="s">
        <v>2465</v>
      </c>
      <c r="I2994" t="s">
        <v>64</v>
      </c>
      <c r="J2994" t="s">
        <v>20</v>
      </c>
      <c r="K2994" t="s">
        <v>21</v>
      </c>
      <c r="L2994" t="s">
        <v>2422</v>
      </c>
      <c r="N2994" t="s">
        <v>558</v>
      </c>
      <c r="O2994" t="s">
        <v>2466</v>
      </c>
    </row>
    <row r="2995" spans="1:15" x14ac:dyDescent="0.25">
      <c r="A2995">
        <v>2994</v>
      </c>
      <c r="B2995" t="str">
        <f>HYPERLINK("https://digitalcommons.unl.edu/cgi/viewcontent.cgi?article=4032&amp;context=tractormuseumlit","Click for test report")</f>
        <v>Click for test report</v>
      </c>
      <c r="C2995">
        <v>2007</v>
      </c>
      <c r="E2995" t="s">
        <v>2463</v>
      </c>
      <c r="F2995" t="s">
        <v>2062</v>
      </c>
      <c r="G2995" t="s">
        <v>778</v>
      </c>
      <c r="H2995" t="s">
        <v>1899</v>
      </c>
      <c r="I2995" t="s">
        <v>64</v>
      </c>
      <c r="J2995" t="s">
        <v>20</v>
      </c>
      <c r="K2995" t="s">
        <v>21</v>
      </c>
      <c r="L2995" t="s">
        <v>571</v>
      </c>
      <c r="N2995" t="s">
        <v>746</v>
      </c>
      <c r="O2995" t="s">
        <v>1871</v>
      </c>
    </row>
    <row r="2996" spans="1:15" x14ac:dyDescent="0.25">
      <c r="A2996">
        <v>2995</v>
      </c>
      <c r="B2996" t="str">
        <f>HYPERLINK("https://digitalcommons.unl.edu/cgi/viewcontent.cgi?article=4035&amp;context=tractormuseumlit","Click for test report")</f>
        <v>Click for test report</v>
      </c>
      <c r="C2996">
        <v>2007</v>
      </c>
      <c r="E2996" t="s">
        <v>2461</v>
      </c>
      <c r="F2996" t="s">
        <v>1136</v>
      </c>
      <c r="G2996" t="s">
        <v>414</v>
      </c>
      <c r="H2996" t="s">
        <v>2429</v>
      </c>
      <c r="I2996" t="s">
        <v>64</v>
      </c>
      <c r="J2996" t="s">
        <v>20</v>
      </c>
      <c r="K2996" t="s">
        <v>21</v>
      </c>
      <c r="L2996" t="s">
        <v>571</v>
      </c>
      <c r="N2996" t="s">
        <v>746</v>
      </c>
      <c r="O2996" t="s">
        <v>2462</v>
      </c>
    </row>
    <row r="2997" spans="1:15" x14ac:dyDescent="0.25">
      <c r="A2997">
        <v>2996</v>
      </c>
      <c r="B2997" t="str">
        <f>HYPERLINK("https://digitalcommons.unl.edu/cgi/viewcontent.cgi?article=4038&amp;context=tractormuseumlit","Click for test report")</f>
        <v>Click for test report</v>
      </c>
      <c r="C2997">
        <v>2007</v>
      </c>
      <c r="E2997" t="s">
        <v>2459</v>
      </c>
      <c r="F2997" t="s">
        <v>1136</v>
      </c>
      <c r="G2997" t="s">
        <v>111</v>
      </c>
      <c r="H2997" t="s">
        <v>2079</v>
      </c>
      <c r="I2997" t="s">
        <v>64</v>
      </c>
      <c r="J2997" t="s">
        <v>20</v>
      </c>
      <c r="K2997" t="s">
        <v>21</v>
      </c>
      <c r="L2997" t="s">
        <v>1425</v>
      </c>
      <c r="N2997" t="s">
        <v>333</v>
      </c>
      <c r="O2997" t="s">
        <v>2460</v>
      </c>
    </row>
    <row r="2998" spans="1:15" x14ac:dyDescent="0.25">
      <c r="A2998">
        <v>2997</v>
      </c>
      <c r="B2998" t="str">
        <f>HYPERLINK("https://digitalcommons.unl.edu/cgi/viewcontent.cgi?article=4051&amp;context=tractormuseumlit","Click for test report")</f>
        <v>Click for test report</v>
      </c>
      <c r="C2998">
        <v>2007</v>
      </c>
      <c r="E2998" t="s">
        <v>2457</v>
      </c>
      <c r="F2998" t="s">
        <v>1282</v>
      </c>
      <c r="G2998" t="s">
        <v>191</v>
      </c>
      <c r="H2998" t="s">
        <v>2458</v>
      </c>
      <c r="I2998" t="s">
        <v>50</v>
      </c>
      <c r="J2998" t="s">
        <v>20</v>
      </c>
      <c r="K2998" t="s">
        <v>21</v>
      </c>
      <c r="L2998" t="s">
        <v>52</v>
      </c>
      <c r="N2998" t="s">
        <v>565</v>
      </c>
      <c r="O2998" t="s">
        <v>24</v>
      </c>
    </row>
    <row r="2999" spans="1:15" x14ac:dyDescent="0.25">
      <c r="A2999">
        <v>2998</v>
      </c>
      <c r="B2999" t="str">
        <f>HYPERLINK("https://digitalcommons.unl.edu/cgi/viewcontent.cgi?article=4052&amp;context=tractormuseumlit","Click for test report")</f>
        <v>Click for test report</v>
      </c>
      <c r="C2999">
        <v>2007</v>
      </c>
      <c r="E2999" t="s">
        <v>2455</v>
      </c>
      <c r="F2999" t="s">
        <v>1282</v>
      </c>
      <c r="G2999" t="s">
        <v>191</v>
      </c>
      <c r="H2999" t="s">
        <v>2456</v>
      </c>
      <c r="I2999" t="s">
        <v>1853</v>
      </c>
      <c r="J2999" t="s">
        <v>20</v>
      </c>
      <c r="K2999" t="s">
        <v>21</v>
      </c>
      <c r="L2999" t="s">
        <v>558</v>
      </c>
      <c r="N2999" t="s">
        <v>131</v>
      </c>
      <c r="O2999" t="s">
        <v>24</v>
      </c>
    </row>
    <row r="3000" spans="1:15" x14ac:dyDescent="0.25">
      <c r="A3000">
        <v>2999</v>
      </c>
      <c r="B3000" t="str">
        <f>HYPERLINK("https://digitalcommons.unl.edu/cgi/viewcontent.cgi?article=4053&amp;context=tractormuseumlit","Click for test report")</f>
        <v>Click for test report</v>
      </c>
      <c r="C3000">
        <v>2007</v>
      </c>
      <c r="E3000" t="s">
        <v>2453</v>
      </c>
      <c r="F3000" t="s">
        <v>1282</v>
      </c>
      <c r="G3000" t="s">
        <v>191</v>
      </c>
      <c r="H3000" t="s">
        <v>2454</v>
      </c>
      <c r="I3000" t="s">
        <v>1853</v>
      </c>
      <c r="J3000" t="s">
        <v>20</v>
      </c>
      <c r="K3000" t="s">
        <v>21</v>
      </c>
      <c r="L3000" t="s">
        <v>446</v>
      </c>
      <c r="N3000" t="s">
        <v>562</v>
      </c>
      <c r="O3000" t="s">
        <v>24</v>
      </c>
    </row>
    <row r="3001" spans="1:15" x14ac:dyDescent="0.25">
      <c r="A3001">
        <v>3000</v>
      </c>
      <c r="B3001" t="str">
        <f>HYPERLINK("https://digitalcommons.unl.edu/cgi/viewcontent.cgi?article=4054&amp;context=tractormuseumlit","Click for test report")</f>
        <v>Click for test report</v>
      </c>
      <c r="C3001">
        <v>2007</v>
      </c>
      <c r="E3001" t="s">
        <v>2451</v>
      </c>
      <c r="F3001" t="s">
        <v>2232</v>
      </c>
      <c r="G3001" t="s">
        <v>135</v>
      </c>
      <c r="H3001" t="s">
        <v>2452</v>
      </c>
      <c r="I3001" t="s">
        <v>50</v>
      </c>
      <c r="J3001" t="s">
        <v>20</v>
      </c>
      <c r="K3001" t="s">
        <v>21</v>
      </c>
      <c r="L3001" t="s">
        <v>52</v>
      </c>
      <c r="N3001" t="s">
        <v>565</v>
      </c>
      <c r="O3001" t="s">
        <v>24</v>
      </c>
    </row>
    <row r="3002" spans="1:15" x14ac:dyDescent="0.25">
      <c r="A3002">
        <v>3001</v>
      </c>
      <c r="B3002" t="str">
        <f>HYPERLINK("https://digitalcommons.unl.edu/cgi/viewcontent.cgi?article=4055&amp;context=tractormuseumlit","Click for test report")</f>
        <v>Click for test report</v>
      </c>
      <c r="C3002">
        <v>2007</v>
      </c>
      <c r="E3002" t="s">
        <v>2449</v>
      </c>
      <c r="F3002" t="s">
        <v>2232</v>
      </c>
      <c r="G3002" t="s">
        <v>135</v>
      </c>
      <c r="H3002" t="s">
        <v>2450</v>
      </c>
      <c r="I3002" t="s">
        <v>1853</v>
      </c>
      <c r="J3002" t="s">
        <v>20</v>
      </c>
      <c r="K3002" t="s">
        <v>21</v>
      </c>
      <c r="L3002" t="s">
        <v>558</v>
      </c>
      <c r="N3002" t="s">
        <v>131</v>
      </c>
      <c r="O3002" t="s">
        <v>24</v>
      </c>
    </row>
    <row r="3003" spans="1:15" x14ac:dyDescent="0.25">
      <c r="A3003">
        <v>3002</v>
      </c>
      <c r="B3003" t="str">
        <f>HYPERLINK("https://digitalcommons.unl.edu/cgi/viewcontent.cgi?article=4056&amp;context=tractormuseumlit","Click for test report")</f>
        <v>Click for test report</v>
      </c>
      <c r="C3003">
        <v>2007</v>
      </c>
      <c r="E3003" t="s">
        <v>2447</v>
      </c>
      <c r="F3003" t="s">
        <v>2232</v>
      </c>
      <c r="G3003" t="s">
        <v>135</v>
      </c>
      <c r="H3003" t="s">
        <v>2448</v>
      </c>
      <c r="I3003" t="s">
        <v>1853</v>
      </c>
      <c r="J3003" t="s">
        <v>20</v>
      </c>
      <c r="K3003" t="s">
        <v>21</v>
      </c>
      <c r="L3003" t="s">
        <v>446</v>
      </c>
      <c r="N3003" t="s">
        <v>562</v>
      </c>
      <c r="O3003" t="s">
        <v>24</v>
      </c>
    </row>
    <row r="3004" spans="1:15" x14ac:dyDescent="0.25">
      <c r="A3004">
        <v>3003</v>
      </c>
      <c r="B3004" t="str">
        <f>HYPERLINK("https://digitalcommons.unl.edu/cgi/viewcontent.cgi?article=4066&amp;context=tractormuseumlit","Click for test report")</f>
        <v>Click for test report</v>
      </c>
      <c r="C3004">
        <v>2007</v>
      </c>
      <c r="E3004" t="s">
        <v>2445</v>
      </c>
      <c r="F3004" t="s">
        <v>1282</v>
      </c>
      <c r="G3004" t="s">
        <v>191</v>
      </c>
      <c r="H3004" t="s">
        <v>2446</v>
      </c>
      <c r="I3004" t="s">
        <v>1853</v>
      </c>
      <c r="J3004" t="s">
        <v>20</v>
      </c>
      <c r="K3004" t="s">
        <v>21</v>
      </c>
      <c r="L3004" t="s">
        <v>51</v>
      </c>
      <c r="N3004" t="s">
        <v>574</v>
      </c>
      <c r="O3004" t="s">
        <v>24</v>
      </c>
    </row>
    <row r="3005" spans="1:15" x14ac:dyDescent="0.25">
      <c r="A3005">
        <v>3004</v>
      </c>
      <c r="B3005" t="str">
        <f>HYPERLINK("https://digitalcommons.unl.edu/cgi/viewcontent.cgi?article=4071&amp;context=tractormuseumlit","Click for test report")</f>
        <v>Click for test report</v>
      </c>
      <c r="C3005">
        <v>2007</v>
      </c>
      <c r="E3005" t="s">
        <v>2443</v>
      </c>
      <c r="F3005" t="s">
        <v>2232</v>
      </c>
      <c r="G3005" t="s">
        <v>135</v>
      </c>
      <c r="H3005" t="s">
        <v>2444</v>
      </c>
      <c r="I3005" t="s">
        <v>1853</v>
      </c>
      <c r="J3005" t="s">
        <v>20</v>
      </c>
      <c r="K3005" t="s">
        <v>21</v>
      </c>
      <c r="L3005" t="s">
        <v>51</v>
      </c>
      <c r="N3005" t="s">
        <v>574</v>
      </c>
      <c r="O3005" t="s">
        <v>24</v>
      </c>
    </row>
    <row r="3006" spans="1:15" x14ac:dyDescent="0.25">
      <c r="A3006">
        <v>3005</v>
      </c>
      <c r="B3006" t="str">
        <f>HYPERLINK("https://digitalcommons.unl.edu/cgi/viewcontent.cgi?article=4076&amp;context=tractormuseumlit","Click for test report")</f>
        <v>Click for test report</v>
      </c>
      <c r="C3006">
        <v>2007</v>
      </c>
      <c r="E3006" t="s">
        <v>2441</v>
      </c>
      <c r="F3006" t="s">
        <v>2232</v>
      </c>
      <c r="G3006" t="s">
        <v>135</v>
      </c>
      <c r="H3006" t="s">
        <v>2442</v>
      </c>
      <c r="I3006" t="s">
        <v>1961</v>
      </c>
      <c r="J3006" t="s">
        <v>20</v>
      </c>
      <c r="K3006" t="s">
        <v>21</v>
      </c>
      <c r="L3006" t="s">
        <v>247</v>
      </c>
      <c r="N3006" t="s">
        <v>565</v>
      </c>
      <c r="O3006" t="s">
        <v>24</v>
      </c>
    </row>
    <row r="3007" spans="1:15" x14ac:dyDescent="0.25">
      <c r="A3007">
        <v>3006</v>
      </c>
      <c r="B3007" t="str">
        <f>HYPERLINK("https://digitalcommons.unl.edu/cgi/viewcontent.cgi?article=4077&amp;context=tractormuseumlit","Click for test report")</f>
        <v>Click for test report</v>
      </c>
      <c r="C3007">
        <v>2007</v>
      </c>
      <c r="E3007" t="s">
        <v>2439</v>
      </c>
      <c r="F3007" t="s">
        <v>2232</v>
      </c>
      <c r="G3007" t="s">
        <v>135</v>
      </c>
      <c r="H3007" t="s">
        <v>2440</v>
      </c>
      <c r="I3007" t="s">
        <v>1853</v>
      </c>
      <c r="J3007" t="s">
        <v>20</v>
      </c>
      <c r="K3007" t="s">
        <v>21</v>
      </c>
      <c r="L3007" t="s">
        <v>705</v>
      </c>
      <c r="N3007" t="s">
        <v>344</v>
      </c>
      <c r="O3007" t="s">
        <v>24</v>
      </c>
    </row>
    <row r="3008" spans="1:15" x14ac:dyDescent="0.25">
      <c r="A3008">
        <v>3007</v>
      </c>
      <c r="B3008" t="str">
        <f>HYPERLINK("https://digitalcommons.unl.edu/cgi/viewcontent.cgi?article=4078&amp;context=tractormuseumlit","Click for test report")</f>
        <v>Click for test report</v>
      </c>
      <c r="C3008">
        <v>2007</v>
      </c>
      <c r="E3008" t="s">
        <v>2437</v>
      </c>
      <c r="F3008" t="s">
        <v>2232</v>
      </c>
      <c r="G3008" t="s">
        <v>135</v>
      </c>
      <c r="H3008" t="s">
        <v>2438</v>
      </c>
      <c r="I3008" t="s">
        <v>1853</v>
      </c>
      <c r="J3008" t="s">
        <v>20</v>
      </c>
      <c r="K3008" t="s">
        <v>21</v>
      </c>
      <c r="L3008" t="s">
        <v>122</v>
      </c>
      <c r="N3008" t="s">
        <v>561</v>
      </c>
      <c r="O3008" t="s">
        <v>24</v>
      </c>
    </row>
    <row r="3009" spans="1:15" x14ac:dyDescent="0.25">
      <c r="A3009">
        <v>3008</v>
      </c>
      <c r="B3009" t="str">
        <f>HYPERLINK("https://digitalcommons.unl.edu/cgi/viewcontent.cgi?article=4079&amp;context=tractormuseumlit","Click for test report")</f>
        <v>Click for test report</v>
      </c>
      <c r="C3009">
        <v>2007</v>
      </c>
      <c r="E3009" t="s">
        <v>2435</v>
      </c>
      <c r="F3009" t="s">
        <v>2232</v>
      </c>
      <c r="G3009" t="s">
        <v>135</v>
      </c>
      <c r="H3009" t="s">
        <v>2436</v>
      </c>
      <c r="I3009" t="s">
        <v>1853</v>
      </c>
      <c r="J3009" t="s">
        <v>20</v>
      </c>
      <c r="K3009" t="s">
        <v>21</v>
      </c>
      <c r="L3009" t="s">
        <v>1397</v>
      </c>
      <c r="N3009" t="s">
        <v>368</v>
      </c>
      <c r="O3009" t="s">
        <v>24</v>
      </c>
    </row>
    <row r="3010" spans="1:15" x14ac:dyDescent="0.25">
      <c r="A3010">
        <v>3009</v>
      </c>
      <c r="B3010" t="str">
        <f>HYPERLINK("https://digitalcommons.unl.edu/cgi/viewcontent.cgi?article=4081&amp;context=tractormuseumlit","Click for test report")</f>
        <v>Click for test report</v>
      </c>
      <c r="C3010">
        <v>2007</v>
      </c>
      <c r="E3010" t="s">
        <v>2433</v>
      </c>
      <c r="F3010" t="s">
        <v>1136</v>
      </c>
      <c r="G3010" t="s">
        <v>111</v>
      </c>
      <c r="H3010" t="s">
        <v>2434</v>
      </c>
      <c r="I3010" t="s">
        <v>1808</v>
      </c>
      <c r="J3010" t="s">
        <v>20</v>
      </c>
      <c r="K3010" t="s">
        <v>21</v>
      </c>
      <c r="L3010" t="s">
        <v>122</v>
      </c>
      <c r="N3010" t="s">
        <v>713</v>
      </c>
      <c r="O3010" t="s">
        <v>24</v>
      </c>
    </row>
    <row r="3011" spans="1:15" x14ac:dyDescent="0.25">
      <c r="A3011">
        <v>3010</v>
      </c>
      <c r="B3011" t="str">
        <f>HYPERLINK("https://digitalcommons.unl.edu/cgi/viewcontent.cgi?article=4082&amp;context=tractormuseumlit","Click for test report")</f>
        <v>Click for test report</v>
      </c>
      <c r="C3011">
        <v>2007</v>
      </c>
      <c r="E3011" t="s">
        <v>2432</v>
      </c>
      <c r="F3011" t="s">
        <v>1136</v>
      </c>
      <c r="G3011" t="s">
        <v>111</v>
      </c>
      <c r="H3011" t="s">
        <v>2386</v>
      </c>
      <c r="I3011" t="s">
        <v>1808</v>
      </c>
      <c r="J3011" t="s">
        <v>20</v>
      </c>
      <c r="K3011" t="s">
        <v>21</v>
      </c>
      <c r="L3011" t="s">
        <v>1386</v>
      </c>
      <c r="N3011" t="s">
        <v>375</v>
      </c>
      <c r="O3011" t="s">
        <v>24</v>
      </c>
    </row>
    <row r="3012" spans="1:15" x14ac:dyDescent="0.25">
      <c r="A3012">
        <v>3011</v>
      </c>
      <c r="B3012" t="str">
        <f>HYPERLINK("https://digitalcommons.unl.edu/cgi/viewcontent.cgi?article=4084&amp;context=tractormuseumlit","Click for test report")</f>
        <v>Click for test report</v>
      </c>
      <c r="C3012">
        <v>2007</v>
      </c>
      <c r="E3012" t="s">
        <v>2431</v>
      </c>
      <c r="F3012" t="s">
        <v>2062</v>
      </c>
      <c r="G3012" t="s">
        <v>778</v>
      </c>
      <c r="H3012" t="s">
        <v>1905</v>
      </c>
      <c r="I3012" t="s">
        <v>1808</v>
      </c>
      <c r="J3012" t="s">
        <v>20</v>
      </c>
      <c r="K3012" t="s">
        <v>21</v>
      </c>
      <c r="L3012" t="s">
        <v>127</v>
      </c>
      <c r="N3012" t="s">
        <v>743</v>
      </c>
      <c r="O3012" t="s">
        <v>24</v>
      </c>
    </row>
    <row r="3013" spans="1:15" x14ac:dyDescent="0.25">
      <c r="A3013">
        <v>3012</v>
      </c>
      <c r="B3013" t="str">
        <f>HYPERLINK("https://digitalcommons.unl.edu/cgi/viewcontent.cgi?article=4088&amp;context=tractormuseumlit","Click for test report")</f>
        <v>Click for test report</v>
      </c>
      <c r="C3013">
        <v>2007</v>
      </c>
      <c r="E3013" t="s">
        <v>2428</v>
      </c>
      <c r="F3013" t="s">
        <v>1136</v>
      </c>
      <c r="G3013" t="s">
        <v>414</v>
      </c>
      <c r="H3013" t="s">
        <v>2429</v>
      </c>
      <c r="I3013" t="s">
        <v>1808</v>
      </c>
      <c r="J3013" t="s">
        <v>20</v>
      </c>
      <c r="K3013" t="s">
        <v>21</v>
      </c>
      <c r="L3013" t="s">
        <v>127</v>
      </c>
      <c r="N3013" t="s">
        <v>743</v>
      </c>
      <c r="O3013" t="s">
        <v>2430</v>
      </c>
    </row>
    <row r="3014" spans="1:15" x14ac:dyDescent="0.25">
      <c r="A3014">
        <v>3013</v>
      </c>
      <c r="B3014" t="str">
        <f>HYPERLINK("https://digitalcommons.unl.edu/cgi/viewcontent.cgi?article=3124&amp;context=tractormuseumlit","Click for test report")</f>
        <v>Click for test report</v>
      </c>
      <c r="C3014">
        <v>2007</v>
      </c>
      <c r="D3014" t="s">
        <v>2426</v>
      </c>
      <c r="F3014" t="s">
        <v>17</v>
      </c>
      <c r="G3014" t="s">
        <v>17</v>
      </c>
      <c r="H3014" t="s">
        <v>2427</v>
      </c>
      <c r="I3014" t="s">
        <v>50</v>
      </c>
      <c r="J3014" t="s">
        <v>348</v>
      </c>
      <c r="K3014" t="s">
        <v>21</v>
      </c>
      <c r="L3014" t="s">
        <v>1350</v>
      </c>
      <c r="O3014" t="s">
        <v>24</v>
      </c>
    </row>
    <row r="3015" spans="1:15" x14ac:dyDescent="0.25">
      <c r="A3015">
        <v>3014</v>
      </c>
      <c r="B3015" t="str">
        <f>HYPERLINK("https://digitalcommons.unl.edu/cgi/viewcontent.cgi?article=3125&amp;context=tractormuseumlit","Click for test report")</f>
        <v>Click for test report</v>
      </c>
      <c r="C3015">
        <v>2007</v>
      </c>
      <c r="D3015" t="s">
        <v>2423</v>
      </c>
      <c r="E3015" t="s">
        <v>2424</v>
      </c>
      <c r="F3015" t="s">
        <v>17</v>
      </c>
      <c r="G3015" t="s">
        <v>17</v>
      </c>
      <c r="H3015" t="s">
        <v>2425</v>
      </c>
      <c r="I3015" t="s">
        <v>19</v>
      </c>
      <c r="J3015" t="s">
        <v>20</v>
      </c>
      <c r="K3015" t="s">
        <v>21</v>
      </c>
      <c r="L3015" t="s">
        <v>853</v>
      </c>
      <c r="N3015" t="s">
        <v>359</v>
      </c>
      <c r="O3015" t="s">
        <v>24</v>
      </c>
    </row>
    <row r="3016" spans="1:15" x14ac:dyDescent="0.25">
      <c r="A3016">
        <v>3015</v>
      </c>
      <c r="B3016" t="str">
        <f>HYPERLINK("https://digitalcommons.unl.edu/cgi/viewcontent.cgi?article=1612&amp;context=tractormuseumlit","Click for test report")</f>
        <v>Click for test report</v>
      </c>
      <c r="C3016">
        <v>2007</v>
      </c>
      <c r="D3016" t="s">
        <v>2419</v>
      </c>
      <c r="E3016" t="s">
        <v>2420</v>
      </c>
      <c r="F3016" t="s">
        <v>17</v>
      </c>
      <c r="G3016" t="s">
        <v>17</v>
      </c>
      <c r="H3016" t="s">
        <v>2421</v>
      </c>
      <c r="I3016" t="s">
        <v>19</v>
      </c>
      <c r="J3016" t="s">
        <v>20</v>
      </c>
      <c r="K3016" t="s">
        <v>21</v>
      </c>
      <c r="L3016" t="s">
        <v>2422</v>
      </c>
      <c r="N3016" t="s">
        <v>1042</v>
      </c>
      <c r="O3016" t="s">
        <v>24</v>
      </c>
    </row>
    <row r="3017" spans="1:15" x14ac:dyDescent="0.25">
      <c r="A3017">
        <v>3016</v>
      </c>
      <c r="B3017" t="str">
        <f>HYPERLINK("https://digitalcommons.unl.edu/cgi/viewcontent.cgi?article=3126&amp;context=tractormuseumlit","Click for test report")</f>
        <v>Click for test report</v>
      </c>
      <c r="C3017">
        <v>2007</v>
      </c>
      <c r="D3017" t="s">
        <v>2416</v>
      </c>
      <c r="E3017" t="s">
        <v>2417</v>
      </c>
      <c r="F3017" t="s">
        <v>17</v>
      </c>
      <c r="G3017" t="s">
        <v>17</v>
      </c>
      <c r="H3017" t="s">
        <v>2418</v>
      </c>
      <c r="I3017" t="s">
        <v>19</v>
      </c>
      <c r="J3017" t="s">
        <v>20</v>
      </c>
      <c r="K3017" t="s">
        <v>21</v>
      </c>
      <c r="L3017" t="s">
        <v>901</v>
      </c>
      <c r="N3017" t="s">
        <v>787</v>
      </c>
      <c r="O3017" t="s">
        <v>24</v>
      </c>
    </row>
    <row r="3018" spans="1:15" x14ac:dyDescent="0.25">
      <c r="A3018">
        <v>3017</v>
      </c>
      <c r="B3018" t="str">
        <f>HYPERLINK("https://digitalcommons.unl.edu/cgi/viewcontent.cgi?article=3127&amp;context=tractormuseumlit","Click for test report")</f>
        <v>Click for test report</v>
      </c>
      <c r="C3018">
        <v>2007</v>
      </c>
      <c r="D3018" t="s">
        <v>2413</v>
      </c>
      <c r="E3018" t="s">
        <v>2414</v>
      </c>
      <c r="F3018" t="s">
        <v>17</v>
      </c>
      <c r="G3018" t="s">
        <v>17</v>
      </c>
      <c r="H3018" t="s">
        <v>2415</v>
      </c>
      <c r="I3018" t="s">
        <v>19</v>
      </c>
      <c r="J3018" t="s">
        <v>20</v>
      </c>
      <c r="K3018" t="s">
        <v>21</v>
      </c>
      <c r="L3018" t="s">
        <v>71</v>
      </c>
      <c r="N3018" t="s">
        <v>1821</v>
      </c>
      <c r="O3018" t="s">
        <v>24</v>
      </c>
    </row>
    <row r="3019" spans="1:15" x14ac:dyDescent="0.25">
      <c r="A3019">
        <v>3018</v>
      </c>
      <c r="B3019" t="str">
        <f>HYPERLINK("https://digitalcommons.unl.edu/cgi/viewcontent.cgi?article=3128&amp;context=tractormuseumlit","Click for test report")</f>
        <v>Click for test report</v>
      </c>
      <c r="C3019">
        <v>2007</v>
      </c>
      <c r="D3019" t="s">
        <v>2410</v>
      </c>
      <c r="E3019" t="s">
        <v>2411</v>
      </c>
      <c r="F3019" t="s">
        <v>17</v>
      </c>
      <c r="G3019" t="s">
        <v>17</v>
      </c>
      <c r="H3019" t="s">
        <v>2412</v>
      </c>
      <c r="I3019" t="s">
        <v>64</v>
      </c>
      <c r="J3019" t="s">
        <v>20</v>
      </c>
      <c r="K3019" t="s">
        <v>21</v>
      </c>
      <c r="L3019" t="s">
        <v>149</v>
      </c>
      <c r="N3019" t="s">
        <v>824</v>
      </c>
      <c r="O3019" t="s">
        <v>1871</v>
      </c>
    </row>
    <row r="3020" spans="1:15" x14ac:dyDescent="0.25">
      <c r="A3020">
        <v>3019</v>
      </c>
      <c r="B3020" t="str">
        <f>HYPERLINK("https://digitalcommons.unl.edu/cgi/viewcontent.cgi?article=3129&amp;context=tractormuseumlit","Click for test report")</f>
        <v>Click for test report</v>
      </c>
      <c r="C3020">
        <v>2007</v>
      </c>
      <c r="D3020" t="s">
        <v>2406</v>
      </c>
      <c r="E3020" t="s">
        <v>2407</v>
      </c>
      <c r="F3020" t="s">
        <v>1282</v>
      </c>
      <c r="G3020" t="s">
        <v>191</v>
      </c>
      <c r="H3020" t="s">
        <v>2103</v>
      </c>
      <c r="I3020" t="s">
        <v>28</v>
      </c>
      <c r="J3020" t="s">
        <v>20</v>
      </c>
      <c r="K3020" t="s">
        <v>21</v>
      </c>
      <c r="L3020" t="s">
        <v>1240</v>
      </c>
      <c r="N3020" t="s">
        <v>939</v>
      </c>
      <c r="O3020" t="s">
        <v>24</v>
      </c>
    </row>
    <row r="3021" spans="1:15" x14ac:dyDescent="0.25">
      <c r="A3021">
        <v>3020</v>
      </c>
      <c r="B3021" t="str">
        <f>HYPERLINK("https://digitalcommons.unl.edu/cgi/viewcontent.cgi?article=3129&amp;context=tractormuseumlit","Click for test report")</f>
        <v>Click for test report</v>
      </c>
      <c r="C3021">
        <v>2007</v>
      </c>
      <c r="D3021" t="s">
        <v>2406</v>
      </c>
      <c r="E3021" t="s">
        <v>2407</v>
      </c>
      <c r="F3021" t="s">
        <v>1282</v>
      </c>
      <c r="G3021" t="s">
        <v>191</v>
      </c>
      <c r="H3021" t="s">
        <v>2408</v>
      </c>
      <c r="I3021" t="s">
        <v>28</v>
      </c>
      <c r="J3021" t="s">
        <v>20</v>
      </c>
      <c r="K3021" t="s">
        <v>21</v>
      </c>
      <c r="L3021" t="s">
        <v>1240</v>
      </c>
      <c r="N3021" t="s">
        <v>939</v>
      </c>
      <c r="O3021" t="s">
        <v>2409</v>
      </c>
    </row>
    <row r="3022" spans="1:15" x14ac:dyDescent="0.25">
      <c r="A3022">
        <v>3021</v>
      </c>
      <c r="B3022" t="str">
        <f>HYPERLINK("https://digitalcommons.unl.edu/cgi/viewcontent.cgi?article=3131&amp;context=tractormuseumlit","Click for test report")</f>
        <v>Click for test report</v>
      </c>
      <c r="C3022">
        <v>2007</v>
      </c>
      <c r="D3022" t="s">
        <v>2402</v>
      </c>
      <c r="E3022" t="s">
        <v>2403</v>
      </c>
      <c r="F3022" t="s">
        <v>1282</v>
      </c>
      <c r="G3022" t="s">
        <v>191</v>
      </c>
      <c r="H3022" t="s">
        <v>2099</v>
      </c>
      <c r="I3022" t="s">
        <v>28</v>
      </c>
      <c r="J3022" t="s">
        <v>20</v>
      </c>
      <c r="K3022" t="s">
        <v>21</v>
      </c>
      <c r="L3022" t="s">
        <v>167</v>
      </c>
      <c r="N3022" t="s">
        <v>1449</v>
      </c>
      <c r="O3022" t="s">
        <v>24</v>
      </c>
    </row>
    <row r="3023" spans="1:15" x14ac:dyDescent="0.25">
      <c r="A3023">
        <v>3022</v>
      </c>
      <c r="B3023" t="str">
        <f>HYPERLINK("https://digitalcommons.unl.edu/cgi/viewcontent.cgi?article=3131&amp;context=tractormuseumlit","Click for test report")</f>
        <v>Click for test report</v>
      </c>
      <c r="C3023">
        <v>2007</v>
      </c>
      <c r="D3023" t="s">
        <v>2402</v>
      </c>
      <c r="E3023" t="s">
        <v>2403</v>
      </c>
      <c r="F3023" t="s">
        <v>1282</v>
      </c>
      <c r="G3023" t="s">
        <v>191</v>
      </c>
      <c r="H3023" t="s">
        <v>2404</v>
      </c>
      <c r="I3023" t="s">
        <v>28</v>
      </c>
      <c r="J3023" t="s">
        <v>20</v>
      </c>
      <c r="K3023" t="s">
        <v>21</v>
      </c>
      <c r="L3023" t="s">
        <v>167</v>
      </c>
      <c r="N3023" t="s">
        <v>1449</v>
      </c>
      <c r="O3023" t="s">
        <v>2405</v>
      </c>
    </row>
    <row r="3024" spans="1:15" x14ac:dyDescent="0.25">
      <c r="A3024">
        <v>3023</v>
      </c>
      <c r="B3024" t="str">
        <f>HYPERLINK("https://digitalcommons.unl.edu/cgi/viewcontent.cgi?article=3133&amp;context=tractormuseumlit","Click for test report")</f>
        <v>Click for test report</v>
      </c>
      <c r="C3024">
        <v>2007</v>
      </c>
      <c r="D3024" t="s">
        <v>2397</v>
      </c>
      <c r="E3024" t="s">
        <v>2398</v>
      </c>
      <c r="F3024" t="s">
        <v>1282</v>
      </c>
      <c r="G3024" t="s">
        <v>135</v>
      </c>
      <c r="H3024" t="s">
        <v>2400</v>
      </c>
      <c r="I3024" t="s">
        <v>28</v>
      </c>
      <c r="J3024" t="s">
        <v>20</v>
      </c>
      <c r="K3024" t="s">
        <v>21</v>
      </c>
      <c r="L3024" t="s">
        <v>1240</v>
      </c>
      <c r="N3024" t="s">
        <v>439</v>
      </c>
      <c r="O3024" t="s">
        <v>2401</v>
      </c>
    </row>
    <row r="3025" spans="1:15" x14ac:dyDescent="0.25">
      <c r="A3025">
        <v>3024</v>
      </c>
      <c r="B3025" t="str">
        <f>HYPERLINK("https://digitalcommons.unl.edu/cgi/viewcontent.cgi?article=3133&amp;context=tractormuseumlit","Click for test report")</f>
        <v>Click for test report</v>
      </c>
      <c r="C3025">
        <v>2007</v>
      </c>
      <c r="D3025" t="s">
        <v>2397</v>
      </c>
      <c r="E3025" t="s">
        <v>2398</v>
      </c>
      <c r="F3025" t="s">
        <v>1282</v>
      </c>
      <c r="G3025" t="s">
        <v>135</v>
      </c>
      <c r="H3025" t="s">
        <v>2399</v>
      </c>
      <c r="I3025" t="s">
        <v>28</v>
      </c>
      <c r="J3025" t="s">
        <v>20</v>
      </c>
      <c r="K3025" t="s">
        <v>21</v>
      </c>
      <c r="L3025" t="s">
        <v>1240</v>
      </c>
      <c r="N3025" t="s">
        <v>439</v>
      </c>
      <c r="O3025" t="s">
        <v>24</v>
      </c>
    </row>
    <row r="3026" spans="1:15" x14ac:dyDescent="0.25">
      <c r="A3026">
        <v>3025</v>
      </c>
      <c r="B3026" t="str">
        <f>HYPERLINK("https://digitalcommons.unl.edu/cgi/viewcontent.cgi?article=3134&amp;context=tractormuseumlit","Click for test report")</f>
        <v>Click for test report</v>
      </c>
      <c r="C3026">
        <v>2007</v>
      </c>
      <c r="D3026" t="s">
        <v>2392</v>
      </c>
      <c r="E3026" t="s">
        <v>2393</v>
      </c>
      <c r="F3026" t="s">
        <v>1282</v>
      </c>
      <c r="G3026" t="s">
        <v>135</v>
      </c>
      <c r="H3026" t="s">
        <v>2395</v>
      </c>
      <c r="I3026" t="s">
        <v>28</v>
      </c>
      <c r="J3026" t="s">
        <v>20</v>
      </c>
      <c r="K3026" t="s">
        <v>21</v>
      </c>
      <c r="L3026" t="s">
        <v>167</v>
      </c>
      <c r="N3026" t="s">
        <v>115</v>
      </c>
      <c r="O3026" t="s">
        <v>2396</v>
      </c>
    </row>
    <row r="3027" spans="1:15" x14ac:dyDescent="0.25">
      <c r="A3027">
        <v>3026</v>
      </c>
      <c r="B3027" t="str">
        <f>HYPERLINK("https://digitalcommons.unl.edu/cgi/viewcontent.cgi?article=3134&amp;context=tractormuseumlit","Click for test report")</f>
        <v>Click for test report</v>
      </c>
      <c r="C3027">
        <v>2007</v>
      </c>
      <c r="D3027" t="s">
        <v>2392</v>
      </c>
      <c r="E3027" t="s">
        <v>2393</v>
      </c>
      <c r="F3027" t="s">
        <v>1282</v>
      </c>
      <c r="G3027" t="s">
        <v>135</v>
      </c>
      <c r="H3027" t="s">
        <v>2394</v>
      </c>
      <c r="I3027" t="s">
        <v>28</v>
      </c>
      <c r="J3027" t="s">
        <v>20</v>
      </c>
      <c r="K3027" t="s">
        <v>21</v>
      </c>
      <c r="L3027" t="s">
        <v>167</v>
      </c>
      <c r="N3027" t="s">
        <v>115</v>
      </c>
      <c r="O3027" t="s">
        <v>24</v>
      </c>
    </row>
    <row r="3028" spans="1:15" x14ac:dyDescent="0.25">
      <c r="A3028">
        <v>3027</v>
      </c>
      <c r="B3028" t="str">
        <f>HYPERLINK("https://digitalcommons.unl.edu/cgi/viewcontent.cgi?article=3135&amp;context=tractormuseumlit","Click for test report")</f>
        <v>Click for test report</v>
      </c>
      <c r="C3028">
        <v>2007</v>
      </c>
      <c r="D3028" t="s">
        <v>2390</v>
      </c>
      <c r="F3028" t="s">
        <v>1136</v>
      </c>
      <c r="G3028" t="s">
        <v>111</v>
      </c>
      <c r="H3028" t="s">
        <v>2391</v>
      </c>
      <c r="I3028" t="s">
        <v>28</v>
      </c>
      <c r="J3028" t="s">
        <v>20</v>
      </c>
      <c r="K3028" t="s">
        <v>21</v>
      </c>
      <c r="L3028" t="s">
        <v>457</v>
      </c>
      <c r="O3028" t="s">
        <v>24</v>
      </c>
    </row>
    <row r="3029" spans="1:15" x14ac:dyDescent="0.25">
      <c r="A3029">
        <v>3028</v>
      </c>
      <c r="B3029" t="str">
        <f>HYPERLINK("https://digitalcommons.unl.edu/cgi/viewcontent.cgi?article=3136&amp;context=tractormuseumlit","Click for test report")</f>
        <v>Click for test report</v>
      </c>
      <c r="C3029">
        <v>2007</v>
      </c>
      <c r="D3029" t="s">
        <v>2387</v>
      </c>
      <c r="E3029" t="s">
        <v>2388</v>
      </c>
      <c r="F3029" t="s">
        <v>1136</v>
      </c>
      <c r="G3029" t="s">
        <v>111</v>
      </c>
      <c r="H3029" t="s">
        <v>2389</v>
      </c>
      <c r="I3029" t="s">
        <v>64</v>
      </c>
      <c r="J3029" t="s">
        <v>20</v>
      </c>
      <c r="K3029" t="s">
        <v>21</v>
      </c>
      <c r="L3029" t="s">
        <v>705</v>
      </c>
      <c r="N3029" t="s">
        <v>713</v>
      </c>
      <c r="O3029" t="s">
        <v>1871</v>
      </c>
    </row>
    <row r="3030" spans="1:15" x14ac:dyDescent="0.25">
      <c r="A3030">
        <v>3029</v>
      </c>
      <c r="B3030" t="str">
        <f>HYPERLINK("https://digitalcommons.unl.edu/cgi/viewcontent.cgi?article=3137&amp;context=tractormuseumlit","Click for test report")</f>
        <v>Click for test report</v>
      </c>
      <c r="C3030">
        <v>2007</v>
      </c>
      <c r="D3030" t="s">
        <v>2384</v>
      </c>
      <c r="E3030" t="s">
        <v>2385</v>
      </c>
      <c r="F3030" t="s">
        <v>1136</v>
      </c>
      <c r="G3030" t="s">
        <v>111</v>
      </c>
      <c r="H3030" t="s">
        <v>2386</v>
      </c>
      <c r="I3030" t="s">
        <v>64</v>
      </c>
      <c r="J3030" t="s">
        <v>20</v>
      </c>
      <c r="K3030" t="s">
        <v>21</v>
      </c>
      <c r="L3030" t="s">
        <v>475</v>
      </c>
      <c r="N3030" t="s">
        <v>51</v>
      </c>
      <c r="O3030" t="s">
        <v>1871</v>
      </c>
    </row>
    <row r="3031" spans="1:15" x14ac:dyDescent="0.25">
      <c r="A3031">
        <v>3030</v>
      </c>
      <c r="B3031" t="str">
        <f>HYPERLINK("https://digitalcommons.unl.edu/cgi/viewcontent.cgi?article=3138&amp;context=tractormuseumlit","Click for test report")</f>
        <v>Click for test report</v>
      </c>
      <c r="C3031">
        <v>2007</v>
      </c>
      <c r="D3031" t="s">
        <v>2382</v>
      </c>
      <c r="F3031" t="s">
        <v>17</v>
      </c>
      <c r="G3031" t="s">
        <v>17</v>
      </c>
      <c r="H3031" t="s">
        <v>2383</v>
      </c>
      <c r="I3031" t="s">
        <v>50</v>
      </c>
      <c r="J3031" t="s">
        <v>20</v>
      </c>
      <c r="K3031" t="s">
        <v>21</v>
      </c>
      <c r="L3031" t="s">
        <v>565</v>
      </c>
      <c r="O3031" t="s">
        <v>24</v>
      </c>
    </row>
    <row r="3032" spans="1:15" x14ac:dyDescent="0.25">
      <c r="A3032">
        <v>3031</v>
      </c>
      <c r="B3032" t="str">
        <f>HYPERLINK("https://digitalcommons.unl.edu/cgi/viewcontent.cgi?article=3139&amp;context=tractormuseumlit","Click for test report")</f>
        <v>Click for test report</v>
      </c>
      <c r="C3032">
        <v>2007</v>
      </c>
      <c r="D3032" t="s">
        <v>2380</v>
      </c>
      <c r="F3032" t="s">
        <v>17</v>
      </c>
      <c r="G3032" t="s">
        <v>17</v>
      </c>
      <c r="H3032" t="s">
        <v>2381</v>
      </c>
      <c r="I3032" t="s">
        <v>50</v>
      </c>
      <c r="J3032" t="s">
        <v>20</v>
      </c>
      <c r="K3032" t="s">
        <v>21</v>
      </c>
      <c r="L3032" t="s">
        <v>565</v>
      </c>
      <c r="O3032" t="s">
        <v>24</v>
      </c>
    </row>
    <row r="3033" spans="1:15" x14ac:dyDescent="0.25">
      <c r="A3033">
        <v>3032</v>
      </c>
      <c r="B3033" t="str">
        <f>HYPERLINK("https://digitalcommons.unl.edu/cgi/viewcontent.cgi?article=3140&amp;context=tractormuseumlit","Click for test report")</f>
        <v>Click for test report</v>
      </c>
      <c r="C3033">
        <v>2007</v>
      </c>
      <c r="D3033" t="s">
        <v>2375</v>
      </c>
      <c r="E3033" t="s">
        <v>2376</v>
      </c>
      <c r="F3033" t="s">
        <v>1282</v>
      </c>
      <c r="G3033" t="s">
        <v>191</v>
      </c>
      <c r="H3033" t="s">
        <v>2379</v>
      </c>
      <c r="I3033" t="s">
        <v>28</v>
      </c>
      <c r="J3033" t="s">
        <v>29</v>
      </c>
      <c r="K3033" t="s">
        <v>21</v>
      </c>
      <c r="L3033" t="s">
        <v>421</v>
      </c>
      <c r="N3033" t="s">
        <v>399</v>
      </c>
      <c r="O3033" t="s">
        <v>24</v>
      </c>
    </row>
    <row r="3034" spans="1:15" x14ac:dyDescent="0.25">
      <c r="A3034">
        <v>3033</v>
      </c>
      <c r="B3034" t="str">
        <f>HYPERLINK("https://digitalcommons.unl.edu/cgi/viewcontent.cgi?article=3140&amp;context=tractormuseumlit","Click for test report")</f>
        <v>Click for test report</v>
      </c>
      <c r="C3034">
        <v>2007</v>
      </c>
      <c r="D3034" t="s">
        <v>2375</v>
      </c>
      <c r="E3034" t="s">
        <v>2376</v>
      </c>
      <c r="F3034" t="s">
        <v>1282</v>
      </c>
      <c r="G3034" t="s">
        <v>191</v>
      </c>
      <c r="H3034" t="s">
        <v>2378</v>
      </c>
      <c r="I3034" t="s">
        <v>28</v>
      </c>
      <c r="J3034" t="s">
        <v>29</v>
      </c>
      <c r="K3034" t="s">
        <v>21</v>
      </c>
      <c r="L3034" t="s">
        <v>421</v>
      </c>
      <c r="N3034" t="s">
        <v>399</v>
      </c>
      <c r="O3034" t="s">
        <v>2323</v>
      </c>
    </row>
    <row r="3035" spans="1:15" x14ac:dyDescent="0.25">
      <c r="A3035">
        <v>3034</v>
      </c>
      <c r="B3035" t="str">
        <f>HYPERLINK("https://digitalcommons.unl.edu/cgi/viewcontent.cgi?article=3140&amp;context=tractormuseumlit","Click for test report")</f>
        <v>Click for test report</v>
      </c>
      <c r="C3035">
        <v>2007</v>
      </c>
      <c r="D3035" t="s">
        <v>2375</v>
      </c>
      <c r="E3035" t="s">
        <v>2376</v>
      </c>
      <c r="F3035" t="s">
        <v>1282</v>
      </c>
      <c r="G3035" t="s">
        <v>191</v>
      </c>
      <c r="H3035" t="s">
        <v>2377</v>
      </c>
      <c r="I3035" t="s">
        <v>28</v>
      </c>
      <c r="J3035" t="s">
        <v>29</v>
      </c>
      <c r="K3035" t="s">
        <v>21</v>
      </c>
      <c r="L3035" t="s">
        <v>421</v>
      </c>
      <c r="N3035" t="s">
        <v>399</v>
      </c>
      <c r="O3035" t="s">
        <v>2323</v>
      </c>
    </row>
    <row r="3036" spans="1:15" x14ac:dyDescent="0.25">
      <c r="A3036">
        <v>3035</v>
      </c>
      <c r="B3036" t="str">
        <f>HYPERLINK("https://digitalcommons.unl.edu/cgi/viewcontent.cgi?article=3141&amp;context=tractormuseumlit","Click for test report")</f>
        <v>Click for test report</v>
      </c>
      <c r="C3036">
        <v>2007</v>
      </c>
      <c r="D3036" t="s">
        <v>2370</v>
      </c>
      <c r="E3036" t="s">
        <v>2371</v>
      </c>
      <c r="F3036" t="s">
        <v>1282</v>
      </c>
      <c r="G3036" t="s">
        <v>191</v>
      </c>
      <c r="H3036" t="s">
        <v>2374</v>
      </c>
      <c r="I3036" t="s">
        <v>28</v>
      </c>
      <c r="J3036" t="s">
        <v>29</v>
      </c>
      <c r="K3036" t="s">
        <v>21</v>
      </c>
      <c r="L3036" t="s">
        <v>2317</v>
      </c>
      <c r="N3036" t="s">
        <v>87</v>
      </c>
      <c r="O3036" t="s">
        <v>24</v>
      </c>
    </row>
    <row r="3037" spans="1:15" x14ac:dyDescent="0.25">
      <c r="A3037">
        <v>3036</v>
      </c>
      <c r="B3037" t="str">
        <f>HYPERLINK("https://digitalcommons.unl.edu/cgi/viewcontent.cgi?article=3141&amp;context=tractormuseumlit","Click for test report")</f>
        <v>Click for test report</v>
      </c>
      <c r="C3037">
        <v>2007</v>
      </c>
      <c r="D3037" t="s">
        <v>2370</v>
      </c>
      <c r="E3037" t="s">
        <v>2371</v>
      </c>
      <c r="F3037" t="s">
        <v>1282</v>
      </c>
      <c r="G3037" t="s">
        <v>191</v>
      </c>
      <c r="H3037" t="s">
        <v>2373</v>
      </c>
      <c r="I3037" t="s">
        <v>28</v>
      </c>
      <c r="J3037" t="s">
        <v>29</v>
      </c>
      <c r="K3037" t="s">
        <v>21</v>
      </c>
      <c r="L3037" t="s">
        <v>2317</v>
      </c>
      <c r="N3037" t="s">
        <v>87</v>
      </c>
      <c r="O3037" t="s">
        <v>2318</v>
      </c>
    </row>
    <row r="3038" spans="1:15" x14ac:dyDescent="0.25">
      <c r="A3038">
        <v>3037</v>
      </c>
      <c r="B3038" t="str">
        <f>HYPERLINK("https://digitalcommons.unl.edu/cgi/viewcontent.cgi?article=3141&amp;context=tractormuseumlit","Click for test report")</f>
        <v>Click for test report</v>
      </c>
      <c r="C3038">
        <v>2007</v>
      </c>
      <c r="D3038" t="s">
        <v>2370</v>
      </c>
      <c r="E3038" t="s">
        <v>2371</v>
      </c>
      <c r="F3038" t="s">
        <v>1282</v>
      </c>
      <c r="G3038" t="s">
        <v>191</v>
      </c>
      <c r="H3038" t="s">
        <v>2372</v>
      </c>
      <c r="I3038" t="s">
        <v>28</v>
      </c>
      <c r="J3038" t="s">
        <v>29</v>
      </c>
      <c r="K3038" t="s">
        <v>21</v>
      </c>
      <c r="L3038" t="s">
        <v>2317</v>
      </c>
      <c r="N3038" t="s">
        <v>87</v>
      </c>
      <c r="O3038" t="s">
        <v>2318</v>
      </c>
    </row>
    <row r="3039" spans="1:15" x14ac:dyDescent="0.25">
      <c r="A3039">
        <v>3038</v>
      </c>
      <c r="B3039" t="str">
        <f>HYPERLINK("https://digitalcommons.unl.edu/cgi/viewcontent.cgi?article=3142&amp;context=tractormuseumlit","Click for test report")</f>
        <v>Click for test report</v>
      </c>
      <c r="C3039">
        <v>2007</v>
      </c>
      <c r="D3039" t="s">
        <v>2365</v>
      </c>
      <c r="E3039" t="s">
        <v>2366</v>
      </c>
      <c r="F3039" t="s">
        <v>1282</v>
      </c>
      <c r="G3039" t="s">
        <v>191</v>
      </c>
      <c r="H3039" t="s">
        <v>2369</v>
      </c>
      <c r="I3039" t="s">
        <v>28</v>
      </c>
      <c r="J3039" t="s">
        <v>29</v>
      </c>
      <c r="K3039" t="s">
        <v>21</v>
      </c>
      <c r="L3039" t="s">
        <v>1284</v>
      </c>
      <c r="N3039" t="s">
        <v>1289</v>
      </c>
      <c r="O3039" t="s">
        <v>24</v>
      </c>
    </row>
    <row r="3040" spans="1:15" x14ac:dyDescent="0.25">
      <c r="A3040">
        <v>3039</v>
      </c>
      <c r="B3040" t="str">
        <f>HYPERLINK("https://digitalcommons.unl.edu/cgi/viewcontent.cgi?article=3142&amp;context=tractormuseumlit","Click for test report")</f>
        <v>Click for test report</v>
      </c>
      <c r="C3040">
        <v>2007</v>
      </c>
      <c r="D3040" t="s">
        <v>2365</v>
      </c>
      <c r="E3040" t="s">
        <v>2366</v>
      </c>
      <c r="F3040" t="s">
        <v>1282</v>
      </c>
      <c r="G3040" t="s">
        <v>191</v>
      </c>
      <c r="H3040" t="s">
        <v>2368</v>
      </c>
      <c r="I3040" t="s">
        <v>28</v>
      </c>
      <c r="J3040" t="s">
        <v>29</v>
      </c>
      <c r="K3040" t="s">
        <v>21</v>
      </c>
      <c r="L3040" t="s">
        <v>1284</v>
      </c>
      <c r="N3040" t="s">
        <v>1289</v>
      </c>
      <c r="O3040" t="s">
        <v>2312</v>
      </c>
    </row>
    <row r="3041" spans="1:15" x14ac:dyDescent="0.25">
      <c r="A3041">
        <v>3040</v>
      </c>
      <c r="B3041" t="str">
        <f>HYPERLINK("https://digitalcommons.unl.edu/cgi/viewcontent.cgi?article=3142&amp;context=tractormuseumlit","Click for test report")</f>
        <v>Click for test report</v>
      </c>
      <c r="C3041">
        <v>2007</v>
      </c>
      <c r="D3041" t="s">
        <v>2365</v>
      </c>
      <c r="E3041" t="s">
        <v>2366</v>
      </c>
      <c r="F3041" t="s">
        <v>1282</v>
      </c>
      <c r="G3041" t="s">
        <v>191</v>
      </c>
      <c r="H3041" t="s">
        <v>2367</v>
      </c>
      <c r="I3041" t="s">
        <v>28</v>
      </c>
      <c r="J3041" t="s">
        <v>29</v>
      </c>
      <c r="K3041" t="s">
        <v>21</v>
      </c>
      <c r="L3041" t="s">
        <v>1284</v>
      </c>
      <c r="N3041" t="s">
        <v>1289</v>
      </c>
      <c r="O3041" t="s">
        <v>2312</v>
      </c>
    </row>
    <row r="3042" spans="1:15" x14ac:dyDescent="0.25">
      <c r="A3042">
        <v>3041</v>
      </c>
      <c r="B3042" t="str">
        <f>HYPERLINK("https://digitalcommons.unl.edu/cgi/viewcontent.cgi?article=3144&amp;context=tractormuseumlit","Click for test report")</f>
        <v>Click for test report</v>
      </c>
      <c r="C3042">
        <v>2007</v>
      </c>
      <c r="D3042" t="s">
        <v>2361</v>
      </c>
      <c r="E3042" t="s">
        <v>2362</v>
      </c>
      <c r="F3042" t="s">
        <v>1282</v>
      </c>
      <c r="G3042" t="s">
        <v>191</v>
      </c>
      <c r="H3042" t="s">
        <v>2364</v>
      </c>
      <c r="I3042" t="s">
        <v>28</v>
      </c>
      <c r="J3042" t="s">
        <v>29</v>
      </c>
      <c r="K3042" t="s">
        <v>21</v>
      </c>
      <c r="L3042" t="s">
        <v>2307</v>
      </c>
      <c r="N3042" t="s">
        <v>1486</v>
      </c>
      <c r="O3042" t="s">
        <v>24</v>
      </c>
    </row>
    <row r="3043" spans="1:15" x14ac:dyDescent="0.25">
      <c r="A3043">
        <v>3042</v>
      </c>
      <c r="B3043" t="str">
        <f>HYPERLINK("https://digitalcommons.unl.edu/cgi/viewcontent.cgi?article=3144&amp;context=tractormuseumlit","Click for test report")</f>
        <v>Click for test report</v>
      </c>
      <c r="C3043">
        <v>2007</v>
      </c>
      <c r="D3043" t="s">
        <v>2361</v>
      </c>
      <c r="E3043" t="s">
        <v>2362</v>
      </c>
      <c r="F3043" t="s">
        <v>1282</v>
      </c>
      <c r="G3043" t="s">
        <v>191</v>
      </c>
      <c r="H3043" t="s">
        <v>2363</v>
      </c>
      <c r="I3043" t="s">
        <v>28</v>
      </c>
      <c r="J3043" t="s">
        <v>29</v>
      </c>
      <c r="K3043" t="s">
        <v>21</v>
      </c>
      <c r="L3043" t="s">
        <v>2307</v>
      </c>
      <c r="N3043" t="s">
        <v>1486</v>
      </c>
      <c r="O3043" t="s">
        <v>2308</v>
      </c>
    </row>
    <row r="3044" spans="1:15" x14ac:dyDescent="0.25">
      <c r="A3044">
        <v>3043</v>
      </c>
      <c r="B3044" t="str">
        <f>HYPERLINK("https://digitalcommons.unl.edu/cgi/viewcontent.cgi?article=3145&amp;context=tractormuseumlit","Click for test report")</f>
        <v>Click for test report</v>
      </c>
      <c r="C3044">
        <v>2007</v>
      </c>
      <c r="D3044" t="s">
        <v>2355</v>
      </c>
      <c r="E3044" t="s">
        <v>2356</v>
      </c>
      <c r="F3044" t="s">
        <v>1282</v>
      </c>
      <c r="G3044" t="s">
        <v>191</v>
      </c>
      <c r="H3044" t="s">
        <v>2360</v>
      </c>
      <c r="I3044" t="s">
        <v>28</v>
      </c>
      <c r="J3044" t="s">
        <v>80</v>
      </c>
      <c r="K3044" t="s">
        <v>21</v>
      </c>
      <c r="L3044" t="s">
        <v>1705</v>
      </c>
      <c r="N3044" t="s">
        <v>2358</v>
      </c>
      <c r="O3044" t="s">
        <v>24</v>
      </c>
    </row>
    <row r="3045" spans="1:15" x14ac:dyDescent="0.25">
      <c r="A3045">
        <v>3044</v>
      </c>
      <c r="B3045" t="str">
        <f>HYPERLINK("https://digitalcommons.unl.edu/cgi/viewcontent.cgi?article=3145&amp;context=tractormuseumlit","Click for test report")</f>
        <v>Click for test report</v>
      </c>
      <c r="C3045">
        <v>2007</v>
      </c>
      <c r="D3045" t="s">
        <v>2355</v>
      </c>
      <c r="E3045" t="s">
        <v>2356</v>
      </c>
      <c r="F3045" t="s">
        <v>1282</v>
      </c>
      <c r="G3045" t="s">
        <v>191</v>
      </c>
      <c r="H3045" t="s">
        <v>2357</v>
      </c>
      <c r="I3045" t="s">
        <v>28</v>
      </c>
      <c r="J3045" t="s">
        <v>80</v>
      </c>
      <c r="K3045" t="s">
        <v>21</v>
      </c>
      <c r="L3045" t="s">
        <v>1705</v>
      </c>
      <c r="N3045" t="s">
        <v>2358</v>
      </c>
      <c r="O3045" t="s">
        <v>2359</v>
      </c>
    </row>
    <row r="3046" spans="1:15" x14ac:dyDescent="0.25">
      <c r="A3046">
        <v>3045</v>
      </c>
      <c r="B3046" t="str">
        <f>HYPERLINK("https://digitalcommons.unl.edu/cgi/viewcontent.cgi?article=3146&amp;context=tractormuseumlit","Click for test report")</f>
        <v>Click for test report</v>
      </c>
      <c r="C3046">
        <v>2007</v>
      </c>
      <c r="D3046" t="s">
        <v>2351</v>
      </c>
      <c r="E3046" t="s">
        <v>2352</v>
      </c>
      <c r="F3046" t="s">
        <v>1282</v>
      </c>
      <c r="G3046" t="s">
        <v>191</v>
      </c>
      <c r="H3046" t="s">
        <v>2333</v>
      </c>
      <c r="I3046" t="s">
        <v>28</v>
      </c>
      <c r="J3046" t="s">
        <v>20</v>
      </c>
      <c r="K3046" t="s">
        <v>21</v>
      </c>
      <c r="L3046" t="s">
        <v>166</v>
      </c>
      <c r="N3046" t="s">
        <v>505</v>
      </c>
      <c r="O3046" t="s">
        <v>24</v>
      </c>
    </row>
    <row r="3047" spans="1:15" x14ac:dyDescent="0.25">
      <c r="A3047">
        <v>3046</v>
      </c>
      <c r="B3047" t="str">
        <f>HYPERLINK("https://digitalcommons.unl.edu/cgi/viewcontent.cgi?article=3146&amp;context=tractormuseumlit","Click for test report")</f>
        <v>Click for test report</v>
      </c>
      <c r="C3047">
        <v>2007</v>
      </c>
      <c r="D3047" t="s">
        <v>2351</v>
      </c>
      <c r="E3047" t="s">
        <v>2352</v>
      </c>
      <c r="F3047" t="s">
        <v>1282</v>
      </c>
      <c r="G3047" t="s">
        <v>191</v>
      </c>
      <c r="H3047" t="s">
        <v>2353</v>
      </c>
      <c r="I3047" t="s">
        <v>28</v>
      </c>
      <c r="J3047" t="s">
        <v>20</v>
      </c>
      <c r="K3047" t="s">
        <v>21</v>
      </c>
      <c r="L3047" t="s">
        <v>166</v>
      </c>
      <c r="N3047" t="s">
        <v>505</v>
      </c>
      <c r="O3047" t="s">
        <v>2354</v>
      </c>
    </row>
    <row r="3048" spans="1:15" x14ac:dyDescent="0.25">
      <c r="A3048">
        <v>3047</v>
      </c>
      <c r="B3048" t="str">
        <f>HYPERLINK("https://digitalcommons.unl.edu/cgi/viewcontent.cgi?article=3147&amp;context=tractormuseumlit","Click for test report")</f>
        <v>Click for test report</v>
      </c>
      <c r="C3048">
        <v>2007</v>
      </c>
      <c r="D3048" t="s">
        <v>2346</v>
      </c>
      <c r="E3048" t="s">
        <v>2347</v>
      </c>
      <c r="F3048" t="s">
        <v>1282</v>
      </c>
      <c r="G3048" t="s">
        <v>191</v>
      </c>
      <c r="H3048" t="s">
        <v>2350</v>
      </c>
      <c r="I3048" t="s">
        <v>28</v>
      </c>
      <c r="J3048" t="s">
        <v>20</v>
      </c>
      <c r="K3048" t="s">
        <v>21</v>
      </c>
      <c r="L3048" t="s">
        <v>1683</v>
      </c>
      <c r="N3048" t="s">
        <v>1543</v>
      </c>
      <c r="O3048" t="s">
        <v>24</v>
      </c>
    </row>
    <row r="3049" spans="1:15" x14ac:dyDescent="0.25">
      <c r="A3049">
        <v>3048</v>
      </c>
      <c r="B3049" t="str">
        <f>HYPERLINK("https://digitalcommons.unl.edu/cgi/viewcontent.cgi?article=3147&amp;context=tractormuseumlit","Click for test report")</f>
        <v>Click for test report</v>
      </c>
      <c r="C3049">
        <v>2007</v>
      </c>
      <c r="D3049" t="s">
        <v>2346</v>
      </c>
      <c r="E3049" t="s">
        <v>2347</v>
      </c>
      <c r="F3049" t="s">
        <v>1282</v>
      </c>
      <c r="G3049" t="s">
        <v>191</v>
      </c>
      <c r="H3049" t="s">
        <v>2348</v>
      </c>
      <c r="I3049" t="s">
        <v>28</v>
      </c>
      <c r="J3049" t="s">
        <v>20</v>
      </c>
      <c r="K3049" t="s">
        <v>21</v>
      </c>
      <c r="L3049" t="s">
        <v>1683</v>
      </c>
      <c r="N3049" t="s">
        <v>1543</v>
      </c>
      <c r="O3049" t="s">
        <v>2349</v>
      </c>
    </row>
    <row r="3050" spans="1:15" x14ac:dyDescent="0.25">
      <c r="A3050">
        <v>3049</v>
      </c>
      <c r="B3050" t="str">
        <f>HYPERLINK("https://digitalcommons.unl.edu/cgi/viewcontent.cgi?article=3149&amp;context=tractormuseumlit","Click for test report")</f>
        <v>Click for test report</v>
      </c>
      <c r="C3050">
        <v>2007</v>
      </c>
      <c r="D3050" t="s">
        <v>2341</v>
      </c>
      <c r="E3050" t="s">
        <v>2342</v>
      </c>
      <c r="F3050" t="s">
        <v>1282</v>
      </c>
      <c r="G3050" t="s">
        <v>135</v>
      </c>
      <c r="H3050" t="s">
        <v>2344</v>
      </c>
      <c r="I3050" t="s">
        <v>28</v>
      </c>
      <c r="J3050" t="s">
        <v>20</v>
      </c>
      <c r="K3050" t="s">
        <v>21</v>
      </c>
      <c r="L3050" t="s">
        <v>232</v>
      </c>
      <c r="N3050" t="s">
        <v>1771</v>
      </c>
      <c r="O3050" t="s">
        <v>2345</v>
      </c>
    </row>
    <row r="3051" spans="1:15" x14ac:dyDescent="0.25">
      <c r="A3051">
        <v>3050</v>
      </c>
      <c r="B3051" t="str">
        <f>HYPERLINK("https://digitalcommons.unl.edu/cgi/viewcontent.cgi?article=3149&amp;context=tractormuseumlit","Click for test report")</f>
        <v>Click for test report</v>
      </c>
      <c r="C3051">
        <v>2007</v>
      </c>
      <c r="D3051" t="s">
        <v>2341</v>
      </c>
      <c r="E3051" t="s">
        <v>2342</v>
      </c>
      <c r="F3051" t="s">
        <v>1282</v>
      </c>
      <c r="G3051" t="s">
        <v>135</v>
      </c>
      <c r="H3051" t="s">
        <v>2343</v>
      </c>
      <c r="I3051" t="s">
        <v>28</v>
      </c>
      <c r="J3051" t="s">
        <v>20</v>
      </c>
      <c r="K3051" t="s">
        <v>21</v>
      </c>
      <c r="L3051" t="s">
        <v>232</v>
      </c>
      <c r="N3051" t="s">
        <v>1771</v>
      </c>
      <c r="O3051" t="s">
        <v>24</v>
      </c>
    </row>
    <row r="3052" spans="1:15" x14ac:dyDescent="0.25">
      <c r="A3052">
        <v>3051</v>
      </c>
      <c r="B3052" t="str">
        <f>HYPERLINK("https://digitalcommons.unl.edu/cgi/viewcontent.cgi?article=3150&amp;context=tractormuseumlit","Click for test report")</f>
        <v>Click for test report</v>
      </c>
      <c r="C3052">
        <v>2007</v>
      </c>
      <c r="D3052" t="s">
        <v>2336</v>
      </c>
      <c r="E3052" t="s">
        <v>2337</v>
      </c>
      <c r="F3052" t="s">
        <v>1282</v>
      </c>
      <c r="G3052" t="s">
        <v>135</v>
      </c>
      <c r="H3052" t="s">
        <v>2339</v>
      </c>
      <c r="I3052" t="s">
        <v>28</v>
      </c>
      <c r="J3052" t="s">
        <v>20</v>
      </c>
      <c r="K3052" t="s">
        <v>21</v>
      </c>
      <c r="L3052" t="s">
        <v>1168</v>
      </c>
      <c r="N3052" t="s">
        <v>1597</v>
      </c>
      <c r="O3052" t="s">
        <v>2340</v>
      </c>
    </row>
    <row r="3053" spans="1:15" x14ac:dyDescent="0.25">
      <c r="A3053">
        <v>3052</v>
      </c>
      <c r="B3053" t="str">
        <f>HYPERLINK("https://digitalcommons.unl.edu/cgi/viewcontent.cgi?article=3150&amp;context=tractormuseumlit","Click for test report")</f>
        <v>Click for test report</v>
      </c>
      <c r="C3053">
        <v>2007</v>
      </c>
      <c r="D3053" t="s">
        <v>2336</v>
      </c>
      <c r="E3053" t="s">
        <v>2337</v>
      </c>
      <c r="F3053" t="s">
        <v>1282</v>
      </c>
      <c r="G3053" t="s">
        <v>135</v>
      </c>
      <c r="H3053" t="s">
        <v>2338</v>
      </c>
      <c r="I3053" t="s">
        <v>28</v>
      </c>
      <c r="J3053" t="s">
        <v>20</v>
      </c>
      <c r="K3053" t="s">
        <v>21</v>
      </c>
      <c r="L3053" t="s">
        <v>1168</v>
      </c>
      <c r="N3053" t="s">
        <v>1597</v>
      </c>
      <c r="O3053" t="s">
        <v>24</v>
      </c>
    </row>
    <row r="3054" spans="1:15" x14ac:dyDescent="0.25">
      <c r="A3054">
        <v>3053</v>
      </c>
      <c r="B3054" t="str">
        <f>HYPERLINK("https://digitalcommons.unl.edu/cgi/viewcontent.cgi?article=3148&amp;context=tractormuseumlit","Click for test report")</f>
        <v>Click for test report</v>
      </c>
      <c r="C3054">
        <v>2007</v>
      </c>
      <c r="D3054" t="s">
        <v>2331</v>
      </c>
      <c r="E3054" t="s">
        <v>2332</v>
      </c>
      <c r="F3054" t="s">
        <v>1282</v>
      </c>
      <c r="G3054" t="s">
        <v>191</v>
      </c>
      <c r="H3054" t="s">
        <v>2333</v>
      </c>
      <c r="I3054" t="s">
        <v>28</v>
      </c>
      <c r="J3054" t="s">
        <v>20</v>
      </c>
      <c r="K3054" t="s">
        <v>21</v>
      </c>
      <c r="L3054" t="s">
        <v>2334</v>
      </c>
      <c r="N3054" t="s">
        <v>510</v>
      </c>
      <c r="O3054" t="s">
        <v>2335</v>
      </c>
    </row>
    <row r="3055" spans="1:15" x14ac:dyDescent="0.25">
      <c r="A3055">
        <v>3054</v>
      </c>
      <c r="B3055" t="str">
        <f>HYPERLINK("https://digitalcommons.unl.edu/cgi/viewcontent.cgi?article=3339&amp;context=tractormuseumlit","Click for test report")</f>
        <v>Click for test report</v>
      </c>
      <c r="C3055">
        <v>2007</v>
      </c>
      <c r="D3055" t="s">
        <v>2325</v>
      </c>
      <c r="F3055" t="s">
        <v>2326</v>
      </c>
      <c r="G3055" t="s">
        <v>2327</v>
      </c>
      <c r="H3055" t="s">
        <v>2329</v>
      </c>
      <c r="I3055" t="s">
        <v>28</v>
      </c>
      <c r="J3055" t="s">
        <v>20</v>
      </c>
      <c r="K3055" t="s">
        <v>21</v>
      </c>
      <c r="L3055" t="s">
        <v>1257</v>
      </c>
      <c r="O3055" t="s">
        <v>2330</v>
      </c>
    </row>
    <row r="3056" spans="1:15" x14ac:dyDescent="0.25">
      <c r="A3056">
        <v>3055</v>
      </c>
      <c r="B3056" t="str">
        <f>HYPERLINK("https://digitalcommons.unl.edu/cgi/viewcontent.cgi?article=3339&amp;context=tractormuseumlit","Click for test report")</f>
        <v>Click for test report</v>
      </c>
      <c r="C3056">
        <v>2007</v>
      </c>
      <c r="D3056" t="s">
        <v>2325</v>
      </c>
      <c r="F3056" t="s">
        <v>2326</v>
      </c>
      <c r="G3056" t="s">
        <v>2327</v>
      </c>
      <c r="H3056" t="s">
        <v>2328</v>
      </c>
      <c r="I3056" t="s">
        <v>28</v>
      </c>
      <c r="J3056" t="s">
        <v>20</v>
      </c>
      <c r="K3056" t="s">
        <v>21</v>
      </c>
      <c r="L3056" t="s">
        <v>1257</v>
      </c>
      <c r="O3056" t="s">
        <v>24</v>
      </c>
    </row>
    <row r="3057" spans="1:15" x14ac:dyDescent="0.25">
      <c r="A3057">
        <v>3056</v>
      </c>
      <c r="B3057" t="str">
        <f>HYPERLINK("https://digitalcommons.unl.edu/cgi/viewcontent.cgi?article=3151&amp;context=tractormuseumlit","Click for test report")</f>
        <v>Click for test report</v>
      </c>
      <c r="C3057">
        <v>2007</v>
      </c>
      <c r="D3057" t="s">
        <v>2320</v>
      </c>
      <c r="E3057" t="s">
        <v>2321</v>
      </c>
      <c r="F3057" t="s">
        <v>1282</v>
      </c>
      <c r="G3057" t="s">
        <v>135</v>
      </c>
      <c r="H3057" t="s">
        <v>2324</v>
      </c>
      <c r="I3057" t="s">
        <v>28</v>
      </c>
      <c r="J3057" t="s">
        <v>29</v>
      </c>
      <c r="K3057" t="s">
        <v>21</v>
      </c>
      <c r="L3057" t="s">
        <v>421</v>
      </c>
      <c r="N3057" t="s">
        <v>399</v>
      </c>
      <c r="O3057" t="s">
        <v>2323</v>
      </c>
    </row>
    <row r="3058" spans="1:15" x14ac:dyDescent="0.25">
      <c r="A3058">
        <v>3057</v>
      </c>
      <c r="B3058" t="str">
        <f>HYPERLINK("https://digitalcommons.unl.edu/cgi/viewcontent.cgi?article=3151&amp;context=tractormuseumlit","Click for test report")</f>
        <v>Click for test report</v>
      </c>
      <c r="C3058">
        <v>2007</v>
      </c>
      <c r="D3058" t="s">
        <v>2320</v>
      </c>
      <c r="E3058" t="s">
        <v>2321</v>
      </c>
      <c r="F3058" t="s">
        <v>1282</v>
      </c>
      <c r="G3058" t="s">
        <v>135</v>
      </c>
      <c r="H3058" t="s">
        <v>2322</v>
      </c>
      <c r="I3058" t="s">
        <v>28</v>
      </c>
      <c r="J3058" t="s">
        <v>29</v>
      </c>
      <c r="K3058" t="s">
        <v>21</v>
      </c>
      <c r="L3058" t="s">
        <v>421</v>
      </c>
      <c r="N3058" t="s">
        <v>399</v>
      </c>
      <c r="O3058" t="s">
        <v>2323</v>
      </c>
    </row>
    <row r="3059" spans="1:15" x14ac:dyDescent="0.25">
      <c r="A3059">
        <v>3058</v>
      </c>
      <c r="B3059" t="str">
        <f>HYPERLINK("https://digitalcommons.unl.edu/cgi/viewcontent.cgi?article=3152&amp;context=tractormuseumlit","Click for test report")</f>
        <v>Click for test report</v>
      </c>
      <c r="C3059">
        <v>2007</v>
      </c>
      <c r="D3059" t="s">
        <v>2314</v>
      </c>
      <c r="E3059" t="s">
        <v>2315</v>
      </c>
      <c r="F3059" t="s">
        <v>1282</v>
      </c>
      <c r="G3059" t="s">
        <v>135</v>
      </c>
      <c r="H3059" t="s">
        <v>2319</v>
      </c>
      <c r="I3059" t="s">
        <v>28</v>
      </c>
      <c r="J3059" t="s">
        <v>29</v>
      </c>
      <c r="K3059" t="s">
        <v>21</v>
      </c>
      <c r="L3059" t="s">
        <v>2317</v>
      </c>
      <c r="N3059" t="s">
        <v>87</v>
      </c>
      <c r="O3059" t="s">
        <v>2318</v>
      </c>
    </row>
    <row r="3060" spans="1:15" x14ac:dyDescent="0.25">
      <c r="A3060">
        <v>3059</v>
      </c>
      <c r="B3060" t="str">
        <f>HYPERLINK("https://digitalcommons.unl.edu/cgi/viewcontent.cgi?article=3152&amp;context=tractormuseumlit","Click for test report")</f>
        <v>Click for test report</v>
      </c>
      <c r="C3060">
        <v>2007</v>
      </c>
      <c r="D3060" t="s">
        <v>2314</v>
      </c>
      <c r="E3060" t="s">
        <v>2315</v>
      </c>
      <c r="F3060" t="s">
        <v>1282</v>
      </c>
      <c r="G3060" t="s">
        <v>135</v>
      </c>
      <c r="H3060" t="s">
        <v>2316</v>
      </c>
      <c r="I3060" t="s">
        <v>28</v>
      </c>
      <c r="J3060" t="s">
        <v>29</v>
      </c>
      <c r="K3060" t="s">
        <v>21</v>
      </c>
      <c r="L3060" t="s">
        <v>2317</v>
      </c>
      <c r="N3060" t="s">
        <v>87</v>
      </c>
      <c r="O3060" t="s">
        <v>2318</v>
      </c>
    </row>
    <row r="3061" spans="1:15" x14ac:dyDescent="0.25">
      <c r="A3061">
        <v>3060</v>
      </c>
      <c r="B3061" t="str">
        <f>HYPERLINK("https://digitalcommons.unl.edu/cgi/viewcontent.cgi?article=3153&amp;context=tractormuseumlit","Click for test report")</f>
        <v>Click for test report</v>
      </c>
      <c r="C3061">
        <v>2007</v>
      </c>
      <c r="D3061" t="s">
        <v>2309</v>
      </c>
      <c r="E3061" t="s">
        <v>2310</v>
      </c>
      <c r="F3061" t="s">
        <v>1282</v>
      </c>
      <c r="G3061" t="s">
        <v>135</v>
      </c>
      <c r="H3061" t="s">
        <v>2313</v>
      </c>
      <c r="I3061" t="s">
        <v>28</v>
      </c>
      <c r="J3061" t="s">
        <v>29</v>
      </c>
      <c r="K3061" t="s">
        <v>21</v>
      </c>
      <c r="L3061" t="s">
        <v>1284</v>
      </c>
      <c r="N3061" t="s">
        <v>1289</v>
      </c>
      <c r="O3061" t="s">
        <v>2312</v>
      </c>
    </row>
    <row r="3062" spans="1:15" x14ac:dyDescent="0.25">
      <c r="A3062">
        <v>3061</v>
      </c>
      <c r="B3062" t="str">
        <f>HYPERLINK("https://digitalcommons.unl.edu/cgi/viewcontent.cgi?article=3153&amp;context=tractormuseumlit","Click for test report")</f>
        <v>Click for test report</v>
      </c>
      <c r="C3062">
        <v>2007</v>
      </c>
      <c r="D3062" t="s">
        <v>2309</v>
      </c>
      <c r="E3062" t="s">
        <v>2310</v>
      </c>
      <c r="F3062" t="s">
        <v>1282</v>
      </c>
      <c r="G3062" t="s">
        <v>135</v>
      </c>
      <c r="H3062" t="s">
        <v>2311</v>
      </c>
      <c r="I3062" t="s">
        <v>28</v>
      </c>
      <c r="J3062" t="s">
        <v>29</v>
      </c>
      <c r="K3062" t="s">
        <v>21</v>
      </c>
      <c r="L3062" t="s">
        <v>1284</v>
      </c>
      <c r="N3062" t="s">
        <v>1289</v>
      </c>
      <c r="O3062" t="s">
        <v>2312</v>
      </c>
    </row>
    <row r="3063" spans="1:15" x14ac:dyDescent="0.25">
      <c r="A3063">
        <v>3062</v>
      </c>
      <c r="B3063" t="str">
        <f>HYPERLINK("https://digitalcommons.unl.edu/cgi/viewcontent.cgi?article=3154&amp;context=tractormuseumlit","Click for test report")</f>
        <v>Click for test report</v>
      </c>
      <c r="C3063">
        <v>2007</v>
      </c>
      <c r="D3063" t="s">
        <v>2304</v>
      </c>
      <c r="E3063" t="s">
        <v>2305</v>
      </c>
      <c r="F3063" t="s">
        <v>1282</v>
      </c>
      <c r="G3063" t="s">
        <v>135</v>
      </c>
      <c r="H3063" t="s">
        <v>2306</v>
      </c>
      <c r="I3063" t="s">
        <v>28</v>
      </c>
      <c r="J3063" t="s">
        <v>29</v>
      </c>
      <c r="K3063" t="s">
        <v>21</v>
      </c>
      <c r="L3063" t="s">
        <v>2307</v>
      </c>
      <c r="N3063" t="s">
        <v>1486</v>
      </c>
      <c r="O3063" t="s">
        <v>2308</v>
      </c>
    </row>
    <row r="3064" spans="1:15" x14ac:dyDescent="0.25">
      <c r="A3064">
        <v>3063</v>
      </c>
      <c r="B3064" t="str">
        <f>HYPERLINK("https://digitalcommons.unl.edu/cgi/viewcontent.cgi?article=4007&amp;context=tractormuseumlit","Click for test report")</f>
        <v>Click for test report</v>
      </c>
      <c r="C3064">
        <v>2008</v>
      </c>
      <c r="E3064" t="s">
        <v>2302</v>
      </c>
      <c r="F3064" t="s">
        <v>2298</v>
      </c>
      <c r="G3064" t="s">
        <v>414</v>
      </c>
      <c r="H3064" t="s">
        <v>2303</v>
      </c>
      <c r="I3064" t="s">
        <v>28</v>
      </c>
      <c r="J3064" t="s">
        <v>20</v>
      </c>
      <c r="K3064" t="s">
        <v>21</v>
      </c>
      <c r="L3064" t="s">
        <v>439</v>
      </c>
      <c r="N3064" t="s">
        <v>567</v>
      </c>
      <c r="O3064" t="s">
        <v>24</v>
      </c>
    </row>
    <row r="3065" spans="1:15" x14ac:dyDescent="0.25">
      <c r="A3065">
        <v>3064</v>
      </c>
      <c r="B3065" t="str">
        <f>HYPERLINK("https://digitalcommons.unl.edu/cgi/viewcontent.cgi?article=4008&amp;context=tractormuseumlit","Click for test report")</f>
        <v>Click for test report</v>
      </c>
      <c r="C3065">
        <v>2008</v>
      </c>
      <c r="E3065" t="s">
        <v>2300</v>
      </c>
      <c r="F3065" t="s">
        <v>2298</v>
      </c>
      <c r="G3065" t="s">
        <v>414</v>
      </c>
      <c r="H3065" t="s">
        <v>2301</v>
      </c>
      <c r="I3065" t="s">
        <v>28</v>
      </c>
      <c r="J3065" t="s">
        <v>20</v>
      </c>
      <c r="K3065" t="s">
        <v>21</v>
      </c>
      <c r="L3065" t="s">
        <v>1425</v>
      </c>
      <c r="N3065" t="s">
        <v>1266</v>
      </c>
      <c r="O3065" t="s">
        <v>24</v>
      </c>
    </row>
    <row r="3066" spans="1:15" x14ac:dyDescent="0.25">
      <c r="A3066">
        <v>3065</v>
      </c>
      <c r="B3066" t="str">
        <f>HYPERLINK("https://digitalcommons.unl.edu/cgi/viewcontent.cgi?article=4009&amp;context=tractormuseumlit","Click for test report")</f>
        <v>Click for test report</v>
      </c>
      <c r="C3066">
        <v>2008</v>
      </c>
      <c r="E3066" t="s">
        <v>2297</v>
      </c>
      <c r="F3066" t="s">
        <v>2298</v>
      </c>
      <c r="G3066" t="s">
        <v>414</v>
      </c>
      <c r="H3066" t="s">
        <v>2299</v>
      </c>
      <c r="I3066" t="s">
        <v>28</v>
      </c>
      <c r="J3066" t="s">
        <v>20</v>
      </c>
      <c r="K3066" t="s">
        <v>21</v>
      </c>
      <c r="L3066" t="s">
        <v>150</v>
      </c>
      <c r="N3066" t="s">
        <v>45</v>
      </c>
      <c r="O3066" t="s">
        <v>24</v>
      </c>
    </row>
    <row r="3067" spans="1:15" x14ac:dyDescent="0.25">
      <c r="A3067">
        <v>3066</v>
      </c>
      <c r="B3067" t="str">
        <f>HYPERLINK("https://digitalcommons.unl.edu/cgi/viewcontent.cgi?article=4015&amp;context=tractormuseumlit","Click for test report")</f>
        <v>Click for test report</v>
      </c>
      <c r="C3067">
        <v>2008</v>
      </c>
      <c r="E3067" t="s">
        <v>2295</v>
      </c>
      <c r="F3067" t="s">
        <v>1823</v>
      </c>
      <c r="G3067" t="s">
        <v>191</v>
      </c>
      <c r="H3067" t="s">
        <v>1040</v>
      </c>
      <c r="I3067" t="s">
        <v>28</v>
      </c>
      <c r="J3067" t="s">
        <v>20</v>
      </c>
      <c r="K3067" t="s">
        <v>21</v>
      </c>
      <c r="L3067" t="s">
        <v>320</v>
      </c>
      <c r="N3067" t="s">
        <v>774</v>
      </c>
      <c r="O3067" t="s">
        <v>2296</v>
      </c>
    </row>
    <row r="3068" spans="1:15" x14ac:dyDescent="0.25">
      <c r="A3068">
        <v>3067</v>
      </c>
      <c r="B3068" t="str">
        <f>HYPERLINK("https://digitalcommons.unl.edu/cgi/viewcontent.cgi?article=4017&amp;context=tractormuseumlit","Click for test report")</f>
        <v>Click for test report</v>
      </c>
      <c r="C3068">
        <v>2008</v>
      </c>
      <c r="E3068" t="s">
        <v>2293</v>
      </c>
      <c r="F3068" t="s">
        <v>1823</v>
      </c>
      <c r="G3068" t="s">
        <v>191</v>
      </c>
      <c r="H3068" t="s">
        <v>1770</v>
      </c>
      <c r="I3068" t="s">
        <v>28</v>
      </c>
      <c r="J3068" t="s">
        <v>20</v>
      </c>
      <c r="K3068" t="s">
        <v>21</v>
      </c>
      <c r="L3068" t="s">
        <v>76</v>
      </c>
      <c r="N3068" t="s">
        <v>474</v>
      </c>
      <c r="O3068" t="s">
        <v>2294</v>
      </c>
    </row>
    <row r="3069" spans="1:15" x14ac:dyDescent="0.25">
      <c r="A3069">
        <v>3068</v>
      </c>
      <c r="B3069" t="str">
        <f>HYPERLINK("https://digitalcommons.unl.edu/cgi/viewcontent.cgi?article=4019&amp;context=tractormuseumlit","Click for test report")</f>
        <v>Click for test report</v>
      </c>
      <c r="C3069">
        <v>2008</v>
      </c>
      <c r="E3069" t="s">
        <v>2291</v>
      </c>
      <c r="F3069" t="s">
        <v>1823</v>
      </c>
      <c r="G3069" t="s">
        <v>191</v>
      </c>
      <c r="H3069" t="s">
        <v>1766</v>
      </c>
      <c r="I3069" t="s">
        <v>28</v>
      </c>
      <c r="J3069" t="s">
        <v>20</v>
      </c>
      <c r="K3069" t="s">
        <v>21</v>
      </c>
      <c r="L3069" t="s">
        <v>1739</v>
      </c>
      <c r="N3069" t="s">
        <v>1037</v>
      </c>
      <c r="O3069" t="s">
        <v>2292</v>
      </c>
    </row>
    <row r="3070" spans="1:15" x14ac:dyDescent="0.25">
      <c r="A3070">
        <v>3069</v>
      </c>
      <c r="B3070" t="str">
        <f>HYPERLINK("https://digitalcommons.unl.edu/cgi/viewcontent.cgi?article=4033&amp;context=tractormuseumlit","Click for test report")</f>
        <v>Click for test report</v>
      </c>
      <c r="C3070">
        <v>2008</v>
      </c>
      <c r="E3070" t="s">
        <v>2290</v>
      </c>
      <c r="F3070" t="s">
        <v>2062</v>
      </c>
      <c r="G3070" t="s">
        <v>778</v>
      </c>
      <c r="H3070" t="s">
        <v>1897</v>
      </c>
      <c r="I3070" t="s">
        <v>64</v>
      </c>
      <c r="J3070" t="s">
        <v>20</v>
      </c>
      <c r="K3070" t="s">
        <v>21</v>
      </c>
      <c r="L3070" t="s">
        <v>1397</v>
      </c>
      <c r="N3070" t="s">
        <v>705</v>
      </c>
      <c r="O3070" t="s">
        <v>1871</v>
      </c>
    </row>
    <row r="3071" spans="1:15" x14ac:dyDescent="0.25">
      <c r="A3071">
        <v>3070</v>
      </c>
      <c r="B3071" t="str">
        <f>HYPERLINK("https://digitalcommons.unl.edu/cgi/viewcontent.cgi?article=4034&amp;context=tractormuseumlit","Click for test report")</f>
        <v>Click for test report</v>
      </c>
      <c r="C3071">
        <v>2008</v>
      </c>
      <c r="E3071" t="s">
        <v>2289</v>
      </c>
      <c r="F3071" t="s">
        <v>2062</v>
      </c>
      <c r="G3071" t="s">
        <v>778</v>
      </c>
      <c r="H3071" t="s">
        <v>1895</v>
      </c>
      <c r="I3071" t="s">
        <v>64</v>
      </c>
      <c r="J3071" t="s">
        <v>20</v>
      </c>
      <c r="K3071" t="s">
        <v>21</v>
      </c>
      <c r="L3071" t="s">
        <v>332</v>
      </c>
      <c r="N3071" t="s">
        <v>558</v>
      </c>
      <c r="O3071" t="s">
        <v>1871</v>
      </c>
    </row>
    <row r="3072" spans="1:15" x14ac:dyDescent="0.25">
      <c r="A3072">
        <v>3071</v>
      </c>
      <c r="B3072" t="str">
        <f>HYPERLINK("https://digitalcommons.unl.edu/cgi/viewcontent.cgi?article=4036&amp;context=tractormuseumlit","Click for test report")</f>
        <v>Click for test report</v>
      </c>
      <c r="C3072">
        <v>2008</v>
      </c>
      <c r="E3072" t="s">
        <v>2287</v>
      </c>
      <c r="F3072" t="s">
        <v>1136</v>
      </c>
      <c r="G3072" t="s">
        <v>414</v>
      </c>
      <c r="H3072" t="s">
        <v>2069</v>
      </c>
      <c r="I3072" t="s">
        <v>64</v>
      </c>
      <c r="J3072" t="s">
        <v>20</v>
      </c>
      <c r="K3072" t="s">
        <v>21</v>
      </c>
      <c r="L3072" t="s">
        <v>1397</v>
      </c>
      <c r="N3072" t="s">
        <v>705</v>
      </c>
      <c r="O3072" t="s">
        <v>2288</v>
      </c>
    </row>
    <row r="3073" spans="1:15" x14ac:dyDescent="0.25">
      <c r="A3073">
        <v>3072</v>
      </c>
      <c r="B3073" t="str">
        <f>HYPERLINK("https://digitalcommons.unl.edu/cgi/viewcontent.cgi?article=4037&amp;context=tractormuseumlit","Click for test report")</f>
        <v>Click for test report</v>
      </c>
      <c r="C3073">
        <v>2008</v>
      </c>
      <c r="E3073" t="s">
        <v>2285</v>
      </c>
      <c r="F3073" t="s">
        <v>1136</v>
      </c>
      <c r="G3073" t="s">
        <v>414</v>
      </c>
      <c r="H3073" t="s">
        <v>2066</v>
      </c>
      <c r="I3073" t="s">
        <v>64</v>
      </c>
      <c r="J3073" t="s">
        <v>20</v>
      </c>
      <c r="K3073" t="s">
        <v>21</v>
      </c>
      <c r="L3073" t="s">
        <v>332</v>
      </c>
      <c r="N3073" t="s">
        <v>558</v>
      </c>
      <c r="O3073" t="s">
        <v>2286</v>
      </c>
    </row>
    <row r="3074" spans="1:15" x14ac:dyDescent="0.25">
      <c r="A3074">
        <v>3073</v>
      </c>
      <c r="B3074" t="str">
        <f>HYPERLINK("https://digitalcommons.unl.edu/cgi/viewcontent.cgi?article=4039&amp;context=tractormuseumlit","Click for test report")</f>
        <v>Click for test report</v>
      </c>
      <c r="C3074">
        <v>2008</v>
      </c>
      <c r="E3074" t="s">
        <v>2284</v>
      </c>
      <c r="F3074" t="s">
        <v>2062</v>
      </c>
      <c r="G3074" t="s">
        <v>778</v>
      </c>
      <c r="H3074" t="s">
        <v>1607</v>
      </c>
      <c r="I3074" t="s">
        <v>64</v>
      </c>
      <c r="J3074" t="s">
        <v>20</v>
      </c>
      <c r="K3074" t="s">
        <v>21</v>
      </c>
      <c r="L3074" t="s">
        <v>1879</v>
      </c>
      <c r="N3074" t="s">
        <v>1430</v>
      </c>
      <c r="O3074" t="s">
        <v>1871</v>
      </c>
    </row>
    <row r="3075" spans="1:15" x14ac:dyDescent="0.25">
      <c r="A3075">
        <v>3074</v>
      </c>
      <c r="B3075" t="str">
        <f>HYPERLINK("https://digitalcommons.unl.edu/cgi/viewcontent.cgi?article=4040&amp;context=tractormuseumlit","Click for test report")</f>
        <v>Click for test report</v>
      </c>
      <c r="C3075">
        <v>2008</v>
      </c>
      <c r="E3075" t="s">
        <v>2283</v>
      </c>
      <c r="F3075" t="s">
        <v>2062</v>
      </c>
      <c r="G3075" t="s">
        <v>778</v>
      </c>
      <c r="H3075" t="s">
        <v>1605</v>
      </c>
      <c r="I3075" t="s">
        <v>64</v>
      </c>
      <c r="J3075" t="s">
        <v>20</v>
      </c>
      <c r="K3075" t="s">
        <v>21</v>
      </c>
      <c r="L3075" t="s">
        <v>222</v>
      </c>
      <c r="N3075" t="s">
        <v>2273</v>
      </c>
      <c r="O3075" t="s">
        <v>1871</v>
      </c>
    </row>
    <row r="3076" spans="1:15" x14ac:dyDescent="0.25">
      <c r="A3076">
        <v>3075</v>
      </c>
      <c r="B3076" t="str">
        <f>HYPERLINK("https://digitalcommons.unl.edu/cgi/viewcontent.cgi?article=4041&amp;context=tractormuseumlit","Click for test report")</f>
        <v>Click for test report</v>
      </c>
      <c r="C3076">
        <v>2008</v>
      </c>
      <c r="E3076" t="s">
        <v>2282</v>
      </c>
      <c r="F3076" t="s">
        <v>2062</v>
      </c>
      <c r="G3076" t="s">
        <v>778</v>
      </c>
      <c r="H3076" t="s">
        <v>1603</v>
      </c>
      <c r="I3076" t="s">
        <v>64</v>
      </c>
      <c r="J3076" t="s">
        <v>20</v>
      </c>
      <c r="K3076" t="s">
        <v>21</v>
      </c>
      <c r="L3076" t="s">
        <v>1168</v>
      </c>
      <c r="N3076" t="s">
        <v>2270</v>
      </c>
      <c r="O3076" t="s">
        <v>1871</v>
      </c>
    </row>
    <row r="3077" spans="1:15" x14ac:dyDescent="0.25">
      <c r="A3077">
        <v>3076</v>
      </c>
      <c r="B3077" t="str">
        <f>HYPERLINK("https://digitalcommons.unl.edu/cgi/viewcontent.cgi?article=4042&amp;context=tractormuseumlit","Click for test report")</f>
        <v>Click for test report</v>
      </c>
      <c r="C3077">
        <v>2008</v>
      </c>
      <c r="E3077" t="s">
        <v>2281</v>
      </c>
      <c r="F3077" t="s">
        <v>2062</v>
      </c>
      <c r="G3077" t="s">
        <v>778</v>
      </c>
      <c r="H3077" t="s">
        <v>1601</v>
      </c>
      <c r="I3077" t="s">
        <v>64</v>
      </c>
      <c r="J3077" t="s">
        <v>20</v>
      </c>
      <c r="K3077" t="s">
        <v>21</v>
      </c>
      <c r="L3077" t="s">
        <v>1176</v>
      </c>
      <c r="N3077" t="s">
        <v>1870</v>
      </c>
      <c r="O3077" t="s">
        <v>1871</v>
      </c>
    </row>
    <row r="3078" spans="1:15" x14ac:dyDescent="0.25">
      <c r="A3078">
        <v>3077</v>
      </c>
      <c r="B3078" t="str">
        <f>HYPERLINK("https://digitalcommons.unl.edu/cgi/viewcontent.cgi?article=4043&amp;context=tractormuseumlit","Click for test report")</f>
        <v>Click for test report</v>
      </c>
      <c r="C3078">
        <v>2008</v>
      </c>
      <c r="E3078" t="s">
        <v>2280</v>
      </c>
      <c r="F3078" t="s">
        <v>1136</v>
      </c>
      <c r="G3078" t="s">
        <v>111</v>
      </c>
      <c r="H3078" t="s">
        <v>2018</v>
      </c>
      <c r="I3078" t="s">
        <v>64</v>
      </c>
      <c r="J3078" t="s">
        <v>20</v>
      </c>
      <c r="K3078" t="s">
        <v>21</v>
      </c>
      <c r="L3078" t="s">
        <v>1879</v>
      </c>
      <c r="N3078" t="s">
        <v>1430</v>
      </c>
      <c r="O3078" t="s">
        <v>2010</v>
      </c>
    </row>
    <row r="3079" spans="1:15" x14ac:dyDescent="0.25">
      <c r="A3079">
        <v>3078</v>
      </c>
      <c r="B3079" t="str">
        <f>HYPERLINK("https://digitalcommons.unl.edu/cgi/viewcontent.cgi?article=4044&amp;context=tractormuseumlit","Click for test report")</f>
        <v>Click for test report</v>
      </c>
      <c r="C3079">
        <v>2008</v>
      </c>
      <c r="E3079" t="s">
        <v>2279</v>
      </c>
      <c r="F3079" t="s">
        <v>1136</v>
      </c>
      <c r="G3079" t="s">
        <v>111</v>
      </c>
      <c r="H3079" t="s">
        <v>2016</v>
      </c>
      <c r="I3079" t="s">
        <v>64</v>
      </c>
      <c r="J3079" t="s">
        <v>20</v>
      </c>
      <c r="K3079" t="s">
        <v>21</v>
      </c>
      <c r="L3079" t="s">
        <v>222</v>
      </c>
      <c r="N3079" t="s">
        <v>2273</v>
      </c>
      <c r="O3079" t="s">
        <v>2007</v>
      </c>
    </row>
    <row r="3080" spans="1:15" x14ac:dyDescent="0.25">
      <c r="A3080">
        <v>3079</v>
      </c>
      <c r="B3080" t="str">
        <f>HYPERLINK("https://digitalcommons.unl.edu/cgi/viewcontent.cgi?article=4046&amp;context=tractormuseumlit","Click for test report")</f>
        <v>Click for test report</v>
      </c>
      <c r="C3080">
        <v>2008</v>
      </c>
      <c r="E3080" t="s">
        <v>2278</v>
      </c>
      <c r="F3080" t="s">
        <v>1136</v>
      </c>
      <c r="G3080" t="s">
        <v>111</v>
      </c>
      <c r="H3080" t="s">
        <v>2014</v>
      </c>
      <c r="I3080" t="s">
        <v>64</v>
      </c>
      <c r="J3080" t="s">
        <v>20</v>
      </c>
      <c r="K3080" t="s">
        <v>21</v>
      </c>
      <c r="L3080" t="s">
        <v>1168</v>
      </c>
      <c r="N3080" t="s">
        <v>2270</v>
      </c>
      <c r="O3080" t="s">
        <v>2004</v>
      </c>
    </row>
    <row r="3081" spans="1:15" x14ac:dyDescent="0.25">
      <c r="A3081">
        <v>3080</v>
      </c>
      <c r="B3081" t="str">
        <f>HYPERLINK("https://digitalcommons.unl.edu/cgi/viewcontent.cgi?article=4045&amp;context=tractormuseumlit","Click for test report")</f>
        <v>Click for test report</v>
      </c>
      <c r="C3081">
        <v>2008</v>
      </c>
      <c r="E3081" t="s">
        <v>2277</v>
      </c>
      <c r="F3081" t="s">
        <v>1136</v>
      </c>
      <c r="G3081" t="s">
        <v>111</v>
      </c>
      <c r="H3081" t="s">
        <v>2012</v>
      </c>
      <c r="I3081" t="s">
        <v>64</v>
      </c>
      <c r="J3081" t="s">
        <v>20</v>
      </c>
      <c r="K3081" t="s">
        <v>21</v>
      </c>
      <c r="L3081" t="s">
        <v>1176</v>
      </c>
      <c r="N3081" t="s">
        <v>1870</v>
      </c>
      <c r="O3081" t="s">
        <v>2000</v>
      </c>
    </row>
    <row r="3082" spans="1:15" x14ac:dyDescent="0.25">
      <c r="A3082">
        <v>3081</v>
      </c>
      <c r="B3082" t="str">
        <f>HYPERLINK("https://digitalcommons.unl.edu/cgi/viewcontent.cgi?article=4047&amp;context=tractormuseumlit","Click for test report")</f>
        <v>Click for test report</v>
      </c>
      <c r="C3082">
        <v>2008</v>
      </c>
      <c r="E3082" t="s">
        <v>2274</v>
      </c>
      <c r="F3082" t="s">
        <v>1136</v>
      </c>
      <c r="G3082" t="s">
        <v>414</v>
      </c>
      <c r="H3082" t="s">
        <v>2275</v>
      </c>
      <c r="I3082" t="s">
        <v>64</v>
      </c>
      <c r="J3082" t="s">
        <v>20</v>
      </c>
      <c r="K3082" t="s">
        <v>21</v>
      </c>
      <c r="L3082" t="s">
        <v>1879</v>
      </c>
      <c r="N3082" t="s">
        <v>1430</v>
      </c>
      <c r="O3082" t="s">
        <v>2276</v>
      </c>
    </row>
    <row r="3083" spans="1:15" x14ac:dyDescent="0.25">
      <c r="A3083">
        <v>3082</v>
      </c>
      <c r="B3083" t="str">
        <f>HYPERLINK("https://digitalcommons.unl.edu/cgi/viewcontent.cgi?article=4048&amp;context=tractormuseumlit","Click for test report")</f>
        <v>Click for test report</v>
      </c>
      <c r="C3083">
        <v>2008</v>
      </c>
      <c r="E3083" t="s">
        <v>2271</v>
      </c>
      <c r="F3083" t="s">
        <v>1136</v>
      </c>
      <c r="G3083" t="s">
        <v>414</v>
      </c>
      <c r="H3083" t="s">
        <v>2272</v>
      </c>
      <c r="I3083" t="s">
        <v>64</v>
      </c>
      <c r="J3083" t="s">
        <v>20</v>
      </c>
      <c r="K3083" t="s">
        <v>21</v>
      </c>
      <c r="L3083" t="s">
        <v>222</v>
      </c>
      <c r="N3083" t="s">
        <v>2273</v>
      </c>
      <c r="O3083" t="s">
        <v>2007</v>
      </c>
    </row>
    <row r="3084" spans="1:15" x14ac:dyDescent="0.25">
      <c r="A3084">
        <v>3083</v>
      </c>
      <c r="B3084" t="str">
        <f>HYPERLINK("https://digitalcommons.unl.edu/cgi/viewcontent.cgi?article=4049&amp;context=tractormuseumlit","Click for test report")</f>
        <v>Click for test report</v>
      </c>
      <c r="C3084">
        <v>2008</v>
      </c>
      <c r="E3084" t="s">
        <v>2268</v>
      </c>
      <c r="F3084" t="s">
        <v>1136</v>
      </c>
      <c r="G3084" t="s">
        <v>414</v>
      </c>
      <c r="H3084" t="s">
        <v>2269</v>
      </c>
      <c r="I3084" t="s">
        <v>64</v>
      </c>
      <c r="J3084" t="s">
        <v>20</v>
      </c>
      <c r="K3084" t="s">
        <v>21</v>
      </c>
      <c r="L3084" t="s">
        <v>1168</v>
      </c>
      <c r="N3084" t="s">
        <v>2270</v>
      </c>
      <c r="O3084" t="s">
        <v>2004</v>
      </c>
    </row>
    <row r="3085" spans="1:15" x14ac:dyDescent="0.25">
      <c r="A3085">
        <v>3084</v>
      </c>
      <c r="B3085" t="str">
        <f>HYPERLINK("https://digitalcommons.unl.edu/cgi/viewcontent.cgi?article=4050&amp;context=tractormuseumlit","Click for test report")</f>
        <v>Click for test report</v>
      </c>
      <c r="C3085">
        <v>2008</v>
      </c>
      <c r="E3085" t="s">
        <v>2266</v>
      </c>
      <c r="F3085" t="s">
        <v>1136</v>
      </c>
      <c r="G3085" t="s">
        <v>414</v>
      </c>
      <c r="H3085" t="s">
        <v>2267</v>
      </c>
      <c r="I3085" t="s">
        <v>64</v>
      </c>
      <c r="J3085" t="s">
        <v>20</v>
      </c>
      <c r="K3085" t="s">
        <v>21</v>
      </c>
      <c r="L3085" t="s">
        <v>1176</v>
      </c>
      <c r="N3085" t="s">
        <v>1870</v>
      </c>
      <c r="O3085" t="s">
        <v>2000</v>
      </c>
    </row>
    <row r="3086" spans="1:15" x14ac:dyDescent="0.25">
      <c r="A3086">
        <v>3085</v>
      </c>
      <c r="B3086" t="str">
        <f>HYPERLINK("https://digitalcommons.unl.edu/cgi/viewcontent.cgi?article=4057&amp;context=tractormuseumlit","Click for test report")</f>
        <v>Click for test report</v>
      </c>
      <c r="C3086">
        <v>2008</v>
      </c>
      <c r="E3086" t="s">
        <v>2264</v>
      </c>
      <c r="F3086" t="s">
        <v>1282</v>
      </c>
      <c r="G3086" t="s">
        <v>191</v>
      </c>
      <c r="H3086" t="s">
        <v>2265</v>
      </c>
      <c r="I3086" t="s">
        <v>1808</v>
      </c>
      <c r="J3086" t="s">
        <v>20</v>
      </c>
      <c r="K3086" t="s">
        <v>21</v>
      </c>
      <c r="L3086" t="s">
        <v>127</v>
      </c>
      <c r="N3086" t="s">
        <v>1867</v>
      </c>
      <c r="O3086" t="s">
        <v>1805</v>
      </c>
    </row>
    <row r="3087" spans="1:15" x14ac:dyDescent="0.25">
      <c r="A3087">
        <v>3086</v>
      </c>
      <c r="B3087" t="str">
        <f>HYPERLINK("https://digitalcommons.unl.edu/cgi/viewcontent.cgi?article=4058&amp;context=tractormuseumlit","Click for test report")</f>
        <v>Click for test report</v>
      </c>
      <c r="C3087">
        <v>2008</v>
      </c>
      <c r="E3087" t="s">
        <v>2262</v>
      </c>
      <c r="F3087" t="s">
        <v>1282</v>
      </c>
      <c r="G3087" t="s">
        <v>191</v>
      </c>
      <c r="H3087" t="s">
        <v>2263</v>
      </c>
      <c r="I3087" t="s">
        <v>1808</v>
      </c>
      <c r="J3087" t="s">
        <v>20</v>
      </c>
      <c r="K3087" t="s">
        <v>21</v>
      </c>
      <c r="L3087" t="s">
        <v>374</v>
      </c>
      <c r="N3087" t="s">
        <v>461</v>
      </c>
      <c r="O3087" t="s">
        <v>1805</v>
      </c>
    </row>
    <row r="3088" spans="1:15" x14ac:dyDescent="0.25">
      <c r="A3088">
        <v>3087</v>
      </c>
      <c r="B3088" t="str">
        <f>HYPERLINK("https://digitalcommons.unl.edu/cgi/viewcontent.cgi?article=4059&amp;context=tractormuseumlit","Click for test report")</f>
        <v>Click for test report</v>
      </c>
      <c r="C3088">
        <v>2008</v>
      </c>
      <c r="E3088" t="s">
        <v>2260</v>
      </c>
      <c r="F3088" t="s">
        <v>1282</v>
      </c>
      <c r="G3088" t="s">
        <v>191</v>
      </c>
      <c r="H3088" t="s">
        <v>2261</v>
      </c>
      <c r="I3088" t="s">
        <v>1808</v>
      </c>
      <c r="J3088" t="s">
        <v>20</v>
      </c>
      <c r="K3088" t="s">
        <v>21</v>
      </c>
      <c r="L3088" t="s">
        <v>794</v>
      </c>
      <c r="N3088" t="s">
        <v>561</v>
      </c>
      <c r="O3088" t="s">
        <v>1805</v>
      </c>
    </row>
    <row r="3089" spans="1:15" x14ac:dyDescent="0.25">
      <c r="A3089">
        <v>3088</v>
      </c>
      <c r="B3089" t="str">
        <f>HYPERLINK("https://digitalcommons.unl.edu/cgi/viewcontent.cgi?article=4060&amp;context=tractormuseumlit","Click for test report")</f>
        <v>Click for test report</v>
      </c>
      <c r="C3089">
        <v>2008</v>
      </c>
      <c r="E3089" t="s">
        <v>2258</v>
      </c>
      <c r="F3089" t="s">
        <v>1282</v>
      </c>
      <c r="G3089" t="s">
        <v>191</v>
      </c>
      <c r="H3089" t="s">
        <v>2259</v>
      </c>
      <c r="I3089" t="s">
        <v>1808</v>
      </c>
      <c r="J3089" t="s">
        <v>20</v>
      </c>
      <c r="K3089" t="s">
        <v>21</v>
      </c>
      <c r="L3089" t="s">
        <v>858</v>
      </c>
      <c r="N3089" t="s">
        <v>571</v>
      </c>
      <c r="O3089" t="s">
        <v>1805</v>
      </c>
    </row>
    <row r="3090" spans="1:15" x14ac:dyDescent="0.25">
      <c r="A3090">
        <v>3089</v>
      </c>
      <c r="B3090" t="str">
        <f>HYPERLINK("https://digitalcommons.unl.edu/cgi/viewcontent.cgi?article=4061&amp;context=tractormuseumlit","Click for test report")</f>
        <v>Click for test report</v>
      </c>
      <c r="C3090">
        <v>2008</v>
      </c>
      <c r="E3090" t="s">
        <v>2256</v>
      </c>
      <c r="F3090" t="s">
        <v>2232</v>
      </c>
      <c r="G3090" t="s">
        <v>135</v>
      </c>
      <c r="H3090" t="s">
        <v>2257</v>
      </c>
      <c r="I3090" t="s">
        <v>1808</v>
      </c>
      <c r="J3090" t="s">
        <v>20</v>
      </c>
      <c r="K3090" t="s">
        <v>21</v>
      </c>
      <c r="L3090" t="s">
        <v>127</v>
      </c>
      <c r="N3090" t="s">
        <v>1867</v>
      </c>
      <c r="O3090" t="s">
        <v>24</v>
      </c>
    </row>
    <row r="3091" spans="1:15" x14ac:dyDescent="0.25">
      <c r="A3091">
        <v>3090</v>
      </c>
      <c r="B3091" t="str">
        <f>HYPERLINK("https://digitalcommons.unl.edu/cgi/viewcontent.cgi?article=4062&amp;context=tractormuseumlit","Click for test report")</f>
        <v>Click for test report</v>
      </c>
      <c r="C3091">
        <v>2008</v>
      </c>
      <c r="E3091" t="s">
        <v>2254</v>
      </c>
      <c r="F3091" t="s">
        <v>2232</v>
      </c>
      <c r="G3091" t="s">
        <v>135</v>
      </c>
      <c r="H3091" t="s">
        <v>2255</v>
      </c>
      <c r="I3091" t="s">
        <v>1808</v>
      </c>
      <c r="J3091" t="s">
        <v>20</v>
      </c>
      <c r="K3091" t="s">
        <v>21</v>
      </c>
      <c r="L3091" t="s">
        <v>374</v>
      </c>
      <c r="N3091" t="s">
        <v>461</v>
      </c>
      <c r="O3091" t="s">
        <v>24</v>
      </c>
    </row>
    <row r="3092" spans="1:15" x14ac:dyDescent="0.25">
      <c r="A3092">
        <v>3091</v>
      </c>
      <c r="B3092" t="str">
        <f>HYPERLINK("https://digitalcommons.unl.edu/cgi/viewcontent.cgi?article=4063&amp;context=tractormuseumlit","Click for test report")</f>
        <v>Click for test report</v>
      </c>
      <c r="C3092">
        <v>2008</v>
      </c>
      <c r="E3092" t="s">
        <v>2252</v>
      </c>
      <c r="F3092" t="s">
        <v>2232</v>
      </c>
      <c r="G3092" t="s">
        <v>135</v>
      </c>
      <c r="H3092" t="s">
        <v>2253</v>
      </c>
      <c r="I3092" t="s">
        <v>1808</v>
      </c>
      <c r="J3092" t="s">
        <v>20</v>
      </c>
      <c r="K3092" t="s">
        <v>21</v>
      </c>
      <c r="L3092" t="s">
        <v>794</v>
      </c>
      <c r="N3092" t="s">
        <v>561</v>
      </c>
      <c r="O3092" t="s">
        <v>24</v>
      </c>
    </row>
    <row r="3093" spans="1:15" x14ac:dyDescent="0.25">
      <c r="A3093">
        <v>3092</v>
      </c>
      <c r="B3093" t="str">
        <f>HYPERLINK("https://digitalcommons.unl.edu/cgi/viewcontent.cgi?article=4064&amp;context=tractormuseumlit","Click for test report")</f>
        <v>Click for test report</v>
      </c>
      <c r="C3093">
        <v>2008</v>
      </c>
      <c r="E3093" t="s">
        <v>2250</v>
      </c>
      <c r="F3093" t="s">
        <v>2232</v>
      </c>
      <c r="G3093" t="s">
        <v>135</v>
      </c>
      <c r="H3093" t="s">
        <v>2251</v>
      </c>
      <c r="I3093" t="s">
        <v>1808</v>
      </c>
      <c r="J3093" t="s">
        <v>20</v>
      </c>
      <c r="K3093" t="s">
        <v>21</v>
      </c>
      <c r="L3093" t="s">
        <v>858</v>
      </c>
      <c r="N3093" t="s">
        <v>571</v>
      </c>
      <c r="O3093" t="s">
        <v>24</v>
      </c>
    </row>
    <row r="3094" spans="1:15" x14ac:dyDescent="0.25">
      <c r="A3094">
        <v>3093</v>
      </c>
      <c r="B3094" t="str">
        <f>HYPERLINK("https://digitalcommons.unl.edu/cgi/viewcontent.cgi?article=4065&amp;context=tractormuseumlit","Click for test report")</f>
        <v>Click for test report</v>
      </c>
      <c r="C3094">
        <v>2008</v>
      </c>
      <c r="E3094" t="s">
        <v>2248</v>
      </c>
      <c r="F3094" t="s">
        <v>1282</v>
      </c>
      <c r="G3094" t="s">
        <v>191</v>
      </c>
      <c r="H3094" t="s">
        <v>2249</v>
      </c>
      <c r="I3094" t="s">
        <v>1853</v>
      </c>
      <c r="J3094" t="s">
        <v>20</v>
      </c>
      <c r="K3094" t="s">
        <v>21</v>
      </c>
      <c r="L3094" t="s">
        <v>561</v>
      </c>
      <c r="N3094" t="s">
        <v>722</v>
      </c>
      <c r="O3094" t="s">
        <v>24</v>
      </c>
    </row>
    <row r="3095" spans="1:15" x14ac:dyDescent="0.25">
      <c r="A3095">
        <v>3094</v>
      </c>
      <c r="B3095" t="str">
        <f>HYPERLINK("https://digitalcommons.unl.edu/cgi/viewcontent.cgi?article=4067&amp;context=tractormuseumlit","Click for test report")</f>
        <v>Click for test report</v>
      </c>
      <c r="C3095">
        <v>2008</v>
      </c>
      <c r="E3095" t="s">
        <v>2246</v>
      </c>
      <c r="F3095" t="s">
        <v>1282</v>
      </c>
      <c r="G3095" t="s">
        <v>191</v>
      </c>
      <c r="H3095" t="s">
        <v>2247</v>
      </c>
      <c r="I3095" t="s">
        <v>1853</v>
      </c>
      <c r="J3095" t="s">
        <v>20</v>
      </c>
      <c r="K3095" t="s">
        <v>21</v>
      </c>
      <c r="L3095" t="s">
        <v>23</v>
      </c>
      <c r="N3095" t="s">
        <v>562</v>
      </c>
      <c r="O3095" t="s">
        <v>24</v>
      </c>
    </row>
    <row r="3096" spans="1:15" x14ac:dyDescent="0.25">
      <c r="A3096">
        <v>3095</v>
      </c>
      <c r="B3096" t="str">
        <f>HYPERLINK("https://digitalcommons.unl.edu/cgi/viewcontent.cgi?article=4068&amp;context=tractormuseumlit","Click for test report")</f>
        <v>Click for test report</v>
      </c>
      <c r="C3096">
        <v>2008</v>
      </c>
      <c r="E3096" t="s">
        <v>2244</v>
      </c>
      <c r="F3096" t="s">
        <v>1282</v>
      </c>
      <c r="G3096" t="s">
        <v>191</v>
      </c>
      <c r="H3096" t="s">
        <v>2245</v>
      </c>
      <c r="I3096" t="s">
        <v>1853</v>
      </c>
      <c r="J3096" t="s">
        <v>20</v>
      </c>
      <c r="K3096" t="s">
        <v>21</v>
      </c>
      <c r="L3096" t="s">
        <v>23</v>
      </c>
      <c r="N3096" t="s">
        <v>713</v>
      </c>
      <c r="O3096" t="s">
        <v>24</v>
      </c>
    </row>
    <row r="3097" spans="1:15" x14ac:dyDescent="0.25">
      <c r="A3097">
        <v>3096</v>
      </c>
      <c r="B3097" t="str">
        <f>HYPERLINK("https://digitalcommons.unl.edu/cgi/viewcontent.cgi?article=4069&amp;context=tractormuseumlit","Click for test report")</f>
        <v>Click for test report</v>
      </c>
      <c r="C3097">
        <v>2008</v>
      </c>
      <c r="E3097" t="s">
        <v>2242</v>
      </c>
      <c r="F3097" t="s">
        <v>1282</v>
      </c>
      <c r="G3097" t="s">
        <v>191</v>
      </c>
      <c r="H3097" t="s">
        <v>2243</v>
      </c>
      <c r="I3097" t="s">
        <v>1853</v>
      </c>
      <c r="J3097" t="s">
        <v>20</v>
      </c>
      <c r="K3097" t="s">
        <v>21</v>
      </c>
      <c r="L3097" t="s">
        <v>1386</v>
      </c>
      <c r="N3097" t="s">
        <v>705</v>
      </c>
      <c r="O3097" t="s">
        <v>24</v>
      </c>
    </row>
    <row r="3098" spans="1:15" x14ac:dyDescent="0.25">
      <c r="A3098">
        <v>3097</v>
      </c>
      <c r="B3098" t="str">
        <f>HYPERLINK("https://digitalcommons.unl.edu/cgi/viewcontent.cgi?article=4070&amp;context=tractormuseumlit","Click for test report")</f>
        <v>Click for test report</v>
      </c>
      <c r="C3098">
        <v>2008</v>
      </c>
      <c r="E3098" t="s">
        <v>2240</v>
      </c>
      <c r="F3098" t="s">
        <v>2232</v>
      </c>
      <c r="G3098" t="s">
        <v>135</v>
      </c>
      <c r="H3098" t="s">
        <v>2241</v>
      </c>
      <c r="I3098" t="s">
        <v>1853</v>
      </c>
      <c r="J3098" t="s">
        <v>20</v>
      </c>
      <c r="K3098" t="s">
        <v>21</v>
      </c>
      <c r="L3098" t="s">
        <v>561</v>
      </c>
      <c r="N3098" t="s">
        <v>722</v>
      </c>
      <c r="O3098" t="s">
        <v>24</v>
      </c>
    </row>
    <row r="3099" spans="1:15" x14ac:dyDescent="0.25">
      <c r="A3099">
        <v>3098</v>
      </c>
      <c r="B3099" t="str">
        <f>HYPERLINK("https://digitalcommons.unl.edu/cgi/viewcontent.cgi?article=4072&amp;context=tractormuseumlit","Click for test report")</f>
        <v>Click for test report</v>
      </c>
      <c r="C3099">
        <v>2008</v>
      </c>
      <c r="E3099" t="s">
        <v>2238</v>
      </c>
      <c r="F3099" t="s">
        <v>2232</v>
      </c>
      <c r="G3099" t="s">
        <v>135</v>
      </c>
      <c r="H3099" t="s">
        <v>2239</v>
      </c>
      <c r="I3099" t="s">
        <v>1853</v>
      </c>
      <c r="J3099" t="s">
        <v>20</v>
      </c>
      <c r="K3099" t="s">
        <v>21</v>
      </c>
      <c r="L3099" t="s">
        <v>23</v>
      </c>
      <c r="N3099" t="s">
        <v>562</v>
      </c>
      <c r="O3099" t="s">
        <v>24</v>
      </c>
    </row>
    <row r="3100" spans="1:15" x14ac:dyDescent="0.25">
      <c r="A3100">
        <v>3099</v>
      </c>
      <c r="B3100" t="str">
        <f>HYPERLINK("https://digitalcommons.unl.edu/cgi/viewcontent.cgi?article=4073&amp;context=tractormuseumlit","Click for test report")</f>
        <v>Click for test report</v>
      </c>
      <c r="C3100">
        <v>2008</v>
      </c>
      <c r="E3100" t="s">
        <v>2236</v>
      </c>
      <c r="F3100" t="s">
        <v>2232</v>
      </c>
      <c r="G3100" t="s">
        <v>135</v>
      </c>
      <c r="H3100" t="s">
        <v>2237</v>
      </c>
      <c r="I3100" t="s">
        <v>1853</v>
      </c>
      <c r="J3100" t="s">
        <v>20</v>
      </c>
      <c r="K3100" t="s">
        <v>21</v>
      </c>
      <c r="L3100" t="s">
        <v>23</v>
      </c>
      <c r="N3100" t="s">
        <v>713</v>
      </c>
      <c r="O3100" t="s">
        <v>24</v>
      </c>
    </row>
    <row r="3101" spans="1:15" x14ac:dyDescent="0.25">
      <c r="A3101">
        <v>3100</v>
      </c>
      <c r="B3101" t="str">
        <f>HYPERLINK("https://digitalcommons.unl.edu/cgi/viewcontent.cgi?article=4074&amp;context=tractormuseumlit","Click for test report")</f>
        <v>Click for test report</v>
      </c>
      <c r="C3101">
        <v>2008</v>
      </c>
      <c r="E3101" t="s">
        <v>2234</v>
      </c>
      <c r="F3101" t="s">
        <v>2232</v>
      </c>
      <c r="G3101" t="s">
        <v>135</v>
      </c>
      <c r="H3101" t="s">
        <v>2235</v>
      </c>
      <c r="I3101" t="s">
        <v>1853</v>
      </c>
      <c r="J3101" t="s">
        <v>20</v>
      </c>
      <c r="K3101" t="s">
        <v>21</v>
      </c>
      <c r="L3101" t="s">
        <v>1386</v>
      </c>
      <c r="N3101" t="s">
        <v>705</v>
      </c>
      <c r="O3101" t="s">
        <v>24</v>
      </c>
    </row>
    <row r="3102" spans="1:15" x14ac:dyDescent="0.25">
      <c r="A3102">
        <v>3101</v>
      </c>
      <c r="B3102" t="str">
        <f>HYPERLINK("https://digitalcommons.unl.edu/cgi/viewcontent.cgi?article=4075&amp;context=tractormuseumlit","Click for test report")</f>
        <v>Click for test report</v>
      </c>
      <c r="C3102">
        <v>2008</v>
      </c>
      <c r="E3102" t="s">
        <v>2231</v>
      </c>
      <c r="F3102" t="s">
        <v>2232</v>
      </c>
      <c r="G3102" t="s">
        <v>135</v>
      </c>
      <c r="H3102" t="s">
        <v>2233</v>
      </c>
      <c r="I3102" t="s">
        <v>1853</v>
      </c>
      <c r="J3102" t="s">
        <v>20</v>
      </c>
      <c r="K3102" t="s">
        <v>21</v>
      </c>
      <c r="L3102" t="s">
        <v>123</v>
      </c>
      <c r="N3102" t="s">
        <v>746</v>
      </c>
      <c r="O3102" t="s">
        <v>24</v>
      </c>
    </row>
    <row r="3103" spans="1:15" x14ac:dyDescent="0.25">
      <c r="A3103">
        <v>3102</v>
      </c>
      <c r="B3103" t="str">
        <f>HYPERLINK("https://digitalcommons.unl.edu/cgi/viewcontent.cgi?article=4103&amp;context=tractormuseumlit","Click for test report")</f>
        <v>Click for test report</v>
      </c>
      <c r="C3103">
        <v>2008</v>
      </c>
      <c r="E3103" t="s">
        <v>2229</v>
      </c>
      <c r="F3103" t="s">
        <v>1246</v>
      </c>
      <c r="G3103" t="s">
        <v>191</v>
      </c>
      <c r="H3103" t="s">
        <v>2230</v>
      </c>
      <c r="I3103" t="s">
        <v>50</v>
      </c>
      <c r="J3103" t="s">
        <v>20</v>
      </c>
      <c r="K3103" t="s">
        <v>21</v>
      </c>
      <c r="L3103" t="s">
        <v>731</v>
      </c>
      <c r="N3103" t="s">
        <v>750</v>
      </c>
      <c r="O3103" t="s">
        <v>24</v>
      </c>
    </row>
    <row r="3104" spans="1:15" x14ac:dyDescent="0.25">
      <c r="A3104">
        <v>3103</v>
      </c>
      <c r="B3104" t="str">
        <f>HYPERLINK("https://digitalcommons.unl.edu/cgi/viewcontent.cgi?article=4104&amp;context=tractormuseumlit","Click for test report")</f>
        <v>Click for test report</v>
      </c>
      <c r="C3104">
        <v>2008</v>
      </c>
      <c r="E3104" t="s">
        <v>2228</v>
      </c>
      <c r="F3104" t="s">
        <v>1246</v>
      </c>
      <c r="G3104" t="s">
        <v>191</v>
      </c>
      <c r="H3104" t="s">
        <v>1256</v>
      </c>
      <c r="I3104" t="s">
        <v>50</v>
      </c>
      <c r="J3104" t="s">
        <v>20</v>
      </c>
      <c r="K3104" t="s">
        <v>21</v>
      </c>
      <c r="L3104" t="s">
        <v>747</v>
      </c>
      <c r="N3104" t="s">
        <v>404</v>
      </c>
      <c r="O3104" t="s">
        <v>24</v>
      </c>
    </row>
    <row r="3105" spans="1:15" x14ac:dyDescent="0.25">
      <c r="A3105">
        <v>3104</v>
      </c>
      <c r="B3105" t="str">
        <f>HYPERLINK("https://digitalcommons.unl.edu/cgi/viewcontent.cgi?article=4105&amp;context=tractormuseumlit","Click for test report")</f>
        <v>Click for test report</v>
      </c>
      <c r="C3105">
        <v>2008</v>
      </c>
      <c r="E3105" t="s">
        <v>2227</v>
      </c>
      <c r="F3105" t="s">
        <v>1246</v>
      </c>
      <c r="G3105" t="s">
        <v>191</v>
      </c>
      <c r="H3105" t="s">
        <v>1253</v>
      </c>
      <c r="I3105" t="s">
        <v>50</v>
      </c>
      <c r="J3105" t="s">
        <v>20</v>
      </c>
      <c r="K3105" t="s">
        <v>21</v>
      </c>
      <c r="L3105" t="s">
        <v>58</v>
      </c>
      <c r="N3105" t="s">
        <v>728</v>
      </c>
      <c r="O3105" t="s">
        <v>24</v>
      </c>
    </row>
    <row r="3106" spans="1:15" x14ac:dyDescent="0.25">
      <c r="A3106">
        <v>3105</v>
      </c>
      <c r="B3106" t="str">
        <f>HYPERLINK("https://digitalcommons.unl.edu/cgi/viewcontent.cgi?article=4106&amp;context=tractormuseumlit","Click for test report")</f>
        <v>Click for test report</v>
      </c>
      <c r="C3106">
        <v>2008</v>
      </c>
      <c r="E3106" t="s">
        <v>2226</v>
      </c>
      <c r="F3106" t="s">
        <v>1246</v>
      </c>
      <c r="G3106" t="s">
        <v>191</v>
      </c>
      <c r="H3106" t="s">
        <v>1364</v>
      </c>
      <c r="I3106" t="s">
        <v>50</v>
      </c>
      <c r="J3106" t="s">
        <v>20</v>
      </c>
      <c r="K3106" t="s">
        <v>21</v>
      </c>
      <c r="L3106" t="s">
        <v>713</v>
      </c>
      <c r="N3106" t="s">
        <v>722</v>
      </c>
      <c r="O3106" t="s">
        <v>24</v>
      </c>
    </row>
    <row r="3107" spans="1:15" x14ac:dyDescent="0.25">
      <c r="A3107">
        <v>3106</v>
      </c>
      <c r="B3107" t="str">
        <f>HYPERLINK("https://digitalcommons.unl.edu/cgi/viewcontent.cgi?article=4107&amp;context=tractormuseumlit","Click for test report")</f>
        <v>Click for test report</v>
      </c>
      <c r="C3107">
        <v>2008</v>
      </c>
      <c r="E3107" t="s">
        <v>2225</v>
      </c>
      <c r="F3107" t="s">
        <v>1246</v>
      </c>
      <c r="G3107" t="s">
        <v>135</v>
      </c>
      <c r="H3107" t="s">
        <v>2224</v>
      </c>
      <c r="I3107" t="s">
        <v>50</v>
      </c>
      <c r="J3107" t="s">
        <v>20</v>
      </c>
      <c r="K3107" t="s">
        <v>21</v>
      </c>
      <c r="L3107" t="s">
        <v>353</v>
      </c>
      <c r="N3107" t="s">
        <v>735</v>
      </c>
      <c r="O3107" t="s">
        <v>2216</v>
      </c>
    </row>
    <row r="3108" spans="1:15" x14ac:dyDescent="0.25">
      <c r="A3108">
        <v>3107</v>
      </c>
      <c r="B3108" t="str">
        <f>HYPERLINK("https://digitalcommons.unl.edu/cgi/viewcontent.cgi?article=4108&amp;context=tractormuseumlit","Click for test report")</f>
        <v>Click for test report</v>
      </c>
      <c r="C3108">
        <v>2008</v>
      </c>
      <c r="E3108" t="s">
        <v>2223</v>
      </c>
      <c r="F3108" t="s">
        <v>1246</v>
      </c>
      <c r="G3108" t="s">
        <v>135</v>
      </c>
      <c r="H3108" t="s">
        <v>2224</v>
      </c>
      <c r="I3108" t="s">
        <v>50</v>
      </c>
      <c r="J3108" t="s">
        <v>20</v>
      </c>
      <c r="K3108" t="s">
        <v>21</v>
      </c>
      <c r="L3108" t="s">
        <v>353</v>
      </c>
      <c r="N3108" t="s">
        <v>1650</v>
      </c>
      <c r="O3108" t="s">
        <v>2214</v>
      </c>
    </row>
    <row r="3109" spans="1:15" x14ac:dyDescent="0.25">
      <c r="A3109">
        <v>3108</v>
      </c>
      <c r="B3109" t="str">
        <f>HYPERLINK("https://digitalcommons.unl.edu/cgi/viewcontent.cgi?article=4109&amp;context=tractormuseumlit","Click for test report")</f>
        <v>Click for test report</v>
      </c>
      <c r="C3109">
        <v>2008</v>
      </c>
      <c r="E3109" t="s">
        <v>2222</v>
      </c>
      <c r="F3109" t="s">
        <v>1246</v>
      </c>
      <c r="G3109" t="s">
        <v>135</v>
      </c>
      <c r="H3109" t="s">
        <v>2221</v>
      </c>
      <c r="I3109" t="s">
        <v>50</v>
      </c>
      <c r="J3109" t="s">
        <v>20</v>
      </c>
      <c r="K3109" t="s">
        <v>21</v>
      </c>
      <c r="L3109" t="s">
        <v>747</v>
      </c>
      <c r="N3109" t="s">
        <v>404</v>
      </c>
      <c r="O3109" t="s">
        <v>2216</v>
      </c>
    </row>
    <row r="3110" spans="1:15" x14ac:dyDescent="0.25">
      <c r="A3110">
        <v>3109</v>
      </c>
      <c r="B3110" t="str">
        <f>HYPERLINK("https://digitalcommons.unl.edu/cgi/viewcontent.cgi?article=4110&amp;context=tractormuseumlit","Click for test report")</f>
        <v>Click for test report</v>
      </c>
      <c r="C3110">
        <v>2008</v>
      </c>
      <c r="E3110" t="s">
        <v>2220</v>
      </c>
      <c r="F3110" t="s">
        <v>1246</v>
      </c>
      <c r="G3110" t="s">
        <v>135</v>
      </c>
      <c r="H3110" t="s">
        <v>2221</v>
      </c>
      <c r="I3110" t="s">
        <v>50</v>
      </c>
      <c r="J3110" t="s">
        <v>20</v>
      </c>
      <c r="K3110" t="s">
        <v>21</v>
      </c>
      <c r="L3110" t="s">
        <v>1350</v>
      </c>
      <c r="N3110" t="s">
        <v>2029</v>
      </c>
      <c r="O3110" t="s">
        <v>2214</v>
      </c>
    </row>
    <row r="3111" spans="1:15" x14ac:dyDescent="0.25">
      <c r="A3111">
        <v>3110</v>
      </c>
      <c r="B3111" t="str">
        <f>HYPERLINK("https://digitalcommons.unl.edu/cgi/viewcontent.cgi?article=4111&amp;context=tractormuseumlit","Click for test report")</f>
        <v>Click for test report</v>
      </c>
      <c r="C3111">
        <v>2008</v>
      </c>
      <c r="E3111" t="s">
        <v>2219</v>
      </c>
      <c r="F3111" t="s">
        <v>1246</v>
      </c>
      <c r="G3111" t="s">
        <v>135</v>
      </c>
      <c r="H3111" t="s">
        <v>2218</v>
      </c>
      <c r="I3111" t="s">
        <v>50</v>
      </c>
      <c r="J3111" t="s">
        <v>20</v>
      </c>
      <c r="K3111" t="s">
        <v>21</v>
      </c>
      <c r="L3111" t="s">
        <v>58</v>
      </c>
      <c r="N3111" t="s">
        <v>728</v>
      </c>
      <c r="O3111" t="s">
        <v>2216</v>
      </c>
    </row>
    <row r="3112" spans="1:15" x14ac:dyDescent="0.25">
      <c r="A3112">
        <v>3111</v>
      </c>
      <c r="B3112" t="str">
        <f>HYPERLINK("https://digitalcommons.unl.edu/cgi/viewcontent.cgi?article=4112&amp;context=tractormuseumlit","Click for test report")</f>
        <v>Click for test report</v>
      </c>
      <c r="C3112">
        <v>2008</v>
      </c>
      <c r="E3112" t="s">
        <v>2217</v>
      </c>
      <c r="F3112" t="s">
        <v>1246</v>
      </c>
      <c r="G3112" t="s">
        <v>135</v>
      </c>
      <c r="H3112" t="s">
        <v>2218</v>
      </c>
      <c r="I3112" t="s">
        <v>50</v>
      </c>
      <c r="J3112" t="s">
        <v>20</v>
      </c>
      <c r="K3112" t="s">
        <v>21</v>
      </c>
      <c r="L3112" t="s">
        <v>58</v>
      </c>
      <c r="N3112" t="s">
        <v>349</v>
      </c>
      <c r="O3112" t="s">
        <v>2214</v>
      </c>
    </row>
    <row r="3113" spans="1:15" x14ac:dyDescent="0.25">
      <c r="A3113">
        <v>3112</v>
      </c>
      <c r="B3113" t="str">
        <f>HYPERLINK("https://digitalcommons.unl.edu/cgi/viewcontent.cgi?article=4113&amp;context=tractormuseumlit","Click for test report")</f>
        <v>Click for test report</v>
      </c>
      <c r="C3113">
        <v>2008</v>
      </c>
      <c r="E3113" t="s">
        <v>2215</v>
      </c>
      <c r="F3113" t="s">
        <v>1246</v>
      </c>
      <c r="G3113" t="s">
        <v>135</v>
      </c>
      <c r="H3113" t="s">
        <v>2213</v>
      </c>
      <c r="I3113" t="s">
        <v>50</v>
      </c>
      <c r="J3113" t="s">
        <v>20</v>
      </c>
      <c r="K3113" t="s">
        <v>21</v>
      </c>
      <c r="L3113" t="s">
        <v>713</v>
      </c>
      <c r="N3113" t="s">
        <v>743</v>
      </c>
      <c r="O3113" t="s">
        <v>2216</v>
      </c>
    </row>
    <row r="3114" spans="1:15" x14ac:dyDescent="0.25">
      <c r="A3114">
        <v>3113</v>
      </c>
      <c r="B3114" t="str">
        <f>HYPERLINK("https://digitalcommons.unl.edu/cgi/viewcontent.cgi?article=4114&amp;context=tractormuseumlit","Click for test report")</f>
        <v>Click for test report</v>
      </c>
      <c r="C3114">
        <v>2008</v>
      </c>
      <c r="E3114" t="s">
        <v>2212</v>
      </c>
      <c r="F3114" t="s">
        <v>1246</v>
      </c>
      <c r="G3114" t="s">
        <v>135</v>
      </c>
      <c r="H3114" t="s">
        <v>2213</v>
      </c>
      <c r="I3114" t="s">
        <v>50</v>
      </c>
      <c r="J3114" t="s">
        <v>20</v>
      </c>
      <c r="K3114" t="s">
        <v>21</v>
      </c>
      <c r="L3114" t="s">
        <v>713</v>
      </c>
      <c r="N3114" t="s">
        <v>1867</v>
      </c>
      <c r="O3114" t="s">
        <v>2214</v>
      </c>
    </row>
    <row r="3115" spans="1:15" x14ac:dyDescent="0.25">
      <c r="A3115">
        <v>3114</v>
      </c>
      <c r="B3115" t="str">
        <f>HYPERLINK("https://digitalcommons.unl.edu/cgi/viewcontent.cgi?article=4116&amp;context=tractormuseumlit","Click for test report")</f>
        <v>Click for test report</v>
      </c>
      <c r="C3115">
        <v>2008</v>
      </c>
      <c r="E3115" t="s">
        <v>2211</v>
      </c>
      <c r="F3115" t="s">
        <v>1246</v>
      </c>
      <c r="G3115" t="s">
        <v>191</v>
      </c>
      <c r="H3115" t="s">
        <v>1356</v>
      </c>
      <c r="I3115" t="s">
        <v>50</v>
      </c>
      <c r="J3115" t="s">
        <v>348</v>
      </c>
      <c r="K3115" t="s">
        <v>21</v>
      </c>
      <c r="L3115" t="s">
        <v>1796</v>
      </c>
      <c r="N3115" t="s">
        <v>722</v>
      </c>
      <c r="O3115" t="s">
        <v>24</v>
      </c>
    </row>
    <row r="3116" spans="1:15" x14ac:dyDescent="0.25">
      <c r="A3116">
        <v>3115</v>
      </c>
      <c r="B3116" t="str">
        <f>HYPERLINK("https://digitalcommons.unl.edu/cgi/viewcontent.cgi?article=4116&amp;context=tractormuseumlit","Click for test report")</f>
        <v>Click for test report</v>
      </c>
      <c r="C3116">
        <v>2008</v>
      </c>
      <c r="E3116" t="s">
        <v>2211</v>
      </c>
      <c r="F3116" t="s">
        <v>1246</v>
      </c>
      <c r="G3116" t="s">
        <v>191</v>
      </c>
      <c r="H3116" t="s">
        <v>1356</v>
      </c>
      <c r="I3116" t="s">
        <v>50</v>
      </c>
      <c r="J3116" t="s">
        <v>20</v>
      </c>
      <c r="K3116" t="s">
        <v>21</v>
      </c>
      <c r="L3116" t="s">
        <v>344</v>
      </c>
      <c r="N3116" t="s">
        <v>747</v>
      </c>
      <c r="O3116" t="s">
        <v>24</v>
      </c>
    </row>
    <row r="3117" spans="1:15" x14ac:dyDescent="0.25">
      <c r="A3117">
        <v>3116</v>
      </c>
      <c r="B3117" t="str">
        <f>HYPERLINK("https://digitalcommons.unl.edu/cgi/viewcontent.cgi?article=4117&amp;context=tractormuseumlit","Click for test report")</f>
        <v>Click for test report</v>
      </c>
      <c r="C3117">
        <v>2008</v>
      </c>
      <c r="E3117" t="s">
        <v>2210</v>
      </c>
      <c r="F3117" t="s">
        <v>1246</v>
      </c>
      <c r="G3117" t="s">
        <v>191</v>
      </c>
      <c r="H3117" t="s">
        <v>1354</v>
      </c>
      <c r="I3117" t="s">
        <v>50</v>
      </c>
      <c r="J3117" t="s">
        <v>348</v>
      </c>
      <c r="K3117" t="s">
        <v>21</v>
      </c>
      <c r="L3117" t="s">
        <v>131</v>
      </c>
      <c r="N3117" t="s">
        <v>740</v>
      </c>
      <c r="O3117" t="s">
        <v>24</v>
      </c>
    </row>
    <row r="3118" spans="1:15" x14ac:dyDescent="0.25">
      <c r="A3118">
        <v>3117</v>
      </c>
      <c r="B3118" t="str">
        <f>HYPERLINK("https://digitalcommons.unl.edu/cgi/viewcontent.cgi?article=4117&amp;context=tractormuseumlit","Click for test report")</f>
        <v>Click for test report</v>
      </c>
      <c r="C3118">
        <v>2008</v>
      </c>
      <c r="E3118" t="s">
        <v>2210</v>
      </c>
      <c r="F3118" t="s">
        <v>1246</v>
      </c>
      <c r="G3118" t="s">
        <v>191</v>
      </c>
      <c r="H3118" t="s">
        <v>1354</v>
      </c>
      <c r="I3118" t="s">
        <v>50</v>
      </c>
      <c r="J3118" t="s">
        <v>20</v>
      </c>
      <c r="K3118" t="s">
        <v>21</v>
      </c>
      <c r="L3118" t="s">
        <v>454</v>
      </c>
      <c r="N3118" t="s">
        <v>1371</v>
      </c>
      <c r="O3118" t="s">
        <v>24</v>
      </c>
    </row>
    <row r="3119" spans="1:15" x14ac:dyDescent="0.25">
      <c r="A3119">
        <v>3118</v>
      </c>
      <c r="B3119" t="str">
        <f>HYPERLINK("https://digitalcommons.unl.edu/cgi/viewcontent.cgi?article=4118&amp;context=tractormuseumlit","Click for test report")</f>
        <v>Click for test report</v>
      </c>
      <c r="C3119">
        <v>2008</v>
      </c>
      <c r="E3119" t="s">
        <v>2208</v>
      </c>
      <c r="F3119" t="s">
        <v>1246</v>
      </c>
      <c r="G3119" t="s">
        <v>135</v>
      </c>
      <c r="H3119" t="s">
        <v>2209</v>
      </c>
      <c r="I3119" t="s">
        <v>50</v>
      </c>
      <c r="J3119" t="s">
        <v>348</v>
      </c>
      <c r="K3119" t="s">
        <v>21</v>
      </c>
      <c r="L3119" t="s">
        <v>2030</v>
      </c>
      <c r="N3119" t="s">
        <v>725</v>
      </c>
      <c r="O3119" t="s">
        <v>24</v>
      </c>
    </row>
    <row r="3120" spans="1:15" x14ac:dyDescent="0.25">
      <c r="A3120">
        <v>3119</v>
      </c>
      <c r="B3120" t="str">
        <f>HYPERLINK("https://digitalcommons.unl.edu/cgi/viewcontent.cgi?article=4118&amp;context=tractormuseumlit","Click for test report")</f>
        <v>Click for test report</v>
      </c>
      <c r="C3120">
        <v>2008</v>
      </c>
      <c r="E3120" t="s">
        <v>2208</v>
      </c>
      <c r="F3120" t="s">
        <v>1246</v>
      </c>
      <c r="G3120" t="s">
        <v>135</v>
      </c>
      <c r="H3120" t="s">
        <v>2209</v>
      </c>
      <c r="I3120" t="s">
        <v>50</v>
      </c>
      <c r="J3120" t="s">
        <v>20</v>
      </c>
      <c r="K3120" t="s">
        <v>21</v>
      </c>
      <c r="L3120" t="s">
        <v>764</v>
      </c>
      <c r="N3120" t="s">
        <v>2029</v>
      </c>
      <c r="O3120" t="s">
        <v>24</v>
      </c>
    </row>
    <row r="3121" spans="1:15" x14ac:dyDescent="0.25">
      <c r="A3121">
        <v>3120</v>
      </c>
      <c r="B3121" t="str">
        <f>HYPERLINK("https://digitalcommons.unl.edu/cgi/viewcontent.cgi?article=4119&amp;context=tractormuseumlit","Click for test report")</f>
        <v>Click for test report</v>
      </c>
      <c r="C3121">
        <v>2008</v>
      </c>
      <c r="E3121" t="s">
        <v>2206</v>
      </c>
      <c r="F3121" t="s">
        <v>1246</v>
      </c>
      <c r="G3121" t="s">
        <v>135</v>
      </c>
      <c r="H3121" t="s">
        <v>2207</v>
      </c>
      <c r="I3121" t="s">
        <v>50</v>
      </c>
      <c r="J3121" t="s">
        <v>348</v>
      </c>
      <c r="K3121" t="s">
        <v>21</v>
      </c>
      <c r="L3121" t="s">
        <v>1796</v>
      </c>
      <c r="N3121" t="s">
        <v>722</v>
      </c>
      <c r="O3121" t="s">
        <v>24</v>
      </c>
    </row>
    <row r="3122" spans="1:15" x14ac:dyDescent="0.25">
      <c r="A3122">
        <v>3121</v>
      </c>
      <c r="B3122" t="str">
        <f>HYPERLINK("https://digitalcommons.unl.edu/cgi/viewcontent.cgi?article=4119&amp;context=tractormuseumlit","Click for test report")</f>
        <v>Click for test report</v>
      </c>
      <c r="C3122">
        <v>2008</v>
      </c>
      <c r="E3122" t="s">
        <v>2206</v>
      </c>
      <c r="F3122" t="s">
        <v>1246</v>
      </c>
      <c r="G3122" t="s">
        <v>135</v>
      </c>
      <c r="H3122" t="s">
        <v>2207</v>
      </c>
      <c r="I3122" t="s">
        <v>50</v>
      </c>
      <c r="J3122" t="s">
        <v>20</v>
      </c>
      <c r="K3122" t="s">
        <v>21</v>
      </c>
      <c r="L3122" t="s">
        <v>344</v>
      </c>
      <c r="N3122" t="s">
        <v>747</v>
      </c>
      <c r="O3122" t="s">
        <v>24</v>
      </c>
    </row>
    <row r="3123" spans="1:15" x14ac:dyDescent="0.25">
      <c r="A3123">
        <v>3122</v>
      </c>
      <c r="B3123" t="str">
        <f>HYPERLINK("https://digitalcommons.unl.edu/cgi/viewcontent.cgi?article=4120&amp;context=tractormuseumlit","Click for test report")</f>
        <v>Click for test report</v>
      </c>
      <c r="C3123">
        <v>2008</v>
      </c>
      <c r="E3123" t="s">
        <v>2204</v>
      </c>
      <c r="F3123" t="s">
        <v>1246</v>
      </c>
      <c r="G3123" t="s">
        <v>135</v>
      </c>
      <c r="H3123" t="s">
        <v>2205</v>
      </c>
      <c r="I3123" t="s">
        <v>50</v>
      </c>
      <c r="J3123" t="s">
        <v>348</v>
      </c>
      <c r="K3123" t="s">
        <v>21</v>
      </c>
      <c r="L3123" t="s">
        <v>131</v>
      </c>
      <c r="N3123" t="s">
        <v>740</v>
      </c>
      <c r="O3123" t="s">
        <v>24</v>
      </c>
    </row>
    <row r="3124" spans="1:15" x14ac:dyDescent="0.25">
      <c r="A3124">
        <v>3123</v>
      </c>
      <c r="B3124" t="str">
        <f>HYPERLINK("https://digitalcommons.unl.edu/cgi/viewcontent.cgi?article=4120&amp;context=tractormuseumlit","Click for test report")</f>
        <v>Click for test report</v>
      </c>
      <c r="C3124">
        <v>2008</v>
      </c>
      <c r="E3124" t="s">
        <v>2204</v>
      </c>
      <c r="F3124" t="s">
        <v>1246</v>
      </c>
      <c r="G3124" t="s">
        <v>135</v>
      </c>
      <c r="H3124" t="s">
        <v>2205</v>
      </c>
      <c r="I3124" t="s">
        <v>50</v>
      </c>
      <c r="J3124" t="s">
        <v>20</v>
      </c>
      <c r="K3124" t="s">
        <v>21</v>
      </c>
      <c r="L3124" t="s">
        <v>454</v>
      </c>
      <c r="N3124" t="s">
        <v>1371</v>
      </c>
      <c r="O3124" t="s">
        <v>24</v>
      </c>
    </row>
    <row r="3125" spans="1:15" x14ac:dyDescent="0.25">
      <c r="A3125">
        <v>3124</v>
      </c>
      <c r="B3125" t="str">
        <f>HYPERLINK("https://digitalcommons.unl.edu/cgi/viewcontent.cgi?article=4121&amp;context=tractormuseumlit","Click for test report")</f>
        <v>Click for test report</v>
      </c>
      <c r="C3125">
        <v>2008</v>
      </c>
      <c r="E3125" t="s">
        <v>2202</v>
      </c>
      <c r="F3125" t="s">
        <v>1246</v>
      </c>
      <c r="G3125" t="s">
        <v>135</v>
      </c>
      <c r="H3125" t="s">
        <v>2203</v>
      </c>
      <c r="I3125" t="s">
        <v>50</v>
      </c>
      <c r="J3125" t="s">
        <v>348</v>
      </c>
      <c r="K3125" t="s">
        <v>21</v>
      </c>
      <c r="L3125" t="s">
        <v>123</v>
      </c>
      <c r="N3125" t="s">
        <v>378</v>
      </c>
      <c r="O3125" t="s">
        <v>24</v>
      </c>
    </row>
    <row r="3126" spans="1:15" x14ac:dyDescent="0.25">
      <c r="A3126">
        <v>3125</v>
      </c>
      <c r="B3126" t="str">
        <f>HYPERLINK("https://digitalcommons.unl.edu/cgi/viewcontent.cgi?article=4121&amp;context=tractormuseumlit","Click for test report")</f>
        <v>Click for test report</v>
      </c>
      <c r="C3126">
        <v>2008</v>
      </c>
      <c r="E3126" t="s">
        <v>2202</v>
      </c>
      <c r="F3126" t="s">
        <v>1246</v>
      </c>
      <c r="G3126" t="s">
        <v>135</v>
      </c>
      <c r="H3126" t="s">
        <v>2203</v>
      </c>
      <c r="I3126" t="s">
        <v>50</v>
      </c>
      <c r="J3126" t="s">
        <v>20</v>
      </c>
      <c r="K3126" t="s">
        <v>21</v>
      </c>
      <c r="L3126" t="s">
        <v>51</v>
      </c>
      <c r="N3126" t="s">
        <v>740</v>
      </c>
      <c r="O3126" t="s">
        <v>24</v>
      </c>
    </row>
    <row r="3127" spans="1:15" x14ac:dyDescent="0.25">
      <c r="A3127">
        <v>3126</v>
      </c>
      <c r="B3127" t="str">
        <f>HYPERLINK("https://digitalcommons.unl.edu/cgi/viewcontent.cgi?article=4125&amp;context=tractormuseumlit","Click for test report")</f>
        <v>Click for test report</v>
      </c>
      <c r="C3127">
        <v>2008</v>
      </c>
      <c r="E3127" t="s">
        <v>2200</v>
      </c>
      <c r="F3127" t="s">
        <v>1255</v>
      </c>
      <c r="G3127" t="s">
        <v>191</v>
      </c>
      <c r="H3127" t="s">
        <v>2201</v>
      </c>
      <c r="I3127" t="s">
        <v>50</v>
      </c>
      <c r="J3127" t="s">
        <v>20</v>
      </c>
      <c r="K3127" t="s">
        <v>21</v>
      </c>
      <c r="L3127" t="s">
        <v>1347</v>
      </c>
      <c r="N3127" t="s">
        <v>731</v>
      </c>
      <c r="O3127" t="s">
        <v>24</v>
      </c>
    </row>
    <row r="3128" spans="1:15" x14ac:dyDescent="0.25">
      <c r="A3128">
        <v>3127</v>
      </c>
      <c r="B3128" t="str">
        <f>HYPERLINK("https://digitalcommons.unl.edu/cgi/viewcontent.cgi?article=4126&amp;context=tractormuseumlit","Click for test report")</f>
        <v>Click for test report</v>
      </c>
      <c r="C3128">
        <v>2008</v>
      </c>
      <c r="E3128" t="s">
        <v>2198</v>
      </c>
      <c r="F3128" t="s">
        <v>1255</v>
      </c>
      <c r="G3128" t="s">
        <v>191</v>
      </c>
      <c r="H3128" t="s">
        <v>2199</v>
      </c>
      <c r="I3128" t="s">
        <v>50</v>
      </c>
      <c r="J3128" t="s">
        <v>20</v>
      </c>
      <c r="K3128" t="s">
        <v>21</v>
      </c>
      <c r="L3128" t="s">
        <v>722</v>
      </c>
      <c r="N3128" t="s">
        <v>1350</v>
      </c>
      <c r="O3128" t="s">
        <v>24</v>
      </c>
    </row>
    <row r="3129" spans="1:15" x14ac:dyDescent="0.25">
      <c r="A3129">
        <v>3128</v>
      </c>
      <c r="B3129" t="str">
        <f>HYPERLINK("https://digitalcommons.unl.edu/cgi/viewcontent.cgi?article=4127&amp;context=tractormuseumlit","Click for test report")</f>
        <v>Click for test report</v>
      </c>
      <c r="C3129">
        <v>2008</v>
      </c>
      <c r="E3129" t="s">
        <v>2196</v>
      </c>
      <c r="F3129" t="s">
        <v>1255</v>
      </c>
      <c r="G3129" t="s">
        <v>191</v>
      </c>
      <c r="H3129" t="s">
        <v>2197</v>
      </c>
      <c r="I3129" t="s">
        <v>50</v>
      </c>
      <c r="J3129" t="s">
        <v>20</v>
      </c>
      <c r="K3129" t="s">
        <v>21</v>
      </c>
      <c r="L3129" t="s">
        <v>344</v>
      </c>
      <c r="N3129" t="s">
        <v>1867</v>
      </c>
      <c r="O3129" t="s">
        <v>24</v>
      </c>
    </row>
    <row r="3130" spans="1:15" x14ac:dyDescent="0.25">
      <c r="A3130">
        <v>3129</v>
      </c>
      <c r="B3130" t="str">
        <f>HYPERLINK("https://digitalcommons.unl.edu/cgi/viewcontent.cgi?article=4128&amp;context=tractormuseumlit","Click for test report")</f>
        <v>Click for test report</v>
      </c>
      <c r="C3130">
        <v>2008</v>
      </c>
      <c r="E3130" t="s">
        <v>2194</v>
      </c>
      <c r="F3130" t="s">
        <v>2192</v>
      </c>
      <c r="G3130" t="s">
        <v>135</v>
      </c>
      <c r="H3130" t="s">
        <v>2195</v>
      </c>
      <c r="I3130" t="s">
        <v>50</v>
      </c>
      <c r="J3130" t="s">
        <v>20</v>
      </c>
      <c r="K3130" t="s">
        <v>21</v>
      </c>
      <c r="L3130" t="s">
        <v>1347</v>
      </c>
      <c r="N3130" t="s">
        <v>731</v>
      </c>
      <c r="O3130" t="s">
        <v>24</v>
      </c>
    </row>
    <row r="3131" spans="1:15" x14ac:dyDescent="0.25">
      <c r="A3131">
        <v>3130</v>
      </c>
      <c r="B3131" t="str">
        <f>HYPERLINK("https://digitalcommons.unl.edu/cgi/viewcontent.cgi?article=4129&amp;context=tractormuseumlit","Click for test report")</f>
        <v>Click for test report</v>
      </c>
      <c r="C3131">
        <v>2008</v>
      </c>
      <c r="E3131" t="s">
        <v>2191</v>
      </c>
      <c r="F3131" t="s">
        <v>2192</v>
      </c>
      <c r="G3131" t="s">
        <v>135</v>
      </c>
      <c r="H3131" t="s">
        <v>2193</v>
      </c>
      <c r="I3131" t="s">
        <v>50</v>
      </c>
      <c r="J3131" t="s">
        <v>20</v>
      </c>
      <c r="K3131" t="s">
        <v>21</v>
      </c>
      <c r="L3131" t="s">
        <v>344</v>
      </c>
      <c r="N3131" t="s">
        <v>1867</v>
      </c>
      <c r="O3131" t="s">
        <v>24</v>
      </c>
    </row>
    <row r="3132" spans="1:15" x14ac:dyDescent="0.25">
      <c r="A3132">
        <v>3131</v>
      </c>
      <c r="B3132" t="str">
        <f>HYPERLINK("https://digitalcommons.unl.edu/cgi/viewcontent.cgi?article=3307&amp;context=tractormuseumlit","Click for test report")</f>
        <v>Click for test report</v>
      </c>
      <c r="C3132">
        <v>2008</v>
      </c>
      <c r="D3132" t="s">
        <v>2189</v>
      </c>
      <c r="F3132" t="s">
        <v>2184</v>
      </c>
      <c r="G3132" t="s">
        <v>135</v>
      </c>
      <c r="H3132" t="s">
        <v>2190</v>
      </c>
      <c r="I3132" t="s">
        <v>50</v>
      </c>
      <c r="J3132" t="s">
        <v>348</v>
      </c>
      <c r="K3132" t="s">
        <v>21</v>
      </c>
      <c r="L3132" t="s">
        <v>1009</v>
      </c>
      <c r="O3132" t="s">
        <v>24</v>
      </c>
    </row>
    <row r="3133" spans="1:15" x14ac:dyDescent="0.25">
      <c r="A3133">
        <v>3132</v>
      </c>
      <c r="B3133" t="str">
        <f>HYPERLINK("https://digitalcommons.unl.edu/cgi/viewcontent.cgi?article=3310&amp;context=tractormuseumlit","Click for test report")</f>
        <v>Click for test report</v>
      </c>
      <c r="C3133">
        <v>2008</v>
      </c>
      <c r="D3133" t="s">
        <v>2186</v>
      </c>
      <c r="F3133" t="s">
        <v>2184</v>
      </c>
      <c r="G3133" t="s">
        <v>135</v>
      </c>
      <c r="H3133" t="s">
        <v>2187</v>
      </c>
      <c r="I3133" t="s">
        <v>50</v>
      </c>
      <c r="J3133" t="s">
        <v>348</v>
      </c>
      <c r="K3133" t="s">
        <v>21</v>
      </c>
      <c r="L3133" t="s">
        <v>2188</v>
      </c>
    </row>
    <row r="3134" spans="1:15" x14ac:dyDescent="0.25">
      <c r="A3134">
        <v>3133</v>
      </c>
      <c r="B3134" t="str">
        <f>HYPERLINK("https://digitalcommons.unl.edu/cgi/viewcontent.cgi?article=3309&amp;context=tractormuseumlit","Click for test report")</f>
        <v>Click for test report</v>
      </c>
      <c r="C3134">
        <v>2008</v>
      </c>
      <c r="D3134" t="s">
        <v>2183</v>
      </c>
      <c r="F3134" t="s">
        <v>2184</v>
      </c>
      <c r="G3134" t="s">
        <v>135</v>
      </c>
      <c r="H3134" t="s">
        <v>2185</v>
      </c>
      <c r="I3134" t="s">
        <v>50</v>
      </c>
      <c r="J3134" t="s">
        <v>348</v>
      </c>
      <c r="K3134" t="s">
        <v>21</v>
      </c>
      <c r="L3134" t="s">
        <v>1864</v>
      </c>
      <c r="O3134" t="s">
        <v>24</v>
      </c>
    </row>
    <row r="3135" spans="1:15" x14ac:dyDescent="0.25">
      <c r="A3135">
        <v>3134</v>
      </c>
      <c r="B3135" t="str">
        <f>HYPERLINK("https://digitalcommons.unl.edu/cgi/viewcontent.cgi?article=3340&amp;context=tractormuseumlit","Click for test report")</f>
        <v>Click for test report</v>
      </c>
      <c r="C3135">
        <v>2008</v>
      </c>
      <c r="D3135" t="s">
        <v>2181</v>
      </c>
      <c r="E3135" t="s">
        <v>2182</v>
      </c>
      <c r="F3135" t="s">
        <v>17</v>
      </c>
      <c r="G3135" t="s">
        <v>17</v>
      </c>
      <c r="H3135" t="s">
        <v>1780</v>
      </c>
      <c r="I3135" t="s">
        <v>28</v>
      </c>
      <c r="J3135" t="s">
        <v>20</v>
      </c>
      <c r="K3135" t="s">
        <v>21</v>
      </c>
      <c r="L3135" t="s">
        <v>51</v>
      </c>
      <c r="N3135" t="s">
        <v>247</v>
      </c>
      <c r="O3135" t="s">
        <v>24</v>
      </c>
    </row>
    <row r="3136" spans="1:15" x14ac:dyDescent="0.25">
      <c r="A3136">
        <v>3135</v>
      </c>
      <c r="B3136" t="str">
        <f>HYPERLINK("https://digitalcommons.unl.edu/cgi/viewcontent.cgi?article=3341&amp;context=tractormuseumlit","Click for test report")</f>
        <v>Click for test report</v>
      </c>
      <c r="C3136">
        <v>2008</v>
      </c>
      <c r="D3136" t="s">
        <v>2178</v>
      </c>
      <c r="E3136" t="s">
        <v>2179</v>
      </c>
      <c r="F3136" t="s">
        <v>17</v>
      </c>
      <c r="G3136" t="s">
        <v>17</v>
      </c>
      <c r="H3136" t="s">
        <v>2180</v>
      </c>
      <c r="I3136" t="s">
        <v>28</v>
      </c>
      <c r="J3136" t="s">
        <v>20</v>
      </c>
      <c r="K3136" t="s">
        <v>21</v>
      </c>
      <c r="L3136" t="s">
        <v>558</v>
      </c>
      <c r="N3136" t="s">
        <v>127</v>
      </c>
      <c r="O3136" t="s">
        <v>24</v>
      </c>
    </row>
    <row r="3137" spans="1:15" x14ac:dyDescent="0.25">
      <c r="A3137">
        <v>3136</v>
      </c>
      <c r="B3137" t="str">
        <f>HYPERLINK("https://digitalcommons.unl.edu/cgi/viewcontent.cgi?article=3342&amp;context=tractormuseumlit","Click for test report")</f>
        <v>Click for test report</v>
      </c>
      <c r="C3137">
        <v>2008</v>
      </c>
      <c r="D3137" t="s">
        <v>2175</v>
      </c>
      <c r="E3137" t="s">
        <v>2176</v>
      </c>
      <c r="F3137" t="s">
        <v>17</v>
      </c>
      <c r="G3137" t="s">
        <v>17</v>
      </c>
      <c r="H3137" t="s">
        <v>2177</v>
      </c>
      <c r="I3137" t="s">
        <v>64</v>
      </c>
      <c r="J3137" t="s">
        <v>20</v>
      </c>
      <c r="K3137" t="s">
        <v>21</v>
      </c>
      <c r="L3137" t="s">
        <v>853</v>
      </c>
      <c r="N3137" t="s">
        <v>359</v>
      </c>
      <c r="O3137" t="s">
        <v>24</v>
      </c>
    </row>
    <row r="3138" spans="1:15" x14ac:dyDescent="0.25">
      <c r="A3138">
        <v>3137</v>
      </c>
      <c r="B3138" t="str">
        <f>HYPERLINK("https://digitalcommons.unl.edu/cgi/viewcontent.cgi?article=3343&amp;context=tractormuseumlit","Click for test report")</f>
        <v>Click for test report</v>
      </c>
      <c r="C3138">
        <v>2008</v>
      </c>
      <c r="D3138" t="s">
        <v>2172</v>
      </c>
      <c r="E3138" t="s">
        <v>2173</v>
      </c>
      <c r="F3138" t="s">
        <v>17</v>
      </c>
      <c r="G3138" t="s">
        <v>17</v>
      </c>
      <c r="H3138" t="s">
        <v>2174</v>
      </c>
      <c r="I3138" t="s">
        <v>28</v>
      </c>
      <c r="J3138" t="s">
        <v>29</v>
      </c>
      <c r="K3138" t="s">
        <v>21</v>
      </c>
      <c r="N3138" t="s">
        <v>1977</v>
      </c>
      <c r="O3138" t="s">
        <v>2163</v>
      </c>
    </row>
    <row r="3139" spans="1:15" x14ac:dyDescent="0.25">
      <c r="A3139">
        <v>3138</v>
      </c>
      <c r="B3139" t="str">
        <f>HYPERLINK("https://digitalcommons.unl.edu/cgi/viewcontent.cgi?article=3344&amp;context=tractormuseumlit","Click for test report")</f>
        <v>Click for test report</v>
      </c>
      <c r="C3139">
        <v>2008</v>
      </c>
      <c r="D3139" t="s">
        <v>2168</v>
      </c>
      <c r="E3139" t="s">
        <v>2169</v>
      </c>
      <c r="F3139" t="s">
        <v>17</v>
      </c>
      <c r="G3139" t="s">
        <v>17</v>
      </c>
      <c r="H3139" t="s">
        <v>2170</v>
      </c>
      <c r="I3139" t="s">
        <v>28</v>
      </c>
      <c r="J3139" t="s">
        <v>96</v>
      </c>
      <c r="K3139" t="s">
        <v>21</v>
      </c>
      <c r="N3139" t="s">
        <v>2171</v>
      </c>
      <c r="O3139" t="s">
        <v>2163</v>
      </c>
    </row>
    <row r="3140" spans="1:15" x14ac:dyDescent="0.25">
      <c r="A3140">
        <v>3139</v>
      </c>
      <c r="B3140" t="str">
        <f>HYPERLINK("https://digitalcommons.unl.edu/cgi/viewcontent.cgi?article=3345&amp;context=tractormuseumlit","Click for test report")</f>
        <v>Click for test report</v>
      </c>
      <c r="C3140">
        <v>2008</v>
      </c>
      <c r="D3140" t="s">
        <v>2164</v>
      </c>
      <c r="E3140" t="s">
        <v>2165</v>
      </c>
      <c r="F3140" t="s">
        <v>17</v>
      </c>
      <c r="G3140" t="s">
        <v>17</v>
      </c>
      <c r="H3140" t="s">
        <v>2166</v>
      </c>
      <c r="I3140" t="s">
        <v>28</v>
      </c>
      <c r="J3140" t="s">
        <v>29</v>
      </c>
      <c r="K3140" t="s">
        <v>21</v>
      </c>
      <c r="N3140" t="s">
        <v>2167</v>
      </c>
      <c r="O3140" t="s">
        <v>2163</v>
      </c>
    </row>
    <row r="3141" spans="1:15" x14ac:dyDescent="0.25">
      <c r="A3141">
        <v>3140</v>
      </c>
      <c r="B3141" t="str">
        <f>HYPERLINK("https://digitalcommons.unl.edu/cgi/viewcontent.cgi?article=3346&amp;context=tractormuseumlit","Click for test report")</f>
        <v>Click for test report</v>
      </c>
      <c r="C3141">
        <v>2008</v>
      </c>
      <c r="D3141" t="s">
        <v>2160</v>
      </c>
      <c r="E3141" t="s">
        <v>2161</v>
      </c>
      <c r="F3141" t="s">
        <v>17</v>
      </c>
      <c r="G3141" t="s">
        <v>17</v>
      </c>
      <c r="H3141" t="s">
        <v>2162</v>
      </c>
      <c r="I3141" t="s">
        <v>28</v>
      </c>
      <c r="J3141" t="s">
        <v>96</v>
      </c>
      <c r="K3141" t="s">
        <v>21</v>
      </c>
      <c r="N3141" t="s">
        <v>1060</v>
      </c>
      <c r="O3141" t="s">
        <v>2163</v>
      </c>
    </row>
    <row r="3142" spans="1:15" x14ac:dyDescent="0.25">
      <c r="A3142">
        <v>3141</v>
      </c>
      <c r="B3142" t="str">
        <f>HYPERLINK("https://digitalcommons.unl.edu/cgi/viewcontent.cgi?article=3347&amp;context=tractormuseumlit","Click for test report")</f>
        <v>Click for test report</v>
      </c>
      <c r="C3142">
        <v>2008</v>
      </c>
      <c r="D3142" t="s">
        <v>2157</v>
      </c>
      <c r="E3142" t="s">
        <v>2158</v>
      </c>
      <c r="F3142" t="s">
        <v>111</v>
      </c>
      <c r="G3142" t="s">
        <v>414</v>
      </c>
      <c r="H3142" t="s">
        <v>2159</v>
      </c>
      <c r="I3142" t="s">
        <v>28</v>
      </c>
      <c r="J3142" t="s">
        <v>29</v>
      </c>
      <c r="K3142" t="s">
        <v>21</v>
      </c>
      <c r="L3142" t="s">
        <v>1921</v>
      </c>
      <c r="N3142" t="s">
        <v>1926</v>
      </c>
      <c r="O3142" t="s">
        <v>24</v>
      </c>
    </row>
    <row r="3143" spans="1:15" x14ac:dyDescent="0.25">
      <c r="A3143">
        <v>3142</v>
      </c>
      <c r="B3143" t="str">
        <f>HYPERLINK("https://digitalcommons.unl.edu/cgi/viewcontent.cgi?article=3348&amp;context=tractormuseumlit","Click for test report")</f>
        <v>Click for test report</v>
      </c>
      <c r="C3143">
        <v>2008</v>
      </c>
      <c r="D3143" t="s">
        <v>2154</v>
      </c>
      <c r="E3143" t="s">
        <v>2155</v>
      </c>
      <c r="F3143" t="s">
        <v>111</v>
      </c>
      <c r="G3143" t="s">
        <v>414</v>
      </c>
      <c r="H3143" t="s">
        <v>2156</v>
      </c>
      <c r="I3143" t="s">
        <v>28</v>
      </c>
      <c r="J3143" t="s">
        <v>29</v>
      </c>
      <c r="K3143" t="s">
        <v>21</v>
      </c>
      <c r="L3143" t="s">
        <v>537</v>
      </c>
      <c r="N3143" t="s">
        <v>1921</v>
      </c>
      <c r="O3143" t="s">
        <v>24</v>
      </c>
    </row>
    <row r="3144" spans="1:15" x14ac:dyDescent="0.25">
      <c r="A3144">
        <v>3143</v>
      </c>
      <c r="B3144" t="str">
        <f>HYPERLINK("https://digitalcommons.unl.edu/cgi/viewcontent.cgi?article=3349&amp;context=tractormuseumlit","Click for test report")</f>
        <v>Click for test report</v>
      </c>
      <c r="C3144">
        <v>2008</v>
      </c>
      <c r="D3144" t="s">
        <v>2151</v>
      </c>
      <c r="E3144" t="s">
        <v>2152</v>
      </c>
      <c r="F3144" t="s">
        <v>111</v>
      </c>
      <c r="G3144" t="s">
        <v>414</v>
      </c>
      <c r="H3144" t="s">
        <v>2153</v>
      </c>
      <c r="I3144" t="s">
        <v>28</v>
      </c>
      <c r="J3144" t="s">
        <v>29</v>
      </c>
      <c r="K3144" t="s">
        <v>21</v>
      </c>
      <c r="L3144" t="s">
        <v>1915</v>
      </c>
      <c r="N3144" t="s">
        <v>1916</v>
      </c>
      <c r="O3144" t="s">
        <v>24</v>
      </c>
    </row>
    <row r="3145" spans="1:15" x14ac:dyDescent="0.25">
      <c r="A3145">
        <v>3144</v>
      </c>
      <c r="B3145" t="str">
        <f>HYPERLINK("https://digitalcommons.unl.edu/cgi/viewcontent.cgi?article=3350&amp;context=tractormuseumlit","Click for test report")</f>
        <v>Click for test report</v>
      </c>
      <c r="C3145">
        <v>2008</v>
      </c>
      <c r="D3145" t="s">
        <v>2148</v>
      </c>
      <c r="E3145" t="s">
        <v>2149</v>
      </c>
      <c r="F3145" t="s">
        <v>111</v>
      </c>
      <c r="G3145" t="s">
        <v>414</v>
      </c>
      <c r="H3145" t="s">
        <v>2150</v>
      </c>
      <c r="I3145" t="s">
        <v>28</v>
      </c>
      <c r="J3145" t="s">
        <v>29</v>
      </c>
      <c r="K3145" t="s">
        <v>21</v>
      </c>
      <c r="L3145" t="s">
        <v>1909</v>
      </c>
      <c r="N3145" t="s">
        <v>1910</v>
      </c>
      <c r="O3145" t="s">
        <v>24</v>
      </c>
    </row>
    <row r="3146" spans="1:15" x14ac:dyDescent="0.25">
      <c r="A3146">
        <v>3145</v>
      </c>
      <c r="B3146" t="str">
        <f>HYPERLINK("https://digitalcommons.unl.edu/cgi/viewcontent.cgi?article=3308&amp;context=tractormuseumlit","Click for test report")</f>
        <v>Click for test report</v>
      </c>
      <c r="C3146">
        <v>2008</v>
      </c>
      <c r="D3146" t="s">
        <v>2146</v>
      </c>
      <c r="F3146" t="s">
        <v>111</v>
      </c>
      <c r="G3146" t="s">
        <v>111</v>
      </c>
      <c r="H3146" t="s">
        <v>2147</v>
      </c>
      <c r="I3146" t="s">
        <v>28</v>
      </c>
      <c r="J3146" t="s">
        <v>20</v>
      </c>
      <c r="K3146" t="s">
        <v>21</v>
      </c>
      <c r="L3146" t="s">
        <v>561</v>
      </c>
      <c r="O3146" t="s">
        <v>24</v>
      </c>
    </row>
    <row r="3147" spans="1:15" x14ac:dyDescent="0.25">
      <c r="A3147">
        <v>3146</v>
      </c>
      <c r="B3147" t="str">
        <f>HYPERLINK("https://digitalcommons.unl.edu/cgi/viewcontent.cgi?article=3351&amp;context=tractormuseumlit","Click for test report")</f>
        <v>Click for test report</v>
      </c>
      <c r="C3147">
        <v>2008</v>
      </c>
      <c r="D3147" t="s">
        <v>2143</v>
      </c>
      <c r="E3147" t="s">
        <v>2144</v>
      </c>
      <c r="F3147" t="s">
        <v>111</v>
      </c>
      <c r="G3147" t="s">
        <v>778</v>
      </c>
      <c r="H3147" t="s">
        <v>2145</v>
      </c>
      <c r="I3147" t="s">
        <v>28</v>
      </c>
      <c r="J3147" t="s">
        <v>20</v>
      </c>
      <c r="K3147" t="s">
        <v>21</v>
      </c>
      <c r="L3147" t="s">
        <v>794</v>
      </c>
      <c r="N3147" t="s">
        <v>571</v>
      </c>
      <c r="O3147" t="s">
        <v>24</v>
      </c>
    </row>
    <row r="3148" spans="1:15" x14ac:dyDescent="0.25">
      <c r="A3148">
        <v>3147</v>
      </c>
      <c r="B3148" t="str">
        <f>HYPERLINK("https://digitalcommons.unl.edu/cgi/viewcontent.cgi?article=3352&amp;context=tractormuseumlit","Click for test report")</f>
        <v>Click for test report</v>
      </c>
      <c r="C3148">
        <v>2008</v>
      </c>
      <c r="D3148" t="s">
        <v>2140</v>
      </c>
      <c r="E3148" t="s">
        <v>2141</v>
      </c>
      <c r="F3148" t="s">
        <v>1282</v>
      </c>
      <c r="G3148" t="s">
        <v>135</v>
      </c>
      <c r="H3148" t="s">
        <v>2142</v>
      </c>
      <c r="I3148" t="s">
        <v>28</v>
      </c>
      <c r="J3148" t="s">
        <v>29</v>
      </c>
      <c r="K3148" t="s">
        <v>21</v>
      </c>
      <c r="L3148" t="s">
        <v>98</v>
      </c>
      <c r="N3148" t="s">
        <v>2096</v>
      </c>
      <c r="O3148" t="s">
        <v>24</v>
      </c>
    </row>
    <row r="3149" spans="1:15" x14ac:dyDescent="0.25">
      <c r="A3149">
        <v>3148</v>
      </c>
      <c r="B3149" t="str">
        <f>HYPERLINK("https://digitalcommons.unl.edu/cgi/viewcontent.cgi?article=3353&amp;context=tractormuseumlit","Click for test report")</f>
        <v>Click for test report</v>
      </c>
      <c r="C3149">
        <v>2008</v>
      </c>
      <c r="D3149" t="s">
        <v>2137</v>
      </c>
      <c r="E3149" t="s">
        <v>2138</v>
      </c>
      <c r="F3149" t="s">
        <v>1282</v>
      </c>
      <c r="G3149" t="s">
        <v>135</v>
      </c>
      <c r="H3149" t="s">
        <v>2139</v>
      </c>
      <c r="I3149" t="s">
        <v>28</v>
      </c>
      <c r="J3149" t="s">
        <v>29</v>
      </c>
      <c r="K3149" t="s">
        <v>21</v>
      </c>
      <c r="L3149" t="s">
        <v>677</v>
      </c>
      <c r="N3149" t="s">
        <v>344</v>
      </c>
      <c r="O3149" t="s">
        <v>24</v>
      </c>
    </row>
    <row r="3150" spans="1:15" x14ac:dyDescent="0.25">
      <c r="A3150">
        <v>3149</v>
      </c>
      <c r="B3150" t="str">
        <f>HYPERLINK("https://digitalcommons.unl.edu/cgi/viewcontent.cgi?article=3354&amp;context=tractormuseumlit","Click for test report")</f>
        <v>Click for test report</v>
      </c>
      <c r="C3150">
        <v>2008</v>
      </c>
      <c r="D3150" t="s">
        <v>2132</v>
      </c>
      <c r="E3150" t="s">
        <v>2133</v>
      </c>
      <c r="F3150" t="s">
        <v>1282</v>
      </c>
      <c r="G3150" t="s">
        <v>191</v>
      </c>
      <c r="H3150" t="s">
        <v>2134</v>
      </c>
      <c r="I3150" t="s">
        <v>28</v>
      </c>
      <c r="J3150" t="s">
        <v>20</v>
      </c>
      <c r="K3150" t="s">
        <v>21</v>
      </c>
      <c r="L3150" t="s">
        <v>2135</v>
      </c>
      <c r="N3150" t="s">
        <v>2136</v>
      </c>
      <c r="O3150" t="s">
        <v>24</v>
      </c>
    </row>
    <row r="3151" spans="1:15" x14ac:dyDescent="0.25">
      <c r="A3151">
        <v>3150</v>
      </c>
      <c r="B3151" t="str">
        <f>HYPERLINK("https://digitalcommons.unl.edu/cgi/viewcontent.cgi?article=3355&amp;context=tractormuseumlit","Click for test report")</f>
        <v>Click for test report</v>
      </c>
      <c r="C3151">
        <v>2008</v>
      </c>
      <c r="D3151" t="s">
        <v>2129</v>
      </c>
      <c r="E3151" t="s">
        <v>2130</v>
      </c>
      <c r="F3151" t="s">
        <v>1282</v>
      </c>
      <c r="G3151" t="s">
        <v>135</v>
      </c>
      <c r="H3151" t="s">
        <v>2131</v>
      </c>
      <c r="I3151" t="s">
        <v>28</v>
      </c>
      <c r="J3151" t="s">
        <v>20</v>
      </c>
      <c r="K3151" t="s">
        <v>21</v>
      </c>
      <c r="L3151" t="s">
        <v>950</v>
      </c>
      <c r="N3151" t="s">
        <v>222</v>
      </c>
      <c r="O3151" t="s">
        <v>24</v>
      </c>
    </row>
    <row r="3152" spans="1:15" x14ac:dyDescent="0.25">
      <c r="A3152">
        <v>3151</v>
      </c>
      <c r="B3152" t="str">
        <f>HYPERLINK("https://digitalcommons.unl.edu/cgi/viewcontent.cgi?article=3356&amp;context=tractormuseumlit","Click for test report")</f>
        <v>Click for test report</v>
      </c>
      <c r="C3152">
        <v>2008</v>
      </c>
      <c r="D3152" t="s">
        <v>2125</v>
      </c>
      <c r="F3152" t="s">
        <v>1282</v>
      </c>
      <c r="G3152" t="s">
        <v>135</v>
      </c>
      <c r="H3152" t="s">
        <v>2128</v>
      </c>
      <c r="I3152" t="s">
        <v>50</v>
      </c>
      <c r="J3152" t="s">
        <v>20</v>
      </c>
      <c r="K3152" t="s">
        <v>21</v>
      </c>
      <c r="L3152" t="s">
        <v>2090</v>
      </c>
      <c r="O3152" t="s">
        <v>2091</v>
      </c>
    </row>
    <row r="3153" spans="1:15" x14ac:dyDescent="0.25">
      <c r="A3153">
        <v>3152</v>
      </c>
      <c r="B3153" t="str">
        <f>HYPERLINK("https://digitalcommons.unl.edu/cgi/viewcontent.cgi?article=3356&amp;context=tractormuseumlit","Click for test report")</f>
        <v>Click for test report</v>
      </c>
      <c r="C3153">
        <v>2008</v>
      </c>
      <c r="D3153" t="s">
        <v>2125</v>
      </c>
      <c r="F3153" t="s">
        <v>1282</v>
      </c>
      <c r="G3153" t="s">
        <v>135</v>
      </c>
      <c r="H3153" t="s">
        <v>2127</v>
      </c>
      <c r="I3153" t="s">
        <v>50</v>
      </c>
      <c r="J3153" t="s">
        <v>20</v>
      </c>
      <c r="K3153" t="s">
        <v>21</v>
      </c>
      <c r="L3153" t="s">
        <v>2090</v>
      </c>
      <c r="O3153" t="s">
        <v>24</v>
      </c>
    </row>
    <row r="3154" spans="1:15" x14ac:dyDescent="0.25">
      <c r="A3154">
        <v>3153</v>
      </c>
      <c r="B3154" t="str">
        <f>HYPERLINK("https://digitalcommons.unl.edu/cgi/viewcontent.cgi?article=3356&amp;context=tractormuseumlit","Click for test report")</f>
        <v>Click for test report</v>
      </c>
      <c r="C3154">
        <v>2008</v>
      </c>
      <c r="D3154" t="s">
        <v>2125</v>
      </c>
      <c r="F3154" t="s">
        <v>1282</v>
      </c>
      <c r="G3154" t="s">
        <v>135</v>
      </c>
      <c r="H3154" t="s">
        <v>2126</v>
      </c>
      <c r="I3154" t="s">
        <v>50</v>
      </c>
      <c r="J3154" t="s">
        <v>20</v>
      </c>
      <c r="K3154" t="s">
        <v>21</v>
      </c>
      <c r="L3154" t="s">
        <v>2090</v>
      </c>
      <c r="O3154" t="s">
        <v>2091</v>
      </c>
    </row>
    <row r="3155" spans="1:15" x14ac:dyDescent="0.25">
      <c r="A3155">
        <v>3154</v>
      </c>
      <c r="B3155" t="str">
        <f>HYPERLINK("https://digitalcommons.unl.edu/cgi/viewcontent.cgi?article=3357&amp;context=tractormuseumlit","Click for test report")</f>
        <v>Click for test report</v>
      </c>
      <c r="C3155">
        <v>2008</v>
      </c>
      <c r="D3155" t="s">
        <v>2122</v>
      </c>
      <c r="F3155" t="s">
        <v>1282</v>
      </c>
      <c r="G3155" t="s">
        <v>135</v>
      </c>
      <c r="H3155" t="s">
        <v>2124</v>
      </c>
      <c r="I3155" t="s">
        <v>50</v>
      </c>
      <c r="J3155" t="s">
        <v>20</v>
      </c>
      <c r="K3155" t="s">
        <v>21</v>
      </c>
      <c r="L3155" t="s">
        <v>750</v>
      </c>
      <c r="O3155" t="s">
        <v>2085</v>
      </c>
    </row>
    <row r="3156" spans="1:15" x14ac:dyDescent="0.25">
      <c r="A3156">
        <v>3155</v>
      </c>
      <c r="B3156" t="str">
        <f>HYPERLINK("https://digitalcommons.unl.edu/cgi/viewcontent.cgi?article=3357&amp;context=tractormuseumlit","Click for test report")</f>
        <v>Click for test report</v>
      </c>
      <c r="C3156">
        <v>2008</v>
      </c>
      <c r="D3156" t="s">
        <v>2122</v>
      </c>
      <c r="F3156" t="s">
        <v>1282</v>
      </c>
      <c r="G3156" t="s">
        <v>135</v>
      </c>
      <c r="H3156" t="s">
        <v>2123</v>
      </c>
      <c r="I3156" t="s">
        <v>50</v>
      </c>
      <c r="J3156" t="s">
        <v>20</v>
      </c>
      <c r="K3156" t="s">
        <v>21</v>
      </c>
      <c r="L3156" t="s">
        <v>750</v>
      </c>
      <c r="O3156" t="s">
        <v>24</v>
      </c>
    </row>
    <row r="3157" spans="1:15" x14ac:dyDescent="0.25">
      <c r="A3157">
        <v>3156</v>
      </c>
      <c r="B3157" t="str">
        <f>HYPERLINK("https://digitalcommons.unl.edu/cgi/viewcontent.cgi?article=3358&amp;context=tractormuseumlit","Click for test report")</f>
        <v>Click for test report</v>
      </c>
      <c r="C3157">
        <v>2008</v>
      </c>
      <c r="D3157" t="s">
        <v>2119</v>
      </c>
      <c r="E3157" t="s">
        <v>2120</v>
      </c>
      <c r="F3157" t="s">
        <v>17</v>
      </c>
      <c r="G3157" t="s">
        <v>17</v>
      </c>
      <c r="H3157" t="s">
        <v>2121</v>
      </c>
      <c r="I3157" t="s">
        <v>28</v>
      </c>
      <c r="J3157" t="s">
        <v>29</v>
      </c>
      <c r="K3157" t="s">
        <v>21</v>
      </c>
      <c r="L3157" t="s">
        <v>1947</v>
      </c>
      <c r="N3157" t="s">
        <v>1000</v>
      </c>
      <c r="O3157" t="s">
        <v>24</v>
      </c>
    </row>
    <row r="3158" spans="1:15" x14ac:dyDescent="0.25">
      <c r="A3158">
        <v>3157</v>
      </c>
      <c r="B3158" t="str">
        <f>HYPERLINK("https://digitalcommons.unl.edu/cgi/viewcontent.cgi?article=3359&amp;context=tractormuseumlit","Click for test report")</f>
        <v>Click for test report</v>
      </c>
      <c r="C3158">
        <v>2008</v>
      </c>
      <c r="D3158" t="s">
        <v>2115</v>
      </c>
      <c r="E3158" t="s">
        <v>2116</v>
      </c>
      <c r="F3158" t="s">
        <v>17</v>
      </c>
      <c r="G3158" t="s">
        <v>17</v>
      </c>
      <c r="H3158" t="s">
        <v>2117</v>
      </c>
      <c r="I3158" t="s">
        <v>28</v>
      </c>
      <c r="J3158" t="s">
        <v>29</v>
      </c>
      <c r="K3158" t="s">
        <v>21</v>
      </c>
      <c r="L3158" t="s">
        <v>2118</v>
      </c>
      <c r="N3158" t="s">
        <v>429</v>
      </c>
      <c r="O3158" t="s">
        <v>24</v>
      </c>
    </row>
    <row r="3159" spans="1:15" x14ac:dyDescent="0.25">
      <c r="A3159">
        <v>3158</v>
      </c>
      <c r="B3159" t="str">
        <f>HYPERLINK("https://digitalcommons.unl.edu/cgi/viewcontent.cgi?article=3360&amp;context=tractormuseumlit","Click for test report")</f>
        <v>Click for test report</v>
      </c>
      <c r="C3159">
        <v>2008</v>
      </c>
      <c r="D3159" t="s">
        <v>2110</v>
      </c>
      <c r="E3159" t="s">
        <v>2111</v>
      </c>
      <c r="F3159" t="s">
        <v>17</v>
      </c>
      <c r="G3159" t="s">
        <v>17</v>
      </c>
      <c r="H3159" t="s">
        <v>2112</v>
      </c>
      <c r="I3159" t="s">
        <v>28</v>
      </c>
      <c r="J3159" t="s">
        <v>29</v>
      </c>
      <c r="K3159" t="s">
        <v>21</v>
      </c>
      <c r="L3159" t="s">
        <v>2113</v>
      </c>
      <c r="N3159" t="s">
        <v>2114</v>
      </c>
      <c r="O3159" t="s">
        <v>32</v>
      </c>
    </row>
    <row r="3160" spans="1:15" x14ac:dyDescent="0.25">
      <c r="A3160">
        <v>3159</v>
      </c>
      <c r="B3160" t="str">
        <f>HYPERLINK("https://digitalcommons.unl.edu/cgi/viewcontent.cgi?article=3361&amp;context=tractormuseumlit","Click for test report")</f>
        <v>Click for test report</v>
      </c>
      <c r="C3160">
        <v>2008</v>
      </c>
      <c r="D3160" t="s">
        <v>2107</v>
      </c>
      <c r="E3160" t="s">
        <v>2108</v>
      </c>
      <c r="F3160" t="s">
        <v>17</v>
      </c>
      <c r="G3160" t="s">
        <v>17</v>
      </c>
      <c r="H3160" t="s">
        <v>2109</v>
      </c>
      <c r="I3160" t="s">
        <v>28</v>
      </c>
      <c r="J3160" t="s">
        <v>96</v>
      </c>
      <c r="K3160" t="s">
        <v>21</v>
      </c>
      <c r="L3160" t="s">
        <v>81</v>
      </c>
      <c r="N3160" t="s">
        <v>1419</v>
      </c>
      <c r="O3160" t="s">
        <v>32</v>
      </c>
    </row>
    <row r="3161" spans="1:15" x14ac:dyDescent="0.25">
      <c r="A3161">
        <v>3160</v>
      </c>
      <c r="B3161" t="str">
        <f>HYPERLINK("https://digitalcommons.unl.edu/cgi/viewcontent.cgi?article=3362&amp;context=tractormuseumlit","Click for test report")</f>
        <v>Click for test report</v>
      </c>
      <c r="C3161">
        <v>2008</v>
      </c>
      <c r="D3161" t="s">
        <v>2105</v>
      </c>
      <c r="F3161" t="s">
        <v>62</v>
      </c>
      <c r="G3161" t="s">
        <v>62</v>
      </c>
      <c r="H3161" t="s">
        <v>2106</v>
      </c>
      <c r="I3161" t="s">
        <v>50</v>
      </c>
      <c r="J3161" t="s">
        <v>20</v>
      </c>
      <c r="K3161" t="s">
        <v>21</v>
      </c>
      <c r="L3161" t="s">
        <v>51</v>
      </c>
      <c r="O3161" t="s">
        <v>24</v>
      </c>
    </row>
    <row r="3162" spans="1:15" x14ac:dyDescent="0.25">
      <c r="A3162">
        <v>3161</v>
      </c>
      <c r="B3162" t="str">
        <f>HYPERLINK("https://digitalcommons.unl.edu/cgi/viewcontent.cgi?article=3363&amp;context=tractormuseumlit","Click for test report")</f>
        <v>Click for test report</v>
      </c>
      <c r="C3162">
        <v>2008</v>
      </c>
      <c r="D3162" t="s">
        <v>2101</v>
      </c>
      <c r="E3162" t="s">
        <v>2102</v>
      </c>
      <c r="F3162" t="s">
        <v>1282</v>
      </c>
      <c r="G3162" t="s">
        <v>191</v>
      </c>
      <c r="H3162" t="s">
        <v>2103</v>
      </c>
      <c r="I3162" t="s">
        <v>28</v>
      </c>
      <c r="J3162" t="s">
        <v>20</v>
      </c>
      <c r="K3162" t="s">
        <v>21</v>
      </c>
      <c r="L3162" t="s">
        <v>1240</v>
      </c>
      <c r="N3162" t="s">
        <v>939</v>
      </c>
      <c r="O3162" t="s">
        <v>2104</v>
      </c>
    </row>
    <row r="3163" spans="1:15" x14ac:dyDescent="0.25">
      <c r="A3163">
        <v>3162</v>
      </c>
      <c r="B3163" t="str">
        <f>HYPERLINK("https://digitalcommons.unl.edu/cgi/viewcontent.cgi?article=3364&amp;context=tractormuseumlit","Click for test report")</f>
        <v>Click for test report</v>
      </c>
      <c r="C3163">
        <v>2008</v>
      </c>
      <c r="D3163" t="s">
        <v>2097</v>
      </c>
      <c r="E3163" t="s">
        <v>2098</v>
      </c>
      <c r="F3163" t="s">
        <v>1282</v>
      </c>
      <c r="G3163" t="s">
        <v>191</v>
      </c>
      <c r="H3163" t="s">
        <v>2099</v>
      </c>
      <c r="I3163" t="s">
        <v>28</v>
      </c>
      <c r="J3163" t="s">
        <v>20</v>
      </c>
      <c r="K3163" t="s">
        <v>21</v>
      </c>
      <c r="L3163" t="s">
        <v>167</v>
      </c>
      <c r="N3163" t="s">
        <v>1449</v>
      </c>
      <c r="O3163" t="s">
        <v>2100</v>
      </c>
    </row>
    <row r="3164" spans="1:15" x14ac:dyDescent="0.25">
      <c r="A3164">
        <v>3163</v>
      </c>
      <c r="B3164" t="str">
        <f>HYPERLINK("https://digitalcommons.unl.edu/cgi/viewcontent.cgi?article=3365&amp;context=tractormuseumlit","Click for test report")</f>
        <v>Click for test report</v>
      </c>
      <c r="C3164">
        <v>2008</v>
      </c>
      <c r="D3164" t="s">
        <v>2093</v>
      </c>
      <c r="E3164" t="s">
        <v>2094</v>
      </c>
      <c r="F3164" t="s">
        <v>1282</v>
      </c>
      <c r="G3164" t="s">
        <v>191</v>
      </c>
      <c r="H3164" t="s">
        <v>2095</v>
      </c>
      <c r="I3164" t="s">
        <v>28</v>
      </c>
      <c r="J3164" t="s">
        <v>29</v>
      </c>
      <c r="K3164" t="s">
        <v>21</v>
      </c>
      <c r="L3164" t="s">
        <v>98</v>
      </c>
      <c r="N3164" t="s">
        <v>2096</v>
      </c>
      <c r="O3164" t="s">
        <v>24</v>
      </c>
    </row>
    <row r="3165" spans="1:15" x14ac:dyDescent="0.25">
      <c r="A3165">
        <v>3164</v>
      </c>
      <c r="B3165" t="str">
        <f>HYPERLINK("https://digitalcommons.unl.edu/cgi/viewcontent.cgi?article=4307&amp;context=tractormuseumlit","Click for test report")</f>
        <v>Click for test report</v>
      </c>
      <c r="C3165">
        <v>2008</v>
      </c>
      <c r="D3165" t="s">
        <v>2088</v>
      </c>
      <c r="F3165" t="s">
        <v>1282</v>
      </c>
      <c r="G3165" t="s">
        <v>191</v>
      </c>
      <c r="H3165" t="s">
        <v>2092</v>
      </c>
      <c r="I3165" t="s">
        <v>50</v>
      </c>
      <c r="J3165" t="s">
        <v>20</v>
      </c>
      <c r="K3165" t="s">
        <v>21</v>
      </c>
      <c r="L3165" t="s">
        <v>2090</v>
      </c>
      <c r="O3165" t="s">
        <v>2091</v>
      </c>
    </row>
    <row r="3166" spans="1:15" x14ac:dyDescent="0.25">
      <c r="A3166">
        <v>3165</v>
      </c>
      <c r="B3166" t="str">
        <f>HYPERLINK("https://digitalcommons.unl.edu/cgi/viewcontent.cgi?article=4307&amp;context=tractormuseumlit","Click for test report")</f>
        <v>Click for test report</v>
      </c>
      <c r="C3166">
        <v>2008</v>
      </c>
      <c r="D3166" t="s">
        <v>2088</v>
      </c>
      <c r="F3166" t="s">
        <v>1282</v>
      </c>
      <c r="G3166" t="s">
        <v>191</v>
      </c>
      <c r="H3166" t="s">
        <v>2089</v>
      </c>
      <c r="I3166" t="s">
        <v>50</v>
      </c>
      <c r="J3166" t="s">
        <v>20</v>
      </c>
      <c r="K3166" t="s">
        <v>21</v>
      </c>
      <c r="L3166" t="s">
        <v>2090</v>
      </c>
      <c r="O3166" t="s">
        <v>2091</v>
      </c>
    </row>
    <row r="3167" spans="1:15" x14ac:dyDescent="0.25">
      <c r="A3167">
        <v>3166</v>
      </c>
      <c r="B3167" t="str">
        <f>HYPERLINK("https://digitalcommons.unl.edu/cgi/viewcontent.cgi?article=4308&amp;context=tractormuseumlit","Click for test report")</f>
        <v>Click for test report</v>
      </c>
      <c r="C3167">
        <v>2008</v>
      </c>
      <c r="D3167" t="s">
        <v>2083</v>
      </c>
      <c r="F3167" t="s">
        <v>1282</v>
      </c>
      <c r="G3167" t="s">
        <v>191</v>
      </c>
      <c r="H3167" t="s">
        <v>2086</v>
      </c>
      <c r="I3167" t="s">
        <v>50</v>
      </c>
      <c r="J3167" t="s">
        <v>20</v>
      </c>
      <c r="K3167" t="s">
        <v>21</v>
      </c>
      <c r="L3167" t="s">
        <v>750</v>
      </c>
      <c r="O3167" t="s">
        <v>2087</v>
      </c>
    </row>
    <row r="3168" spans="1:15" x14ac:dyDescent="0.25">
      <c r="A3168">
        <v>3167</v>
      </c>
      <c r="B3168" t="str">
        <f>HYPERLINK("https://digitalcommons.unl.edu/cgi/viewcontent.cgi?article=4308&amp;context=tractormuseumlit","Click for test report")</f>
        <v>Click for test report</v>
      </c>
      <c r="C3168">
        <v>2008</v>
      </c>
      <c r="D3168" t="s">
        <v>2083</v>
      </c>
      <c r="F3168" t="s">
        <v>1282</v>
      </c>
      <c r="G3168" t="s">
        <v>191</v>
      </c>
      <c r="H3168" t="s">
        <v>2084</v>
      </c>
      <c r="I3168" t="s">
        <v>50</v>
      </c>
      <c r="J3168" t="s">
        <v>20</v>
      </c>
      <c r="K3168" t="s">
        <v>21</v>
      </c>
      <c r="L3168" t="s">
        <v>750</v>
      </c>
      <c r="O3168" t="s">
        <v>2085</v>
      </c>
    </row>
    <row r="3169" spans="1:15" x14ac:dyDescent="0.25">
      <c r="A3169">
        <v>3168</v>
      </c>
      <c r="B3169" t="str">
        <f>HYPERLINK("https://digitalcommons.unl.edu/cgi/viewcontent.cgi?article=4080&amp;context=tractormuseumlit","Click for test report")</f>
        <v>Click for test report</v>
      </c>
      <c r="C3169">
        <v>2009</v>
      </c>
      <c r="E3169" t="s">
        <v>2081</v>
      </c>
      <c r="F3169" t="s">
        <v>1136</v>
      </c>
      <c r="G3169" t="s">
        <v>111</v>
      </c>
      <c r="H3169" t="s">
        <v>2082</v>
      </c>
      <c r="I3169" t="s">
        <v>19</v>
      </c>
      <c r="J3169" t="s">
        <v>20</v>
      </c>
      <c r="K3169" t="s">
        <v>21</v>
      </c>
      <c r="L3169" t="s">
        <v>52</v>
      </c>
      <c r="N3169" t="s">
        <v>1867</v>
      </c>
      <c r="O3169" t="s">
        <v>24</v>
      </c>
    </row>
    <row r="3170" spans="1:15" x14ac:dyDescent="0.25">
      <c r="A3170">
        <v>3169</v>
      </c>
      <c r="B3170" t="str">
        <f>HYPERLINK("https://digitalcommons.unl.edu/cgi/viewcontent.cgi?article=4083&amp;context=tractormuseumlit","Click for test report")</f>
        <v>Click for test report</v>
      </c>
      <c r="C3170">
        <v>2009</v>
      </c>
      <c r="E3170" t="s">
        <v>2078</v>
      </c>
      <c r="F3170" t="s">
        <v>1136</v>
      </c>
      <c r="G3170" t="s">
        <v>111</v>
      </c>
      <c r="H3170" t="s">
        <v>2079</v>
      </c>
      <c r="I3170" t="s">
        <v>1808</v>
      </c>
      <c r="J3170" t="s">
        <v>20</v>
      </c>
      <c r="K3170" t="s">
        <v>21</v>
      </c>
      <c r="L3170" t="s">
        <v>1821</v>
      </c>
      <c r="N3170" t="s">
        <v>858</v>
      </c>
      <c r="O3170" t="s">
        <v>2080</v>
      </c>
    </row>
    <row r="3171" spans="1:15" x14ac:dyDescent="0.25">
      <c r="A3171">
        <v>3170</v>
      </c>
      <c r="B3171" t="str">
        <f>HYPERLINK("https://digitalcommons.unl.edu/cgi/viewcontent.cgi?article=4085&amp;context=tractormuseumlit","Click for test report")</f>
        <v>Click for test report</v>
      </c>
      <c r="C3171">
        <v>2009</v>
      </c>
      <c r="E3171" t="s">
        <v>2076</v>
      </c>
      <c r="F3171" t="s">
        <v>2062</v>
      </c>
      <c r="G3171" t="s">
        <v>778</v>
      </c>
      <c r="H3171" t="s">
        <v>1903</v>
      </c>
      <c r="I3171" t="s">
        <v>1808</v>
      </c>
      <c r="J3171" t="s">
        <v>20</v>
      </c>
      <c r="K3171" t="s">
        <v>21</v>
      </c>
      <c r="L3171" t="s">
        <v>359</v>
      </c>
      <c r="N3171" t="s">
        <v>1371</v>
      </c>
      <c r="O3171" t="s">
        <v>2077</v>
      </c>
    </row>
    <row r="3172" spans="1:15" x14ac:dyDescent="0.25">
      <c r="A3172">
        <v>3171</v>
      </c>
      <c r="B3172" t="str">
        <f>HYPERLINK("https://digitalcommons.unl.edu/cgi/viewcontent.cgi?article=4086&amp;context=tractormuseumlit","Click for test report")</f>
        <v>Click for test report</v>
      </c>
      <c r="C3172">
        <v>2009</v>
      </c>
      <c r="E3172" t="s">
        <v>2074</v>
      </c>
      <c r="F3172" t="s">
        <v>2062</v>
      </c>
      <c r="G3172" t="s">
        <v>778</v>
      </c>
      <c r="H3172" t="s">
        <v>1901</v>
      </c>
      <c r="I3172" t="s">
        <v>1808</v>
      </c>
      <c r="J3172" t="s">
        <v>20</v>
      </c>
      <c r="K3172" t="s">
        <v>21</v>
      </c>
      <c r="L3172" t="s">
        <v>774</v>
      </c>
      <c r="N3172" t="s">
        <v>339</v>
      </c>
      <c r="O3172" t="s">
        <v>2075</v>
      </c>
    </row>
    <row r="3173" spans="1:15" x14ac:dyDescent="0.25">
      <c r="A3173">
        <v>3172</v>
      </c>
      <c r="B3173" t="str">
        <f>HYPERLINK("https://digitalcommons.unl.edu/cgi/viewcontent.cgi?article=4087&amp;context=tractormuseumlit","Click for test report")</f>
        <v>Click for test report</v>
      </c>
      <c r="C3173">
        <v>2009</v>
      </c>
      <c r="E3173" t="s">
        <v>2071</v>
      </c>
      <c r="F3173" t="s">
        <v>2062</v>
      </c>
      <c r="G3173" t="s">
        <v>778</v>
      </c>
      <c r="H3173" t="s">
        <v>2072</v>
      </c>
      <c r="I3173" t="s">
        <v>1808</v>
      </c>
      <c r="J3173" t="s">
        <v>20</v>
      </c>
      <c r="K3173" t="s">
        <v>21</v>
      </c>
      <c r="L3173" t="s">
        <v>1821</v>
      </c>
      <c r="N3173" t="s">
        <v>858</v>
      </c>
      <c r="O3173" t="s">
        <v>2073</v>
      </c>
    </row>
    <row r="3174" spans="1:15" x14ac:dyDescent="0.25">
      <c r="A3174">
        <v>3173</v>
      </c>
      <c r="B3174" t="str">
        <f>HYPERLINK("https://digitalcommons.unl.edu/cgi/viewcontent.cgi?article=4089&amp;context=tractormuseumlit","Click for test report")</f>
        <v>Click for test report</v>
      </c>
      <c r="C3174">
        <v>2009</v>
      </c>
      <c r="E3174" t="s">
        <v>2068</v>
      </c>
      <c r="F3174" t="s">
        <v>1136</v>
      </c>
      <c r="G3174" t="s">
        <v>414</v>
      </c>
      <c r="H3174" t="s">
        <v>2069</v>
      </c>
      <c r="I3174" t="s">
        <v>1808</v>
      </c>
      <c r="J3174" t="s">
        <v>20</v>
      </c>
      <c r="K3174" t="s">
        <v>21</v>
      </c>
      <c r="L3174" t="s">
        <v>359</v>
      </c>
      <c r="N3174" t="s">
        <v>1371</v>
      </c>
      <c r="O3174" t="s">
        <v>2070</v>
      </c>
    </row>
    <row r="3175" spans="1:15" x14ac:dyDescent="0.25">
      <c r="A3175">
        <v>3174</v>
      </c>
      <c r="B3175" t="str">
        <f>HYPERLINK("https://digitalcommons.unl.edu/cgi/viewcontent.cgi?article=4090&amp;context=tractormuseumlit","Click for test report")</f>
        <v>Click for test report</v>
      </c>
      <c r="C3175">
        <v>2009</v>
      </c>
      <c r="E3175" t="s">
        <v>2065</v>
      </c>
      <c r="F3175" t="s">
        <v>1136</v>
      </c>
      <c r="G3175" t="s">
        <v>414</v>
      </c>
      <c r="H3175" t="s">
        <v>2066</v>
      </c>
      <c r="I3175" t="s">
        <v>1808</v>
      </c>
      <c r="J3175" t="s">
        <v>20</v>
      </c>
      <c r="K3175" t="s">
        <v>21</v>
      </c>
      <c r="L3175" t="s">
        <v>774</v>
      </c>
      <c r="N3175" t="s">
        <v>339</v>
      </c>
      <c r="O3175" t="s">
        <v>2067</v>
      </c>
    </row>
    <row r="3176" spans="1:15" x14ac:dyDescent="0.25">
      <c r="A3176">
        <v>3175</v>
      </c>
      <c r="B3176" t="str">
        <f>HYPERLINK("https://digitalcommons.unl.edu/cgi/viewcontent.cgi?article=4091&amp;context=tractormuseumlit","Click for test report")</f>
        <v>Click for test report</v>
      </c>
      <c r="C3176">
        <v>2009</v>
      </c>
      <c r="E3176" t="s">
        <v>2061</v>
      </c>
      <c r="F3176" t="s">
        <v>2062</v>
      </c>
      <c r="G3176" t="s">
        <v>778</v>
      </c>
      <c r="H3176" t="s">
        <v>2063</v>
      </c>
      <c r="I3176" t="s">
        <v>19</v>
      </c>
      <c r="J3176" t="s">
        <v>20</v>
      </c>
      <c r="K3176" t="s">
        <v>21</v>
      </c>
      <c r="L3176" t="s">
        <v>740</v>
      </c>
      <c r="N3176" t="s">
        <v>349</v>
      </c>
      <c r="O3176" t="s">
        <v>2064</v>
      </c>
    </row>
    <row r="3177" spans="1:15" x14ac:dyDescent="0.25">
      <c r="A3177">
        <v>3176</v>
      </c>
      <c r="B3177" t="str">
        <f>HYPERLINK("https://digitalcommons.unl.edu/cgi/viewcontent.cgi?article=4324&amp;context=tractormuseumlit","Click for test report")</f>
        <v>Click for test report</v>
      </c>
      <c r="C3177">
        <v>2009</v>
      </c>
      <c r="E3177" t="s">
        <v>2058</v>
      </c>
      <c r="F3177" t="s">
        <v>1136</v>
      </c>
      <c r="G3177" t="s">
        <v>778</v>
      </c>
      <c r="H3177" t="s">
        <v>2059</v>
      </c>
      <c r="I3177" t="s">
        <v>19</v>
      </c>
      <c r="J3177" t="s">
        <v>20</v>
      </c>
      <c r="K3177" t="s">
        <v>21</v>
      </c>
      <c r="L3177" t="s">
        <v>1371</v>
      </c>
      <c r="N3177" t="s">
        <v>404</v>
      </c>
      <c r="O3177" t="s">
        <v>2060</v>
      </c>
    </row>
    <row r="3178" spans="1:15" x14ac:dyDescent="0.25">
      <c r="A3178">
        <v>3177</v>
      </c>
      <c r="B3178" t="str">
        <f>HYPERLINK("https://digitalcommons.unl.edu/cgi/viewcontent.cgi?article=4322&amp;context=tractormuseumlit","Click for test report")</f>
        <v>Click for test report</v>
      </c>
      <c r="C3178">
        <v>2009</v>
      </c>
      <c r="E3178" t="s">
        <v>2055</v>
      </c>
      <c r="F3178" t="s">
        <v>1136</v>
      </c>
      <c r="G3178" t="s">
        <v>778</v>
      </c>
      <c r="H3178" t="s">
        <v>2056</v>
      </c>
      <c r="I3178" t="s">
        <v>19</v>
      </c>
      <c r="J3178" t="s">
        <v>20</v>
      </c>
      <c r="K3178" t="s">
        <v>21</v>
      </c>
      <c r="L3178" t="s">
        <v>454</v>
      </c>
      <c r="N3178" t="s">
        <v>1257</v>
      </c>
      <c r="O3178" t="s">
        <v>2057</v>
      </c>
    </row>
    <row r="3179" spans="1:15" x14ac:dyDescent="0.25">
      <c r="A3179">
        <v>3178</v>
      </c>
      <c r="B3179" t="str">
        <f>HYPERLINK("https://digitalcommons.unl.edu/cgi/viewcontent.cgi?article=4320&amp;context=tractormuseumlit","Click for test report")</f>
        <v>Click for test report</v>
      </c>
      <c r="C3179">
        <v>2009</v>
      </c>
      <c r="E3179" t="s">
        <v>2052</v>
      </c>
      <c r="F3179" t="s">
        <v>1136</v>
      </c>
      <c r="G3179" t="s">
        <v>778</v>
      </c>
      <c r="H3179" t="s">
        <v>2053</v>
      </c>
      <c r="I3179" t="s">
        <v>19</v>
      </c>
      <c r="J3179" t="s">
        <v>20</v>
      </c>
      <c r="K3179" t="s">
        <v>21</v>
      </c>
      <c r="L3179" t="s">
        <v>127</v>
      </c>
      <c r="N3179" t="s">
        <v>344</v>
      </c>
      <c r="O3179" t="s">
        <v>2054</v>
      </c>
    </row>
    <row r="3180" spans="1:15" x14ac:dyDescent="0.25">
      <c r="A3180">
        <v>3179</v>
      </c>
      <c r="B3180" t="str">
        <f>HYPERLINK("https://digitalcommons.unl.edu/cgi/viewcontent.cgi?article=4318&amp;context=tractormuseumlit","Click for test report")</f>
        <v>Click for test report</v>
      </c>
      <c r="C3180">
        <v>2009</v>
      </c>
      <c r="E3180" t="s">
        <v>2050</v>
      </c>
      <c r="F3180" t="s">
        <v>1136</v>
      </c>
      <c r="G3180" t="s">
        <v>778</v>
      </c>
      <c r="H3180" t="s">
        <v>1845</v>
      </c>
      <c r="I3180" t="s">
        <v>19</v>
      </c>
      <c r="J3180" t="s">
        <v>20</v>
      </c>
      <c r="K3180" t="s">
        <v>21</v>
      </c>
      <c r="L3180" t="s">
        <v>368</v>
      </c>
      <c r="N3180" t="s">
        <v>1796</v>
      </c>
      <c r="O3180" t="s">
        <v>2051</v>
      </c>
    </row>
    <row r="3181" spans="1:15" x14ac:dyDescent="0.25">
      <c r="A3181">
        <v>3180</v>
      </c>
      <c r="B3181" t="str">
        <f>HYPERLINK("https://digitalcommons.unl.edu/cgi/viewcontent.cgi?article=4316&amp;context=tractormuseumlit","Click for test report")</f>
        <v>Click for test report</v>
      </c>
      <c r="C3181">
        <v>2009</v>
      </c>
      <c r="E3181" t="s">
        <v>2047</v>
      </c>
      <c r="F3181" t="s">
        <v>1136</v>
      </c>
      <c r="G3181" t="s">
        <v>778</v>
      </c>
      <c r="H3181" t="s">
        <v>2048</v>
      </c>
      <c r="I3181" t="s">
        <v>19</v>
      </c>
      <c r="J3181" t="s">
        <v>20</v>
      </c>
      <c r="K3181" t="s">
        <v>21</v>
      </c>
      <c r="L3181" t="s">
        <v>22</v>
      </c>
      <c r="N3181" t="s">
        <v>574</v>
      </c>
      <c r="O3181" t="s">
        <v>2049</v>
      </c>
    </row>
    <row r="3182" spans="1:15" x14ac:dyDescent="0.25">
      <c r="A3182">
        <v>3181</v>
      </c>
      <c r="B3182" t="str">
        <f>HYPERLINK("https://digitalcommons.unl.edu/cgi/viewcontent.cgi?article=4323&amp;context=tractormuseumlit","Click for test report")</f>
        <v>Click for test report</v>
      </c>
      <c r="C3182">
        <v>2009</v>
      </c>
      <c r="E3182" t="s">
        <v>2046</v>
      </c>
      <c r="F3182" t="s">
        <v>1136</v>
      </c>
      <c r="G3182" t="s">
        <v>778</v>
      </c>
      <c r="H3182" t="s">
        <v>1842</v>
      </c>
      <c r="I3182" t="s">
        <v>19</v>
      </c>
      <c r="J3182" t="s">
        <v>20</v>
      </c>
      <c r="K3182" t="s">
        <v>21</v>
      </c>
      <c r="L3182" t="s">
        <v>333</v>
      </c>
      <c r="N3182" t="s">
        <v>51</v>
      </c>
      <c r="O3182" t="s">
        <v>24</v>
      </c>
    </row>
    <row r="3183" spans="1:15" x14ac:dyDescent="0.25">
      <c r="A3183">
        <v>3182</v>
      </c>
      <c r="B3183" t="str">
        <f>HYPERLINK("https://digitalcommons.unl.edu/cgi/viewcontent.cgi?article=4321&amp;context=tractormuseumlit","Click for test report")</f>
        <v>Click for test report</v>
      </c>
      <c r="C3183">
        <v>2009</v>
      </c>
      <c r="E3183" t="s">
        <v>2043</v>
      </c>
      <c r="F3183" t="s">
        <v>1136</v>
      </c>
      <c r="G3183" t="s">
        <v>414</v>
      </c>
      <c r="H3183" t="s">
        <v>2044</v>
      </c>
      <c r="I3183" t="s">
        <v>19</v>
      </c>
      <c r="J3183" t="s">
        <v>20</v>
      </c>
      <c r="K3183" t="s">
        <v>21</v>
      </c>
      <c r="L3183" t="s">
        <v>740</v>
      </c>
      <c r="N3183" t="s">
        <v>349</v>
      </c>
      <c r="O3183" t="s">
        <v>2045</v>
      </c>
    </row>
    <row r="3184" spans="1:15" x14ac:dyDescent="0.25">
      <c r="A3184">
        <v>3183</v>
      </c>
      <c r="B3184" t="str">
        <f>HYPERLINK("https://digitalcommons.unl.edu/cgi/viewcontent.cgi?article=4319&amp;context=tractormuseumlit","Click for test report")</f>
        <v>Click for test report</v>
      </c>
      <c r="C3184">
        <v>2009</v>
      </c>
      <c r="E3184" t="s">
        <v>2040</v>
      </c>
      <c r="F3184" t="s">
        <v>1136</v>
      </c>
      <c r="G3184" t="s">
        <v>414</v>
      </c>
      <c r="H3184" t="s">
        <v>2041</v>
      </c>
      <c r="I3184" t="s">
        <v>19</v>
      </c>
      <c r="J3184" t="s">
        <v>20</v>
      </c>
      <c r="K3184" t="s">
        <v>21</v>
      </c>
      <c r="L3184" t="s">
        <v>1371</v>
      </c>
      <c r="N3184" t="s">
        <v>404</v>
      </c>
      <c r="O3184" t="s">
        <v>2042</v>
      </c>
    </row>
    <row r="3185" spans="1:15" x14ac:dyDescent="0.25">
      <c r="A3185">
        <v>3184</v>
      </c>
      <c r="B3185" t="str">
        <f>HYPERLINK("https://digitalcommons.unl.edu/cgi/viewcontent.cgi?article=4317&amp;context=tractormuseumlit","Click for test report")</f>
        <v>Click for test report</v>
      </c>
      <c r="C3185">
        <v>2009</v>
      </c>
      <c r="E3185" t="s">
        <v>2037</v>
      </c>
      <c r="F3185" t="s">
        <v>1136</v>
      </c>
      <c r="G3185" t="s">
        <v>414</v>
      </c>
      <c r="H3185" t="s">
        <v>2038</v>
      </c>
      <c r="I3185" t="s">
        <v>19</v>
      </c>
      <c r="J3185" t="s">
        <v>20</v>
      </c>
      <c r="K3185" t="s">
        <v>21</v>
      </c>
      <c r="L3185" t="s">
        <v>454</v>
      </c>
      <c r="N3185" t="s">
        <v>1257</v>
      </c>
      <c r="O3185" t="s">
        <v>2039</v>
      </c>
    </row>
    <row r="3186" spans="1:15" x14ac:dyDescent="0.25">
      <c r="A3186">
        <v>3185</v>
      </c>
      <c r="B3186" t="str">
        <f>HYPERLINK("https://digitalcommons.unl.edu/cgi/viewcontent.cgi?article=4315&amp;context=tractormuseumlit","Click for test report")</f>
        <v>Click for test report</v>
      </c>
      <c r="C3186">
        <v>2009</v>
      </c>
      <c r="E3186" t="s">
        <v>2034</v>
      </c>
      <c r="F3186" t="s">
        <v>1136</v>
      </c>
      <c r="G3186" t="s">
        <v>414</v>
      </c>
      <c r="H3186" t="s">
        <v>2035</v>
      </c>
      <c r="I3186" t="s">
        <v>19</v>
      </c>
      <c r="J3186" t="s">
        <v>20</v>
      </c>
      <c r="K3186" t="s">
        <v>21</v>
      </c>
      <c r="L3186" t="s">
        <v>127</v>
      </c>
      <c r="N3186" t="s">
        <v>344</v>
      </c>
      <c r="O3186" t="s">
        <v>2036</v>
      </c>
    </row>
    <row r="3187" spans="1:15" x14ac:dyDescent="0.25">
      <c r="A3187">
        <v>3186</v>
      </c>
      <c r="B3187" t="str">
        <f>HYPERLINK("https://digitalcommons.unl.edu/cgi/viewcontent.cgi?article=4102&amp;context=tractormuseumlit","Click for test report")</f>
        <v>Click for test report</v>
      </c>
      <c r="C3187">
        <v>2009</v>
      </c>
      <c r="E3187" t="s">
        <v>2031</v>
      </c>
      <c r="F3187" t="s">
        <v>1136</v>
      </c>
      <c r="G3187" t="s">
        <v>414</v>
      </c>
      <c r="H3187" t="s">
        <v>2032</v>
      </c>
      <c r="I3187" t="s">
        <v>19</v>
      </c>
      <c r="J3187" t="s">
        <v>20</v>
      </c>
      <c r="K3187" t="s">
        <v>21</v>
      </c>
      <c r="L3187" t="s">
        <v>368</v>
      </c>
      <c r="N3187" t="s">
        <v>1796</v>
      </c>
      <c r="O3187" t="s">
        <v>2033</v>
      </c>
    </row>
    <row r="3188" spans="1:15" x14ac:dyDescent="0.25">
      <c r="A3188">
        <v>3187</v>
      </c>
      <c r="B3188" t="str">
        <f>HYPERLINK("https://digitalcommons.unl.edu/cgi/viewcontent.cgi?article=4115&amp;context=tractormuseumlit","Click for test report")</f>
        <v>Click for test report</v>
      </c>
      <c r="C3188">
        <v>2009</v>
      </c>
      <c r="E3188" t="s">
        <v>2027</v>
      </c>
      <c r="F3188" t="s">
        <v>1246</v>
      </c>
      <c r="G3188" t="s">
        <v>191</v>
      </c>
      <c r="H3188" t="s">
        <v>2028</v>
      </c>
      <c r="I3188" t="s">
        <v>50</v>
      </c>
      <c r="J3188" t="s">
        <v>348</v>
      </c>
      <c r="K3188" t="s">
        <v>21</v>
      </c>
      <c r="L3188" t="s">
        <v>2030</v>
      </c>
      <c r="N3188" t="s">
        <v>725</v>
      </c>
      <c r="O3188" t="s">
        <v>24</v>
      </c>
    </row>
    <row r="3189" spans="1:15" x14ac:dyDescent="0.25">
      <c r="A3189">
        <v>3188</v>
      </c>
      <c r="B3189" t="str">
        <f>HYPERLINK("https://digitalcommons.unl.edu/cgi/viewcontent.cgi?article=4115&amp;context=tractormuseumlit","Click for test report")</f>
        <v>Click for test report</v>
      </c>
      <c r="C3189">
        <v>2009</v>
      </c>
      <c r="E3189" t="s">
        <v>2027</v>
      </c>
      <c r="F3189" t="s">
        <v>1246</v>
      </c>
      <c r="G3189" t="s">
        <v>191</v>
      </c>
      <c r="H3189" t="s">
        <v>2028</v>
      </c>
      <c r="I3189" t="s">
        <v>50</v>
      </c>
      <c r="J3189" t="s">
        <v>20</v>
      </c>
      <c r="K3189" t="s">
        <v>21</v>
      </c>
      <c r="L3189" t="s">
        <v>764</v>
      </c>
      <c r="N3189" t="s">
        <v>2029</v>
      </c>
      <c r="O3189" t="s">
        <v>24</v>
      </c>
    </row>
    <row r="3190" spans="1:15" x14ac:dyDescent="0.25">
      <c r="A3190">
        <v>3189</v>
      </c>
      <c r="B3190" t="str">
        <f>HYPERLINK("https://digitalcommons.unl.edu/cgi/viewcontent.cgi?article=4122&amp;context=tractormuseumlit","Click for test report")</f>
        <v>Click for test report</v>
      </c>
      <c r="C3190">
        <v>2009</v>
      </c>
      <c r="E3190" t="s">
        <v>2025</v>
      </c>
      <c r="F3190" t="s">
        <v>1136</v>
      </c>
      <c r="G3190" t="s">
        <v>778</v>
      </c>
      <c r="H3190" t="s">
        <v>2026</v>
      </c>
      <c r="I3190" t="s">
        <v>64</v>
      </c>
      <c r="J3190" t="s">
        <v>20</v>
      </c>
      <c r="K3190" t="s">
        <v>21</v>
      </c>
      <c r="L3190" t="s">
        <v>1597</v>
      </c>
      <c r="N3190" t="s">
        <v>115</v>
      </c>
      <c r="O3190" t="s">
        <v>24</v>
      </c>
    </row>
    <row r="3191" spans="1:15" x14ac:dyDescent="0.25">
      <c r="A3191">
        <v>3190</v>
      </c>
      <c r="B3191" t="str">
        <f>HYPERLINK("https://digitalcommons.unl.edu/cgi/viewcontent.cgi?article=4123&amp;context=tractormuseumlit","Click for test report")</f>
        <v>Click for test report</v>
      </c>
      <c r="C3191">
        <v>2009</v>
      </c>
      <c r="E3191" t="s">
        <v>2023</v>
      </c>
      <c r="F3191" t="s">
        <v>1136</v>
      </c>
      <c r="G3191" t="s">
        <v>778</v>
      </c>
      <c r="H3191" t="s">
        <v>2024</v>
      </c>
      <c r="I3191" t="s">
        <v>64</v>
      </c>
      <c r="J3191" t="s">
        <v>20</v>
      </c>
      <c r="K3191" t="s">
        <v>21</v>
      </c>
      <c r="L3191" t="s">
        <v>1182</v>
      </c>
      <c r="N3191" t="s">
        <v>510</v>
      </c>
      <c r="O3191" t="s">
        <v>24</v>
      </c>
    </row>
    <row r="3192" spans="1:15" x14ac:dyDescent="0.25">
      <c r="A3192">
        <v>3191</v>
      </c>
      <c r="B3192" t="str">
        <f>HYPERLINK("https://digitalcommons.unl.edu/cgi/viewcontent.cgi?article=4124&amp;context=tractormuseumlit","Click for test report")</f>
        <v>Click for test report</v>
      </c>
      <c r="C3192">
        <v>2009</v>
      </c>
      <c r="E3192" t="s">
        <v>2021</v>
      </c>
      <c r="F3192" t="s">
        <v>1136</v>
      </c>
      <c r="G3192" t="s">
        <v>778</v>
      </c>
      <c r="H3192" t="s">
        <v>2022</v>
      </c>
      <c r="I3192" t="s">
        <v>64</v>
      </c>
      <c r="J3192" t="s">
        <v>20</v>
      </c>
      <c r="K3192" t="s">
        <v>21</v>
      </c>
      <c r="L3192" t="s">
        <v>2003</v>
      </c>
      <c r="N3192" t="s">
        <v>70</v>
      </c>
      <c r="O3192" t="s">
        <v>24</v>
      </c>
    </row>
    <row r="3193" spans="1:15" x14ac:dyDescent="0.25">
      <c r="A3193">
        <v>3192</v>
      </c>
      <c r="B3193" t="str">
        <f>HYPERLINK("https://digitalcommons.unl.edu/cgi/viewcontent.cgi?article=4130&amp;context=tractormuseumlit","Click for test report")</f>
        <v>Click for test report</v>
      </c>
      <c r="C3193">
        <v>2009</v>
      </c>
      <c r="E3193" t="s">
        <v>2019</v>
      </c>
      <c r="F3193" t="s">
        <v>1136</v>
      </c>
      <c r="G3193" t="s">
        <v>778</v>
      </c>
      <c r="H3193" t="s">
        <v>2020</v>
      </c>
      <c r="I3193" t="s">
        <v>64</v>
      </c>
      <c r="J3193" t="s">
        <v>20</v>
      </c>
      <c r="K3193" t="s">
        <v>21</v>
      </c>
      <c r="L3193" t="s">
        <v>986</v>
      </c>
      <c r="N3193" t="s">
        <v>1590</v>
      </c>
      <c r="O3193" t="s">
        <v>24</v>
      </c>
    </row>
    <row r="3194" spans="1:15" x14ac:dyDescent="0.25">
      <c r="A3194">
        <v>3193</v>
      </c>
      <c r="B3194" t="str">
        <f>HYPERLINK("https://digitalcommons.unl.edu/cgi/viewcontent.cgi?article=4131&amp;context=tractormuseumlit","Click for test report")</f>
        <v>Click for test report</v>
      </c>
      <c r="C3194">
        <v>2009</v>
      </c>
      <c r="E3194" t="s">
        <v>2017</v>
      </c>
      <c r="F3194" t="s">
        <v>1136</v>
      </c>
      <c r="G3194" t="s">
        <v>111</v>
      </c>
      <c r="H3194" t="s">
        <v>2018</v>
      </c>
      <c r="I3194" t="s">
        <v>64</v>
      </c>
      <c r="J3194" t="s">
        <v>20</v>
      </c>
      <c r="K3194" t="s">
        <v>21</v>
      </c>
      <c r="L3194" t="s">
        <v>1597</v>
      </c>
      <c r="N3194" t="s">
        <v>115</v>
      </c>
      <c r="O3194" t="s">
        <v>2010</v>
      </c>
    </row>
    <row r="3195" spans="1:15" x14ac:dyDescent="0.25">
      <c r="A3195">
        <v>3194</v>
      </c>
      <c r="B3195" t="str">
        <f>HYPERLINK("https://digitalcommons.unl.edu/cgi/viewcontent.cgi?article=4132&amp;context=tractormuseumlit","Click for test report")</f>
        <v>Click for test report</v>
      </c>
      <c r="C3195">
        <v>2009</v>
      </c>
      <c r="E3195" t="s">
        <v>2015</v>
      </c>
      <c r="F3195" t="s">
        <v>1136</v>
      </c>
      <c r="G3195" t="s">
        <v>111</v>
      </c>
      <c r="H3195" t="s">
        <v>2016</v>
      </c>
      <c r="I3195" t="s">
        <v>64</v>
      </c>
      <c r="J3195" t="s">
        <v>20</v>
      </c>
      <c r="K3195" t="s">
        <v>21</v>
      </c>
      <c r="L3195" t="s">
        <v>1182</v>
      </c>
      <c r="N3195" t="s">
        <v>510</v>
      </c>
      <c r="O3195" t="s">
        <v>2007</v>
      </c>
    </row>
    <row r="3196" spans="1:15" x14ac:dyDescent="0.25">
      <c r="A3196">
        <v>3195</v>
      </c>
      <c r="B3196" t="str">
        <f>HYPERLINK("https://digitalcommons.unl.edu/cgi/viewcontent.cgi?article=4133&amp;context=tractormuseumlit","Click for test report")</f>
        <v>Click for test report</v>
      </c>
      <c r="C3196">
        <v>2009</v>
      </c>
      <c r="E3196" t="s">
        <v>2013</v>
      </c>
      <c r="F3196" t="s">
        <v>1136</v>
      </c>
      <c r="G3196" t="s">
        <v>111</v>
      </c>
      <c r="H3196" t="s">
        <v>2014</v>
      </c>
      <c r="I3196" t="s">
        <v>64</v>
      </c>
      <c r="J3196" t="s">
        <v>20</v>
      </c>
      <c r="K3196" t="s">
        <v>21</v>
      </c>
      <c r="L3196" t="s">
        <v>2003</v>
      </c>
      <c r="N3196" t="s">
        <v>70</v>
      </c>
      <c r="O3196" t="s">
        <v>2004</v>
      </c>
    </row>
    <row r="3197" spans="1:15" x14ac:dyDescent="0.25">
      <c r="A3197">
        <v>3196</v>
      </c>
      <c r="B3197" t="str">
        <f>HYPERLINK("https://digitalcommons.unl.edu/cgi/viewcontent.cgi?article=4134&amp;context=tractormuseumlit","Click for test report")</f>
        <v>Click for test report</v>
      </c>
      <c r="C3197">
        <v>2009</v>
      </c>
      <c r="E3197" t="s">
        <v>2011</v>
      </c>
      <c r="F3197" t="s">
        <v>1136</v>
      </c>
      <c r="G3197" t="s">
        <v>111</v>
      </c>
      <c r="H3197" t="s">
        <v>2012</v>
      </c>
      <c r="I3197" t="s">
        <v>64</v>
      </c>
      <c r="J3197" t="s">
        <v>20</v>
      </c>
      <c r="K3197" t="s">
        <v>21</v>
      </c>
      <c r="L3197" t="s">
        <v>986</v>
      </c>
      <c r="N3197" t="s">
        <v>1590</v>
      </c>
      <c r="O3197" t="s">
        <v>2000</v>
      </c>
    </row>
    <row r="3198" spans="1:15" x14ac:dyDescent="0.25">
      <c r="A3198">
        <v>3197</v>
      </c>
      <c r="B3198" t="str">
        <f>HYPERLINK("https://digitalcommons.unl.edu/cgi/viewcontent.cgi?article=4135&amp;context=tractormuseumlit","Click for test report")</f>
        <v>Click for test report</v>
      </c>
      <c r="C3198">
        <v>2009</v>
      </c>
      <c r="E3198" t="s">
        <v>2008</v>
      </c>
      <c r="F3198" t="s">
        <v>1136</v>
      </c>
      <c r="G3198" t="s">
        <v>414</v>
      </c>
      <c r="H3198" t="s">
        <v>2009</v>
      </c>
      <c r="I3198" t="s">
        <v>64</v>
      </c>
      <c r="J3198" t="s">
        <v>20</v>
      </c>
      <c r="K3198" t="s">
        <v>21</v>
      </c>
      <c r="L3198" t="s">
        <v>1597</v>
      </c>
      <c r="N3198" t="s">
        <v>115</v>
      </c>
      <c r="O3198" t="s">
        <v>2010</v>
      </c>
    </row>
    <row r="3199" spans="1:15" x14ac:dyDescent="0.25">
      <c r="A3199">
        <v>3198</v>
      </c>
      <c r="B3199" t="str">
        <f>HYPERLINK("https://digitalcommons.unl.edu/cgi/viewcontent.cgi?article=4136&amp;context=tractormuseumlit","Click for test report")</f>
        <v>Click for test report</v>
      </c>
      <c r="C3199">
        <v>2009</v>
      </c>
      <c r="E3199" t="s">
        <v>2005</v>
      </c>
      <c r="F3199" t="s">
        <v>1136</v>
      </c>
      <c r="G3199" t="s">
        <v>414</v>
      </c>
      <c r="H3199" t="s">
        <v>2006</v>
      </c>
      <c r="I3199" t="s">
        <v>64</v>
      </c>
      <c r="J3199" t="s">
        <v>20</v>
      </c>
      <c r="K3199" t="s">
        <v>21</v>
      </c>
      <c r="L3199" t="s">
        <v>1182</v>
      </c>
      <c r="N3199" t="s">
        <v>510</v>
      </c>
      <c r="O3199" t="s">
        <v>2007</v>
      </c>
    </row>
    <row r="3200" spans="1:15" x14ac:dyDescent="0.25">
      <c r="A3200">
        <v>3199</v>
      </c>
      <c r="B3200" t="str">
        <f>HYPERLINK("https://digitalcommons.unl.edu/cgi/viewcontent.cgi?article=4137&amp;context=tractormuseumlit","Click for test report")</f>
        <v>Click for test report</v>
      </c>
      <c r="C3200">
        <v>2009</v>
      </c>
      <c r="E3200" t="s">
        <v>2001</v>
      </c>
      <c r="F3200" t="s">
        <v>1136</v>
      </c>
      <c r="G3200" t="s">
        <v>414</v>
      </c>
      <c r="H3200" t="s">
        <v>2002</v>
      </c>
      <c r="I3200" t="s">
        <v>64</v>
      </c>
      <c r="J3200" t="s">
        <v>20</v>
      </c>
      <c r="K3200" t="s">
        <v>21</v>
      </c>
      <c r="L3200" t="s">
        <v>2003</v>
      </c>
      <c r="N3200" t="s">
        <v>70</v>
      </c>
      <c r="O3200" t="s">
        <v>2004</v>
      </c>
    </row>
    <row r="3201" spans="1:15" x14ac:dyDescent="0.25">
      <c r="A3201">
        <v>3200</v>
      </c>
      <c r="B3201" t="str">
        <f>HYPERLINK("https://digitalcommons.unl.edu/cgi/viewcontent.cgi?article=4138&amp;context=tractormuseumlit","Click for test report")</f>
        <v>Click for test report</v>
      </c>
      <c r="C3201">
        <v>2009</v>
      </c>
      <c r="E3201" t="s">
        <v>1998</v>
      </c>
      <c r="F3201" t="s">
        <v>1136</v>
      </c>
      <c r="G3201" t="s">
        <v>414</v>
      </c>
      <c r="H3201" t="s">
        <v>1999</v>
      </c>
      <c r="I3201" t="s">
        <v>64</v>
      </c>
      <c r="J3201" t="s">
        <v>20</v>
      </c>
      <c r="K3201" t="s">
        <v>21</v>
      </c>
      <c r="L3201" t="s">
        <v>986</v>
      </c>
      <c r="N3201" t="s">
        <v>1590</v>
      </c>
      <c r="O3201" t="s">
        <v>2000</v>
      </c>
    </row>
    <row r="3202" spans="1:15" x14ac:dyDescent="0.25">
      <c r="A3202">
        <v>3201</v>
      </c>
      <c r="B3202" t="str">
        <f>HYPERLINK("https://digitalcommons.unl.edu/cgi/viewcontent.cgi?article=4139&amp;context=tractormuseumlit","Click for test report")</f>
        <v>Click for test report</v>
      </c>
      <c r="C3202">
        <v>2009</v>
      </c>
      <c r="E3202" t="s">
        <v>1996</v>
      </c>
      <c r="F3202" t="s">
        <v>1255</v>
      </c>
      <c r="G3202" t="s">
        <v>191</v>
      </c>
      <c r="H3202" t="s">
        <v>1997</v>
      </c>
      <c r="I3202" t="s">
        <v>50</v>
      </c>
      <c r="J3202" t="s">
        <v>20</v>
      </c>
      <c r="K3202" t="s">
        <v>21</v>
      </c>
      <c r="L3202" t="s">
        <v>731</v>
      </c>
      <c r="N3202" t="s">
        <v>410</v>
      </c>
      <c r="O3202" t="s">
        <v>24</v>
      </c>
    </row>
    <row r="3203" spans="1:15" x14ac:dyDescent="0.25">
      <c r="A3203">
        <v>3202</v>
      </c>
      <c r="B3203" t="str">
        <f>HYPERLINK("https://digitalcommons.unl.edu/cgi/viewcontent.cgi?article=3366&amp;context=tractormuseumlit","Click for test report")</f>
        <v>Click for test report</v>
      </c>
      <c r="C3203">
        <v>2009</v>
      </c>
      <c r="D3203" t="s">
        <v>1992</v>
      </c>
      <c r="F3203" t="s">
        <v>17</v>
      </c>
      <c r="G3203" t="s">
        <v>17</v>
      </c>
      <c r="H3203" t="s">
        <v>1993</v>
      </c>
      <c r="I3203" t="s">
        <v>1008</v>
      </c>
      <c r="J3203" t="s">
        <v>20</v>
      </c>
      <c r="K3203" t="s">
        <v>21</v>
      </c>
      <c r="L3203" t="s">
        <v>1994</v>
      </c>
      <c r="O3203" t="s">
        <v>1995</v>
      </c>
    </row>
    <row r="3204" spans="1:15" x14ac:dyDescent="0.25">
      <c r="A3204">
        <v>3203</v>
      </c>
      <c r="B3204" t="str">
        <f>HYPERLINK("https://digitalcommons.unl.edu/cgi/viewcontent.cgi?article=3367&amp;context=tractormuseumlit","Click for test report")</f>
        <v>Click for test report</v>
      </c>
      <c r="C3204">
        <v>2009</v>
      </c>
      <c r="D3204" t="s">
        <v>1989</v>
      </c>
      <c r="F3204" t="s">
        <v>17</v>
      </c>
      <c r="G3204" t="s">
        <v>17</v>
      </c>
      <c r="H3204" t="s">
        <v>1990</v>
      </c>
      <c r="I3204" t="s">
        <v>1008</v>
      </c>
      <c r="J3204" t="s">
        <v>20</v>
      </c>
      <c r="K3204" t="s">
        <v>21</v>
      </c>
      <c r="L3204" t="s">
        <v>353</v>
      </c>
      <c r="O3204" t="s">
        <v>1991</v>
      </c>
    </row>
    <row r="3205" spans="1:15" x14ac:dyDescent="0.25">
      <c r="A3205">
        <v>3204</v>
      </c>
      <c r="B3205" t="str">
        <f>HYPERLINK("https://digitalcommons.unl.edu/cgi/viewcontent.cgi?article=3368&amp;context=tractormuseumlit","Click for test report")</f>
        <v>Click for test report</v>
      </c>
      <c r="C3205">
        <v>2009</v>
      </c>
      <c r="D3205" t="s">
        <v>1988</v>
      </c>
      <c r="F3205" t="s">
        <v>17</v>
      </c>
      <c r="G3205" t="s">
        <v>17</v>
      </c>
      <c r="H3205" t="s">
        <v>1536</v>
      </c>
      <c r="I3205" t="s">
        <v>50</v>
      </c>
      <c r="J3205" t="s">
        <v>20</v>
      </c>
      <c r="K3205" t="s">
        <v>21</v>
      </c>
      <c r="L3205" t="s">
        <v>1350</v>
      </c>
      <c r="O3205" t="s">
        <v>24</v>
      </c>
    </row>
    <row r="3206" spans="1:15" x14ac:dyDescent="0.25">
      <c r="A3206">
        <v>3205</v>
      </c>
      <c r="B3206" t="str">
        <f>HYPERLINK("https://digitalcommons.unl.edu/cgi/viewcontent.cgi?article=3369&amp;context=tractormuseumlit","Click for test report")</f>
        <v>Click for test report</v>
      </c>
      <c r="C3206">
        <v>2009</v>
      </c>
      <c r="D3206" t="s">
        <v>1987</v>
      </c>
      <c r="F3206" t="s">
        <v>17</v>
      </c>
      <c r="G3206" t="s">
        <v>17</v>
      </c>
      <c r="H3206" t="s">
        <v>1534</v>
      </c>
      <c r="I3206" t="s">
        <v>50</v>
      </c>
      <c r="J3206" t="s">
        <v>20</v>
      </c>
      <c r="K3206" t="s">
        <v>21</v>
      </c>
      <c r="L3206" t="s">
        <v>740</v>
      </c>
      <c r="O3206" t="s">
        <v>24</v>
      </c>
    </row>
    <row r="3207" spans="1:15" x14ac:dyDescent="0.25">
      <c r="A3207">
        <v>3206</v>
      </c>
      <c r="B3207" t="str">
        <f>HYPERLINK("https://digitalcommons.unl.edu/cgi/viewcontent.cgi?article=3370&amp;context=tractormuseumlit","Click for test report")</f>
        <v>Click for test report</v>
      </c>
      <c r="C3207">
        <v>2009</v>
      </c>
      <c r="D3207" t="s">
        <v>1985</v>
      </c>
      <c r="E3207" t="s">
        <v>1986</v>
      </c>
      <c r="F3207" t="s">
        <v>17</v>
      </c>
      <c r="G3207" t="s">
        <v>17</v>
      </c>
      <c r="H3207" t="s">
        <v>1337</v>
      </c>
      <c r="I3207" t="s">
        <v>50</v>
      </c>
      <c r="J3207" t="s">
        <v>20</v>
      </c>
      <c r="K3207" t="s">
        <v>21</v>
      </c>
      <c r="L3207" t="s">
        <v>561</v>
      </c>
      <c r="N3207" t="s">
        <v>344</v>
      </c>
      <c r="O3207" t="s">
        <v>24</v>
      </c>
    </row>
    <row r="3208" spans="1:15" x14ac:dyDescent="0.25">
      <c r="A3208">
        <v>3207</v>
      </c>
      <c r="B3208" t="str">
        <f>HYPERLINK("https://digitalcommons.unl.edu/cgi/viewcontent.cgi?article=3371&amp;context=tractormuseumlit","Click for test report")</f>
        <v>Click for test report</v>
      </c>
      <c r="C3208">
        <v>2009</v>
      </c>
      <c r="D3208" t="s">
        <v>1983</v>
      </c>
      <c r="E3208" t="s">
        <v>1984</v>
      </c>
      <c r="F3208" t="s">
        <v>17</v>
      </c>
      <c r="G3208" t="s">
        <v>17</v>
      </c>
      <c r="H3208" t="s">
        <v>1335</v>
      </c>
      <c r="I3208" t="s">
        <v>50</v>
      </c>
      <c r="J3208" t="s">
        <v>20</v>
      </c>
      <c r="K3208" t="s">
        <v>21</v>
      </c>
      <c r="L3208" t="s">
        <v>364</v>
      </c>
      <c r="N3208" t="s">
        <v>457</v>
      </c>
      <c r="O3208" t="s">
        <v>24</v>
      </c>
    </row>
    <row r="3209" spans="1:15" x14ac:dyDescent="0.25">
      <c r="A3209">
        <v>3208</v>
      </c>
      <c r="B3209" t="str">
        <f>HYPERLINK("https://digitalcommons.unl.edu/cgi/viewcontent.cgi?article=3372&amp;context=tractormuseumlit","Click for test report")</f>
        <v>Click for test report</v>
      </c>
      <c r="C3209">
        <v>2009</v>
      </c>
      <c r="D3209" t="s">
        <v>1981</v>
      </c>
      <c r="E3209" t="s">
        <v>1982</v>
      </c>
      <c r="F3209" t="s">
        <v>17</v>
      </c>
      <c r="G3209" t="s">
        <v>17</v>
      </c>
      <c r="H3209" t="s">
        <v>1331</v>
      </c>
      <c r="I3209" t="s">
        <v>50</v>
      </c>
      <c r="J3209" t="s">
        <v>20</v>
      </c>
      <c r="K3209" t="s">
        <v>21</v>
      </c>
      <c r="L3209" t="s">
        <v>122</v>
      </c>
      <c r="N3209" t="s">
        <v>52</v>
      </c>
      <c r="O3209" t="s">
        <v>24</v>
      </c>
    </row>
    <row r="3210" spans="1:15" x14ac:dyDescent="0.25">
      <c r="A3210">
        <v>3209</v>
      </c>
      <c r="B3210" t="str">
        <f>HYPERLINK("https://digitalcommons.unl.edu/cgi/viewcontent.cgi?article=3373&amp;context=tractormuseumlit","Click for test report")</f>
        <v>Click for test report</v>
      </c>
      <c r="C3210">
        <v>2009</v>
      </c>
      <c r="D3210" t="s">
        <v>1978</v>
      </c>
      <c r="E3210" t="s">
        <v>1979</v>
      </c>
      <c r="F3210" t="s">
        <v>17</v>
      </c>
      <c r="G3210" t="s">
        <v>17</v>
      </c>
      <c r="H3210" t="s">
        <v>1980</v>
      </c>
      <c r="I3210" t="s">
        <v>19</v>
      </c>
      <c r="J3210" t="s">
        <v>20</v>
      </c>
      <c r="K3210" t="s">
        <v>21</v>
      </c>
      <c r="L3210" t="s">
        <v>842</v>
      </c>
      <c r="N3210" t="s">
        <v>336</v>
      </c>
      <c r="O3210" t="s">
        <v>24</v>
      </c>
    </row>
    <row r="3211" spans="1:15" x14ac:dyDescent="0.25">
      <c r="A3211">
        <v>3210</v>
      </c>
      <c r="B3211" t="str">
        <f>HYPERLINK("https://digitalcommons.unl.edu/cgi/viewcontent.cgi?article=3374&amp;context=tractormuseumlit","Click for test report")</f>
        <v>Click for test report</v>
      </c>
      <c r="C3211">
        <v>2009</v>
      </c>
      <c r="D3211" t="s">
        <v>1974</v>
      </c>
      <c r="E3211" t="s">
        <v>1975</v>
      </c>
      <c r="F3211" t="s">
        <v>111</v>
      </c>
      <c r="G3211" t="s">
        <v>414</v>
      </c>
      <c r="H3211" t="s">
        <v>1976</v>
      </c>
      <c r="I3211" t="s">
        <v>28</v>
      </c>
      <c r="J3211" t="s">
        <v>96</v>
      </c>
      <c r="K3211" t="s">
        <v>21</v>
      </c>
      <c r="L3211" t="s">
        <v>1977</v>
      </c>
      <c r="N3211" t="s">
        <v>1078</v>
      </c>
      <c r="O3211" t="s">
        <v>24</v>
      </c>
    </row>
    <row r="3212" spans="1:15" x14ac:dyDescent="0.25">
      <c r="A3212">
        <v>3211</v>
      </c>
      <c r="B3212" t="str">
        <f>HYPERLINK("https://digitalcommons.unl.edu/cgi/viewcontent.cgi?article=3375&amp;context=tractormuseumlit","Click for test report")</f>
        <v>Click for test report</v>
      </c>
      <c r="C3212">
        <v>2009</v>
      </c>
      <c r="D3212" t="s">
        <v>1972</v>
      </c>
      <c r="F3212" t="s">
        <v>17</v>
      </c>
      <c r="G3212" t="s">
        <v>17</v>
      </c>
      <c r="H3212" t="s">
        <v>1973</v>
      </c>
      <c r="I3212" t="s">
        <v>50</v>
      </c>
      <c r="J3212" t="s">
        <v>348</v>
      </c>
      <c r="K3212" t="s">
        <v>21</v>
      </c>
      <c r="L3212" t="s">
        <v>407</v>
      </c>
      <c r="O3212" t="s">
        <v>24</v>
      </c>
    </row>
    <row r="3213" spans="1:15" x14ac:dyDescent="0.25">
      <c r="A3213">
        <v>3212</v>
      </c>
      <c r="B3213" t="str">
        <f>HYPERLINK("https://digitalcommons.unl.edu/cgi/viewcontent.cgi?article=3376&amp;context=tractormuseumlit","Click for test report")</f>
        <v>Click for test report</v>
      </c>
      <c r="C3213">
        <v>2009</v>
      </c>
      <c r="D3213" t="s">
        <v>1971</v>
      </c>
      <c r="F3213" t="s">
        <v>17</v>
      </c>
      <c r="G3213" t="s">
        <v>17</v>
      </c>
      <c r="H3213" t="s">
        <v>734</v>
      </c>
      <c r="I3213" t="s">
        <v>50</v>
      </c>
      <c r="J3213" t="s">
        <v>20</v>
      </c>
      <c r="K3213" t="s">
        <v>21</v>
      </c>
      <c r="L3213" t="s">
        <v>407</v>
      </c>
      <c r="O3213" t="s">
        <v>24</v>
      </c>
    </row>
    <row r="3214" spans="1:15" x14ac:dyDescent="0.25">
      <c r="A3214">
        <v>3213</v>
      </c>
      <c r="B3214" t="str">
        <f>HYPERLINK("https://digitalcommons.unl.edu/cgi/viewcontent.cgi?article=3377&amp;context=tractormuseumlit","Click for test report")</f>
        <v>Click for test report</v>
      </c>
      <c r="C3214">
        <v>2009</v>
      </c>
      <c r="D3214" t="s">
        <v>1969</v>
      </c>
      <c r="F3214" t="s">
        <v>17</v>
      </c>
      <c r="G3214" t="s">
        <v>17</v>
      </c>
      <c r="H3214" t="s">
        <v>730</v>
      </c>
      <c r="I3214" t="s">
        <v>50</v>
      </c>
      <c r="J3214" t="s">
        <v>20</v>
      </c>
      <c r="K3214" t="s">
        <v>21</v>
      </c>
      <c r="L3214" t="s">
        <v>1970</v>
      </c>
      <c r="O3214" t="s">
        <v>24</v>
      </c>
    </row>
    <row r="3215" spans="1:15" x14ac:dyDescent="0.25">
      <c r="A3215">
        <v>3214</v>
      </c>
      <c r="B3215" t="str">
        <f>HYPERLINK("https://digitalcommons.unl.edu/cgi/viewcontent.cgi?article=3378&amp;context=tractormuseumlit","Click for test report")</f>
        <v>Click for test report</v>
      </c>
      <c r="C3215">
        <v>2009</v>
      </c>
      <c r="D3215" t="s">
        <v>1968</v>
      </c>
      <c r="F3215" t="s">
        <v>17</v>
      </c>
      <c r="G3215" t="s">
        <v>17</v>
      </c>
      <c r="H3215" t="s">
        <v>724</v>
      </c>
      <c r="I3215" t="s">
        <v>50</v>
      </c>
      <c r="J3215" t="s">
        <v>20</v>
      </c>
      <c r="K3215" t="s">
        <v>21</v>
      </c>
      <c r="L3215" t="s">
        <v>1864</v>
      </c>
      <c r="O3215" t="s">
        <v>24</v>
      </c>
    </row>
    <row r="3216" spans="1:15" x14ac:dyDescent="0.25">
      <c r="A3216">
        <v>3215</v>
      </c>
      <c r="B3216" t="str">
        <f>HYPERLINK("https://digitalcommons.unl.edu/cgi/viewcontent.cgi?article=3379&amp;context=tractormuseumlit","Click for test report")</f>
        <v>Click for test report</v>
      </c>
      <c r="C3216">
        <v>2009</v>
      </c>
      <c r="D3216" t="s">
        <v>1966</v>
      </c>
      <c r="F3216" t="s">
        <v>17</v>
      </c>
      <c r="G3216" t="s">
        <v>17</v>
      </c>
      <c r="H3216" t="s">
        <v>1967</v>
      </c>
      <c r="I3216" t="s">
        <v>50</v>
      </c>
      <c r="J3216" t="s">
        <v>20</v>
      </c>
      <c r="K3216" t="s">
        <v>21</v>
      </c>
      <c r="L3216" t="s">
        <v>735</v>
      </c>
      <c r="O3216" t="s">
        <v>24</v>
      </c>
    </row>
    <row r="3217" spans="1:15" x14ac:dyDescent="0.25">
      <c r="A3217">
        <v>3216</v>
      </c>
      <c r="B3217" t="str">
        <f>HYPERLINK("https://digitalcommons.unl.edu/cgi/viewcontent.cgi?article=3380&amp;context=tractormuseumlit","Click for test report")</f>
        <v>Click for test report</v>
      </c>
      <c r="C3217">
        <v>2009</v>
      </c>
      <c r="D3217" t="s">
        <v>1965</v>
      </c>
      <c r="F3217" t="s">
        <v>17</v>
      </c>
      <c r="G3217" t="s">
        <v>17</v>
      </c>
      <c r="H3217" t="s">
        <v>1050</v>
      </c>
      <c r="I3217" t="s">
        <v>50</v>
      </c>
      <c r="J3217" t="s">
        <v>20</v>
      </c>
      <c r="K3217" t="s">
        <v>21</v>
      </c>
      <c r="L3217" t="s">
        <v>1051</v>
      </c>
      <c r="O3217" t="s">
        <v>24</v>
      </c>
    </row>
    <row r="3218" spans="1:15" x14ac:dyDescent="0.25">
      <c r="A3218">
        <v>3217</v>
      </c>
      <c r="B3218" t="str">
        <f>HYPERLINK("https://digitalcommons.unl.edu/cgi/viewcontent.cgi?article=3381&amp;context=tractormuseumlit","Click for test report")</f>
        <v>Click for test report</v>
      </c>
      <c r="C3218">
        <v>2009</v>
      </c>
      <c r="D3218" t="s">
        <v>1964</v>
      </c>
      <c r="F3218" t="s">
        <v>17</v>
      </c>
      <c r="G3218" t="s">
        <v>17</v>
      </c>
      <c r="H3218" t="s">
        <v>1048</v>
      </c>
      <c r="I3218" t="s">
        <v>50</v>
      </c>
      <c r="J3218" t="s">
        <v>20</v>
      </c>
      <c r="K3218" t="s">
        <v>21</v>
      </c>
      <c r="L3218" t="s">
        <v>1347</v>
      </c>
      <c r="O3218" t="s">
        <v>24</v>
      </c>
    </row>
    <row r="3219" spans="1:15" x14ac:dyDescent="0.25">
      <c r="A3219">
        <v>3218</v>
      </c>
      <c r="B3219" t="str">
        <f>HYPERLINK("https://digitalcommons.unl.edu/cgi/viewcontent.cgi?article=3382&amp;context=tractormuseumlit","Click for test report")</f>
        <v>Click for test report</v>
      </c>
      <c r="C3219">
        <v>2009</v>
      </c>
      <c r="D3219" t="s">
        <v>1962</v>
      </c>
      <c r="F3219" t="s">
        <v>17</v>
      </c>
      <c r="G3219" t="s">
        <v>17</v>
      </c>
      <c r="H3219" t="s">
        <v>1963</v>
      </c>
      <c r="I3219" t="s">
        <v>50</v>
      </c>
      <c r="J3219" t="s">
        <v>20</v>
      </c>
      <c r="K3219" t="s">
        <v>21</v>
      </c>
      <c r="L3219" t="s">
        <v>344</v>
      </c>
      <c r="O3219" t="s">
        <v>24</v>
      </c>
    </row>
    <row r="3220" spans="1:15" x14ac:dyDescent="0.25">
      <c r="A3220">
        <v>3219</v>
      </c>
      <c r="B3220" t="str">
        <f>HYPERLINK("https://digitalcommons.unl.edu/cgi/viewcontent.cgi?article=3383&amp;context=tractormuseumlit","Click for test report")</f>
        <v>Click for test report</v>
      </c>
      <c r="C3220">
        <v>2009</v>
      </c>
      <c r="D3220" t="s">
        <v>1959</v>
      </c>
      <c r="F3220" t="s">
        <v>17</v>
      </c>
      <c r="G3220" t="s">
        <v>17</v>
      </c>
      <c r="H3220" t="s">
        <v>1960</v>
      </c>
      <c r="I3220" t="s">
        <v>1961</v>
      </c>
      <c r="J3220" t="s">
        <v>20</v>
      </c>
      <c r="K3220" t="s">
        <v>21</v>
      </c>
      <c r="L3220" t="s">
        <v>574</v>
      </c>
      <c r="O3220" t="s">
        <v>24</v>
      </c>
    </row>
    <row r="3221" spans="1:15" x14ac:dyDescent="0.25">
      <c r="A3221">
        <v>3220</v>
      </c>
      <c r="B3221" t="str">
        <f>HYPERLINK("https://digitalcommons.unl.edu/cgi/viewcontent.cgi?article=3384&amp;context=tractormuseumlit","Click for test report")</f>
        <v>Click for test report</v>
      </c>
      <c r="C3221">
        <v>2009</v>
      </c>
      <c r="D3221" t="s">
        <v>1957</v>
      </c>
      <c r="E3221" t="s">
        <v>1958</v>
      </c>
      <c r="F3221" t="s">
        <v>17</v>
      </c>
      <c r="G3221" t="s">
        <v>17</v>
      </c>
      <c r="H3221" t="s">
        <v>1175</v>
      </c>
      <c r="I3221" t="s">
        <v>28</v>
      </c>
      <c r="J3221" t="s">
        <v>20</v>
      </c>
      <c r="K3221" t="s">
        <v>21</v>
      </c>
      <c r="L3221" t="s">
        <v>950</v>
      </c>
      <c r="N3221" t="s">
        <v>964</v>
      </c>
      <c r="O3221" t="s">
        <v>24</v>
      </c>
    </row>
    <row r="3222" spans="1:15" x14ac:dyDescent="0.25">
      <c r="A3222">
        <v>3221</v>
      </c>
      <c r="B3222" t="str">
        <f>HYPERLINK("https://digitalcommons.unl.edu/cgi/viewcontent.cgi?article=3385&amp;context=tractormuseumlit","Click for test report")</f>
        <v>Click for test report</v>
      </c>
      <c r="C3222">
        <v>2009</v>
      </c>
      <c r="D3222" t="s">
        <v>1953</v>
      </c>
      <c r="E3222" t="s">
        <v>1954</v>
      </c>
      <c r="F3222" t="s">
        <v>111</v>
      </c>
      <c r="G3222" t="s">
        <v>414</v>
      </c>
      <c r="H3222" t="s">
        <v>1955</v>
      </c>
      <c r="I3222" t="s">
        <v>28</v>
      </c>
      <c r="J3222" t="s">
        <v>96</v>
      </c>
      <c r="K3222" t="s">
        <v>21</v>
      </c>
      <c r="L3222" t="s">
        <v>1956</v>
      </c>
      <c r="N3222" t="s">
        <v>88</v>
      </c>
      <c r="O3222" t="s">
        <v>24</v>
      </c>
    </row>
    <row r="3223" spans="1:15" x14ac:dyDescent="0.25">
      <c r="A3223">
        <v>3222</v>
      </c>
      <c r="B3223" t="str">
        <f>HYPERLINK("https://digitalcommons.unl.edu/cgi/viewcontent.cgi?article=3386&amp;context=tractormuseumlit","Click for test report")</f>
        <v>Click for test report</v>
      </c>
      <c r="C3223">
        <v>2009</v>
      </c>
      <c r="D3223" t="s">
        <v>1949</v>
      </c>
      <c r="E3223" t="s">
        <v>1950</v>
      </c>
      <c r="F3223" t="s">
        <v>111</v>
      </c>
      <c r="G3223" t="s">
        <v>414</v>
      </c>
      <c r="H3223" t="s">
        <v>1951</v>
      </c>
      <c r="I3223" t="s">
        <v>28</v>
      </c>
      <c r="J3223" t="s">
        <v>96</v>
      </c>
      <c r="K3223" t="s">
        <v>21</v>
      </c>
      <c r="L3223" t="s">
        <v>1952</v>
      </c>
      <c r="N3223" t="s">
        <v>977</v>
      </c>
      <c r="O3223" t="s">
        <v>24</v>
      </c>
    </row>
    <row r="3224" spans="1:15" x14ac:dyDescent="0.25">
      <c r="A3224">
        <v>3223</v>
      </c>
      <c r="B3224" t="str">
        <f>HYPERLINK("https://digitalcommons.unl.edu/cgi/viewcontent.cgi?article=3387&amp;context=tractormuseumlit","Click for test report")</f>
        <v>Click for test report</v>
      </c>
      <c r="C3224">
        <v>2009</v>
      </c>
      <c r="D3224" t="s">
        <v>1944</v>
      </c>
      <c r="E3224" t="s">
        <v>1945</v>
      </c>
      <c r="F3224" t="s">
        <v>111</v>
      </c>
      <c r="G3224" t="s">
        <v>414</v>
      </c>
      <c r="H3224" t="s">
        <v>1946</v>
      </c>
      <c r="I3224" t="s">
        <v>28</v>
      </c>
      <c r="J3224" t="s">
        <v>96</v>
      </c>
      <c r="K3224" t="s">
        <v>21</v>
      </c>
      <c r="L3224" t="s">
        <v>1947</v>
      </c>
      <c r="N3224" t="s">
        <v>504</v>
      </c>
      <c r="O3224" t="s">
        <v>1948</v>
      </c>
    </row>
    <row r="3225" spans="1:15" x14ac:dyDescent="0.25">
      <c r="A3225">
        <v>3224</v>
      </c>
      <c r="B3225" t="str">
        <f>HYPERLINK("https://digitalcommons.unl.edu/cgi/viewcontent.cgi?article=3388&amp;context=tractormuseumlit","Click for test report")</f>
        <v>Click for test report</v>
      </c>
      <c r="C3225">
        <v>2009</v>
      </c>
      <c r="D3225" t="s">
        <v>1940</v>
      </c>
      <c r="E3225" t="s">
        <v>1941</v>
      </c>
      <c r="F3225" t="s">
        <v>111</v>
      </c>
      <c r="G3225" t="s">
        <v>414</v>
      </c>
      <c r="H3225" t="s">
        <v>1942</v>
      </c>
      <c r="I3225" t="s">
        <v>28</v>
      </c>
      <c r="J3225" t="s">
        <v>96</v>
      </c>
      <c r="K3225" t="s">
        <v>21</v>
      </c>
      <c r="L3225" t="s">
        <v>1237</v>
      </c>
      <c r="N3225" t="s">
        <v>70</v>
      </c>
      <c r="O3225" t="s">
        <v>1943</v>
      </c>
    </row>
    <row r="3226" spans="1:15" x14ac:dyDescent="0.25">
      <c r="A3226">
        <v>3225</v>
      </c>
      <c r="B3226" t="str">
        <f>HYPERLINK("https://digitalcommons.unl.edu/cgi/viewcontent.cgi?article=3389&amp;context=tractormuseumlit","Click for test report")</f>
        <v>Click for test report</v>
      </c>
      <c r="C3226">
        <v>2009</v>
      </c>
      <c r="D3226" t="s">
        <v>1936</v>
      </c>
      <c r="E3226" t="s">
        <v>1937</v>
      </c>
      <c r="F3226" t="s">
        <v>111</v>
      </c>
      <c r="G3226" t="s">
        <v>414</v>
      </c>
      <c r="H3226" t="s">
        <v>1938</v>
      </c>
      <c r="I3226" t="s">
        <v>28</v>
      </c>
      <c r="J3226" t="s">
        <v>96</v>
      </c>
      <c r="K3226" t="s">
        <v>21</v>
      </c>
      <c r="L3226" t="s">
        <v>1069</v>
      </c>
      <c r="N3226" t="s">
        <v>981</v>
      </c>
      <c r="O3226" t="s">
        <v>1939</v>
      </c>
    </row>
    <row r="3227" spans="1:15" x14ac:dyDescent="0.25">
      <c r="A3227">
        <v>3226</v>
      </c>
      <c r="B3227" t="str">
        <f>HYPERLINK("https://digitalcommons.unl.edu/cgi/viewcontent.cgi?article=3390&amp;context=tractormuseumlit","Click for test report")</f>
        <v>Click for test report</v>
      </c>
      <c r="C3227">
        <v>2009</v>
      </c>
      <c r="D3227" t="s">
        <v>1930</v>
      </c>
      <c r="E3227" t="s">
        <v>1931</v>
      </c>
      <c r="F3227" t="s">
        <v>111</v>
      </c>
      <c r="G3227" t="s">
        <v>414</v>
      </c>
      <c r="H3227" t="s">
        <v>1932</v>
      </c>
      <c r="I3227" t="s">
        <v>28</v>
      </c>
      <c r="J3227" t="s">
        <v>96</v>
      </c>
      <c r="K3227" t="s">
        <v>21</v>
      </c>
      <c r="L3227" t="s">
        <v>1933</v>
      </c>
      <c r="N3227" t="s">
        <v>1934</v>
      </c>
      <c r="O3227" t="s">
        <v>1935</v>
      </c>
    </row>
    <row r="3228" spans="1:15" x14ac:dyDescent="0.25">
      <c r="A3228">
        <v>3227</v>
      </c>
      <c r="B3228" t="str">
        <f>HYPERLINK("https://digitalcommons.unl.edu/cgi/viewcontent.cgi?article=3391&amp;context=tractormuseumlit","Click for test report")</f>
        <v>Click for test report</v>
      </c>
      <c r="C3228">
        <v>2009</v>
      </c>
      <c r="D3228" t="s">
        <v>1928</v>
      </c>
      <c r="F3228" t="s">
        <v>17</v>
      </c>
      <c r="G3228" t="s">
        <v>17</v>
      </c>
      <c r="H3228" t="s">
        <v>1531</v>
      </c>
      <c r="I3228" t="s">
        <v>50</v>
      </c>
      <c r="J3228" t="s">
        <v>20</v>
      </c>
      <c r="K3228" t="s">
        <v>21</v>
      </c>
      <c r="L3228" t="s">
        <v>565</v>
      </c>
      <c r="O3228" t="s">
        <v>1929</v>
      </c>
    </row>
    <row r="3229" spans="1:15" x14ac:dyDescent="0.25">
      <c r="A3229">
        <v>3228</v>
      </c>
      <c r="B3229" t="str">
        <f>HYPERLINK("https://digitalcommons.unl.edu/cgi/viewcontent.cgi?article=3392&amp;context=tractormuseumlit","Click for test report")</f>
        <v>Click for test report</v>
      </c>
      <c r="C3229">
        <v>2009</v>
      </c>
      <c r="D3229" t="s">
        <v>1923</v>
      </c>
      <c r="E3229" t="s">
        <v>1924</v>
      </c>
      <c r="F3229" t="s">
        <v>111</v>
      </c>
      <c r="G3229" t="s">
        <v>414</v>
      </c>
      <c r="H3229" t="s">
        <v>1925</v>
      </c>
      <c r="I3229" t="s">
        <v>28</v>
      </c>
      <c r="J3229" t="s">
        <v>29</v>
      </c>
      <c r="K3229" t="s">
        <v>21</v>
      </c>
      <c r="L3229" t="s">
        <v>1921</v>
      </c>
      <c r="N3229" t="s">
        <v>1926</v>
      </c>
      <c r="O3229" t="s">
        <v>1927</v>
      </c>
    </row>
    <row r="3230" spans="1:15" x14ac:dyDescent="0.25">
      <c r="A3230">
        <v>3229</v>
      </c>
      <c r="B3230" t="str">
        <f>HYPERLINK("https://digitalcommons.unl.edu/cgi/viewcontent.cgi?article=3393&amp;context=tractormuseumlit","Click for test report")</f>
        <v>Click for test report</v>
      </c>
      <c r="C3230">
        <v>2009</v>
      </c>
      <c r="D3230" t="s">
        <v>1918</v>
      </c>
      <c r="E3230" t="s">
        <v>1919</v>
      </c>
      <c r="F3230" t="s">
        <v>111</v>
      </c>
      <c r="G3230" t="s">
        <v>414</v>
      </c>
      <c r="H3230" t="s">
        <v>1920</v>
      </c>
      <c r="I3230" t="s">
        <v>28</v>
      </c>
      <c r="J3230" t="s">
        <v>29</v>
      </c>
      <c r="K3230" t="s">
        <v>21</v>
      </c>
      <c r="L3230" t="s">
        <v>537</v>
      </c>
      <c r="N3230" t="s">
        <v>1921</v>
      </c>
      <c r="O3230" t="s">
        <v>1922</v>
      </c>
    </row>
    <row r="3231" spans="1:15" x14ac:dyDescent="0.25">
      <c r="A3231">
        <v>3230</v>
      </c>
      <c r="B3231" t="str">
        <f>HYPERLINK("https://digitalcommons.unl.edu/cgi/viewcontent.cgi?article=3394&amp;context=tractormuseumlit","Click for test report")</f>
        <v>Click for test report</v>
      </c>
      <c r="C3231">
        <v>2009</v>
      </c>
      <c r="D3231" t="s">
        <v>1912</v>
      </c>
      <c r="E3231" t="s">
        <v>1913</v>
      </c>
      <c r="F3231" t="s">
        <v>111</v>
      </c>
      <c r="G3231" t="s">
        <v>414</v>
      </c>
      <c r="H3231" t="s">
        <v>1914</v>
      </c>
      <c r="I3231" t="s">
        <v>28</v>
      </c>
      <c r="J3231" t="s">
        <v>29</v>
      </c>
      <c r="K3231" t="s">
        <v>21</v>
      </c>
      <c r="L3231" t="s">
        <v>1915</v>
      </c>
      <c r="N3231" t="s">
        <v>1916</v>
      </c>
      <c r="O3231" t="s">
        <v>1917</v>
      </c>
    </row>
    <row r="3232" spans="1:15" x14ac:dyDescent="0.25">
      <c r="A3232">
        <v>3231</v>
      </c>
      <c r="B3232" t="str">
        <f>HYPERLINK("https://digitalcommons.unl.edu/cgi/viewcontent.cgi?article=3395&amp;context=tractormuseumlit","Click for test report")</f>
        <v>Click for test report</v>
      </c>
      <c r="C3232">
        <v>2009</v>
      </c>
      <c r="D3232" t="s">
        <v>1906</v>
      </c>
      <c r="E3232" t="s">
        <v>1907</v>
      </c>
      <c r="F3232" t="s">
        <v>111</v>
      </c>
      <c r="G3232" t="s">
        <v>414</v>
      </c>
      <c r="H3232" t="s">
        <v>1908</v>
      </c>
      <c r="I3232" t="s">
        <v>28</v>
      </c>
      <c r="J3232" t="s">
        <v>29</v>
      </c>
      <c r="K3232" t="s">
        <v>21</v>
      </c>
      <c r="L3232" t="s">
        <v>1909</v>
      </c>
      <c r="N3232" t="s">
        <v>1910</v>
      </c>
      <c r="O3232" t="s">
        <v>1911</v>
      </c>
    </row>
    <row r="3233" spans="1:15" x14ac:dyDescent="0.25">
      <c r="A3233">
        <v>3232</v>
      </c>
      <c r="B3233" t="str">
        <f>HYPERLINK("https://digitalcommons.unl.edu/cgi/viewcontent.cgi?article=4140&amp;context=tractormuseumlit","Click for test report")</f>
        <v>Click for test report</v>
      </c>
      <c r="C3233">
        <v>2010</v>
      </c>
      <c r="E3233" t="s">
        <v>1904</v>
      </c>
      <c r="F3233" t="s">
        <v>1136</v>
      </c>
      <c r="G3233" t="s">
        <v>778</v>
      </c>
      <c r="H3233" t="s">
        <v>1905</v>
      </c>
      <c r="I3233" t="s">
        <v>1808</v>
      </c>
      <c r="J3233" t="s">
        <v>20</v>
      </c>
      <c r="K3233" t="s">
        <v>21</v>
      </c>
      <c r="L3233" t="s">
        <v>677</v>
      </c>
      <c r="N3233" t="s">
        <v>247</v>
      </c>
      <c r="O3233" t="s">
        <v>1843</v>
      </c>
    </row>
    <row r="3234" spans="1:15" x14ac:dyDescent="0.25">
      <c r="A3234">
        <v>3233</v>
      </c>
      <c r="B3234" t="str">
        <f>HYPERLINK("https://digitalcommons.unl.edu/cgi/viewcontent.cgi?article=4141&amp;context=tractormuseumlit","Click for test report")</f>
        <v>Click for test report</v>
      </c>
      <c r="C3234">
        <v>2010</v>
      </c>
      <c r="E3234" t="s">
        <v>1902</v>
      </c>
      <c r="F3234" t="s">
        <v>1136</v>
      </c>
      <c r="G3234" t="s">
        <v>778</v>
      </c>
      <c r="H3234" t="s">
        <v>1903</v>
      </c>
      <c r="I3234" t="s">
        <v>1808</v>
      </c>
      <c r="J3234" t="s">
        <v>20</v>
      </c>
      <c r="K3234" t="s">
        <v>21</v>
      </c>
      <c r="L3234" t="s">
        <v>122</v>
      </c>
      <c r="N3234" t="s">
        <v>713</v>
      </c>
      <c r="O3234" t="s">
        <v>1843</v>
      </c>
    </row>
    <row r="3235" spans="1:15" x14ac:dyDescent="0.25">
      <c r="A3235">
        <v>3234</v>
      </c>
      <c r="B3235" t="str">
        <f>HYPERLINK("https://digitalcommons.unl.edu/cgi/viewcontent.cgi?article=4142&amp;context=tractormuseumlit","Click for test report")</f>
        <v>Click for test report</v>
      </c>
      <c r="C3235">
        <v>2010</v>
      </c>
      <c r="E3235" t="s">
        <v>1900</v>
      </c>
      <c r="F3235" t="s">
        <v>1136</v>
      </c>
      <c r="G3235" t="s">
        <v>778</v>
      </c>
      <c r="H3235" t="s">
        <v>1901</v>
      </c>
      <c r="I3235" t="s">
        <v>1808</v>
      </c>
      <c r="J3235" t="s">
        <v>20</v>
      </c>
      <c r="K3235" t="s">
        <v>21</v>
      </c>
      <c r="L3235" t="s">
        <v>1386</v>
      </c>
      <c r="N3235" t="s">
        <v>375</v>
      </c>
      <c r="O3235" t="s">
        <v>1843</v>
      </c>
    </row>
    <row r="3236" spans="1:15" x14ac:dyDescent="0.25">
      <c r="A3236">
        <v>3235</v>
      </c>
      <c r="B3236" t="str">
        <f>HYPERLINK("https://digitalcommons.unl.edu/cgi/viewcontent.cgi?article=4143&amp;context=tractormuseumlit","Click for test report")</f>
        <v>Click for test report</v>
      </c>
      <c r="C3236">
        <v>2010</v>
      </c>
      <c r="E3236" t="s">
        <v>1898</v>
      </c>
      <c r="F3236" t="s">
        <v>1136</v>
      </c>
      <c r="G3236" t="s">
        <v>778</v>
      </c>
      <c r="H3236" t="s">
        <v>1899</v>
      </c>
      <c r="I3236" t="s">
        <v>1808</v>
      </c>
      <c r="J3236" t="s">
        <v>20</v>
      </c>
      <c r="K3236" t="s">
        <v>21</v>
      </c>
      <c r="L3236" t="s">
        <v>705</v>
      </c>
      <c r="N3236" t="s">
        <v>55</v>
      </c>
      <c r="O3236" t="s">
        <v>1843</v>
      </c>
    </row>
    <row r="3237" spans="1:15" x14ac:dyDescent="0.25">
      <c r="A3237">
        <v>3236</v>
      </c>
      <c r="B3237" t="str">
        <f>HYPERLINK("https://digitalcommons.unl.edu/cgi/viewcontent.cgi?article=4144&amp;context=tractormuseumlit","Click for test report")</f>
        <v>Click for test report</v>
      </c>
      <c r="C3237">
        <v>2010</v>
      </c>
      <c r="E3237" t="s">
        <v>1896</v>
      </c>
      <c r="F3237" t="s">
        <v>1136</v>
      </c>
      <c r="G3237" t="s">
        <v>778</v>
      </c>
      <c r="H3237" t="s">
        <v>1897</v>
      </c>
      <c r="I3237" t="s">
        <v>1808</v>
      </c>
      <c r="J3237" t="s">
        <v>20</v>
      </c>
      <c r="K3237" t="s">
        <v>21</v>
      </c>
      <c r="L3237" t="s">
        <v>336</v>
      </c>
      <c r="N3237" t="s">
        <v>457</v>
      </c>
      <c r="O3237" t="s">
        <v>1843</v>
      </c>
    </row>
    <row r="3238" spans="1:15" x14ac:dyDescent="0.25">
      <c r="A3238">
        <v>3237</v>
      </c>
      <c r="B3238" t="str">
        <f>HYPERLINK("https://digitalcommons.unl.edu/cgi/viewcontent.cgi?article=4145&amp;context=tractormuseumlit","Click for test report")</f>
        <v>Click for test report</v>
      </c>
      <c r="C3238">
        <v>2010</v>
      </c>
      <c r="E3238" t="s">
        <v>1894</v>
      </c>
      <c r="F3238" t="s">
        <v>1136</v>
      </c>
      <c r="G3238" t="s">
        <v>778</v>
      </c>
      <c r="H3238" t="s">
        <v>1895</v>
      </c>
      <c r="I3238" t="s">
        <v>1808</v>
      </c>
      <c r="J3238" t="s">
        <v>20</v>
      </c>
      <c r="K3238" t="s">
        <v>21</v>
      </c>
      <c r="L3238" t="s">
        <v>359</v>
      </c>
      <c r="N3238" t="s">
        <v>571</v>
      </c>
      <c r="O3238" t="s">
        <v>1843</v>
      </c>
    </row>
    <row r="3239" spans="1:15" x14ac:dyDescent="0.25">
      <c r="A3239">
        <v>3238</v>
      </c>
      <c r="B3239" t="str">
        <f>HYPERLINK("https://digitalcommons.unl.edu/cgi/viewcontent.cgi?article=4146&amp;context=tractormuseumlit","Click for test report")</f>
        <v>Click for test report</v>
      </c>
      <c r="C3239">
        <v>2010</v>
      </c>
      <c r="E3239" t="s">
        <v>1890</v>
      </c>
      <c r="F3239" t="s">
        <v>1003</v>
      </c>
      <c r="G3239" t="s">
        <v>1891</v>
      </c>
      <c r="H3239" t="s">
        <v>1892</v>
      </c>
      <c r="I3239" t="s">
        <v>50</v>
      </c>
      <c r="J3239" t="s">
        <v>20</v>
      </c>
      <c r="K3239" t="s">
        <v>21</v>
      </c>
      <c r="L3239" t="s">
        <v>410</v>
      </c>
      <c r="N3239" t="s">
        <v>1893</v>
      </c>
      <c r="O3239" t="s">
        <v>24</v>
      </c>
    </row>
    <row r="3240" spans="1:15" x14ac:dyDescent="0.25">
      <c r="A3240">
        <v>3239</v>
      </c>
      <c r="B3240" t="str">
        <f>HYPERLINK("https://digitalcommons.unl.edu/cgi/viewcontent.cgi?article=3688&amp;context=tractormuseumlit","Click for test report")</f>
        <v>Click for test report</v>
      </c>
      <c r="C3240">
        <v>2010</v>
      </c>
      <c r="E3240" t="s">
        <v>1889</v>
      </c>
      <c r="G3240" t="s">
        <v>322</v>
      </c>
      <c r="H3240" t="s">
        <v>24</v>
      </c>
      <c r="I3240" t="s">
        <v>24</v>
      </c>
      <c r="O3240" t="s">
        <v>24</v>
      </c>
    </row>
    <row r="3241" spans="1:15" x14ac:dyDescent="0.25">
      <c r="A3241">
        <v>3240</v>
      </c>
      <c r="B3241" t="str">
        <f>HYPERLINK("https://digitalcommons.unl.edu/cgi/viewcontent.cgi?article=3424&amp;context=tractormuseumlit","Click for test report")</f>
        <v>Click for test report</v>
      </c>
      <c r="C3241">
        <v>2010</v>
      </c>
      <c r="D3241" t="s">
        <v>1886</v>
      </c>
      <c r="E3241" t="s">
        <v>1887</v>
      </c>
      <c r="F3241" t="s">
        <v>17</v>
      </c>
      <c r="G3241" t="s">
        <v>17</v>
      </c>
      <c r="H3241" t="s">
        <v>1888</v>
      </c>
      <c r="I3241" t="s">
        <v>28</v>
      </c>
      <c r="J3241" t="s">
        <v>20</v>
      </c>
      <c r="K3241" t="s">
        <v>21</v>
      </c>
      <c r="L3241" t="s">
        <v>1739</v>
      </c>
      <c r="N3241" t="s">
        <v>836</v>
      </c>
      <c r="O3241" t="s">
        <v>24</v>
      </c>
    </row>
    <row r="3242" spans="1:15" x14ac:dyDescent="0.25">
      <c r="A3242">
        <v>3241</v>
      </c>
      <c r="B3242" t="str">
        <f>HYPERLINK("https://digitalcommons.unl.edu/cgi/viewcontent.cgi?article=3425&amp;context=tractormuseumlit","Click for test report")</f>
        <v>Click for test report</v>
      </c>
      <c r="C3242">
        <v>2010</v>
      </c>
      <c r="D3242" t="s">
        <v>1884</v>
      </c>
      <c r="E3242" t="s">
        <v>1885</v>
      </c>
      <c r="F3242" t="s">
        <v>17</v>
      </c>
      <c r="G3242" t="s">
        <v>17</v>
      </c>
      <c r="H3242" t="s">
        <v>1188</v>
      </c>
      <c r="I3242" t="s">
        <v>28</v>
      </c>
      <c r="J3242" t="s">
        <v>20</v>
      </c>
      <c r="K3242" t="s">
        <v>21</v>
      </c>
      <c r="L3242" t="s">
        <v>1124</v>
      </c>
      <c r="N3242" t="s">
        <v>149</v>
      </c>
      <c r="O3242" t="s">
        <v>24</v>
      </c>
    </row>
    <row r="3243" spans="1:15" x14ac:dyDescent="0.25">
      <c r="A3243">
        <v>3242</v>
      </c>
      <c r="B3243" t="str">
        <f>HYPERLINK("https://digitalcommons.unl.edu/cgi/viewcontent.cgi?article=3426&amp;context=tractormuseumlit","Click for test report")</f>
        <v>Click for test report</v>
      </c>
      <c r="C3243">
        <v>2010</v>
      </c>
      <c r="D3243" t="s">
        <v>1882</v>
      </c>
      <c r="E3243" t="s">
        <v>1883</v>
      </c>
      <c r="F3243" t="s">
        <v>17</v>
      </c>
      <c r="G3243" t="s">
        <v>17</v>
      </c>
      <c r="H3243" t="s">
        <v>1185</v>
      </c>
      <c r="I3243" t="s">
        <v>28</v>
      </c>
      <c r="J3243" t="s">
        <v>20</v>
      </c>
      <c r="K3243" t="s">
        <v>21</v>
      </c>
      <c r="L3243" t="s">
        <v>504</v>
      </c>
      <c r="N3243" t="s">
        <v>114</v>
      </c>
      <c r="O3243" t="s">
        <v>24</v>
      </c>
    </row>
    <row r="3244" spans="1:15" x14ac:dyDescent="0.25">
      <c r="A3244">
        <v>3243</v>
      </c>
      <c r="B3244" t="str">
        <f>HYPERLINK("https://digitalcommons.unl.edu/cgi/viewcontent.cgi?article=3427&amp;context=tractormuseumlit","Click for test report")</f>
        <v>Click for test report</v>
      </c>
      <c r="C3244">
        <v>2010</v>
      </c>
      <c r="D3244" t="s">
        <v>1880</v>
      </c>
      <c r="E3244" t="s">
        <v>1881</v>
      </c>
      <c r="F3244" t="s">
        <v>17</v>
      </c>
      <c r="G3244" t="s">
        <v>17</v>
      </c>
      <c r="H3244" t="s">
        <v>1180</v>
      </c>
      <c r="I3244" t="s">
        <v>28</v>
      </c>
      <c r="J3244" t="s">
        <v>20</v>
      </c>
      <c r="K3244" t="s">
        <v>21</v>
      </c>
      <c r="L3244" t="s">
        <v>216</v>
      </c>
      <c r="N3244" t="s">
        <v>400</v>
      </c>
      <c r="O3244" t="s">
        <v>24</v>
      </c>
    </row>
    <row r="3245" spans="1:15" x14ac:dyDescent="0.25">
      <c r="A3245">
        <v>3244</v>
      </c>
      <c r="B3245" t="str">
        <f>HYPERLINK("https://digitalcommons.unl.edu/cgi/viewcontent.cgi?article=3428&amp;context=tractormuseumlit","Click for test report")</f>
        <v>Click for test report</v>
      </c>
      <c r="C3245">
        <v>2010</v>
      </c>
      <c r="D3245" t="s">
        <v>1876</v>
      </c>
      <c r="E3245" t="s">
        <v>1877</v>
      </c>
      <c r="F3245" t="s">
        <v>17</v>
      </c>
      <c r="G3245" t="s">
        <v>17</v>
      </c>
      <c r="H3245" t="s">
        <v>1878</v>
      </c>
      <c r="I3245" t="s">
        <v>28</v>
      </c>
      <c r="J3245" t="s">
        <v>96</v>
      </c>
      <c r="K3245" t="s">
        <v>21</v>
      </c>
      <c r="L3245" t="s">
        <v>964</v>
      </c>
      <c r="N3245" t="s">
        <v>1879</v>
      </c>
      <c r="O3245" t="s">
        <v>24</v>
      </c>
    </row>
    <row r="3246" spans="1:15" x14ac:dyDescent="0.25">
      <c r="A3246">
        <v>3245</v>
      </c>
      <c r="B3246" t="str">
        <f>HYPERLINK("https://digitalcommons.unl.edu/cgi/viewcontent.cgi?article=3429&amp;context=tractormuseumlit","Click for test report")</f>
        <v>Click for test report</v>
      </c>
      <c r="C3246">
        <v>2010</v>
      </c>
      <c r="D3246" t="s">
        <v>1874</v>
      </c>
      <c r="E3246" t="s">
        <v>1875</v>
      </c>
      <c r="F3246" t="s">
        <v>17</v>
      </c>
      <c r="G3246" t="s">
        <v>17</v>
      </c>
      <c r="H3246" t="s">
        <v>998</v>
      </c>
      <c r="I3246" t="s">
        <v>28</v>
      </c>
      <c r="J3246" t="s">
        <v>96</v>
      </c>
      <c r="K3246" t="s">
        <v>21</v>
      </c>
      <c r="L3246" t="s">
        <v>206</v>
      </c>
      <c r="N3246" t="s">
        <v>232</v>
      </c>
      <c r="O3246" t="s">
        <v>24</v>
      </c>
    </row>
    <row r="3247" spans="1:15" x14ac:dyDescent="0.25">
      <c r="A3247">
        <v>3246</v>
      </c>
      <c r="B3247" t="str">
        <f>HYPERLINK("https://digitalcommons.unl.edu/cgi/viewcontent.cgi?article=3430&amp;context=tractormuseumlit","Click for test report")</f>
        <v>Click for test report</v>
      </c>
      <c r="C3247">
        <v>2010</v>
      </c>
      <c r="D3247" t="s">
        <v>1872</v>
      </c>
      <c r="E3247" t="s">
        <v>1873</v>
      </c>
      <c r="F3247" t="s">
        <v>17</v>
      </c>
      <c r="G3247" t="s">
        <v>17</v>
      </c>
      <c r="H3247" t="s">
        <v>994</v>
      </c>
      <c r="I3247" t="s">
        <v>64</v>
      </c>
      <c r="J3247" t="s">
        <v>20</v>
      </c>
      <c r="K3247" t="s">
        <v>21</v>
      </c>
      <c r="L3247" t="s">
        <v>421</v>
      </c>
      <c r="N3247" t="s">
        <v>227</v>
      </c>
      <c r="O3247" t="s">
        <v>1871</v>
      </c>
    </row>
    <row r="3248" spans="1:15" x14ac:dyDescent="0.25">
      <c r="A3248">
        <v>3247</v>
      </c>
      <c r="B3248" t="str">
        <f>HYPERLINK("https://digitalcommons.unl.edu/cgi/viewcontent.cgi?article=3396&amp;context=tractormuseumlit","Click for test report")</f>
        <v>Click for test report</v>
      </c>
      <c r="C3248">
        <v>2010</v>
      </c>
      <c r="D3248" t="s">
        <v>1868</v>
      </c>
      <c r="E3248" t="s">
        <v>1869</v>
      </c>
      <c r="F3248" t="s">
        <v>17</v>
      </c>
      <c r="G3248" t="s">
        <v>17</v>
      </c>
      <c r="H3248" t="s">
        <v>1167</v>
      </c>
      <c r="I3248" t="s">
        <v>64</v>
      </c>
      <c r="J3248" t="s">
        <v>96</v>
      </c>
      <c r="K3248" t="s">
        <v>21</v>
      </c>
      <c r="L3248" t="s">
        <v>999</v>
      </c>
      <c r="N3248" t="s">
        <v>1870</v>
      </c>
      <c r="O3248" t="s">
        <v>1871</v>
      </c>
    </row>
    <row r="3249" spans="1:15" x14ac:dyDescent="0.25">
      <c r="A3249">
        <v>3248</v>
      </c>
      <c r="B3249" t="str">
        <f>HYPERLINK("https://digitalcommons.unl.edu/cgi/viewcontent.cgi?article=3397&amp;context=tractormuseumlit","Click for test report")</f>
        <v>Click for test report</v>
      </c>
      <c r="C3249">
        <v>2010</v>
      </c>
      <c r="D3249" t="s">
        <v>1865</v>
      </c>
      <c r="E3249" t="s">
        <v>1866</v>
      </c>
      <c r="F3249" t="s">
        <v>17</v>
      </c>
      <c r="G3249" t="s">
        <v>17</v>
      </c>
      <c r="H3249" t="s">
        <v>1795</v>
      </c>
      <c r="I3249" t="s">
        <v>50</v>
      </c>
      <c r="J3249" t="s">
        <v>20</v>
      </c>
      <c r="K3249" t="s">
        <v>21</v>
      </c>
      <c r="L3249" t="s">
        <v>340</v>
      </c>
      <c r="N3249" t="s">
        <v>1867</v>
      </c>
      <c r="O3249" t="s">
        <v>24</v>
      </c>
    </row>
    <row r="3250" spans="1:15" x14ac:dyDescent="0.25">
      <c r="A3250">
        <v>3249</v>
      </c>
      <c r="B3250" t="str">
        <f>HYPERLINK("https://digitalcommons.unl.edu/cgi/viewcontent.cgi?article=3398&amp;context=tractormuseumlit","Click for test report")</f>
        <v>Click for test report</v>
      </c>
      <c r="C3250">
        <v>2010</v>
      </c>
      <c r="D3250" t="s">
        <v>1862</v>
      </c>
      <c r="F3250" t="s">
        <v>111</v>
      </c>
      <c r="G3250" t="s">
        <v>778</v>
      </c>
      <c r="H3250" t="s">
        <v>1863</v>
      </c>
      <c r="I3250" t="s">
        <v>50</v>
      </c>
      <c r="J3250" t="s">
        <v>348</v>
      </c>
      <c r="K3250" t="s">
        <v>21</v>
      </c>
      <c r="L3250" t="s">
        <v>1864</v>
      </c>
      <c r="O3250" t="s">
        <v>24</v>
      </c>
    </row>
    <row r="3251" spans="1:15" x14ac:dyDescent="0.25">
      <c r="A3251">
        <v>3250</v>
      </c>
      <c r="B3251" t="str">
        <f>HYPERLINK("https://digitalcommons.unl.edu/cgi/viewcontent.cgi?article=3399&amp;context=tractormuseumlit","Click for test report")</f>
        <v>Click for test report</v>
      </c>
      <c r="C3251">
        <v>2010</v>
      </c>
      <c r="D3251" t="s">
        <v>1860</v>
      </c>
      <c r="F3251" t="s">
        <v>111</v>
      </c>
      <c r="G3251" t="s">
        <v>778</v>
      </c>
      <c r="H3251" t="s">
        <v>1861</v>
      </c>
      <c r="I3251" t="s">
        <v>50</v>
      </c>
      <c r="J3251" t="s">
        <v>20</v>
      </c>
      <c r="K3251" t="s">
        <v>21</v>
      </c>
      <c r="L3251" t="s">
        <v>1347</v>
      </c>
      <c r="O3251" t="s">
        <v>24</v>
      </c>
    </row>
    <row r="3252" spans="1:15" x14ac:dyDescent="0.25">
      <c r="A3252">
        <v>3251</v>
      </c>
      <c r="B3252" t="str">
        <f>HYPERLINK("https://digitalcommons.unl.edu/cgi/viewcontent.cgi?article=3400&amp;context=tractormuseumlit","Click for test report")</f>
        <v>Click for test report</v>
      </c>
      <c r="C3252">
        <v>2010</v>
      </c>
      <c r="D3252" t="s">
        <v>1858</v>
      </c>
      <c r="F3252" t="s">
        <v>111</v>
      </c>
      <c r="G3252" t="s">
        <v>778</v>
      </c>
      <c r="H3252" t="s">
        <v>1859</v>
      </c>
      <c r="I3252" t="s">
        <v>50</v>
      </c>
      <c r="J3252" t="s">
        <v>20</v>
      </c>
      <c r="K3252" t="s">
        <v>21</v>
      </c>
      <c r="L3252" t="s">
        <v>746</v>
      </c>
      <c r="O3252" t="s">
        <v>24</v>
      </c>
    </row>
    <row r="3253" spans="1:15" x14ac:dyDescent="0.25">
      <c r="A3253">
        <v>3252</v>
      </c>
      <c r="B3253" t="str">
        <f>HYPERLINK("https://digitalcommons.unl.edu/cgi/viewcontent.cgi?article=3401&amp;context=tractormuseumlit","Click for test report")</f>
        <v>Click for test report</v>
      </c>
      <c r="C3253">
        <v>2010</v>
      </c>
      <c r="D3253" t="s">
        <v>1856</v>
      </c>
      <c r="F3253" t="s">
        <v>111</v>
      </c>
      <c r="G3253" t="s">
        <v>778</v>
      </c>
      <c r="H3253" t="s">
        <v>1857</v>
      </c>
      <c r="I3253" t="s">
        <v>50</v>
      </c>
      <c r="J3253" t="s">
        <v>20</v>
      </c>
      <c r="K3253" t="s">
        <v>21</v>
      </c>
      <c r="L3253" t="s">
        <v>55</v>
      </c>
      <c r="O3253" t="s">
        <v>24</v>
      </c>
    </row>
    <row r="3254" spans="1:15" x14ac:dyDescent="0.25">
      <c r="A3254">
        <v>3253</v>
      </c>
      <c r="B3254" t="str">
        <f>HYPERLINK("https://digitalcommons.unl.edu/cgi/viewcontent.cgi?article=3402&amp;context=tractormuseumlit","Click for test report")</f>
        <v>Click for test report</v>
      </c>
      <c r="C3254">
        <v>2010</v>
      </c>
      <c r="D3254" t="s">
        <v>1854</v>
      </c>
      <c r="F3254" t="s">
        <v>62</v>
      </c>
      <c r="G3254" t="s">
        <v>62</v>
      </c>
      <c r="H3254" t="s">
        <v>1855</v>
      </c>
      <c r="I3254" t="s">
        <v>1853</v>
      </c>
      <c r="J3254" t="s">
        <v>20</v>
      </c>
      <c r="K3254" t="s">
        <v>21</v>
      </c>
      <c r="L3254" t="s">
        <v>1796</v>
      </c>
      <c r="O3254" t="s">
        <v>24</v>
      </c>
    </row>
    <row r="3255" spans="1:15" x14ac:dyDescent="0.25">
      <c r="A3255">
        <v>3254</v>
      </c>
      <c r="B3255" t="str">
        <f>HYPERLINK("https://digitalcommons.unl.edu/cgi/viewcontent.cgi?article=3403&amp;context=tractormuseumlit","Click for test report")</f>
        <v>Click for test report</v>
      </c>
      <c r="C3255">
        <v>2010</v>
      </c>
      <c r="D3255" t="s">
        <v>1850</v>
      </c>
      <c r="E3255" t="s">
        <v>1851</v>
      </c>
      <c r="F3255" t="s">
        <v>62</v>
      </c>
      <c r="G3255" t="s">
        <v>62</v>
      </c>
      <c r="H3255" t="s">
        <v>1852</v>
      </c>
      <c r="I3255" t="s">
        <v>1853</v>
      </c>
      <c r="J3255" t="s">
        <v>20</v>
      </c>
      <c r="K3255" t="s">
        <v>21</v>
      </c>
      <c r="L3255" t="s">
        <v>794</v>
      </c>
      <c r="N3255" t="s">
        <v>571</v>
      </c>
      <c r="O3255" t="s">
        <v>24</v>
      </c>
    </row>
    <row r="3256" spans="1:15" x14ac:dyDescent="0.25">
      <c r="A3256">
        <v>3255</v>
      </c>
      <c r="B3256" t="str">
        <f>HYPERLINK("https://digitalcommons.unl.edu/cgi/viewcontent.cgi?article=3404&amp;context=tractormuseumlit","Click for test report")</f>
        <v>Click for test report</v>
      </c>
      <c r="C3256">
        <v>2010</v>
      </c>
      <c r="D3256" t="s">
        <v>1848</v>
      </c>
      <c r="F3256" t="s">
        <v>135</v>
      </c>
      <c r="G3256" t="s">
        <v>135</v>
      </c>
      <c r="H3256" t="s">
        <v>1849</v>
      </c>
      <c r="I3256" t="s">
        <v>50</v>
      </c>
      <c r="J3256" t="s">
        <v>348</v>
      </c>
      <c r="K3256" t="s">
        <v>21</v>
      </c>
      <c r="L3256" t="s">
        <v>247</v>
      </c>
      <c r="O3256" t="s">
        <v>24</v>
      </c>
    </row>
    <row r="3257" spans="1:15" x14ac:dyDescent="0.25">
      <c r="A3257">
        <v>3256</v>
      </c>
      <c r="B3257" t="str">
        <f>HYPERLINK("https://digitalcommons.unl.edu/cgi/viewcontent.cgi?article=3405&amp;context=tractormuseumlit","Click for test report")</f>
        <v>Click for test report</v>
      </c>
      <c r="C3257">
        <v>2010</v>
      </c>
      <c r="D3257" t="s">
        <v>1846</v>
      </c>
      <c r="F3257" t="s">
        <v>135</v>
      </c>
      <c r="G3257" t="s">
        <v>135</v>
      </c>
      <c r="H3257" t="s">
        <v>1847</v>
      </c>
      <c r="I3257" t="s">
        <v>50</v>
      </c>
      <c r="J3257" t="s">
        <v>20</v>
      </c>
      <c r="K3257" t="s">
        <v>21</v>
      </c>
      <c r="L3257" t="s">
        <v>375</v>
      </c>
      <c r="O3257" t="s">
        <v>24</v>
      </c>
    </row>
    <row r="3258" spans="1:15" x14ac:dyDescent="0.25">
      <c r="A3258">
        <v>3257</v>
      </c>
      <c r="B3258" t="str">
        <f>HYPERLINK("https://digitalcommons.unl.edu/cgi/viewcontent.cgi?article=4147&amp;context=tractormuseumlit","Click for test report")</f>
        <v>Click for test report</v>
      </c>
      <c r="C3258">
        <v>2011</v>
      </c>
      <c r="E3258" t="s">
        <v>1844</v>
      </c>
      <c r="F3258" t="s">
        <v>1136</v>
      </c>
      <c r="G3258" t="s">
        <v>778</v>
      </c>
      <c r="H3258" t="s">
        <v>1845</v>
      </c>
      <c r="I3258" t="s">
        <v>19</v>
      </c>
      <c r="J3258" t="s">
        <v>20</v>
      </c>
      <c r="K3258" t="s">
        <v>21</v>
      </c>
      <c r="L3258" t="s">
        <v>130</v>
      </c>
      <c r="N3258" t="s">
        <v>340</v>
      </c>
      <c r="O3258" t="s">
        <v>1843</v>
      </c>
    </row>
    <row r="3259" spans="1:15" x14ac:dyDescent="0.25">
      <c r="A3259">
        <v>3258</v>
      </c>
      <c r="B3259" t="str">
        <f>HYPERLINK("https://digitalcommons.unl.edu/cgi/viewcontent.cgi?article=4148&amp;context=tractormuseumlit","Click for test report")</f>
        <v>Click for test report</v>
      </c>
      <c r="C3259">
        <v>2011</v>
      </c>
      <c r="E3259" t="s">
        <v>1841</v>
      </c>
      <c r="F3259" t="s">
        <v>1136</v>
      </c>
      <c r="G3259" t="s">
        <v>778</v>
      </c>
      <c r="H3259" t="s">
        <v>1842</v>
      </c>
      <c r="I3259" t="s">
        <v>19</v>
      </c>
      <c r="J3259" t="s">
        <v>20</v>
      </c>
      <c r="K3259" t="s">
        <v>21</v>
      </c>
      <c r="L3259" t="s">
        <v>336</v>
      </c>
      <c r="N3259" t="s">
        <v>562</v>
      </c>
      <c r="O3259" t="s">
        <v>1843</v>
      </c>
    </row>
    <row r="3260" spans="1:15" x14ac:dyDescent="0.25">
      <c r="A3260">
        <v>3259</v>
      </c>
      <c r="B3260" t="str">
        <f>HYPERLINK("https://digitalcommons.unl.edu/cgi/viewcontent.cgi?article=4149&amp;context=tractormuseumlit","Click for test report")</f>
        <v>Click for test report</v>
      </c>
      <c r="C3260">
        <v>2011</v>
      </c>
      <c r="E3260" t="s">
        <v>1839</v>
      </c>
      <c r="F3260" t="s">
        <v>1823</v>
      </c>
      <c r="G3260" t="s">
        <v>191</v>
      </c>
      <c r="H3260" t="s">
        <v>1840</v>
      </c>
      <c r="I3260" t="s">
        <v>28</v>
      </c>
      <c r="J3260" t="s">
        <v>20</v>
      </c>
      <c r="K3260" t="s">
        <v>21</v>
      </c>
      <c r="L3260" t="s">
        <v>1830</v>
      </c>
      <c r="N3260" t="s">
        <v>774</v>
      </c>
      <c r="O3260" t="s">
        <v>1805</v>
      </c>
    </row>
    <row r="3261" spans="1:15" x14ac:dyDescent="0.25">
      <c r="A3261">
        <v>3260</v>
      </c>
      <c r="B3261" t="str">
        <f>HYPERLINK("https://digitalcommons.unl.edu/cgi/viewcontent.cgi?article=4150&amp;context=tractormuseumlit","Click for test report")</f>
        <v>Click for test report</v>
      </c>
      <c r="C3261">
        <v>2011</v>
      </c>
      <c r="E3261" t="s">
        <v>1837</v>
      </c>
      <c r="F3261" t="s">
        <v>1823</v>
      </c>
      <c r="G3261" t="s">
        <v>191</v>
      </c>
      <c r="H3261" t="s">
        <v>1838</v>
      </c>
      <c r="I3261" t="s">
        <v>28</v>
      </c>
      <c r="J3261" t="s">
        <v>20</v>
      </c>
      <c r="K3261" t="s">
        <v>21</v>
      </c>
      <c r="L3261" t="s">
        <v>1821</v>
      </c>
      <c r="N3261" t="s">
        <v>325</v>
      </c>
      <c r="O3261" t="s">
        <v>1805</v>
      </c>
    </row>
    <row r="3262" spans="1:15" x14ac:dyDescent="0.25">
      <c r="A3262">
        <v>3261</v>
      </c>
      <c r="B3262" t="str">
        <f>HYPERLINK("https://digitalcommons.unl.edu/cgi/viewcontent.cgi?article=4151&amp;context=tractormuseumlit","Click for test report")</f>
        <v>Click for test report</v>
      </c>
      <c r="C3262">
        <v>2011</v>
      </c>
      <c r="E3262" t="s">
        <v>1835</v>
      </c>
      <c r="F3262" t="s">
        <v>1823</v>
      </c>
      <c r="G3262" t="s">
        <v>191</v>
      </c>
      <c r="H3262" t="s">
        <v>1836</v>
      </c>
      <c r="I3262" t="s">
        <v>28</v>
      </c>
      <c r="J3262" t="s">
        <v>20</v>
      </c>
      <c r="K3262" t="s">
        <v>21</v>
      </c>
      <c r="L3262" t="s">
        <v>1240</v>
      </c>
      <c r="N3262" t="s">
        <v>1037</v>
      </c>
      <c r="O3262" t="s">
        <v>1805</v>
      </c>
    </row>
    <row r="3263" spans="1:15" x14ac:dyDescent="0.25">
      <c r="A3263">
        <v>3262</v>
      </c>
      <c r="B3263" t="str">
        <f>HYPERLINK("https://digitalcommons.unl.edu/cgi/viewcontent.cgi?article=4152&amp;context=tractormuseumlit","Click for test report")</f>
        <v>Click for test report</v>
      </c>
      <c r="C3263">
        <v>2011</v>
      </c>
      <c r="E3263" t="s">
        <v>1833</v>
      </c>
      <c r="F3263" t="s">
        <v>1823</v>
      </c>
      <c r="G3263" t="s">
        <v>191</v>
      </c>
      <c r="H3263" t="s">
        <v>1834</v>
      </c>
      <c r="I3263" t="s">
        <v>28</v>
      </c>
      <c r="J3263" t="s">
        <v>20</v>
      </c>
      <c r="K3263" t="s">
        <v>21</v>
      </c>
      <c r="L3263" t="s">
        <v>161</v>
      </c>
      <c r="N3263" t="s">
        <v>76</v>
      </c>
      <c r="O3263" t="s">
        <v>1805</v>
      </c>
    </row>
    <row r="3264" spans="1:15" x14ac:dyDescent="0.25">
      <c r="A3264">
        <v>3263</v>
      </c>
      <c r="B3264" t="str">
        <f>HYPERLINK("https://digitalcommons.unl.edu/cgi/viewcontent.cgi?article=4153&amp;context=tractormuseumlit","Click for test report")</f>
        <v>Click for test report</v>
      </c>
      <c r="C3264">
        <v>2011</v>
      </c>
      <c r="E3264" t="s">
        <v>1831</v>
      </c>
      <c r="F3264" t="s">
        <v>1820</v>
      </c>
      <c r="G3264" t="s">
        <v>191</v>
      </c>
      <c r="H3264" t="s">
        <v>1832</v>
      </c>
      <c r="I3264" t="s">
        <v>64</v>
      </c>
      <c r="J3264" t="s">
        <v>20</v>
      </c>
      <c r="K3264" t="s">
        <v>21</v>
      </c>
      <c r="L3264" t="s">
        <v>510</v>
      </c>
      <c r="N3264" t="s">
        <v>1821</v>
      </c>
      <c r="O3264" t="s">
        <v>1805</v>
      </c>
    </row>
    <row r="3265" spans="1:15" x14ac:dyDescent="0.25">
      <c r="A3265">
        <v>3264</v>
      </c>
      <c r="B3265" t="str">
        <f>HYPERLINK("https://digitalcommons.unl.edu/cgi/viewcontent.cgi?article=4154&amp;context=tractormuseumlit","Click for test report")</f>
        <v>Click for test report</v>
      </c>
      <c r="C3265">
        <v>2011</v>
      </c>
      <c r="E3265" t="s">
        <v>1828</v>
      </c>
      <c r="F3265" t="s">
        <v>1823</v>
      </c>
      <c r="G3265" t="s">
        <v>135</v>
      </c>
      <c r="H3265" t="s">
        <v>1829</v>
      </c>
      <c r="I3265" t="s">
        <v>28</v>
      </c>
      <c r="J3265" t="s">
        <v>20</v>
      </c>
      <c r="K3265" t="s">
        <v>21</v>
      </c>
      <c r="L3265" t="s">
        <v>1830</v>
      </c>
      <c r="N3265" t="s">
        <v>774</v>
      </c>
      <c r="O3265" t="s">
        <v>1805</v>
      </c>
    </row>
    <row r="3266" spans="1:15" x14ac:dyDescent="0.25">
      <c r="A3266">
        <v>3265</v>
      </c>
      <c r="B3266" t="str">
        <f>HYPERLINK("https://digitalcommons.unl.edu/cgi/viewcontent.cgi?article=4155&amp;context=tractormuseumlit","Click for test report")</f>
        <v>Click for test report</v>
      </c>
      <c r="C3266">
        <v>2011</v>
      </c>
      <c r="E3266" t="s">
        <v>1826</v>
      </c>
      <c r="F3266" t="s">
        <v>1823</v>
      </c>
      <c r="G3266" t="s">
        <v>135</v>
      </c>
      <c r="H3266" t="s">
        <v>1827</v>
      </c>
      <c r="I3266" t="s">
        <v>28</v>
      </c>
      <c r="J3266" t="s">
        <v>20</v>
      </c>
      <c r="K3266" t="s">
        <v>21</v>
      </c>
      <c r="L3266" t="s">
        <v>1821</v>
      </c>
      <c r="N3266" t="s">
        <v>325</v>
      </c>
      <c r="O3266" t="s">
        <v>1805</v>
      </c>
    </row>
    <row r="3267" spans="1:15" x14ac:dyDescent="0.25">
      <c r="A3267">
        <v>3266</v>
      </c>
      <c r="B3267" t="str">
        <f>HYPERLINK("https://digitalcommons.unl.edu/cgi/viewcontent.cgi?article=4156&amp;context=tractormuseumlit","Click for test report")</f>
        <v>Click for test report</v>
      </c>
      <c r="C3267">
        <v>2011</v>
      </c>
      <c r="E3267" t="s">
        <v>1824</v>
      </c>
      <c r="F3267" t="s">
        <v>1823</v>
      </c>
      <c r="G3267" t="s">
        <v>135</v>
      </c>
      <c r="H3267" t="s">
        <v>1825</v>
      </c>
      <c r="I3267" t="s">
        <v>28</v>
      </c>
      <c r="J3267" t="s">
        <v>20</v>
      </c>
      <c r="K3267" t="s">
        <v>21</v>
      </c>
      <c r="L3267" t="s">
        <v>1240</v>
      </c>
      <c r="N3267" t="s">
        <v>1037</v>
      </c>
      <c r="O3267" t="s">
        <v>1805</v>
      </c>
    </row>
    <row r="3268" spans="1:15" x14ac:dyDescent="0.25">
      <c r="A3268">
        <v>3267</v>
      </c>
      <c r="B3268" t="str">
        <f>HYPERLINK("https://digitalcommons.unl.edu/cgi/viewcontent.cgi?article=4157&amp;context=tractormuseumlit","Click for test report")</f>
        <v>Click for test report</v>
      </c>
      <c r="C3268">
        <v>2011</v>
      </c>
      <c r="E3268" t="s">
        <v>1822</v>
      </c>
      <c r="F3268" t="s">
        <v>1823</v>
      </c>
      <c r="G3268" t="s">
        <v>135</v>
      </c>
      <c r="H3268" t="s">
        <v>832</v>
      </c>
      <c r="I3268" t="s">
        <v>28</v>
      </c>
      <c r="J3268" t="s">
        <v>20</v>
      </c>
      <c r="K3268" t="s">
        <v>21</v>
      </c>
      <c r="L3268" t="s">
        <v>161</v>
      </c>
      <c r="N3268" t="s">
        <v>76</v>
      </c>
      <c r="O3268" t="s">
        <v>1805</v>
      </c>
    </row>
    <row r="3269" spans="1:15" x14ac:dyDescent="0.25">
      <c r="A3269">
        <v>3268</v>
      </c>
      <c r="B3269" t="str">
        <f>HYPERLINK("https://digitalcommons.unl.edu/cgi/viewcontent.cgi?article=4158&amp;context=tractormuseumlit","Click for test report")</f>
        <v>Click for test report</v>
      </c>
      <c r="C3269">
        <v>2011</v>
      </c>
      <c r="E3269" t="s">
        <v>1819</v>
      </c>
      <c r="F3269" t="s">
        <v>1820</v>
      </c>
      <c r="G3269" t="s">
        <v>135</v>
      </c>
      <c r="H3269" t="s">
        <v>830</v>
      </c>
      <c r="I3269" t="s">
        <v>28</v>
      </c>
      <c r="J3269" t="s">
        <v>20</v>
      </c>
      <c r="K3269" t="s">
        <v>21</v>
      </c>
      <c r="L3269" t="s">
        <v>510</v>
      </c>
      <c r="N3269" t="s">
        <v>1821</v>
      </c>
      <c r="O3269" t="s">
        <v>1805</v>
      </c>
    </row>
    <row r="3270" spans="1:15" x14ac:dyDescent="0.25">
      <c r="A3270">
        <v>3269</v>
      </c>
      <c r="B3270" t="str">
        <f>HYPERLINK("https://digitalcommons.unl.edu/cgi/viewcontent.cgi?article=4159&amp;context=tractormuseumlit","Click for test report")</f>
        <v>Click for test report</v>
      </c>
      <c r="C3270">
        <v>2011</v>
      </c>
      <c r="E3270" t="s">
        <v>1817</v>
      </c>
      <c r="F3270" t="s">
        <v>1343</v>
      </c>
      <c r="G3270" t="s">
        <v>191</v>
      </c>
      <c r="H3270" t="s">
        <v>1818</v>
      </c>
      <c r="I3270" t="s">
        <v>1808</v>
      </c>
      <c r="J3270" t="s">
        <v>20</v>
      </c>
      <c r="K3270" t="s">
        <v>21</v>
      </c>
      <c r="L3270" t="s">
        <v>1266</v>
      </c>
      <c r="N3270" t="s">
        <v>123</v>
      </c>
      <c r="O3270" t="s">
        <v>1805</v>
      </c>
    </row>
    <row r="3271" spans="1:15" x14ac:dyDescent="0.25">
      <c r="A3271">
        <v>3270</v>
      </c>
      <c r="B3271" t="str">
        <f>HYPERLINK("https://digitalcommons.unl.edu/cgi/viewcontent.cgi?article=4160&amp;context=tractormuseumlit","Click for test report")</f>
        <v>Click for test report</v>
      </c>
      <c r="C3271">
        <v>2011</v>
      </c>
      <c r="E3271" t="s">
        <v>1815</v>
      </c>
      <c r="F3271" t="s">
        <v>1343</v>
      </c>
      <c r="G3271" t="s">
        <v>191</v>
      </c>
      <c r="H3271" t="s">
        <v>1816</v>
      </c>
      <c r="I3271" t="s">
        <v>1808</v>
      </c>
      <c r="J3271" t="s">
        <v>20</v>
      </c>
      <c r="K3271" t="s">
        <v>21</v>
      </c>
      <c r="L3271" t="s">
        <v>771</v>
      </c>
      <c r="N3271" t="s">
        <v>374</v>
      </c>
      <c r="O3271" t="s">
        <v>1805</v>
      </c>
    </row>
    <row r="3272" spans="1:15" x14ac:dyDescent="0.25">
      <c r="A3272">
        <v>3271</v>
      </c>
      <c r="B3272" t="str">
        <f>HYPERLINK("https://digitalcommons.unl.edu/cgi/viewcontent.cgi?article=4161&amp;context=tractormuseumlit","Click for test report")</f>
        <v>Click for test report</v>
      </c>
      <c r="C3272">
        <v>2011</v>
      </c>
      <c r="E3272" t="s">
        <v>1813</v>
      </c>
      <c r="F3272" t="s">
        <v>1343</v>
      </c>
      <c r="G3272" t="s">
        <v>191</v>
      </c>
      <c r="H3272" t="s">
        <v>1814</v>
      </c>
      <c r="I3272" t="s">
        <v>1808</v>
      </c>
      <c r="J3272" t="s">
        <v>20</v>
      </c>
      <c r="K3272" t="s">
        <v>21</v>
      </c>
      <c r="L3272" t="s">
        <v>1262</v>
      </c>
      <c r="N3272" t="s">
        <v>333</v>
      </c>
      <c r="O3272" t="s">
        <v>1805</v>
      </c>
    </row>
    <row r="3273" spans="1:15" x14ac:dyDescent="0.25">
      <c r="A3273">
        <v>3272</v>
      </c>
      <c r="B3273" t="str">
        <f>HYPERLINK("https://digitalcommons.unl.edu/cgi/viewcontent.cgi?article=4162&amp;context=tractormuseumlit","Click for test report")</f>
        <v>Click for test report</v>
      </c>
      <c r="C3273">
        <v>2011</v>
      </c>
      <c r="E3273" t="s">
        <v>1811</v>
      </c>
      <c r="F3273" t="s">
        <v>1343</v>
      </c>
      <c r="G3273" t="s">
        <v>135</v>
      </c>
      <c r="H3273" t="s">
        <v>1812</v>
      </c>
      <c r="I3273" t="s">
        <v>1808</v>
      </c>
      <c r="J3273" t="s">
        <v>20</v>
      </c>
      <c r="K3273" t="s">
        <v>21</v>
      </c>
      <c r="L3273" t="s">
        <v>569</v>
      </c>
      <c r="N3273" t="s">
        <v>368</v>
      </c>
      <c r="O3273" t="s">
        <v>1805</v>
      </c>
    </row>
    <row r="3274" spans="1:15" x14ac:dyDescent="0.25">
      <c r="A3274">
        <v>3273</v>
      </c>
      <c r="B3274" t="str">
        <f>HYPERLINK("https://digitalcommons.unl.edu/cgi/viewcontent.cgi?article=4163&amp;context=tractormuseumlit","Click for test report")</f>
        <v>Click for test report</v>
      </c>
      <c r="C3274">
        <v>2011</v>
      </c>
      <c r="E3274" t="s">
        <v>1809</v>
      </c>
      <c r="F3274" t="s">
        <v>1343</v>
      </c>
      <c r="G3274" t="s">
        <v>135</v>
      </c>
      <c r="H3274" t="s">
        <v>1810</v>
      </c>
      <c r="I3274" t="s">
        <v>1808</v>
      </c>
      <c r="J3274" t="s">
        <v>20</v>
      </c>
      <c r="K3274" t="s">
        <v>21</v>
      </c>
      <c r="L3274" t="s">
        <v>1397</v>
      </c>
      <c r="N3274" t="s">
        <v>45</v>
      </c>
      <c r="O3274" t="s">
        <v>1805</v>
      </c>
    </row>
    <row r="3275" spans="1:15" x14ac:dyDescent="0.25">
      <c r="A3275">
        <v>3274</v>
      </c>
      <c r="B3275" t="str">
        <f>HYPERLINK("https://digitalcommons.unl.edu/cgi/viewcontent.cgi?article=4164&amp;context=tractormuseumlit","Click for test report")</f>
        <v>Click for test report</v>
      </c>
      <c r="C3275">
        <v>2011</v>
      </c>
      <c r="E3275" t="s">
        <v>1806</v>
      </c>
      <c r="F3275" t="s">
        <v>1343</v>
      </c>
      <c r="G3275" t="s">
        <v>135</v>
      </c>
      <c r="H3275" t="s">
        <v>1807</v>
      </c>
      <c r="I3275" t="s">
        <v>1808</v>
      </c>
      <c r="J3275" t="s">
        <v>20</v>
      </c>
      <c r="K3275" t="s">
        <v>21</v>
      </c>
      <c r="L3275" t="s">
        <v>325</v>
      </c>
      <c r="N3275" t="s">
        <v>567</v>
      </c>
      <c r="O3275" t="s">
        <v>1805</v>
      </c>
    </row>
    <row r="3276" spans="1:15" x14ac:dyDescent="0.25">
      <c r="A3276">
        <v>3275</v>
      </c>
      <c r="B3276" t="str">
        <f>HYPERLINK("https://digitalcommons.unl.edu/cgi/viewcontent.cgi?article=4165&amp;context=tractormuseumlit","Click for test report")</f>
        <v>Click for test report</v>
      </c>
      <c r="C3276">
        <v>2011</v>
      </c>
      <c r="E3276" t="s">
        <v>1804</v>
      </c>
      <c r="F3276" t="s">
        <v>1343</v>
      </c>
      <c r="G3276" t="s">
        <v>135</v>
      </c>
      <c r="H3276" t="s">
        <v>841</v>
      </c>
      <c r="I3276" t="s">
        <v>64</v>
      </c>
      <c r="J3276" t="s">
        <v>20</v>
      </c>
      <c r="K3276" t="s">
        <v>21</v>
      </c>
      <c r="L3276" t="s">
        <v>787</v>
      </c>
      <c r="N3276" t="s">
        <v>567</v>
      </c>
      <c r="O3276" t="s">
        <v>1805</v>
      </c>
    </row>
    <row r="3277" spans="1:15" x14ac:dyDescent="0.25">
      <c r="A3277">
        <v>3276</v>
      </c>
      <c r="B3277" t="str">
        <f>HYPERLINK("https://digitalcommons.unl.edu/cgi/viewcontent.cgi?article=3406&amp;context=tractormuseumlit","Click for test report")</f>
        <v>Click for test report</v>
      </c>
      <c r="C3277">
        <v>2011</v>
      </c>
      <c r="D3277" t="s">
        <v>1798</v>
      </c>
      <c r="F3277" t="s">
        <v>1799</v>
      </c>
      <c r="G3277" t="s">
        <v>1800</v>
      </c>
      <c r="H3277" t="s">
        <v>1801</v>
      </c>
      <c r="I3277" t="s">
        <v>64</v>
      </c>
      <c r="J3277" t="s">
        <v>20</v>
      </c>
      <c r="K3277" t="s">
        <v>21</v>
      </c>
      <c r="L3277" t="s">
        <v>1802</v>
      </c>
      <c r="O3277" t="s">
        <v>1803</v>
      </c>
    </row>
    <row r="3278" spans="1:15" x14ac:dyDescent="0.25">
      <c r="A3278">
        <v>3277</v>
      </c>
      <c r="B3278" t="str">
        <f>HYPERLINK("https://digitalcommons.unl.edu/cgi/viewcontent.cgi?article=3407&amp;context=tractormuseumlit","Click for test report")</f>
        <v>Click for test report</v>
      </c>
      <c r="C3278">
        <v>2011</v>
      </c>
      <c r="D3278" t="s">
        <v>1794</v>
      </c>
      <c r="F3278" t="s">
        <v>708</v>
      </c>
      <c r="G3278" t="s">
        <v>17</v>
      </c>
      <c r="H3278" t="s">
        <v>1795</v>
      </c>
      <c r="I3278" t="s">
        <v>50</v>
      </c>
      <c r="J3278" t="s">
        <v>20</v>
      </c>
      <c r="K3278" t="s">
        <v>21</v>
      </c>
      <c r="L3278" t="s">
        <v>1796</v>
      </c>
      <c r="O3278" t="s">
        <v>1797</v>
      </c>
    </row>
    <row r="3279" spans="1:15" x14ac:dyDescent="0.25">
      <c r="A3279">
        <v>3278</v>
      </c>
      <c r="B3279" t="str">
        <f>HYPERLINK("https://digitalcommons.unl.edu/cgi/viewcontent.cgi?article=3408&amp;context=tractormuseumlit","Click for test report")</f>
        <v>Click for test report</v>
      </c>
      <c r="C3279">
        <v>2011</v>
      </c>
      <c r="D3279" t="s">
        <v>1791</v>
      </c>
      <c r="F3279" t="s">
        <v>17</v>
      </c>
      <c r="G3279" t="s">
        <v>17</v>
      </c>
      <c r="H3279" t="s">
        <v>1792</v>
      </c>
      <c r="I3279" t="s">
        <v>19</v>
      </c>
      <c r="J3279" t="s">
        <v>20</v>
      </c>
      <c r="K3279" t="s">
        <v>21</v>
      </c>
      <c r="L3279" t="s">
        <v>574</v>
      </c>
      <c r="O3279" t="s">
        <v>1793</v>
      </c>
    </row>
    <row r="3280" spans="1:15" x14ac:dyDescent="0.25">
      <c r="A3280">
        <v>3279</v>
      </c>
      <c r="B3280" t="str">
        <f>HYPERLINK("https://digitalcommons.unl.edu/cgi/viewcontent.cgi?article=3409&amp;context=tractormuseumlit","Click for test report")</f>
        <v>Click for test report</v>
      </c>
      <c r="C3280">
        <v>2011</v>
      </c>
      <c r="D3280" t="s">
        <v>1789</v>
      </c>
      <c r="F3280" t="s">
        <v>17</v>
      </c>
      <c r="G3280" t="s">
        <v>17</v>
      </c>
      <c r="H3280" t="s">
        <v>1790</v>
      </c>
      <c r="I3280" t="s">
        <v>19</v>
      </c>
      <c r="J3280" t="s">
        <v>20</v>
      </c>
      <c r="K3280" t="s">
        <v>21</v>
      </c>
      <c r="L3280" t="s">
        <v>454</v>
      </c>
      <c r="O3280" t="s">
        <v>1785</v>
      </c>
    </row>
    <row r="3281" spans="1:15" x14ac:dyDescent="0.25">
      <c r="A3281">
        <v>3280</v>
      </c>
      <c r="B3281" t="str">
        <f>HYPERLINK("https://digitalcommons.unl.edu/cgi/viewcontent.cgi?article=3410&amp;context=tractormuseumlit","Click for test report")</f>
        <v>Click for test report</v>
      </c>
      <c r="C3281">
        <v>2011</v>
      </c>
      <c r="D3281" t="s">
        <v>1786</v>
      </c>
      <c r="E3281" t="s">
        <v>1787</v>
      </c>
      <c r="F3281" t="s">
        <v>17</v>
      </c>
      <c r="G3281" t="s">
        <v>17</v>
      </c>
      <c r="H3281" t="s">
        <v>1788</v>
      </c>
      <c r="I3281" t="s">
        <v>19</v>
      </c>
      <c r="J3281" t="s">
        <v>20</v>
      </c>
      <c r="K3281" t="s">
        <v>21</v>
      </c>
      <c r="L3281" t="s">
        <v>127</v>
      </c>
      <c r="N3281" t="s">
        <v>461</v>
      </c>
      <c r="O3281" t="s">
        <v>24</v>
      </c>
    </row>
    <row r="3282" spans="1:15" x14ac:dyDescent="0.25">
      <c r="A3282">
        <v>3281</v>
      </c>
      <c r="B3282" t="str">
        <f>HYPERLINK("https://digitalcommons.unl.edu/cgi/viewcontent.cgi?article=3411&amp;context=tractormuseumlit","Click for test report")</f>
        <v>Click for test report</v>
      </c>
      <c r="C3282">
        <v>2011</v>
      </c>
      <c r="D3282" t="s">
        <v>1782</v>
      </c>
      <c r="E3282" t="s">
        <v>1783</v>
      </c>
      <c r="F3282" t="s">
        <v>17</v>
      </c>
      <c r="G3282" t="s">
        <v>17</v>
      </c>
      <c r="H3282" t="s">
        <v>1784</v>
      </c>
      <c r="I3282" t="s">
        <v>19</v>
      </c>
      <c r="J3282" t="s">
        <v>20</v>
      </c>
      <c r="K3282" t="s">
        <v>21</v>
      </c>
      <c r="L3282" t="s">
        <v>130</v>
      </c>
      <c r="N3282" t="s">
        <v>454</v>
      </c>
      <c r="O3282" t="s">
        <v>1785</v>
      </c>
    </row>
    <row r="3283" spans="1:15" x14ac:dyDescent="0.25">
      <c r="A3283">
        <v>3282</v>
      </c>
      <c r="B3283" t="str">
        <f>HYPERLINK("https://digitalcommons.unl.edu/cgi/viewcontent.cgi?article=3412&amp;context=tractormuseumlit","Click for test report")</f>
        <v>Click for test report</v>
      </c>
      <c r="C3283">
        <v>2011</v>
      </c>
      <c r="D3283" t="s">
        <v>1778</v>
      </c>
      <c r="E3283" t="s">
        <v>1779</v>
      </c>
      <c r="F3283" t="s">
        <v>17</v>
      </c>
      <c r="G3283" t="s">
        <v>17</v>
      </c>
      <c r="H3283" t="s">
        <v>1780</v>
      </c>
      <c r="I3283" t="s">
        <v>19</v>
      </c>
      <c r="J3283" t="s">
        <v>20</v>
      </c>
      <c r="K3283" t="s">
        <v>21</v>
      </c>
      <c r="L3283" t="s">
        <v>368</v>
      </c>
      <c r="N3283" t="s">
        <v>247</v>
      </c>
      <c r="O3283" t="s">
        <v>1781</v>
      </c>
    </row>
    <row r="3284" spans="1:15" x14ac:dyDescent="0.25">
      <c r="A3284">
        <v>3283</v>
      </c>
      <c r="B3284" t="str">
        <f>HYPERLINK("https://digitalcommons.unl.edu/cgi/viewcontent.cgi?article=3413&amp;context=tractormuseumlit","Click for test report")</f>
        <v>Click for test report</v>
      </c>
      <c r="C3284">
        <v>2011</v>
      </c>
      <c r="D3284" t="s">
        <v>1776</v>
      </c>
      <c r="E3284" t="s">
        <v>1777</v>
      </c>
      <c r="F3284" t="s">
        <v>17</v>
      </c>
      <c r="G3284" t="s">
        <v>17</v>
      </c>
      <c r="H3284" t="s">
        <v>1701</v>
      </c>
      <c r="I3284" t="s">
        <v>28</v>
      </c>
      <c r="J3284" t="s">
        <v>20</v>
      </c>
      <c r="K3284" t="s">
        <v>21</v>
      </c>
      <c r="L3284" t="s">
        <v>1059</v>
      </c>
      <c r="N3284" t="s">
        <v>296</v>
      </c>
      <c r="O3284" t="s">
        <v>24</v>
      </c>
    </row>
    <row r="3285" spans="1:15" x14ac:dyDescent="0.25">
      <c r="A3285">
        <v>3284</v>
      </c>
      <c r="B3285" t="str">
        <f>HYPERLINK("https://digitalcommons.unl.edu/cgi/viewcontent.cgi?article=3415&amp;context=tractormuseumlit","Click for test report")</f>
        <v>Click for test report</v>
      </c>
      <c r="C3285">
        <v>2011</v>
      </c>
      <c r="D3285" t="s">
        <v>1774</v>
      </c>
      <c r="E3285" t="s">
        <v>1775</v>
      </c>
      <c r="F3285" t="s">
        <v>17</v>
      </c>
      <c r="G3285" t="s">
        <v>17</v>
      </c>
      <c r="H3285" t="s">
        <v>1698</v>
      </c>
      <c r="I3285" t="s">
        <v>64</v>
      </c>
      <c r="J3285" t="s">
        <v>20</v>
      </c>
      <c r="K3285" t="s">
        <v>21</v>
      </c>
      <c r="L3285" t="s">
        <v>30</v>
      </c>
      <c r="N3285" t="s">
        <v>1524</v>
      </c>
      <c r="O3285" t="s">
        <v>24</v>
      </c>
    </row>
    <row r="3286" spans="1:15" x14ac:dyDescent="0.25">
      <c r="A3286">
        <v>3285</v>
      </c>
      <c r="B3286" t="str">
        <f>HYPERLINK("https://digitalcommons.unl.edu/cgi/viewcontent.cgi?article=3417&amp;context=tractormuseumlit","Click for test report")</f>
        <v>Click for test report</v>
      </c>
      <c r="C3286">
        <v>2011</v>
      </c>
      <c r="D3286" t="s">
        <v>1772</v>
      </c>
      <c r="E3286" t="s">
        <v>1773</v>
      </c>
      <c r="F3286" t="s">
        <v>1282</v>
      </c>
      <c r="G3286" t="s">
        <v>191</v>
      </c>
      <c r="H3286" t="s">
        <v>1040</v>
      </c>
      <c r="I3286" t="s">
        <v>28</v>
      </c>
      <c r="J3286" t="s">
        <v>20</v>
      </c>
      <c r="K3286" t="s">
        <v>21</v>
      </c>
      <c r="L3286" t="s">
        <v>814</v>
      </c>
      <c r="N3286" t="s">
        <v>939</v>
      </c>
      <c r="O3286" t="s">
        <v>1763</v>
      </c>
    </row>
    <row r="3287" spans="1:15" x14ac:dyDescent="0.25">
      <c r="A3287">
        <v>3286</v>
      </c>
      <c r="B3287" t="str">
        <f>HYPERLINK("https://digitalcommons.unl.edu/cgi/viewcontent.cgi?article=3418&amp;context=tractormuseumlit","Click for test report")</f>
        <v>Click for test report</v>
      </c>
      <c r="C3287">
        <v>2011</v>
      </c>
      <c r="D3287" t="s">
        <v>1768</v>
      </c>
      <c r="E3287" t="s">
        <v>1769</v>
      </c>
      <c r="F3287" t="s">
        <v>1282</v>
      </c>
      <c r="G3287" t="s">
        <v>191</v>
      </c>
      <c r="H3287" t="s">
        <v>1770</v>
      </c>
      <c r="I3287" t="s">
        <v>28</v>
      </c>
      <c r="J3287" t="s">
        <v>20</v>
      </c>
      <c r="K3287" t="s">
        <v>21</v>
      </c>
      <c r="L3287" t="s">
        <v>1771</v>
      </c>
      <c r="N3287" t="s">
        <v>315</v>
      </c>
      <c r="O3287" t="s">
        <v>1763</v>
      </c>
    </row>
    <row r="3288" spans="1:15" x14ac:dyDescent="0.25">
      <c r="A3288">
        <v>3287</v>
      </c>
      <c r="B3288" t="str">
        <f>HYPERLINK("https://digitalcommons.unl.edu/cgi/viewcontent.cgi?article=3419&amp;context=tractormuseumlit","Click for test report")</f>
        <v>Click for test report</v>
      </c>
      <c r="C3288">
        <v>2011</v>
      </c>
      <c r="D3288" t="s">
        <v>1764</v>
      </c>
      <c r="E3288" t="s">
        <v>1765</v>
      </c>
      <c r="F3288" t="s">
        <v>1282</v>
      </c>
      <c r="G3288" t="s">
        <v>191</v>
      </c>
      <c r="H3288" t="s">
        <v>1766</v>
      </c>
      <c r="I3288" t="s">
        <v>28</v>
      </c>
      <c r="J3288" t="s">
        <v>20</v>
      </c>
      <c r="K3288" t="s">
        <v>21</v>
      </c>
      <c r="L3288" t="s">
        <v>892</v>
      </c>
      <c r="N3288" t="s">
        <v>1767</v>
      </c>
      <c r="O3288" t="s">
        <v>1763</v>
      </c>
    </row>
    <row r="3289" spans="1:15" x14ac:dyDescent="0.25">
      <c r="A3289">
        <v>3288</v>
      </c>
      <c r="B3289" t="str">
        <f>HYPERLINK("https://digitalcommons.unl.edu/cgi/viewcontent.cgi?article=3420&amp;context=tractormuseumlit","Click for test report")</f>
        <v>Click for test report</v>
      </c>
      <c r="C3289">
        <v>2011</v>
      </c>
      <c r="D3289" t="s">
        <v>1760</v>
      </c>
      <c r="E3289" t="s">
        <v>1761</v>
      </c>
      <c r="F3289" t="s">
        <v>1282</v>
      </c>
      <c r="G3289" t="s">
        <v>191</v>
      </c>
      <c r="H3289" t="s">
        <v>1762</v>
      </c>
      <c r="I3289" t="s">
        <v>64</v>
      </c>
      <c r="J3289" t="s">
        <v>20</v>
      </c>
      <c r="K3289" t="s">
        <v>21</v>
      </c>
      <c r="L3289" t="s">
        <v>167</v>
      </c>
      <c r="N3289" t="s">
        <v>520</v>
      </c>
      <c r="O3289" t="s">
        <v>1763</v>
      </c>
    </row>
    <row r="3290" spans="1:15" x14ac:dyDescent="0.25">
      <c r="A3290">
        <v>3289</v>
      </c>
      <c r="B3290" t="str">
        <f>HYPERLINK("https://digitalcommons.unl.edu/cgi/viewcontent.cgi?article=3421&amp;context=tractormuseumlit","Click for test report")</f>
        <v>Click for test report</v>
      </c>
      <c r="C3290">
        <v>2011</v>
      </c>
      <c r="D3290" t="s">
        <v>1757</v>
      </c>
      <c r="E3290" t="s">
        <v>1758</v>
      </c>
      <c r="F3290" t="s">
        <v>1282</v>
      </c>
      <c r="G3290" t="s">
        <v>191</v>
      </c>
      <c r="H3290" t="s">
        <v>1759</v>
      </c>
      <c r="I3290" t="s">
        <v>64</v>
      </c>
      <c r="J3290" t="s">
        <v>20</v>
      </c>
      <c r="K3290" t="s">
        <v>21</v>
      </c>
      <c r="L3290" t="s">
        <v>114</v>
      </c>
      <c r="N3290" t="s">
        <v>76</v>
      </c>
      <c r="O3290" t="s">
        <v>24</v>
      </c>
    </row>
    <row r="3291" spans="1:15" x14ac:dyDescent="0.25">
      <c r="A3291">
        <v>3290</v>
      </c>
      <c r="B3291" t="str">
        <f>HYPERLINK("https://digitalcommons.unl.edu/cgi/viewcontent.cgi?article=3422&amp;context=tractormuseumlit","Click for test report")</f>
        <v>Click for test report</v>
      </c>
      <c r="C3291">
        <v>2011</v>
      </c>
      <c r="D3291" t="s">
        <v>1754</v>
      </c>
      <c r="E3291" t="s">
        <v>1755</v>
      </c>
      <c r="F3291" t="s">
        <v>61</v>
      </c>
      <c r="G3291" t="s">
        <v>61</v>
      </c>
      <c r="H3291" t="s">
        <v>1756</v>
      </c>
      <c r="I3291" t="s">
        <v>28</v>
      </c>
      <c r="J3291" t="s">
        <v>20</v>
      </c>
      <c r="K3291" t="s">
        <v>21</v>
      </c>
      <c r="L3291" t="s">
        <v>310</v>
      </c>
      <c r="N3291" t="s">
        <v>552</v>
      </c>
      <c r="O3291" t="s">
        <v>24</v>
      </c>
    </row>
    <row r="3292" spans="1:15" x14ac:dyDescent="0.25">
      <c r="A3292">
        <v>3291</v>
      </c>
      <c r="B3292" t="str">
        <f>HYPERLINK("https://digitalcommons.unl.edu/cgi/viewcontent.cgi?article=3423&amp;context=tractormuseumlit","Click for test report")</f>
        <v>Click for test report</v>
      </c>
      <c r="C3292">
        <v>2011</v>
      </c>
      <c r="D3292" t="s">
        <v>1752</v>
      </c>
      <c r="E3292" t="s">
        <v>1753</v>
      </c>
      <c r="F3292" t="s">
        <v>17</v>
      </c>
      <c r="G3292" t="s">
        <v>17</v>
      </c>
      <c r="H3292" t="s">
        <v>1689</v>
      </c>
      <c r="I3292" t="s">
        <v>28</v>
      </c>
      <c r="J3292" t="s">
        <v>96</v>
      </c>
      <c r="K3292" t="s">
        <v>21</v>
      </c>
      <c r="L3292" t="s">
        <v>221</v>
      </c>
      <c r="N3292" t="s">
        <v>888</v>
      </c>
      <c r="O3292" t="s">
        <v>24</v>
      </c>
    </row>
    <row r="3293" spans="1:15" x14ac:dyDescent="0.25">
      <c r="A3293">
        <v>3292</v>
      </c>
      <c r="B3293" t="str">
        <f>HYPERLINK("https://digitalcommons.unl.edu/cgi/viewcontent.cgi?article=3431&amp;context=tractormuseumlit","Click for test report")</f>
        <v>Click for test report</v>
      </c>
      <c r="C3293">
        <v>2011</v>
      </c>
      <c r="D3293" t="s">
        <v>1750</v>
      </c>
      <c r="E3293" t="s">
        <v>1751</v>
      </c>
      <c r="F3293" t="s">
        <v>17</v>
      </c>
      <c r="G3293" t="s">
        <v>17</v>
      </c>
      <c r="H3293" t="s">
        <v>1686</v>
      </c>
      <c r="I3293" t="s">
        <v>28</v>
      </c>
      <c r="J3293" t="s">
        <v>96</v>
      </c>
      <c r="K3293" t="s">
        <v>21</v>
      </c>
      <c r="L3293" t="s">
        <v>1589</v>
      </c>
      <c r="N3293" t="s">
        <v>216</v>
      </c>
      <c r="O3293" t="s">
        <v>24</v>
      </c>
    </row>
    <row r="3294" spans="1:15" x14ac:dyDescent="0.25">
      <c r="A3294">
        <v>3293</v>
      </c>
      <c r="B3294" t="str">
        <f>HYPERLINK("https://digitalcommons.unl.edu/cgi/viewcontent.cgi?article=3434&amp;context=tractormuseumlit","Click for test report")</f>
        <v>Click for test report</v>
      </c>
      <c r="C3294">
        <v>2011</v>
      </c>
      <c r="D3294" t="s">
        <v>1748</v>
      </c>
      <c r="E3294" t="s">
        <v>1749</v>
      </c>
      <c r="F3294" t="s">
        <v>17</v>
      </c>
      <c r="G3294" t="s">
        <v>17</v>
      </c>
      <c r="H3294" t="s">
        <v>1682</v>
      </c>
      <c r="I3294" t="s">
        <v>64</v>
      </c>
      <c r="J3294" t="s">
        <v>96</v>
      </c>
      <c r="K3294" t="s">
        <v>21</v>
      </c>
      <c r="L3294" t="s">
        <v>108</v>
      </c>
      <c r="N3294" t="s">
        <v>1683</v>
      </c>
      <c r="O3294" t="s">
        <v>24</v>
      </c>
    </row>
    <row r="3295" spans="1:15" x14ac:dyDescent="0.25">
      <c r="A3295">
        <v>3294</v>
      </c>
      <c r="B3295" t="str">
        <f>HYPERLINK("https://digitalcommons.unl.edu/cgi/viewcontent.cgi?article=3436&amp;context=tractormuseumlit","Click for test report")</f>
        <v>Click for test report</v>
      </c>
      <c r="C3295">
        <v>2011</v>
      </c>
      <c r="D3295" t="s">
        <v>1746</v>
      </c>
      <c r="E3295" t="s">
        <v>1747</v>
      </c>
      <c r="F3295" t="s">
        <v>17</v>
      </c>
      <c r="G3295" t="s">
        <v>17</v>
      </c>
      <c r="H3295" t="s">
        <v>1679</v>
      </c>
      <c r="I3295" t="s">
        <v>28</v>
      </c>
      <c r="J3295" t="s">
        <v>20</v>
      </c>
      <c r="K3295" t="s">
        <v>21</v>
      </c>
      <c r="L3295" t="s">
        <v>1564</v>
      </c>
      <c r="N3295" t="s">
        <v>1430</v>
      </c>
      <c r="O3295" t="s">
        <v>24</v>
      </c>
    </row>
    <row r="3296" spans="1:15" x14ac:dyDescent="0.25">
      <c r="A3296">
        <v>3295</v>
      </c>
      <c r="B3296" t="str">
        <f>HYPERLINK("https://digitalcommons.unl.edu/cgi/viewcontent.cgi?article=3438&amp;context=tractormuseumlit","Click for test report")</f>
        <v>Click for test report</v>
      </c>
      <c r="C3296">
        <v>2011</v>
      </c>
      <c r="D3296" t="s">
        <v>1744</v>
      </c>
      <c r="E3296" t="s">
        <v>1745</v>
      </c>
      <c r="F3296" t="s">
        <v>17</v>
      </c>
      <c r="G3296" t="s">
        <v>17</v>
      </c>
      <c r="H3296" t="s">
        <v>1676</v>
      </c>
      <c r="I3296" t="s">
        <v>28</v>
      </c>
      <c r="J3296" t="s">
        <v>20</v>
      </c>
      <c r="K3296" t="s">
        <v>21</v>
      </c>
      <c r="L3296" t="s">
        <v>311</v>
      </c>
      <c r="N3296" t="s">
        <v>892</v>
      </c>
      <c r="O3296" t="s">
        <v>24</v>
      </c>
    </row>
    <row r="3297" spans="1:15" x14ac:dyDescent="0.25">
      <c r="A3297">
        <v>3296</v>
      </c>
      <c r="B3297" t="str">
        <f>HYPERLINK("https://digitalcommons.unl.edu/cgi/viewcontent.cgi?article=3440&amp;context=tractormuseumlit","Click for test report")</f>
        <v>Click for test report</v>
      </c>
      <c r="C3297">
        <v>2011</v>
      </c>
      <c r="D3297" t="s">
        <v>1742</v>
      </c>
      <c r="E3297" t="s">
        <v>1743</v>
      </c>
      <c r="F3297" t="s">
        <v>17</v>
      </c>
      <c r="G3297" t="s">
        <v>17</v>
      </c>
      <c r="H3297" t="s">
        <v>1673</v>
      </c>
      <c r="I3297" t="s">
        <v>28</v>
      </c>
      <c r="J3297" t="s">
        <v>20</v>
      </c>
      <c r="K3297" t="s">
        <v>21</v>
      </c>
      <c r="L3297" t="s">
        <v>1168</v>
      </c>
      <c r="N3297" t="s">
        <v>400</v>
      </c>
      <c r="O3297" t="s">
        <v>24</v>
      </c>
    </row>
    <row r="3298" spans="1:15" x14ac:dyDescent="0.25">
      <c r="A3298">
        <v>3297</v>
      </c>
      <c r="B3298" t="str">
        <f>HYPERLINK("https://digitalcommons.unl.edu/cgi/viewcontent.cgi?article=3442&amp;context=tractormuseumlit","Click for test report")</f>
        <v>Click for test report</v>
      </c>
      <c r="C3298">
        <v>2011</v>
      </c>
      <c r="D3298" t="s">
        <v>1740</v>
      </c>
      <c r="E3298" t="s">
        <v>1741</v>
      </c>
      <c r="F3298" t="s">
        <v>17</v>
      </c>
      <c r="G3298" t="s">
        <v>17</v>
      </c>
      <c r="H3298" t="s">
        <v>1668</v>
      </c>
      <c r="I3298" t="s">
        <v>28</v>
      </c>
      <c r="J3298" t="s">
        <v>20</v>
      </c>
      <c r="K3298" t="s">
        <v>21</v>
      </c>
      <c r="L3298" t="s">
        <v>199</v>
      </c>
      <c r="N3298" t="s">
        <v>1669</v>
      </c>
      <c r="O3298" t="s">
        <v>24</v>
      </c>
    </row>
    <row r="3299" spans="1:15" x14ac:dyDescent="0.25">
      <c r="A3299">
        <v>3298</v>
      </c>
      <c r="B3299" t="str">
        <f>HYPERLINK("https://digitalcommons.unl.edu/cgi/viewcontent.cgi?article=3444&amp;context=tractormuseumlit","Click for test report")</f>
        <v>Click for test report</v>
      </c>
      <c r="C3299">
        <v>2011</v>
      </c>
      <c r="D3299" t="s">
        <v>1736</v>
      </c>
      <c r="E3299" t="s">
        <v>1737</v>
      </c>
      <c r="F3299" t="s">
        <v>17</v>
      </c>
      <c r="G3299" t="s">
        <v>17</v>
      </c>
      <c r="H3299" t="s">
        <v>1738</v>
      </c>
      <c r="I3299" t="s">
        <v>19</v>
      </c>
      <c r="J3299" t="s">
        <v>20</v>
      </c>
      <c r="K3299" t="s">
        <v>21</v>
      </c>
      <c r="L3299" t="s">
        <v>1739</v>
      </c>
      <c r="N3299" t="s">
        <v>1449</v>
      </c>
      <c r="O3299" t="s">
        <v>24</v>
      </c>
    </row>
    <row r="3300" spans="1:15" x14ac:dyDescent="0.25">
      <c r="A3300">
        <v>3299</v>
      </c>
      <c r="B3300" t="str">
        <f>HYPERLINK("https://digitalcommons.unl.edu/cgi/viewcontent.cgi?article=3445&amp;context=tractormuseumlit","Click for test report")</f>
        <v>Click for test report</v>
      </c>
      <c r="C3300">
        <v>2011</v>
      </c>
      <c r="D3300" t="s">
        <v>1733</v>
      </c>
      <c r="E3300" t="s">
        <v>1734</v>
      </c>
      <c r="F3300" t="s">
        <v>1282</v>
      </c>
      <c r="G3300" t="s">
        <v>191</v>
      </c>
      <c r="H3300" t="s">
        <v>953</v>
      </c>
      <c r="I3300" t="s">
        <v>28</v>
      </c>
      <c r="J3300" t="s">
        <v>20</v>
      </c>
      <c r="K3300" t="s">
        <v>21</v>
      </c>
      <c r="L3300" t="s">
        <v>1735</v>
      </c>
      <c r="N3300" t="s">
        <v>1683</v>
      </c>
      <c r="O3300" t="s">
        <v>24</v>
      </c>
    </row>
    <row r="3301" spans="1:15" x14ac:dyDescent="0.25">
      <c r="A3301">
        <v>3300</v>
      </c>
      <c r="B3301" t="str">
        <f>HYPERLINK("https://digitalcommons.unl.edu/cgi/viewcontent.cgi?article=3446&amp;context=tractormuseumlit","Click for test report")</f>
        <v>Click for test report</v>
      </c>
      <c r="C3301">
        <v>2011</v>
      </c>
      <c r="D3301" t="s">
        <v>1730</v>
      </c>
      <c r="E3301" t="s">
        <v>1731</v>
      </c>
      <c r="F3301" t="s">
        <v>1282</v>
      </c>
      <c r="G3301" t="s">
        <v>135</v>
      </c>
      <c r="H3301" t="s">
        <v>1732</v>
      </c>
      <c r="I3301" t="s">
        <v>28</v>
      </c>
      <c r="J3301" t="s">
        <v>20</v>
      </c>
      <c r="K3301" t="s">
        <v>21</v>
      </c>
      <c r="L3301" t="s">
        <v>1172</v>
      </c>
      <c r="N3301" t="s">
        <v>955</v>
      </c>
      <c r="O3301" t="s">
        <v>24</v>
      </c>
    </row>
    <row r="3302" spans="1:15" x14ac:dyDescent="0.25">
      <c r="A3302">
        <v>3301</v>
      </c>
      <c r="B3302" t="str">
        <f>HYPERLINK("https://digitalcommons.unl.edu/cgi/viewcontent.cgi?article=3447&amp;context=tractormuseumlit","Click for test report")</f>
        <v>Click for test report</v>
      </c>
      <c r="C3302">
        <v>2011</v>
      </c>
      <c r="D3302" t="s">
        <v>1727</v>
      </c>
      <c r="E3302" t="s">
        <v>1728</v>
      </c>
      <c r="F3302" t="s">
        <v>1282</v>
      </c>
      <c r="G3302" t="s">
        <v>191</v>
      </c>
      <c r="H3302" t="s">
        <v>1729</v>
      </c>
      <c r="I3302" t="s">
        <v>28</v>
      </c>
      <c r="J3302" t="s">
        <v>29</v>
      </c>
      <c r="K3302" t="s">
        <v>21</v>
      </c>
      <c r="L3302" t="s">
        <v>97</v>
      </c>
      <c r="N3302" t="s">
        <v>1055</v>
      </c>
      <c r="O3302" t="s">
        <v>24</v>
      </c>
    </row>
    <row r="3303" spans="1:15" x14ac:dyDescent="0.25">
      <c r="A3303">
        <v>3302</v>
      </c>
      <c r="B3303" t="str">
        <f>HYPERLINK("https://digitalcommons.unl.edu/cgi/viewcontent.cgi?article=3448&amp;context=tractormuseumlit","Click for test report")</f>
        <v>Click for test report</v>
      </c>
      <c r="C3303">
        <v>2011</v>
      </c>
      <c r="D3303" t="s">
        <v>1724</v>
      </c>
      <c r="E3303" t="s">
        <v>1725</v>
      </c>
      <c r="F3303" t="s">
        <v>1282</v>
      </c>
      <c r="G3303" t="s">
        <v>191</v>
      </c>
      <c r="H3303" t="s">
        <v>1726</v>
      </c>
      <c r="I3303" t="s">
        <v>28</v>
      </c>
      <c r="J3303" t="s">
        <v>29</v>
      </c>
      <c r="K3303" t="s">
        <v>21</v>
      </c>
      <c r="L3303" t="s">
        <v>1659</v>
      </c>
      <c r="N3303" t="s">
        <v>260</v>
      </c>
      <c r="O3303" t="s">
        <v>24</v>
      </c>
    </row>
    <row r="3304" spans="1:15" x14ac:dyDescent="0.25">
      <c r="A3304">
        <v>3303</v>
      </c>
      <c r="B3304" t="str">
        <f>HYPERLINK("https://digitalcommons.unl.edu/cgi/viewcontent.cgi?article=3449&amp;context=tractormuseumlit","Click for test report")</f>
        <v>Click for test report</v>
      </c>
      <c r="C3304">
        <v>2011</v>
      </c>
      <c r="D3304" t="s">
        <v>1719</v>
      </c>
      <c r="E3304" t="s">
        <v>1720</v>
      </c>
      <c r="F3304" t="s">
        <v>1282</v>
      </c>
      <c r="G3304" t="s">
        <v>191</v>
      </c>
      <c r="H3304" t="s">
        <v>1721</v>
      </c>
      <c r="I3304" t="s">
        <v>28</v>
      </c>
      <c r="J3304" t="s">
        <v>29</v>
      </c>
      <c r="K3304" t="s">
        <v>21</v>
      </c>
      <c r="L3304" t="s">
        <v>1722</v>
      </c>
      <c r="N3304" t="s">
        <v>1723</v>
      </c>
      <c r="O3304" t="s">
        <v>24</v>
      </c>
    </row>
    <row r="3305" spans="1:15" x14ac:dyDescent="0.25">
      <c r="A3305">
        <v>3304</v>
      </c>
      <c r="B3305" t="str">
        <f>HYPERLINK("https://digitalcommons.unl.edu/cgi/viewcontent.cgi?article=3450&amp;context=tractormuseumlit","Click for test report")</f>
        <v>Click for test report</v>
      </c>
      <c r="C3305">
        <v>2011</v>
      </c>
      <c r="D3305" t="s">
        <v>1716</v>
      </c>
      <c r="E3305" t="s">
        <v>1717</v>
      </c>
      <c r="F3305" t="s">
        <v>1282</v>
      </c>
      <c r="G3305" t="s">
        <v>191</v>
      </c>
      <c r="H3305" t="s">
        <v>1718</v>
      </c>
      <c r="I3305" t="s">
        <v>28</v>
      </c>
      <c r="J3305" t="s">
        <v>29</v>
      </c>
      <c r="K3305" t="s">
        <v>21</v>
      </c>
      <c r="L3305" t="s">
        <v>187</v>
      </c>
      <c r="N3305" t="s">
        <v>173</v>
      </c>
      <c r="O3305" t="s">
        <v>32</v>
      </c>
    </row>
    <row r="3306" spans="1:15" x14ac:dyDescent="0.25">
      <c r="A3306">
        <v>3305</v>
      </c>
      <c r="B3306" t="str">
        <f>HYPERLINK("https://digitalcommons.unl.edu/cgi/viewcontent.cgi?article=3451&amp;context=tractormuseumlit","Click for test report")</f>
        <v>Click for test report</v>
      </c>
      <c r="C3306">
        <v>2011</v>
      </c>
      <c r="D3306" t="s">
        <v>1714</v>
      </c>
      <c r="F3306" t="s">
        <v>1642</v>
      </c>
      <c r="G3306" t="s">
        <v>191</v>
      </c>
      <c r="H3306" t="s">
        <v>1715</v>
      </c>
      <c r="I3306" t="s">
        <v>50</v>
      </c>
      <c r="J3306" t="s">
        <v>20</v>
      </c>
      <c r="K3306" t="s">
        <v>21</v>
      </c>
      <c r="L3306" t="s">
        <v>1650</v>
      </c>
      <c r="O3306" t="s">
        <v>24</v>
      </c>
    </row>
    <row r="3307" spans="1:15" x14ac:dyDescent="0.25">
      <c r="A3307">
        <v>3306</v>
      </c>
      <c r="B3307" t="str">
        <f>HYPERLINK("https://digitalcommons.unl.edu/cgi/viewcontent.cgi?article=3452&amp;context=tractormuseumlit","Click for test report")</f>
        <v>Click for test report</v>
      </c>
      <c r="C3307">
        <v>2011</v>
      </c>
      <c r="D3307" t="s">
        <v>1712</v>
      </c>
      <c r="F3307" t="s">
        <v>1642</v>
      </c>
      <c r="G3307" t="s">
        <v>191</v>
      </c>
      <c r="H3307" t="s">
        <v>1713</v>
      </c>
      <c r="I3307" t="s">
        <v>50</v>
      </c>
      <c r="J3307" t="s">
        <v>20</v>
      </c>
      <c r="K3307" t="s">
        <v>21</v>
      </c>
      <c r="L3307" t="s">
        <v>1051</v>
      </c>
      <c r="O3307" t="s">
        <v>24</v>
      </c>
    </row>
    <row r="3308" spans="1:15" x14ac:dyDescent="0.25">
      <c r="A3308">
        <v>3307</v>
      </c>
      <c r="B3308" t="str">
        <f>HYPERLINK("https://digitalcommons.unl.edu/cgi/viewcontent.cgi?article=3453&amp;context=tractormuseumlit","Click for test report")</f>
        <v>Click for test report</v>
      </c>
      <c r="C3308">
        <v>2011</v>
      </c>
      <c r="D3308" t="s">
        <v>1710</v>
      </c>
      <c r="F3308" t="s">
        <v>1642</v>
      </c>
      <c r="G3308" t="s">
        <v>135</v>
      </c>
      <c r="H3308" t="s">
        <v>1711</v>
      </c>
      <c r="I3308" t="s">
        <v>50</v>
      </c>
      <c r="J3308" t="s">
        <v>20</v>
      </c>
      <c r="K3308" t="s">
        <v>21</v>
      </c>
      <c r="L3308" t="s">
        <v>747</v>
      </c>
      <c r="O3308" t="s">
        <v>24</v>
      </c>
    </row>
    <row r="3309" spans="1:15" x14ac:dyDescent="0.25">
      <c r="A3309">
        <v>3308</v>
      </c>
      <c r="B3309" t="str">
        <f>HYPERLINK("https://digitalcommons.unl.edu/cgi/viewcontent.cgi?article=3454&amp;context=tractormuseumlit","Click for test report")</f>
        <v>Click for test report</v>
      </c>
      <c r="C3309">
        <v>2011</v>
      </c>
      <c r="D3309" t="s">
        <v>1707</v>
      </c>
      <c r="E3309" t="s">
        <v>1708</v>
      </c>
      <c r="F3309" t="s">
        <v>1282</v>
      </c>
      <c r="G3309" t="s">
        <v>135</v>
      </c>
      <c r="H3309" t="s">
        <v>1709</v>
      </c>
      <c r="I3309" t="s">
        <v>28</v>
      </c>
      <c r="J3309" t="s">
        <v>29</v>
      </c>
      <c r="K3309" t="s">
        <v>21</v>
      </c>
      <c r="L3309" t="s">
        <v>657</v>
      </c>
      <c r="N3309" t="s">
        <v>629</v>
      </c>
      <c r="O3309" t="s">
        <v>24</v>
      </c>
    </row>
    <row r="3310" spans="1:15" x14ac:dyDescent="0.25">
      <c r="A3310">
        <v>3309</v>
      </c>
      <c r="B3310" t="str">
        <f>HYPERLINK("https://digitalcommons.unl.edu/cgi/viewcontent.cgi?article=3455&amp;context=tractormuseumlit","Click for test report")</f>
        <v>Click for test report</v>
      </c>
      <c r="C3310">
        <v>2011</v>
      </c>
      <c r="D3310" t="s">
        <v>1702</v>
      </c>
      <c r="E3310" t="s">
        <v>1703</v>
      </c>
      <c r="F3310" t="s">
        <v>1282</v>
      </c>
      <c r="G3310" t="s">
        <v>135</v>
      </c>
      <c r="H3310" t="s">
        <v>1704</v>
      </c>
      <c r="I3310" t="s">
        <v>28</v>
      </c>
      <c r="J3310" t="s">
        <v>29</v>
      </c>
      <c r="K3310" t="s">
        <v>21</v>
      </c>
      <c r="L3310" t="s">
        <v>1705</v>
      </c>
      <c r="N3310" t="s">
        <v>1706</v>
      </c>
      <c r="O3310" t="s">
        <v>24</v>
      </c>
    </row>
    <row r="3311" spans="1:15" x14ac:dyDescent="0.25">
      <c r="A3311">
        <v>3310</v>
      </c>
      <c r="B3311" t="str">
        <f>HYPERLINK("https://digitalcommons.unl.edu/cgi/viewcontent.cgi?article=3414&amp;context=tractormuseumlit","Click for test report")</f>
        <v>Click for test report</v>
      </c>
      <c r="C3311">
        <v>2011</v>
      </c>
      <c r="D3311" t="s">
        <v>1699</v>
      </c>
      <c r="E3311" t="s">
        <v>1700</v>
      </c>
      <c r="F3311" t="s">
        <v>17</v>
      </c>
      <c r="G3311" t="s">
        <v>17</v>
      </c>
      <c r="H3311" t="s">
        <v>1701</v>
      </c>
      <c r="I3311" t="s">
        <v>28</v>
      </c>
      <c r="J3311" t="s">
        <v>20</v>
      </c>
      <c r="K3311" t="s">
        <v>21</v>
      </c>
      <c r="L3311" t="s">
        <v>1059</v>
      </c>
      <c r="N3311" t="s">
        <v>296</v>
      </c>
      <c r="O3311" t="s">
        <v>24</v>
      </c>
    </row>
    <row r="3312" spans="1:15" x14ac:dyDescent="0.25">
      <c r="A3312">
        <v>3311</v>
      </c>
      <c r="B3312" t="str">
        <f>HYPERLINK("https://digitalcommons.unl.edu/cgi/viewcontent.cgi?article=3416&amp;context=tractormuseumlit","Click for test report")</f>
        <v>Click for test report</v>
      </c>
      <c r="C3312">
        <v>2011</v>
      </c>
      <c r="D3312" t="s">
        <v>1696</v>
      </c>
      <c r="E3312" t="s">
        <v>1697</v>
      </c>
      <c r="F3312" t="s">
        <v>17</v>
      </c>
      <c r="G3312" t="s">
        <v>17</v>
      </c>
      <c r="H3312" t="s">
        <v>1698</v>
      </c>
      <c r="I3312" t="s">
        <v>64</v>
      </c>
      <c r="J3312" t="s">
        <v>20</v>
      </c>
      <c r="K3312" t="s">
        <v>21</v>
      </c>
      <c r="L3312" t="s">
        <v>30</v>
      </c>
      <c r="N3312" t="s">
        <v>1524</v>
      </c>
      <c r="O3312" t="s">
        <v>24</v>
      </c>
    </row>
    <row r="3313" spans="1:15" x14ac:dyDescent="0.25">
      <c r="A3313">
        <v>3312</v>
      </c>
      <c r="B3313" t="str">
        <f>HYPERLINK("https://digitalcommons.unl.edu/cgi/viewcontent.cgi?article=3456&amp;context=tractormuseumlit","Click for test report")</f>
        <v>Click for test report</v>
      </c>
      <c r="C3313">
        <v>2011</v>
      </c>
      <c r="D3313" t="s">
        <v>1693</v>
      </c>
      <c r="E3313" t="s">
        <v>1694</v>
      </c>
      <c r="F3313" t="s">
        <v>1343</v>
      </c>
      <c r="G3313" t="s">
        <v>191</v>
      </c>
      <c r="H3313" t="s">
        <v>1695</v>
      </c>
      <c r="I3313" t="s">
        <v>64</v>
      </c>
      <c r="J3313" t="s">
        <v>20</v>
      </c>
      <c r="K3313" t="s">
        <v>21</v>
      </c>
      <c r="L3313" t="s">
        <v>114</v>
      </c>
      <c r="N3313" t="s">
        <v>76</v>
      </c>
      <c r="O3313" t="s">
        <v>24</v>
      </c>
    </row>
    <row r="3314" spans="1:15" x14ac:dyDescent="0.25">
      <c r="A3314">
        <v>3313</v>
      </c>
      <c r="B3314" t="str">
        <f>HYPERLINK("https://digitalcommons.unl.edu/cgi/viewcontent.cgi?article=3457&amp;context=tractormuseumlit","Click for test report")</f>
        <v>Click for test report</v>
      </c>
      <c r="C3314">
        <v>2011</v>
      </c>
      <c r="D3314" t="s">
        <v>1690</v>
      </c>
      <c r="E3314" t="s">
        <v>1691</v>
      </c>
      <c r="F3314" t="s">
        <v>1343</v>
      </c>
      <c r="G3314" t="s">
        <v>135</v>
      </c>
      <c r="H3314" t="s">
        <v>1692</v>
      </c>
      <c r="I3314" t="s">
        <v>64</v>
      </c>
      <c r="J3314" t="s">
        <v>20</v>
      </c>
      <c r="K3314" t="s">
        <v>21</v>
      </c>
      <c r="L3314" t="s">
        <v>114</v>
      </c>
      <c r="N3314" t="s">
        <v>76</v>
      </c>
      <c r="O3314" t="s">
        <v>24</v>
      </c>
    </row>
    <row r="3315" spans="1:15" x14ac:dyDescent="0.25">
      <c r="A3315">
        <v>3314</v>
      </c>
      <c r="B3315" t="str">
        <f>HYPERLINK("https://digitalcommons.unl.edu/cgi/viewcontent.cgi?article=3432&amp;context=tractormuseumlit","Click for test report")</f>
        <v>Click for test report</v>
      </c>
      <c r="C3315">
        <v>2011</v>
      </c>
      <c r="D3315" t="s">
        <v>1687</v>
      </c>
      <c r="E3315" t="s">
        <v>1688</v>
      </c>
      <c r="F3315" t="s">
        <v>17</v>
      </c>
      <c r="G3315" t="s">
        <v>17</v>
      </c>
      <c r="H3315" t="s">
        <v>1689</v>
      </c>
      <c r="I3315" t="s">
        <v>28</v>
      </c>
      <c r="J3315" t="s">
        <v>96</v>
      </c>
      <c r="K3315" t="s">
        <v>21</v>
      </c>
      <c r="L3315" t="s">
        <v>221</v>
      </c>
      <c r="N3315" t="s">
        <v>888</v>
      </c>
      <c r="O3315" t="s">
        <v>1670</v>
      </c>
    </row>
    <row r="3316" spans="1:15" x14ac:dyDescent="0.25">
      <c r="A3316">
        <v>3315</v>
      </c>
      <c r="B3316" t="str">
        <f>HYPERLINK("https://digitalcommons.unl.edu/cgi/viewcontent.cgi?article=3433&amp;context=tractormuseumlit","Click for test report")</f>
        <v>Click for test report</v>
      </c>
      <c r="C3316">
        <v>2011</v>
      </c>
      <c r="D3316" t="s">
        <v>1684</v>
      </c>
      <c r="E3316" t="s">
        <v>1685</v>
      </c>
      <c r="F3316" t="s">
        <v>17</v>
      </c>
      <c r="G3316" t="s">
        <v>17</v>
      </c>
      <c r="H3316" t="s">
        <v>1686</v>
      </c>
      <c r="I3316" t="s">
        <v>28</v>
      </c>
      <c r="J3316" t="s">
        <v>96</v>
      </c>
      <c r="K3316" t="s">
        <v>21</v>
      </c>
      <c r="L3316" t="s">
        <v>1589</v>
      </c>
      <c r="N3316" t="s">
        <v>216</v>
      </c>
      <c r="O3316" t="s">
        <v>1670</v>
      </c>
    </row>
    <row r="3317" spans="1:15" x14ac:dyDescent="0.25">
      <c r="A3317">
        <v>3316</v>
      </c>
      <c r="B3317" t="str">
        <f>HYPERLINK("https://digitalcommons.unl.edu/cgi/viewcontent.cgi?article=3435&amp;context=tractormuseumlit","Click for test report")</f>
        <v>Click for test report</v>
      </c>
      <c r="C3317">
        <v>2011</v>
      </c>
      <c r="D3317" t="s">
        <v>1680</v>
      </c>
      <c r="E3317" t="s">
        <v>1681</v>
      </c>
      <c r="F3317" t="s">
        <v>17</v>
      </c>
      <c r="G3317" t="s">
        <v>17</v>
      </c>
      <c r="H3317" t="s">
        <v>1682</v>
      </c>
      <c r="I3317" t="s">
        <v>64</v>
      </c>
      <c r="J3317" t="s">
        <v>96</v>
      </c>
      <c r="K3317" t="s">
        <v>21</v>
      </c>
      <c r="L3317" t="s">
        <v>108</v>
      </c>
      <c r="N3317" t="s">
        <v>1683</v>
      </c>
      <c r="O3317" t="s">
        <v>1670</v>
      </c>
    </row>
    <row r="3318" spans="1:15" x14ac:dyDescent="0.25">
      <c r="A3318">
        <v>3317</v>
      </c>
      <c r="B3318" t="str">
        <f>HYPERLINK("https://digitalcommons.unl.edu/cgi/viewcontent.cgi?article=3437&amp;context=tractormuseumlit","Click for test report")</f>
        <v>Click for test report</v>
      </c>
      <c r="C3318">
        <v>2011</v>
      </c>
      <c r="D3318" t="s">
        <v>1677</v>
      </c>
      <c r="E3318" t="s">
        <v>1678</v>
      </c>
      <c r="F3318" t="s">
        <v>17</v>
      </c>
      <c r="G3318" t="s">
        <v>17</v>
      </c>
      <c r="H3318" t="s">
        <v>1679</v>
      </c>
      <c r="I3318" t="s">
        <v>28</v>
      </c>
      <c r="J3318" t="s">
        <v>20</v>
      </c>
      <c r="K3318" t="s">
        <v>21</v>
      </c>
      <c r="L3318" t="s">
        <v>1564</v>
      </c>
      <c r="N3318" t="s">
        <v>1430</v>
      </c>
      <c r="O3318" t="s">
        <v>1670</v>
      </c>
    </row>
    <row r="3319" spans="1:15" x14ac:dyDescent="0.25">
      <c r="A3319">
        <v>3318</v>
      </c>
      <c r="B3319" t="str">
        <f>HYPERLINK("https://digitalcommons.unl.edu/cgi/viewcontent.cgi?article=3439&amp;context=tractormuseumlit","Click for test report")</f>
        <v>Click for test report</v>
      </c>
      <c r="C3319">
        <v>2011</v>
      </c>
      <c r="D3319" t="s">
        <v>1674</v>
      </c>
      <c r="E3319" t="s">
        <v>1675</v>
      </c>
      <c r="F3319" t="s">
        <v>17</v>
      </c>
      <c r="G3319" t="s">
        <v>17</v>
      </c>
      <c r="H3319" t="s">
        <v>1676</v>
      </c>
      <c r="I3319" t="s">
        <v>28</v>
      </c>
      <c r="J3319" t="s">
        <v>20</v>
      </c>
      <c r="K3319" t="s">
        <v>21</v>
      </c>
      <c r="L3319" t="s">
        <v>311</v>
      </c>
      <c r="N3319" t="s">
        <v>892</v>
      </c>
      <c r="O3319" t="s">
        <v>1670</v>
      </c>
    </row>
    <row r="3320" spans="1:15" x14ac:dyDescent="0.25">
      <c r="A3320">
        <v>3319</v>
      </c>
      <c r="B3320" t="str">
        <f>HYPERLINK("https://digitalcommons.unl.edu/cgi/viewcontent.cgi?article=3441&amp;context=tractormuseumlit","Click for test report")</f>
        <v>Click for test report</v>
      </c>
      <c r="C3320">
        <v>2011</v>
      </c>
      <c r="D3320" t="s">
        <v>1671</v>
      </c>
      <c r="E3320" t="s">
        <v>1672</v>
      </c>
      <c r="F3320" t="s">
        <v>17</v>
      </c>
      <c r="G3320" t="s">
        <v>17</v>
      </c>
      <c r="H3320" t="s">
        <v>1673</v>
      </c>
      <c r="I3320" t="s">
        <v>28</v>
      </c>
      <c r="J3320" t="s">
        <v>20</v>
      </c>
      <c r="K3320" t="s">
        <v>21</v>
      </c>
      <c r="L3320" t="s">
        <v>1168</v>
      </c>
      <c r="N3320" t="s">
        <v>400</v>
      </c>
      <c r="O3320" t="s">
        <v>1670</v>
      </c>
    </row>
    <row r="3321" spans="1:15" x14ac:dyDescent="0.25">
      <c r="A3321">
        <v>3320</v>
      </c>
      <c r="B3321" t="str">
        <f>HYPERLINK("https://digitalcommons.unl.edu/cgi/viewcontent.cgi?article=3443&amp;context=tractormuseumlit","Click for test report")</f>
        <v>Click for test report</v>
      </c>
      <c r="C3321">
        <v>2011</v>
      </c>
      <c r="D3321" t="s">
        <v>1666</v>
      </c>
      <c r="E3321" t="s">
        <v>1667</v>
      </c>
      <c r="F3321" t="s">
        <v>17</v>
      </c>
      <c r="G3321" t="s">
        <v>17</v>
      </c>
      <c r="H3321" t="s">
        <v>1668</v>
      </c>
      <c r="I3321" t="s">
        <v>28</v>
      </c>
      <c r="J3321" t="s">
        <v>20</v>
      </c>
      <c r="K3321" t="s">
        <v>21</v>
      </c>
      <c r="L3321" t="s">
        <v>199</v>
      </c>
      <c r="N3321" t="s">
        <v>1669</v>
      </c>
      <c r="O3321" t="s">
        <v>1670</v>
      </c>
    </row>
    <row r="3322" spans="1:15" x14ac:dyDescent="0.25">
      <c r="A3322">
        <v>3321</v>
      </c>
      <c r="B3322" t="str">
        <f>HYPERLINK("https://digitalcommons.unl.edu/cgi/viewcontent.cgi?article=4301&amp;context=tractormuseumlit","Click for test report")</f>
        <v>Click for test report</v>
      </c>
      <c r="C3322">
        <v>2011</v>
      </c>
      <c r="D3322" t="s">
        <v>1662</v>
      </c>
      <c r="E3322" t="s">
        <v>1663</v>
      </c>
      <c r="F3322" t="s">
        <v>1282</v>
      </c>
      <c r="G3322" t="s">
        <v>135</v>
      </c>
      <c r="H3322" t="s">
        <v>1664</v>
      </c>
      <c r="I3322" t="s">
        <v>28</v>
      </c>
      <c r="J3322" t="s">
        <v>29</v>
      </c>
      <c r="K3322" t="s">
        <v>21</v>
      </c>
      <c r="L3322" t="s">
        <v>97</v>
      </c>
      <c r="N3322" t="s">
        <v>1055</v>
      </c>
      <c r="O3322" t="s">
        <v>1665</v>
      </c>
    </row>
    <row r="3323" spans="1:15" x14ac:dyDescent="0.25">
      <c r="A3323">
        <v>3322</v>
      </c>
      <c r="B3323" t="str">
        <f>HYPERLINK("https://digitalcommons.unl.edu/cgi/viewcontent.cgi?article=4302&amp;context=tractormuseumlit","Click for test report")</f>
        <v>Click for test report</v>
      </c>
      <c r="C3323">
        <v>2011</v>
      </c>
      <c r="D3323" t="s">
        <v>1656</v>
      </c>
      <c r="E3323" t="s">
        <v>1657</v>
      </c>
      <c r="F3323" t="s">
        <v>1282</v>
      </c>
      <c r="G3323" t="s">
        <v>135</v>
      </c>
      <c r="H3323" t="s">
        <v>1658</v>
      </c>
      <c r="I3323" t="s">
        <v>28</v>
      </c>
      <c r="J3323" t="s">
        <v>29</v>
      </c>
      <c r="K3323" t="s">
        <v>21</v>
      </c>
      <c r="L3323" t="s">
        <v>1659</v>
      </c>
      <c r="N3323" t="s">
        <v>1660</v>
      </c>
      <c r="O3323" t="s">
        <v>1661</v>
      </c>
    </row>
    <row r="3324" spans="1:15" x14ac:dyDescent="0.25">
      <c r="A3324">
        <v>3323</v>
      </c>
      <c r="B3324" t="str">
        <f>HYPERLINK("https://digitalcommons.unl.edu/cgi/viewcontent.cgi?article=4303&amp;context=tractormuseumlit","Click for test report")</f>
        <v>Click for test report</v>
      </c>
      <c r="C3324">
        <v>2011</v>
      </c>
      <c r="D3324" t="s">
        <v>1652</v>
      </c>
      <c r="E3324" t="s">
        <v>1653</v>
      </c>
      <c r="F3324" t="s">
        <v>1282</v>
      </c>
      <c r="G3324" t="s">
        <v>135</v>
      </c>
      <c r="H3324" t="s">
        <v>1654</v>
      </c>
      <c r="I3324" t="s">
        <v>28</v>
      </c>
      <c r="J3324" t="s">
        <v>29</v>
      </c>
      <c r="K3324" t="s">
        <v>21</v>
      </c>
      <c r="L3324" t="s">
        <v>187</v>
      </c>
      <c r="N3324" t="s">
        <v>173</v>
      </c>
      <c r="O3324" t="s">
        <v>1655</v>
      </c>
    </row>
    <row r="3325" spans="1:15" x14ac:dyDescent="0.25">
      <c r="A3325">
        <v>3324</v>
      </c>
      <c r="B3325" t="str">
        <f>HYPERLINK("https://digitalcommons.unl.edu/cgi/viewcontent.cgi?article=4304&amp;context=tractormuseumlit","Click for test report")</f>
        <v>Click for test report</v>
      </c>
      <c r="C3325">
        <v>2011</v>
      </c>
      <c r="D3325" t="s">
        <v>1648</v>
      </c>
      <c r="F3325" t="s">
        <v>1642</v>
      </c>
      <c r="G3325" t="s">
        <v>135</v>
      </c>
      <c r="H3325" t="s">
        <v>1649</v>
      </c>
      <c r="I3325" t="s">
        <v>50</v>
      </c>
      <c r="J3325" t="s">
        <v>20</v>
      </c>
      <c r="K3325" t="s">
        <v>21</v>
      </c>
      <c r="L3325" t="s">
        <v>1650</v>
      </c>
      <c r="O3325" t="s">
        <v>1651</v>
      </c>
    </row>
    <row r="3326" spans="1:15" x14ac:dyDescent="0.25">
      <c r="A3326">
        <v>3325</v>
      </c>
      <c r="B3326" t="str">
        <f>HYPERLINK("https://digitalcommons.unl.edu/cgi/viewcontent.cgi?article=4305&amp;context=tractormuseumlit","Click for test report")</f>
        <v>Click for test report</v>
      </c>
      <c r="C3326">
        <v>2011</v>
      </c>
      <c r="D3326" t="s">
        <v>1645</v>
      </c>
      <c r="F3326" t="s">
        <v>1642</v>
      </c>
      <c r="G3326" t="s">
        <v>135</v>
      </c>
      <c r="H3326" t="s">
        <v>1646</v>
      </c>
      <c r="I3326" t="s">
        <v>50</v>
      </c>
      <c r="J3326" t="s">
        <v>20</v>
      </c>
      <c r="K3326" t="s">
        <v>21</v>
      </c>
      <c r="L3326" t="s">
        <v>1051</v>
      </c>
      <c r="O3326" t="s">
        <v>1647</v>
      </c>
    </row>
    <row r="3327" spans="1:15" x14ac:dyDescent="0.25">
      <c r="A3327">
        <v>3326</v>
      </c>
      <c r="B3327" t="str">
        <f>HYPERLINK("https://digitalcommons.unl.edu/cgi/viewcontent.cgi?article=4306&amp;context=tractormuseumlit","Click for test report")</f>
        <v>Click for test report</v>
      </c>
      <c r="C3327">
        <v>2011</v>
      </c>
      <c r="D3327" t="s">
        <v>1641</v>
      </c>
      <c r="F3327" t="s">
        <v>1642</v>
      </c>
      <c r="G3327" t="s">
        <v>191</v>
      </c>
      <c r="H3327" t="s">
        <v>1643</v>
      </c>
      <c r="I3327" t="s">
        <v>50</v>
      </c>
      <c r="J3327" t="s">
        <v>20</v>
      </c>
      <c r="K3327" t="s">
        <v>21</v>
      </c>
      <c r="L3327" t="s">
        <v>747</v>
      </c>
      <c r="O3327" t="s">
        <v>1644</v>
      </c>
    </row>
    <row r="3328" spans="1:15" x14ac:dyDescent="0.25">
      <c r="A3328">
        <v>3327</v>
      </c>
      <c r="B3328" t="str">
        <f>HYPERLINK("https://digitalcommons.unl.edu/cgi/viewcontent.cgi?article=3922&amp;context=tractormuseumlit","Click for test report")</f>
        <v>Click for test report</v>
      </c>
      <c r="C3328">
        <v>2012</v>
      </c>
      <c r="E3328" t="s">
        <v>1640</v>
      </c>
      <c r="F3328" t="s">
        <v>111</v>
      </c>
      <c r="G3328" t="s">
        <v>778</v>
      </c>
      <c r="H3328" t="s">
        <v>1581</v>
      </c>
      <c r="I3328" t="s">
        <v>64</v>
      </c>
      <c r="J3328" t="s">
        <v>20</v>
      </c>
      <c r="K3328" t="s">
        <v>21</v>
      </c>
      <c r="L3328" t="s">
        <v>118</v>
      </c>
      <c r="N3328" t="s">
        <v>336</v>
      </c>
      <c r="O3328" t="s">
        <v>24</v>
      </c>
    </row>
    <row r="3329" spans="1:15" x14ac:dyDescent="0.25">
      <c r="A3329">
        <v>3328</v>
      </c>
      <c r="B3329" t="str">
        <f>HYPERLINK("https://digitalcommons.unl.edu/cgi/viewcontent.cgi?article=3923&amp;context=tractormuseumlit","Click for test report")</f>
        <v>Click for test report</v>
      </c>
      <c r="C3329">
        <v>2012</v>
      </c>
      <c r="E3329" t="s">
        <v>1639</v>
      </c>
      <c r="F3329" t="s">
        <v>111</v>
      </c>
      <c r="G3329" t="s">
        <v>778</v>
      </c>
      <c r="H3329" t="s">
        <v>1579</v>
      </c>
      <c r="I3329" t="s">
        <v>64</v>
      </c>
      <c r="J3329" t="s">
        <v>20</v>
      </c>
      <c r="K3329" t="s">
        <v>21</v>
      </c>
      <c r="L3329" t="s">
        <v>1425</v>
      </c>
      <c r="N3329" t="s">
        <v>1386</v>
      </c>
      <c r="O3329" t="s">
        <v>24</v>
      </c>
    </row>
    <row r="3330" spans="1:15" x14ac:dyDescent="0.25">
      <c r="A3330">
        <v>3329</v>
      </c>
      <c r="B3330" t="str">
        <f>HYPERLINK("https://digitalcommons.unl.edu/cgi/viewcontent.cgi?article=3924&amp;context=tractormuseumlit","Click for test report")</f>
        <v>Click for test report</v>
      </c>
      <c r="C3330">
        <v>2012</v>
      </c>
      <c r="E3330" t="s">
        <v>1637</v>
      </c>
      <c r="F3330" t="s">
        <v>111</v>
      </c>
      <c r="G3330" t="s">
        <v>778</v>
      </c>
      <c r="H3330" t="s">
        <v>1638</v>
      </c>
      <c r="I3330" t="s">
        <v>64</v>
      </c>
      <c r="J3330" t="s">
        <v>20</v>
      </c>
      <c r="K3330" t="s">
        <v>21</v>
      </c>
      <c r="L3330" t="s">
        <v>1240</v>
      </c>
      <c r="N3330" t="s">
        <v>1514</v>
      </c>
      <c r="O3330" t="s">
        <v>24</v>
      </c>
    </row>
    <row r="3331" spans="1:15" x14ac:dyDescent="0.25">
      <c r="A3331">
        <v>3330</v>
      </c>
      <c r="B3331" t="str">
        <f>HYPERLINK("https://digitalcommons.unl.edu/cgi/viewcontent.cgi?article=3925&amp;context=tractormuseumlit","Click for test report")</f>
        <v>Click for test report</v>
      </c>
      <c r="C3331">
        <v>2012</v>
      </c>
      <c r="E3331" t="s">
        <v>1636</v>
      </c>
      <c r="F3331" t="s">
        <v>111</v>
      </c>
      <c r="G3331" t="s">
        <v>778</v>
      </c>
      <c r="H3331" t="s">
        <v>1577</v>
      </c>
      <c r="I3331" t="s">
        <v>64</v>
      </c>
      <c r="J3331" t="s">
        <v>20</v>
      </c>
      <c r="K3331" t="s">
        <v>21</v>
      </c>
      <c r="L3331" t="s">
        <v>515</v>
      </c>
      <c r="N3331" t="s">
        <v>824</v>
      </c>
      <c r="O3331" t="s">
        <v>24</v>
      </c>
    </row>
    <row r="3332" spans="1:15" x14ac:dyDescent="0.25">
      <c r="A3332">
        <v>3331</v>
      </c>
      <c r="B3332" t="str">
        <f>HYPERLINK("https://digitalcommons.unl.edu/cgi/viewcontent.cgi?article=3926&amp;context=tractormuseumlit","Click for test report")</f>
        <v>Click for test report</v>
      </c>
      <c r="C3332">
        <v>2012</v>
      </c>
      <c r="E3332" t="s">
        <v>1635</v>
      </c>
      <c r="F3332" t="s">
        <v>111</v>
      </c>
      <c r="G3332" t="s">
        <v>414</v>
      </c>
      <c r="H3332" t="s">
        <v>1570</v>
      </c>
      <c r="I3332" t="s">
        <v>64</v>
      </c>
      <c r="J3332" t="s">
        <v>20</v>
      </c>
      <c r="K3332" t="s">
        <v>21</v>
      </c>
      <c r="L3332" t="s">
        <v>118</v>
      </c>
      <c r="N3332" t="s">
        <v>336</v>
      </c>
      <c r="O3332" t="s">
        <v>24</v>
      </c>
    </row>
    <row r="3333" spans="1:15" x14ac:dyDescent="0.25">
      <c r="A3333">
        <v>3332</v>
      </c>
      <c r="B3333" t="str">
        <f>HYPERLINK("https://digitalcommons.unl.edu/cgi/viewcontent.cgi?article=3927&amp;context=tractormuseumlit","Click for test report")</f>
        <v>Click for test report</v>
      </c>
      <c r="C3333">
        <v>2012</v>
      </c>
      <c r="E3333" t="s">
        <v>1634</v>
      </c>
      <c r="F3333" t="s">
        <v>111</v>
      </c>
      <c r="G3333" t="s">
        <v>414</v>
      </c>
      <c r="H3333" t="s">
        <v>1568</v>
      </c>
      <c r="I3333" t="s">
        <v>64</v>
      </c>
      <c r="J3333" t="s">
        <v>20</v>
      </c>
      <c r="K3333" t="s">
        <v>21</v>
      </c>
      <c r="L3333" t="s">
        <v>1425</v>
      </c>
      <c r="N3333" t="s">
        <v>1266</v>
      </c>
      <c r="O3333" t="s">
        <v>24</v>
      </c>
    </row>
    <row r="3334" spans="1:15" x14ac:dyDescent="0.25">
      <c r="A3334">
        <v>3333</v>
      </c>
      <c r="B3334" t="str">
        <f>HYPERLINK("https://digitalcommons.unl.edu/cgi/viewcontent.cgi?article=3928&amp;context=tractormuseumlit","Click for test report")</f>
        <v>Click for test report</v>
      </c>
      <c r="C3334">
        <v>2012</v>
      </c>
      <c r="E3334" t="s">
        <v>1632</v>
      </c>
      <c r="F3334" t="s">
        <v>111</v>
      </c>
      <c r="G3334" t="s">
        <v>414</v>
      </c>
      <c r="H3334" t="s">
        <v>1633</v>
      </c>
      <c r="I3334" t="s">
        <v>64</v>
      </c>
      <c r="J3334" t="s">
        <v>20</v>
      </c>
      <c r="K3334" t="s">
        <v>21</v>
      </c>
      <c r="L3334" t="s">
        <v>1240</v>
      </c>
      <c r="N3334" t="s">
        <v>1514</v>
      </c>
      <c r="O3334" t="s">
        <v>24</v>
      </c>
    </row>
    <row r="3335" spans="1:15" x14ac:dyDescent="0.25">
      <c r="A3335">
        <v>3334</v>
      </c>
      <c r="B3335" t="str">
        <f>HYPERLINK("https://digitalcommons.unl.edu/cgi/viewcontent.cgi?article=3929&amp;context=tractormuseumlit","Click for test report")</f>
        <v>Click for test report</v>
      </c>
      <c r="C3335">
        <v>2012</v>
      </c>
      <c r="E3335" t="s">
        <v>1631</v>
      </c>
      <c r="F3335" t="s">
        <v>111</v>
      </c>
      <c r="G3335" t="s">
        <v>414</v>
      </c>
      <c r="H3335" t="s">
        <v>1566</v>
      </c>
      <c r="I3335" t="s">
        <v>64</v>
      </c>
      <c r="J3335" t="s">
        <v>20</v>
      </c>
      <c r="K3335" t="s">
        <v>21</v>
      </c>
      <c r="L3335" t="s">
        <v>515</v>
      </c>
      <c r="N3335" t="s">
        <v>824</v>
      </c>
      <c r="O3335" t="s">
        <v>24</v>
      </c>
    </row>
    <row r="3336" spans="1:15" x14ac:dyDescent="0.25">
      <c r="A3336">
        <v>3335</v>
      </c>
      <c r="B3336" t="str">
        <f>HYPERLINK("https://digitalcommons.unl.edu/cgi/viewcontent.cgi?article=3930&amp;context=tractormuseumlit","Click for test report")</f>
        <v>Click for test report</v>
      </c>
      <c r="C3336">
        <v>2012</v>
      </c>
      <c r="E3336" t="s">
        <v>1629</v>
      </c>
      <c r="F3336" t="s">
        <v>1343</v>
      </c>
      <c r="G3336" t="s">
        <v>191</v>
      </c>
      <c r="H3336" t="s">
        <v>1630</v>
      </c>
      <c r="I3336" t="s">
        <v>28</v>
      </c>
      <c r="J3336" t="s">
        <v>20</v>
      </c>
      <c r="K3336" t="s">
        <v>21</v>
      </c>
      <c r="L3336" t="s">
        <v>339</v>
      </c>
      <c r="N3336" t="s">
        <v>58</v>
      </c>
      <c r="O3336" t="s">
        <v>24</v>
      </c>
    </row>
    <row r="3337" spans="1:15" x14ac:dyDescent="0.25">
      <c r="A3337">
        <v>3336</v>
      </c>
      <c r="B3337" t="str">
        <f>HYPERLINK("https://digitalcommons.unl.edu/cgi/viewcontent.cgi?article=3931&amp;context=tractormuseumlit","Click for test report")</f>
        <v>Click for test report</v>
      </c>
      <c r="C3337">
        <v>2012</v>
      </c>
      <c r="E3337" t="s">
        <v>1627</v>
      </c>
      <c r="F3337" t="s">
        <v>1343</v>
      </c>
      <c r="G3337" t="s">
        <v>191</v>
      </c>
      <c r="H3337" t="s">
        <v>1628</v>
      </c>
      <c r="I3337" t="s">
        <v>28</v>
      </c>
      <c r="J3337" t="s">
        <v>20</v>
      </c>
      <c r="K3337" t="s">
        <v>21</v>
      </c>
      <c r="L3337" t="s">
        <v>364</v>
      </c>
      <c r="N3337" t="s">
        <v>340</v>
      </c>
      <c r="O3337" t="s">
        <v>24</v>
      </c>
    </row>
    <row r="3338" spans="1:15" x14ac:dyDescent="0.25">
      <c r="A3338">
        <v>3337</v>
      </c>
      <c r="B3338" t="str">
        <f>HYPERLINK("https://digitalcommons.unl.edu/cgi/viewcontent.cgi?article=3932&amp;context=tractormuseumlit","Click for test report")</f>
        <v>Click for test report</v>
      </c>
      <c r="C3338">
        <v>2012</v>
      </c>
      <c r="E3338" t="s">
        <v>1625</v>
      </c>
      <c r="F3338" t="s">
        <v>1343</v>
      </c>
      <c r="G3338" t="s">
        <v>191</v>
      </c>
      <c r="H3338" t="s">
        <v>1626</v>
      </c>
      <c r="I3338" t="s">
        <v>28</v>
      </c>
      <c r="J3338" t="s">
        <v>20</v>
      </c>
      <c r="K3338" t="s">
        <v>21</v>
      </c>
      <c r="L3338" t="s">
        <v>126</v>
      </c>
      <c r="N3338" t="s">
        <v>339</v>
      </c>
      <c r="O3338" t="s">
        <v>24</v>
      </c>
    </row>
    <row r="3339" spans="1:15" x14ac:dyDescent="0.25">
      <c r="A3339">
        <v>3338</v>
      </c>
      <c r="B3339" t="str">
        <f>HYPERLINK("https://digitalcommons.unl.edu/cgi/viewcontent.cgi?article=3933&amp;context=tractormuseumlit","Click for test report")</f>
        <v>Click for test report</v>
      </c>
      <c r="C3339">
        <v>2012</v>
      </c>
      <c r="E3339" t="s">
        <v>1623</v>
      </c>
      <c r="F3339" t="s">
        <v>1343</v>
      </c>
      <c r="G3339" t="s">
        <v>191</v>
      </c>
      <c r="H3339" t="s">
        <v>1624</v>
      </c>
      <c r="I3339" t="s">
        <v>28</v>
      </c>
      <c r="J3339" t="s">
        <v>20</v>
      </c>
      <c r="K3339" t="s">
        <v>21</v>
      </c>
      <c r="L3339" t="s">
        <v>45</v>
      </c>
      <c r="N3339" t="s">
        <v>716</v>
      </c>
      <c r="O3339" t="s">
        <v>24</v>
      </c>
    </row>
    <row r="3340" spans="1:15" x14ac:dyDescent="0.25">
      <c r="A3340">
        <v>3339</v>
      </c>
      <c r="B3340" t="str">
        <f>HYPERLINK("https://digitalcommons.unl.edu/cgi/viewcontent.cgi?article=3934&amp;context=tractormuseumlit","Click for test report")</f>
        <v>Click for test report</v>
      </c>
      <c r="C3340">
        <v>2012</v>
      </c>
      <c r="E3340" t="s">
        <v>1621</v>
      </c>
      <c r="F3340" t="s">
        <v>1343</v>
      </c>
      <c r="G3340" t="s">
        <v>191</v>
      </c>
      <c r="H3340" t="s">
        <v>1622</v>
      </c>
      <c r="I3340" t="s">
        <v>28</v>
      </c>
      <c r="J3340" t="s">
        <v>20</v>
      </c>
      <c r="K3340" t="s">
        <v>21</v>
      </c>
      <c r="L3340" t="s">
        <v>475</v>
      </c>
      <c r="N3340" t="s">
        <v>375</v>
      </c>
      <c r="O3340" t="s">
        <v>24</v>
      </c>
    </row>
    <row r="3341" spans="1:15" x14ac:dyDescent="0.25">
      <c r="A3341">
        <v>3340</v>
      </c>
      <c r="B3341" t="str">
        <f>HYPERLINK("https://digitalcommons.unl.edu/cgi/viewcontent.cgi?article=3935&amp;context=tractormuseumlit","Click for test report")</f>
        <v>Click for test report</v>
      </c>
      <c r="C3341">
        <v>2012</v>
      </c>
      <c r="E3341" t="s">
        <v>1619</v>
      </c>
      <c r="F3341" t="s">
        <v>1343</v>
      </c>
      <c r="G3341" t="s">
        <v>191</v>
      </c>
      <c r="H3341" t="s">
        <v>1620</v>
      </c>
      <c r="I3341" t="s">
        <v>28</v>
      </c>
      <c r="J3341" t="s">
        <v>20</v>
      </c>
      <c r="K3341" t="s">
        <v>21</v>
      </c>
      <c r="L3341" t="s">
        <v>332</v>
      </c>
      <c r="N3341" t="s">
        <v>375</v>
      </c>
      <c r="O3341" t="s">
        <v>24</v>
      </c>
    </row>
    <row r="3342" spans="1:15" x14ac:dyDescent="0.25">
      <c r="A3342">
        <v>3341</v>
      </c>
      <c r="B3342" t="str">
        <f>HYPERLINK("https://digitalcommons.unl.edu/cgi/viewcontent.cgi?article=3936&amp;context=tractormuseumlit","Click for test report")</f>
        <v>Click for test report</v>
      </c>
      <c r="C3342">
        <v>2012</v>
      </c>
      <c r="E3342" t="s">
        <v>1617</v>
      </c>
      <c r="F3342" t="s">
        <v>1343</v>
      </c>
      <c r="G3342" t="s">
        <v>135</v>
      </c>
      <c r="H3342" t="s">
        <v>1618</v>
      </c>
      <c r="I3342" t="s">
        <v>28</v>
      </c>
      <c r="J3342" t="s">
        <v>20</v>
      </c>
      <c r="K3342" t="s">
        <v>21</v>
      </c>
      <c r="L3342" t="s">
        <v>339</v>
      </c>
      <c r="N3342" t="s">
        <v>58</v>
      </c>
      <c r="O3342" t="s">
        <v>24</v>
      </c>
    </row>
    <row r="3343" spans="1:15" x14ac:dyDescent="0.25">
      <c r="A3343">
        <v>3342</v>
      </c>
      <c r="B3343" t="str">
        <f>HYPERLINK("https://digitalcommons.unl.edu/cgi/viewcontent.cgi?article=3937&amp;context=tractormuseumlit","Click for test report")</f>
        <v>Click for test report</v>
      </c>
      <c r="C3343">
        <v>2012</v>
      </c>
      <c r="E3343" t="s">
        <v>1615</v>
      </c>
      <c r="F3343" t="s">
        <v>1343</v>
      </c>
      <c r="G3343" t="s">
        <v>135</v>
      </c>
      <c r="H3343" t="s">
        <v>1616</v>
      </c>
      <c r="I3343" t="s">
        <v>28</v>
      </c>
      <c r="J3343" t="s">
        <v>20</v>
      </c>
      <c r="K3343" t="s">
        <v>21</v>
      </c>
      <c r="L3343" t="s">
        <v>126</v>
      </c>
      <c r="N3343" t="s">
        <v>339</v>
      </c>
      <c r="O3343" t="s">
        <v>24</v>
      </c>
    </row>
    <row r="3344" spans="1:15" x14ac:dyDescent="0.25">
      <c r="A3344">
        <v>3343</v>
      </c>
      <c r="B3344" t="str">
        <f>HYPERLINK("https://digitalcommons.unl.edu/cgi/viewcontent.cgi?article=3938&amp;context=tractormuseumlit","Click for test report")</f>
        <v>Click for test report</v>
      </c>
      <c r="C3344">
        <v>2012</v>
      </c>
      <c r="E3344" t="s">
        <v>1614</v>
      </c>
      <c r="F3344" t="s">
        <v>1343</v>
      </c>
      <c r="G3344" t="s">
        <v>135</v>
      </c>
      <c r="H3344" t="s">
        <v>798</v>
      </c>
      <c r="I3344" t="s">
        <v>28</v>
      </c>
      <c r="J3344" t="s">
        <v>20</v>
      </c>
      <c r="K3344" t="s">
        <v>21</v>
      </c>
      <c r="L3344" t="s">
        <v>364</v>
      </c>
      <c r="N3344" t="s">
        <v>340</v>
      </c>
      <c r="O3344" t="s">
        <v>24</v>
      </c>
    </row>
    <row r="3345" spans="1:15" x14ac:dyDescent="0.25">
      <c r="A3345">
        <v>3344</v>
      </c>
      <c r="B3345" t="str">
        <f>HYPERLINK("https://digitalcommons.unl.edu/cgi/viewcontent.cgi?article=3939&amp;context=tractormuseumlit","Click for test report")</f>
        <v>Click for test report</v>
      </c>
      <c r="C3345">
        <v>2012</v>
      </c>
      <c r="E3345" t="s">
        <v>1612</v>
      </c>
      <c r="F3345" t="s">
        <v>1343</v>
      </c>
      <c r="G3345" t="s">
        <v>135</v>
      </c>
      <c r="H3345" t="s">
        <v>1613</v>
      </c>
      <c r="I3345" t="s">
        <v>28</v>
      </c>
      <c r="J3345" t="s">
        <v>20</v>
      </c>
      <c r="K3345" t="s">
        <v>21</v>
      </c>
      <c r="L3345" t="s">
        <v>475</v>
      </c>
      <c r="N3345" t="s">
        <v>375</v>
      </c>
      <c r="O3345" t="s">
        <v>24</v>
      </c>
    </row>
    <row r="3346" spans="1:15" x14ac:dyDescent="0.25">
      <c r="A3346">
        <v>3345</v>
      </c>
      <c r="B3346" t="str">
        <f>HYPERLINK("https://digitalcommons.unl.edu/cgi/viewcontent.cgi?article=3940&amp;context=tractormuseumlit","Click for test report")</f>
        <v>Click for test report</v>
      </c>
      <c r="C3346">
        <v>2012</v>
      </c>
      <c r="E3346" t="s">
        <v>1611</v>
      </c>
      <c r="F3346" t="s">
        <v>1343</v>
      </c>
      <c r="G3346" t="s">
        <v>135</v>
      </c>
      <c r="H3346" t="s">
        <v>796</v>
      </c>
      <c r="I3346" t="s">
        <v>28</v>
      </c>
      <c r="J3346" t="s">
        <v>20</v>
      </c>
      <c r="K3346" t="s">
        <v>21</v>
      </c>
      <c r="L3346" t="s">
        <v>45</v>
      </c>
      <c r="N3346" t="s">
        <v>716</v>
      </c>
      <c r="O3346" t="s">
        <v>24</v>
      </c>
    </row>
    <row r="3347" spans="1:15" x14ac:dyDescent="0.25">
      <c r="A3347">
        <v>3346</v>
      </c>
      <c r="B3347" t="str">
        <f>HYPERLINK("https://digitalcommons.unl.edu/cgi/viewcontent.cgi?article=3941&amp;context=tractormuseumlit","Click for test report")</f>
        <v>Click for test report</v>
      </c>
      <c r="C3347">
        <v>2012</v>
      </c>
      <c r="E3347" t="s">
        <v>1610</v>
      </c>
      <c r="F3347" t="s">
        <v>1343</v>
      </c>
      <c r="G3347" t="s">
        <v>135</v>
      </c>
      <c r="H3347" t="s">
        <v>793</v>
      </c>
      <c r="I3347" t="s">
        <v>28</v>
      </c>
      <c r="J3347" t="s">
        <v>20</v>
      </c>
      <c r="K3347" t="s">
        <v>21</v>
      </c>
      <c r="L3347" t="s">
        <v>332</v>
      </c>
      <c r="N3347" t="s">
        <v>375</v>
      </c>
      <c r="O3347" t="s">
        <v>24</v>
      </c>
    </row>
    <row r="3348" spans="1:15" x14ac:dyDescent="0.25">
      <c r="A3348">
        <v>3347</v>
      </c>
      <c r="B3348" t="str">
        <f>HYPERLINK("https://digitalcommons.unl.edu/cgi/viewcontent.cgi?article=3942&amp;context=tractormuseumlit","Click for test report")</f>
        <v>Click for test report</v>
      </c>
      <c r="C3348">
        <v>2012</v>
      </c>
      <c r="E3348" t="s">
        <v>1608</v>
      </c>
      <c r="F3348" t="s">
        <v>1343</v>
      </c>
      <c r="G3348" t="s">
        <v>135</v>
      </c>
      <c r="H3348" t="s">
        <v>1609</v>
      </c>
      <c r="I3348" t="s">
        <v>28</v>
      </c>
      <c r="J3348" t="s">
        <v>20</v>
      </c>
      <c r="K3348" t="s">
        <v>21</v>
      </c>
      <c r="L3348" t="s">
        <v>339</v>
      </c>
      <c r="N3348" t="s">
        <v>58</v>
      </c>
      <c r="O3348" t="s">
        <v>24</v>
      </c>
    </row>
    <row r="3349" spans="1:15" x14ac:dyDescent="0.25">
      <c r="A3349">
        <v>3348</v>
      </c>
      <c r="B3349" t="str">
        <f>HYPERLINK("https://digitalcommons.unl.edu/cgi/viewcontent.cgi?article=3943&amp;context=tractormuseumlit","Click for test report")</f>
        <v>Click for test report</v>
      </c>
      <c r="C3349">
        <v>2012</v>
      </c>
      <c r="E3349" t="s">
        <v>1606</v>
      </c>
      <c r="F3349" t="s">
        <v>111</v>
      </c>
      <c r="G3349" t="s">
        <v>778</v>
      </c>
      <c r="H3349" t="s">
        <v>1607</v>
      </c>
      <c r="I3349" t="s">
        <v>64</v>
      </c>
      <c r="J3349" t="s">
        <v>20</v>
      </c>
      <c r="K3349" t="s">
        <v>21</v>
      </c>
      <c r="L3349" t="s">
        <v>1597</v>
      </c>
      <c r="N3349" t="s">
        <v>76</v>
      </c>
      <c r="O3349" t="s">
        <v>24</v>
      </c>
    </row>
    <row r="3350" spans="1:15" x14ac:dyDescent="0.25">
      <c r="A3350">
        <v>3349</v>
      </c>
      <c r="B3350" t="str">
        <f>HYPERLINK("https://digitalcommons.unl.edu/cgi/viewcontent.cgi?article=3944&amp;context=tractormuseumlit","Click for test report")</f>
        <v>Click for test report</v>
      </c>
      <c r="C3350">
        <v>2012</v>
      </c>
      <c r="E3350" t="s">
        <v>1604</v>
      </c>
      <c r="F3350" t="s">
        <v>111</v>
      </c>
      <c r="G3350" t="s">
        <v>778</v>
      </c>
      <c r="H3350" t="s">
        <v>1605</v>
      </c>
      <c r="I3350" t="s">
        <v>64</v>
      </c>
      <c r="J3350" t="s">
        <v>20</v>
      </c>
      <c r="K3350" t="s">
        <v>21</v>
      </c>
      <c r="L3350" t="s">
        <v>1182</v>
      </c>
      <c r="N3350" t="s">
        <v>505</v>
      </c>
      <c r="O3350" t="s">
        <v>24</v>
      </c>
    </row>
    <row r="3351" spans="1:15" x14ac:dyDescent="0.25">
      <c r="A3351">
        <v>3350</v>
      </c>
      <c r="B3351" t="str">
        <f>HYPERLINK("https://digitalcommons.unl.edu/cgi/viewcontent.cgi?article=3945&amp;context=tractormuseumlit","Click for test report")</f>
        <v>Click for test report</v>
      </c>
      <c r="C3351">
        <v>2012</v>
      </c>
      <c r="E3351" t="s">
        <v>1602</v>
      </c>
      <c r="F3351" t="s">
        <v>111</v>
      </c>
      <c r="G3351" t="s">
        <v>778</v>
      </c>
      <c r="H3351" t="s">
        <v>1603</v>
      </c>
      <c r="I3351" t="s">
        <v>64</v>
      </c>
      <c r="J3351" t="s">
        <v>20</v>
      </c>
      <c r="K3351" t="s">
        <v>21</v>
      </c>
      <c r="L3351" t="s">
        <v>200</v>
      </c>
      <c r="N3351" t="s">
        <v>1444</v>
      </c>
      <c r="O3351" t="s">
        <v>24</v>
      </c>
    </row>
    <row r="3352" spans="1:15" x14ac:dyDescent="0.25">
      <c r="A3352">
        <v>3351</v>
      </c>
      <c r="B3352" t="str">
        <f>HYPERLINK("https://digitalcommons.unl.edu/cgi/viewcontent.cgi?article=3946&amp;context=tractormuseumlit","Click for test report")</f>
        <v>Click for test report</v>
      </c>
      <c r="C3352">
        <v>2012</v>
      </c>
      <c r="E3352" t="s">
        <v>1600</v>
      </c>
      <c r="F3352" t="s">
        <v>111</v>
      </c>
      <c r="G3352" t="s">
        <v>778</v>
      </c>
      <c r="H3352" t="s">
        <v>1601</v>
      </c>
      <c r="I3352" t="s">
        <v>64</v>
      </c>
      <c r="J3352" t="s">
        <v>20</v>
      </c>
      <c r="K3352" t="s">
        <v>21</v>
      </c>
      <c r="L3352" t="s">
        <v>1589</v>
      </c>
      <c r="N3352" t="s">
        <v>1590</v>
      </c>
      <c r="O3352" t="s">
        <v>24</v>
      </c>
    </row>
    <row r="3353" spans="1:15" x14ac:dyDescent="0.25">
      <c r="A3353">
        <v>3352</v>
      </c>
      <c r="B3353" t="str">
        <f>HYPERLINK("https://digitalcommons.unl.edu/cgi/viewcontent.cgi?article=3947&amp;context=tractormuseumlit","Click for test report")</f>
        <v>Click for test report</v>
      </c>
      <c r="C3353">
        <v>2012</v>
      </c>
      <c r="E3353" t="s">
        <v>1598</v>
      </c>
      <c r="F3353" t="s">
        <v>111</v>
      </c>
      <c r="G3353" t="s">
        <v>778</v>
      </c>
      <c r="H3353" t="s">
        <v>1599</v>
      </c>
      <c r="I3353" t="s">
        <v>64</v>
      </c>
      <c r="J3353" t="s">
        <v>20</v>
      </c>
      <c r="K3353" t="s">
        <v>21</v>
      </c>
      <c r="L3353" t="s">
        <v>108</v>
      </c>
      <c r="N3353" t="s">
        <v>306</v>
      </c>
      <c r="O3353" t="s">
        <v>24</v>
      </c>
    </row>
    <row r="3354" spans="1:15" x14ac:dyDescent="0.25">
      <c r="A3354">
        <v>3353</v>
      </c>
      <c r="B3354" t="str">
        <f>HYPERLINK("https://digitalcommons.unl.edu/cgi/viewcontent.cgi?article=3948&amp;context=tractormuseumlit","Click for test report")</f>
        <v>Click for test report</v>
      </c>
      <c r="C3354">
        <v>2012</v>
      </c>
      <c r="E3354" t="s">
        <v>1595</v>
      </c>
      <c r="F3354" t="s">
        <v>111</v>
      </c>
      <c r="G3354" t="s">
        <v>414</v>
      </c>
      <c r="H3354" t="s">
        <v>1596</v>
      </c>
      <c r="I3354" t="s">
        <v>64</v>
      </c>
      <c r="J3354" t="s">
        <v>20</v>
      </c>
      <c r="K3354" t="s">
        <v>21</v>
      </c>
      <c r="L3354" t="s">
        <v>1597</v>
      </c>
      <c r="N3354" t="s">
        <v>76</v>
      </c>
      <c r="O3354" t="s">
        <v>24</v>
      </c>
    </row>
    <row r="3355" spans="1:15" x14ac:dyDescent="0.25">
      <c r="A3355">
        <v>3354</v>
      </c>
      <c r="B3355" t="str">
        <f>HYPERLINK("https://digitalcommons.unl.edu/cgi/viewcontent.cgi?article=3949&amp;context=tractormuseumlit","Click for test report")</f>
        <v>Click for test report</v>
      </c>
      <c r="C3355">
        <v>2012</v>
      </c>
      <c r="E3355" t="s">
        <v>1593</v>
      </c>
      <c r="F3355" t="s">
        <v>111</v>
      </c>
      <c r="G3355" t="s">
        <v>414</v>
      </c>
      <c r="H3355" t="s">
        <v>1594</v>
      </c>
      <c r="I3355" t="s">
        <v>64</v>
      </c>
      <c r="J3355" t="s">
        <v>20</v>
      </c>
      <c r="K3355" t="s">
        <v>21</v>
      </c>
      <c r="L3355" t="s">
        <v>1182</v>
      </c>
      <c r="N3355" t="s">
        <v>505</v>
      </c>
      <c r="O3355" t="s">
        <v>24</v>
      </c>
    </row>
    <row r="3356" spans="1:15" x14ac:dyDescent="0.25">
      <c r="A3356">
        <v>3355</v>
      </c>
      <c r="B3356" t="str">
        <f>HYPERLINK("https://digitalcommons.unl.edu/cgi/viewcontent.cgi?article=3950&amp;context=tractormuseumlit","Click for test report")</f>
        <v>Click for test report</v>
      </c>
      <c r="C3356">
        <v>2012</v>
      </c>
      <c r="E3356" t="s">
        <v>1591</v>
      </c>
      <c r="F3356" t="s">
        <v>111</v>
      </c>
      <c r="G3356" t="s">
        <v>414</v>
      </c>
      <c r="H3356" t="s">
        <v>1592</v>
      </c>
      <c r="I3356" t="s">
        <v>64</v>
      </c>
      <c r="J3356" t="s">
        <v>20</v>
      </c>
      <c r="K3356" t="s">
        <v>21</v>
      </c>
      <c r="L3356" t="s">
        <v>200</v>
      </c>
      <c r="N3356" t="s">
        <v>1444</v>
      </c>
      <c r="O3356" t="s">
        <v>24</v>
      </c>
    </row>
    <row r="3357" spans="1:15" x14ac:dyDescent="0.25">
      <c r="A3357">
        <v>3356</v>
      </c>
      <c r="B3357" t="str">
        <f>HYPERLINK("https://digitalcommons.unl.edu/cgi/viewcontent.cgi?article=3951&amp;context=tractormuseumlit","Click for test report")</f>
        <v>Click for test report</v>
      </c>
      <c r="C3357">
        <v>2012</v>
      </c>
      <c r="E3357" t="s">
        <v>1587</v>
      </c>
      <c r="F3357" t="s">
        <v>111</v>
      </c>
      <c r="G3357" t="s">
        <v>414</v>
      </c>
      <c r="H3357" t="s">
        <v>1588</v>
      </c>
      <c r="I3357" t="s">
        <v>64</v>
      </c>
      <c r="J3357" t="s">
        <v>20</v>
      </c>
      <c r="K3357" t="s">
        <v>21</v>
      </c>
      <c r="L3357" t="s">
        <v>1589</v>
      </c>
      <c r="N3357" t="s">
        <v>1590</v>
      </c>
      <c r="O3357" t="s">
        <v>24</v>
      </c>
    </row>
    <row r="3358" spans="1:15" x14ac:dyDescent="0.25">
      <c r="A3358">
        <v>3357</v>
      </c>
      <c r="B3358" t="str">
        <f>HYPERLINK("https://digitalcommons.unl.edu/cgi/viewcontent.cgi?article=3952&amp;context=tractormuseumlit","Click for test report")</f>
        <v>Click for test report</v>
      </c>
      <c r="C3358">
        <v>2012</v>
      </c>
      <c r="E3358" t="s">
        <v>1585</v>
      </c>
      <c r="F3358" t="s">
        <v>111</v>
      </c>
      <c r="G3358" t="s">
        <v>414</v>
      </c>
      <c r="H3358" t="s">
        <v>1586</v>
      </c>
      <c r="I3358" t="s">
        <v>64</v>
      </c>
      <c r="J3358" t="s">
        <v>20</v>
      </c>
      <c r="K3358" t="s">
        <v>21</v>
      </c>
      <c r="L3358" t="s">
        <v>108</v>
      </c>
      <c r="N3358" t="s">
        <v>306</v>
      </c>
      <c r="O3358" t="s">
        <v>24</v>
      </c>
    </row>
    <row r="3359" spans="1:15" x14ac:dyDescent="0.25">
      <c r="A3359">
        <v>3358</v>
      </c>
      <c r="B3359" t="str">
        <f>HYPERLINK("https://digitalcommons.unl.edu/cgi/viewcontent.cgi?article=3953&amp;context=tractormuseumlit","Click for test report")</f>
        <v>Click for test report</v>
      </c>
      <c r="C3359">
        <v>2012</v>
      </c>
      <c r="E3359" t="s">
        <v>1583</v>
      </c>
      <c r="F3359" t="s">
        <v>111</v>
      </c>
      <c r="G3359" t="s">
        <v>778</v>
      </c>
      <c r="H3359" t="s">
        <v>1584</v>
      </c>
      <c r="I3359" t="s">
        <v>28</v>
      </c>
      <c r="J3359" t="s">
        <v>20</v>
      </c>
      <c r="K3359" t="s">
        <v>21</v>
      </c>
      <c r="L3359" t="s">
        <v>794</v>
      </c>
      <c r="N3359" t="s">
        <v>51</v>
      </c>
      <c r="O3359" t="s">
        <v>24</v>
      </c>
    </row>
    <row r="3360" spans="1:15" x14ac:dyDescent="0.25">
      <c r="A3360">
        <v>3359</v>
      </c>
      <c r="B3360" t="str">
        <f>HYPERLINK("https://digitalcommons.unl.edu/cgi/viewcontent.cgi?article=3954&amp;context=tractormuseumlit","Click for test report")</f>
        <v>Click for test report</v>
      </c>
      <c r="C3360">
        <v>2012</v>
      </c>
      <c r="E3360" t="s">
        <v>1582</v>
      </c>
      <c r="F3360" t="s">
        <v>111</v>
      </c>
      <c r="G3360" t="s">
        <v>778</v>
      </c>
      <c r="H3360" t="s">
        <v>1383</v>
      </c>
      <c r="I3360" t="s">
        <v>28</v>
      </c>
      <c r="J3360" t="s">
        <v>20</v>
      </c>
      <c r="K3360" t="s">
        <v>21</v>
      </c>
      <c r="L3360" t="s">
        <v>1386</v>
      </c>
      <c r="N3360" t="s">
        <v>705</v>
      </c>
      <c r="O3360" t="s">
        <v>24</v>
      </c>
    </row>
    <row r="3361" spans="1:15" x14ac:dyDescent="0.25">
      <c r="A3361">
        <v>3360</v>
      </c>
      <c r="B3361" t="str">
        <f>HYPERLINK("https://digitalcommons.unl.edu/cgi/viewcontent.cgi?article=3955&amp;context=tractormuseumlit","Click for test report")</f>
        <v>Click for test report</v>
      </c>
      <c r="C3361">
        <v>2012</v>
      </c>
      <c r="E3361" t="s">
        <v>1580</v>
      </c>
      <c r="F3361" t="s">
        <v>111</v>
      </c>
      <c r="G3361" t="s">
        <v>778</v>
      </c>
      <c r="H3361" t="s">
        <v>1581</v>
      </c>
      <c r="I3361" t="s">
        <v>28</v>
      </c>
      <c r="J3361" t="s">
        <v>20</v>
      </c>
      <c r="K3361" t="s">
        <v>21</v>
      </c>
      <c r="L3361" t="s">
        <v>527</v>
      </c>
      <c r="N3361" t="s">
        <v>1266</v>
      </c>
      <c r="O3361" t="s">
        <v>24</v>
      </c>
    </row>
    <row r="3362" spans="1:15" x14ac:dyDescent="0.25">
      <c r="A3362">
        <v>3361</v>
      </c>
      <c r="B3362" t="str">
        <f>HYPERLINK("https://digitalcommons.unl.edu/cgi/viewcontent.cgi?article=3956&amp;context=tractormuseumlit","Click for test report")</f>
        <v>Click for test report</v>
      </c>
      <c r="C3362">
        <v>2012</v>
      </c>
      <c r="E3362" t="s">
        <v>1578</v>
      </c>
      <c r="F3362" t="s">
        <v>111</v>
      </c>
      <c r="G3362" t="s">
        <v>778</v>
      </c>
      <c r="H3362" t="s">
        <v>1579</v>
      </c>
      <c r="I3362" t="s">
        <v>28</v>
      </c>
      <c r="J3362" t="s">
        <v>20</v>
      </c>
      <c r="K3362" t="s">
        <v>21</v>
      </c>
      <c r="L3362" t="s">
        <v>402</v>
      </c>
      <c r="N3362" t="s">
        <v>528</v>
      </c>
      <c r="O3362" t="s">
        <v>24</v>
      </c>
    </row>
    <row r="3363" spans="1:15" x14ac:dyDescent="0.25">
      <c r="A3363">
        <v>3362</v>
      </c>
      <c r="B3363" t="str">
        <f>HYPERLINK("https://digitalcommons.unl.edu/cgi/viewcontent.cgi?article=3957&amp;context=tractormuseumlit","Click for test report")</f>
        <v>Click for test report</v>
      </c>
      <c r="C3363">
        <v>2012</v>
      </c>
      <c r="E3363" t="s">
        <v>1576</v>
      </c>
      <c r="F3363" t="s">
        <v>111</v>
      </c>
      <c r="G3363" t="s">
        <v>778</v>
      </c>
      <c r="H3363" t="s">
        <v>1577</v>
      </c>
      <c r="I3363" t="s">
        <v>28</v>
      </c>
      <c r="J3363" t="s">
        <v>20</v>
      </c>
      <c r="K3363" t="s">
        <v>21</v>
      </c>
      <c r="L3363" t="s">
        <v>1029</v>
      </c>
      <c r="N3363" t="s">
        <v>1425</v>
      </c>
      <c r="O3363" t="s">
        <v>24</v>
      </c>
    </row>
    <row r="3364" spans="1:15" x14ac:dyDescent="0.25">
      <c r="A3364">
        <v>3363</v>
      </c>
      <c r="B3364" t="str">
        <f>HYPERLINK("https://digitalcommons.unl.edu/cgi/viewcontent.cgi?article=3958&amp;context=tractormuseumlit","Click for test report")</f>
        <v>Click for test report</v>
      </c>
      <c r="C3364">
        <v>2012</v>
      </c>
      <c r="E3364" t="s">
        <v>1574</v>
      </c>
      <c r="F3364" t="s">
        <v>111</v>
      </c>
      <c r="G3364" t="s">
        <v>778</v>
      </c>
      <c r="H3364" t="s">
        <v>1575</v>
      </c>
      <c r="I3364" t="s">
        <v>28</v>
      </c>
      <c r="J3364" t="s">
        <v>20</v>
      </c>
      <c r="K3364" t="s">
        <v>21</v>
      </c>
      <c r="L3364" t="s">
        <v>1564</v>
      </c>
      <c r="N3364" t="s">
        <v>913</v>
      </c>
      <c r="O3364" t="s">
        <v>24</v>
      </c>
    </row>
    <row r="3365" spans="1:15" x14ac:dyDescent="0.25">
      <c r="A3365">
        <v>3364</v>
      </c>
      <c r="B3365" t="str">
        <f>HYPERLINK("https://digitalcommons.unl.edu/cgi/viewcontent.cgi?article=3959&amp;context=tractormuseumlit","Click for test report")</f>
        <v>Click for test report</v>
      </c>
      <c r="C3365">
        <v>2012</v>
      </c>
      <c r="E3365" t="s">
        <v>1572</v>
      </c>
      <c r="F3365" t="s">
        <v>111</v>
      </c>
      <c r="G3365" t="s">
        <v>414</v>
      </c>
      <c r="H3365" t="s">
        <v>1573</v>
      </c>
      <c r="I3365" t="s">
        <v>28</v>
      </c>
      <c r="J3365" t="s">
        <v>20</v>
      </c>
      <c r="K3365" t="s">
        <v>21</v>
      </c>
      <c r="L3365" t="s">
        <v>794</v>
      </c>
      <c r="N3365" t="s">
        <v>51</v>
      </c>
      <c r="O3365" t="s">
        <v>24</v>
      </c>
    </row>
    <row r="3366" spans="1:15" x14ac:dyDescent="0.25">
      <c r="A3366">
        <v>3365</v>
      </c>
      <c r="B3366" t="str">
        <f>HYPERLINK("https://digitalcommons.unl.edu/cgi/viewcontent.cgi?article=3960&amp;context=tractormuseumlit","Click for test report")</f>
        <v>Click for test report</v>
      </c>
      <c r="C3366">
        <v>2012</v>
      </c>
      <c r="E3366" t="s">
        <v>1571</v>
      </c>
      <c r="F3366" t="s">
        <v>111</v>
      </c>
      <c r="G3366" t="s">
        <v>414</v>
      </c>
      <c r="H3366" t="s">
        <v>1377</v>
      </c>
      <c r="I3366" t="s">
        <v>28</v>
      </c>
      <c r="J3366" t="s">
        <v>20</v>
      </c>
      <c r="K3366" t="s">
        <v>21</v>
      </c>
      <c r="L3366" t="s">
        <v>1386</v>
      </c>
      <c r="N3366" t="s">
        <v>705</v>
      </c>
      <c r="O3366" t="s">
        <v>24</v>
      </c>
    </row>
    <row r="3367" spans="1:15" x14ac:dyDescent="0.25">
      <c r="A3367">
        <v>3366</v>
      </c>
      <c r="B3367" t="str">
        <f>HYPERLINK("https://digitalcommons.unl.edu/cgi/viewcontent.cgi?article=3961&amp;context=tractormuseumlit","Click for test report")</f>
        <v>Click for test report</v>
      </c>
      <c r="C3367">
        <v>2012</v>
      </c>
      <c r="E3367" t="s">
        <v>1569</v>
      </c>
      <c r="F3367" t="s">
        <v>111</v>
      </c>
      <c r="G3367" t="s">
        <v>414</v>
      </c>
      <c r="H3367" t="s">
        <v>1570</v>
      </c>
      <c r="I3367" t="s">
        <v>28</v>
      </c>
      <c r="J3367" t="s">
        <v>20</v>
      </c>
      <c r="K3367" t="s">
        <v>21</v>
      </c>
      <c r="L3367" t="s">
        <v>328</v>
      </c>
      <c r="N3367" t="s">
        <v>1266</v>
      </c>
      <c r="O3367" t="s">
        <v>24</v>
      </c>
    </row>
    <row r="3368" spans="1:15" x14ac:dyDescent="0.25">
      <c r="A3368">
        <v>3367</v>
      </c>
      <c r="B3368" t="str">
        <f>HYPERLINK("https://digitalcommons.unl.edu/cgi/viewcontent.cgi?article=3962&amp;context=tractormuseumlit","Click for test report")</f>
        <v>Click for test report</v>
      </c>
      <c r="C3368">
        <v>2012</v>
      </c>
      <c r="E3368" t="s">
        <v>1567</v>
      </c>
      <c r="F3368" t="s">
        <v>111</v>
      </c>
      <c r="G3368" t="s">
        <v>414</v>
      </c>
      <c r="H3368" t="s">
        <v>1568</v>
      </c>
      <c r="I3368" t="s">
        <v>28</v>
      </c>
      <c r="J3368" t="s">
        <v>20</v>
      </c>
      <c r="K3368" t="s">
        <v>21</v>
      </c>
      <c r="L3368" t="s">
        <v>402</v>
      </c>
      <c r="N3368" t="s">
        <v>528</v>
      </c>
      <c r="O3368" t="s">
        <v>24</v>
      </c>
    </row>
    <row r="3369" spans="1:15" x14ac:dyDescent="0.25">
      <c r="A3369">
        <v>3368</v>
      </c>
      <c r="B3369" t="str">
        <f>HYPERLINK("https://digitalcommons.unl.edu/cgi/viewcontent.cgi?article=3963&amp;context=tractormuseumlit","Click for test report")</f>
        <v>Click for test report</v>
      </c>
      <c r="C3369">
        <v>2012</v>
      </c>
      <c r="E3369" t="s">
        <v>1565</v>
      </c>
      <c r="F3369" t="s">
        <v>111</v>
      </c>
      <c r="G3369" t="s">
        <v>414</v>
      </c>
      <c r="H3369" t="s">
        <v>1566</v>
      </c>
      <c r="I3369" t="s">
        <v>28</v>
      </c>
      <c r="J3369" t="s">
        <v>20</v>
      </c>
      <c r="K3369" t="s">
        <v>21</v>
      </c>
      <c r="L3369" t="s">
        <v>1029</v>
      </c>
      <c r="N3369" t="s">
        <v>1425</v>
      </c>
      <c r="O3369" t="s">
        <v>24</v>
      </c>
    </row>
    <row r="3370" spans="1:15" x14ac:dyDescent="0.25">
      <c r="A3370">
        <v>3369</v>
      </c>
      <c r="B3370" t="str">
        <f>HYPERLINK("https://digitalcommons.unl.edu/cgi/viewcontent.cgi?article=3964&amp;context=tractormuseumlit","Click for test report")</f>
        <v>Click for test report</v>
      </c>
      <c r="C3370">
        <v>2012</v>
      </c>
      <c r="E3370" t="s">
        <v>1562</v>
      </c>
      <c r="F3370" t="s">
        <v>111</v>
      </c>
      <c r="G3370" t="s">
        <v>414</v>
      </c>
      <c r="H3370" t="s">
        <v>1563</v>
      </c>
      <c r="I3370" t="s">
        <v>28</v>
      </c>
      <c r="J3370" t="s">
        <v>20</v>
      </c>
      <c r="K3370" t="s">
        <v>21</v>
      </c>
      <c r="L3370" t="s">
        <v>1564</v>
      </c>
      <c r="N3370" t="s">
        <v>913</v>
      </c>
      <c r="O3370" t="s">
        <v>24</v>
      </c>
    </row>
    <row r="3371" spans="1:15" x14ac:dyDescent="0.25">
      <c r="A3371">
        <v>3370</v>
      </c>
      <c r="B3371" t="str">
        <f>HYPERLINK("https://digitalcommons.unl.edu/cgi/viewcontent.cgi?article=3458&amp;context=tractormuseumlit","Click for test report")</f>
        <v>Click for test report</v>
      </c>
      <c r="C3371">
        <v>2012</v>
      </c>
      <c r="D3371" t="s">
        <v>1559</v>
      </c>
      <c r="E3371" t="s">
        <v>1560</v>
      </c>
      <c r="F3371" t="s">
        <v>1282</v>
      </c>
      <c r="G3371" t="s">
        <v>135</v>
      </c>
      <c r="H3371" t="s">
        <v>1561</v>
      </c>
      <c r="I3371" t="s">
        <v>28</v>
      </c>
      <c r="J3371" t="s">
        <v>20</v>
      </c>
      <c r="K3371" t="s">
        <v>21</v>
      </c>
      <c r="L3371" t="s">
        <v>66</v>
      </c>
      <c r="N3371" t="s">
        <v>1449</v>
      </c>
      <c r="O3371" t="s">
        <v>24</v>
      </c>
    </row>
    <row r="3372" spans="1:15" x14ac:dyDescent="0.25">
      <c r="A3372">
        <v>3371</v>
      </c>
      <c r="B3372" t="str">
        <f>HYPERLINK("https://digitalcommons.unl.edu/cgi/viewcontent.cgi?article=3459&amp;context=tractormuseumlit","Click for test report")</f>
        <v>Click for test report</v>
      </c>
      <c r="C3372">
        <v>2012</v>
      </c>
      <c r="D3372" t="s">
        <v>1556</v>
      </c>
      <c r="E3372" t="s">
        <v>1557</v>
      </c>
      <c r="F3372" t="s">
        <v>1282</v>
      </c>
      <c r="G3372" t="s">
        <v>135</v>
      </c>
      <c r="H3372" t="s">
        <v>1558</v>
      </c>
      <c r="I3372" t="s">
        <v>28</v>
      </c>
      <c r="J3372" t="s">
        <v>20</v>
      </c>
      <c r="K3372" t="s">
        <v>21</v>
      </c>
      <c r="L3372" t="s">
        <v>1444</v>
      </c>
      <c r="N3372" t="s">
        <v>161</v>
      </c>
      <c r="O3372" t="s">
        <v>24</v>
      </c>
    </row>
    <row r="3373" spans="1:15" x14ac:dyDescent="0.25">
      <c r="A3373">
        <v>3372</v>
      </c>
      <c r="B3373" t="str">
        <f>HYPERLINK("https://digitalcommons.unl.edu/cgi/viewcontent.cgi?article=3460&amp;context=tractormuseumlit","Click for test report")</f>
        <v>Click for test report</v>
      </c>
      <c r="C3373">
        <v>2012</v>
      </c>
      <c r="D3373" t="s">
        <v>1553</v>
      </c>
      <c r="E3373" t="s">
        <v>1554</v>
      </c>
      <c r="F3373" t="s">
        <v>1282</v>
      </c>
      <c r="G3373" t="s">
        <v>191</v>
      </c>
      <c r="H3373" t="s">
        <v>1555</v>
      </c>
      <c r="I3373" t="s">
        <v>28</v>
      </c>
      <c r="J3373" t="s">
        <v>20</v>
      </c>
      <c r="K3373" t="s">
        <v>21</v>
      </c>
      <c r="L3373" t="s">
        <v>1439</v>
      </c>
      <c r="N3373" t="s">
        <v>70</v>
      </c>
      <c r="O3373" t="s">
        <v>24</v>
      </c>
    </row>
    <row r="3374" spans="1:15" x14ac:dyDescent="0.25">
      <c r="A3374">
        <v>3373</v>
      </c>
      <c r="B3374" t="str">
        <f>HYPERLINK("https://digitalcommons.unl.edu/cgi/viewcontent.cgi?article=3461&amp;context=tractormuseumlit","Click for test report")</f>
        <v>Click for test report</v>
      </c>
      <c r="C3374">
        <v>2012</v>
      </c>
      <c r="D3374" t="s">
        <v>1550</v>
      </c>
      <c r="E3374" t="s">
        <v>1551</v>
      </c>
      <c r="F3374" t="s">
        <v>1282</v>
      </c>
      <c r="G3374" t="s">
        <v>191</v>
      </c>
      <c r="H3374" t="s">
        <v>1552</v>
      </c>
      <c r="I3374" t="s">
        <v>28</v>
      </c>
      <c r="J3374" t="s">
        <v>20</v>
      </c>
      <c r="K3374" t="s">
        <v>21</v>
      </c>
      <c r="L3374" t="s">
        <v>199</v>
      </c>
      <c r="N3374" t="s">
        <v>311</v>
      </c>
      <c r="O3374" t="s">
        <v>24</v>
      </c>
    </row>
    <row r="3375" spans="1:15" x14ac:dyDescent="0.25">
      <c r="A3375">
        <v>3374</v>
      </c>
      <c r="B3375" t="str">
        <f>HYPERLINK("https://digitalcommons.unl.edu/cgi/viewcontent.cgi?article=3462&amp;context=tractormuseumlit","Click for test report")</f>
        <v>Click for test report</v>
      </c>
      <c r="C3375">
        <v>2012</v>
      </c>
      <c r="D3375" t="s">
        <v>1547</v>
      </c>
      <c r="E3375" t="s">
        <v>1548</v>
      </c>
      <c r="F3375" t="s">
        <v>17</v>
      </c>
      <c r="G3375" t="s">
        <v>17</v>
      </c>
      <c r="H3375" t="s">
        <v>1549</v>
      </c>
      <c r="I3375" t="s">
        <v>19</v>
      </c>
      <c r="J3375" t="s">
        <v>20</v>
      </c>
      <c r="K3375" t="s">
        <v>21</v>
      </c>
      <c r="L3375" t="s">
        <v>1125</v>
      </c>
      <c r="N3375" t="s">
        <v>439</v>
      </c>
      <c r="O3375" t="s">
        <v>24</v>
      </c>
    </row>
    <row r="3376" spans="1:15" x14ac:dyDescent="0.25">
      <c r="A3376">
        <v>3375</v>
      </c>
      <c r="B3376" t="str">
        <f>HYPERLINK("https://digitalcommons.unl.edu/cgi/viewcontent.cgi?article=3463&amp;context=tractormuseumlit","Click for test report")</f>
        <v>Click for test report</v>
      </c>
      <c r="C3376">
        <v>2012</v>
      </c>
      <c r="D3376" t="s">
        <v>1544</v>
      </c>
      <c r="E3376" t="s">
        <v>1545</v>
      </c>
      <c r="F3376" t="s">
        <v>17</v>
      </c>
      <c r="G3376" t="s">
        <v>17</v>
      </c>
      <c r="H3376" t="s">
        <v>1216</v>
      </c>
      <c r="I3376" t="s">
        <v>19</v>
      </c>
      <c r="J3376" t="s">
        <v>20</v>
      </c>
      <c r="K3376" t="s">
        <v>21</v>
      </c>
      <c r="L3376" t="s">
        <v>1546</v>
      </c>
      <c r="N3376" t="s">
        <v>155</v>
      </c>
      <c r="O3376" t="s">
        <v>24</v>
      </c>
    </row>
    <row r="3377" spans="1:15" x14ac:dyDescent="0.25">
      <c r="A3377">
        <v>3376</v>
      </c>
      <c r="B3377" t="str">
        <f>HYPERLINK("https://digitalcommons.unl.edu/cgi/viewcontent.cgi?article=3464&amp;context=tractormuseumlit","Click for test report")</f>
        <v>Click for test report</v>
      </c>
      <c r="C3377">
        <v>2012</v>
      </c>
      <c r="D3377" t="s">
        <v>1540</v>
      </c>
      <c r="E3377" t="s">
        <v>1541</v>
      </c>
      <c r="F3377" t="s">
        <v>17</v>
      </c>
      <c r="G3377" t="s">
        <v>17</v>
      </c>
      <c r="H3377" t="s">
        <v>1542</v>
      </c>
      <c r="I3377" t="s">
        <v>64</v>
      </c>
      <c r="J3377" t="s">
        <v>20</v>
      </c>
      <c r="K3377" t="s">
        <v>21</v>
      </c>
      <c r="L3377" t="s">
        <v>1543</v>
      </c>
      <c r="N3377" t="s">
        <v>833</v>
      </c>
      <c r="O3377" t="s">
        <v>24</v>
      </c>
    </row>
    <row r="3378" spans="1:15" x14ac:dyDescent="0.25">
      <c r="A3378">
        <v>3377</v>
      </c>
      <c r="B3378" t="str">
        <f>HYPERLINK("https://digitalcommons.unl.edu/cgi/viewcontent.cgi?article=3465&amp;context=tractormuseumlit","Click for test report")</f>
        <v>Click for test report</v>
      </c>
      <c r="C3378">
        <v>2012</v>
      </c>
      <c r="D3378" t="s">
        <v>1537</v>
      </c>
      <c r="E3378" t="s">
        <v>1538</v>
      </c>
      <c r="F3378" t="s">
        <v>17</v>
      </c>
      <c r="G3378" t="s">
        <v>17</v>
      </c>
      <c r="H3378" t="s">
        <v>1539</v>
      </c>
      <c r="I3378" t="s">
        <v>64</v>
      </c>
      <c r="J3378" t="s">
        <v>20</v>
      </c>
      <c r="K3378" t="s">
        <v>21</v>
      </c>
      <c r="L3378" t="s">
        <v>1182</v>
      </c>
      <c r="N3378" t="s">
        <v>66</v>
      </c>
      <c r="O3378" t="s">
        <v>24</v>
      </c>
    </row>
    <row r="3379" spans="1:15" x14ac:dyDescent="0.25">
      <c r="A3379">
        <v>3378</v>
      </c>
      <c r="B3379" t="str">
        <f>HYPERLINK("https://digitalcommons.unl.edu/cgi/viewcontent.cgi?article=3466&amp;context=tractormuseumlit","Click for test report")</f>
        <v>Click for test report</v>
      </c>
      <c r="C3379">
        <v>2012</v>
      </c>
      <c r="D3379" t="s">
        <v>1535</v>
      </c>
      <c r="F3379" t="s">
        <v>17</v>
      </c>
      <c r="G3379" t="s">
        <v>17</v>
      </c>
      <c r="H3379" t="s">
        <v>1536</v>
      </c>
      <c r="I3379" t="s">
        <v>50</v>
      </c>
      <c r="J3379" t="s">
        <v>20</v>
      </c>
      <c r="K3379" t="s">
        <v>21</v>
      </c>
      <c r="L3379" t="s">
        <v>1347</v>
      </c>
      <c r="O3379" t="s">
        <v>1532</v>
      </c>
    </row>
    <row r="3380" spans="1:15" x14ac:dyDescent="0.25">
      <c r="A3380">
        <v>3379</v>
      </c>
      <c r="B3380" t="str">
        <f>HYPERLINK("https://digitalcommons.unl.edu/cgi/viewcontent.cgi?article=3467&amp;context=tractormuseumlit","Click for test report")</f>
        <v>Click for test report</v>
      </c>
      <c r="C3380">
        <v>2012</v>
      </c>
      <c r="D3380" t="s">
        <v>1533</v>
      </c>
      <c r="F3380" t="s">
        <v>17</v>
      </c>
      <c r="G3380" t="s">
        <v>17</v>
      </c>
      <c r="H3380" t="s">
        <v>1534</v>
      </c>
      <c r="I3380" t="s">
        <v>50</v>
      </c>
      <c r="J3380" t="s">
        <v>20</v>
      </c>
      <c r="K3380" t="s">
        <v>21</v>
      </c>
      <c r="L3380" t="s">
        <v>565</v>
      </c>
      <c r="O3380" t="s">
        <v>1532</v>
      </c>
    </row>
    <row r="3381" spans="1:15" x14ac:dyDescent="0.25">
      <c r="A3381">
        <v>3380</v>
      </c>
      <c r="B3381" t="str">
        <f>HYPERLINK("https://digitalcommons.unl.edu/cgi/viewcontent.cgi?article=3468&amp;context=tractormuseumlit","Click for test report")</f>
        <v>Click for test report</v>
      </c>
      <c r="C3381">
        <v>2012</v>
      </c>
      <c r="D3381" t="s">
        <v>1530</v>
      </c>
      <c r="F3381" t="s">
        <v>17</v>
      </c>
      <c r="G3381" t="s">
        <v>17</v>
      </c>
      <c r="H3381" t="s">
        <v>1531</v>
      </c>
      <c r="I3381" t="s">
        <v>50</v>
      </c>
      <c r="J3381" t="s">
        <v>20</v>
      </c>
      <c r="K3381" t="s">
        <v>21</v>
      </c>
      <c r="L3381" t="s">
        <v>562</v>
      </c>
      <c r="O3381" t="s">
        <v>1532</v>
      </c>
    </row>
    <row r="3382" spans="1:15" x14ac:dyDescent="0.25">
      <c r="A3382">
        <v>3381</v>
      </c>
      <c r="B3382" t="str">
        <f>HYPERLINK("https://digitalcommons.unl.edu/cgi/viewcontent.cgi?article=3469&amp;context=tractormuseumlit","Click for test report")</f>
        <v>Click for test report</v>
      </c>
      <c r="C3382">
        <v>2012</v>
      </c>
      <c r="D3382" t="s">
        <v>1528</v>
      </c>
      <c r="F3382" t="s">
        <v>1526</v>
      </c>
      <c r="G3382" t="s">
        <v>17</v>
      </c>
      <c r="H3382" t="s">
        <v>1529</v>
      </c>
      <c r="I3382" t="s">
        <v>19</v>
      </c>
      <c r="J3382" t="s">
        <v>20</v>
      </c>
      <c r="K3382" t="s">
        <v>21</v>
      </c>
      <c r="L3382" t="s">
        <v>1371</v>
      </c>
      <c r="O3382" t="s">
        <v>24</v>
      </c>
    </row>
    <row r="3383" spans="1:15" x14ac:dyDescent="0.25">
      <c r="A3383">
        <v>3382</v>
      </c>
      <c r="B3383" t="str">
        <f>HYPERLINK("https://digitalcommons.unl.edu/cgi/viewcontent.cgi?article=3470&amp;context=tractormuseumlit","Click for test report")</f>
        <v>Click for test report</v>
      </c>
      <c r="C3383">
        <v>2012</v>
      </c>
      <c r="D3383" t="s">
        <v>1525</v>
      </c>
      <c r="F3383" t="s">
        <v>1526</v>
      </c>
      <c r="G3383" t="s">
        <v>17</v>
      </c>
      <c r="H3383" t="s">
        <v>1527</v>
      </c>
      <c r="I3383" t="s">
        <v>19</v>
      </c>
      <c r="J3383" t="s">
        <v>20</v>
      </c>
      <c r="K3383" t="s">
        <v>21</v>
      </c>
      <c r="L3383" t="s">
        <v>55</v>
      </c>
      <c r="O3383" t="s">
        <v>24</v>
      </c>
    </row>
    <row r="3384" spans="1:15" x14ac:dyDescent="0.25">
      <c r="A3384">
        <v>3383</v>
      </c>
      <c r="B3384" t="str">
        <f>HYPERLINK("https://digitalcommons.unl.edu/cgi/viewcontent.cgi?article=3471&amp;context=tractormuseumlit","Click for test report")</f>
        <v>Click for test report</v>
      </c>
      <c r="C3384">
        <v>2012</v>
      </c>
      <c r="D3384" t="s">
        <v>1521</v>
      </c>
      <c r="E3384" t="s">
        <v>1522</v>
      </c>
      <c r="F3384" t="s">
        <v>17</v>
      </c>
      <c r="G3384" t="s">
        <v>17</v>
      </c>
      <c r="H3384" t="s">
        <v>1523</v>
      </c>
      <c r="I3384" t="s">
        <v>28</v>
      </c>
      <c r="J3384" t="s">
        <v>29</v>
      </c>
      <c r="K3384" t="s">
        <v>21</v>
      </c>
      <c r="L3384" t="s">
        <v>144</v>
      </c>
      <c r="N3384" t="s">
        <v>1524</v>
      </c>
      <c r="O3384" t="s">
        <v>24</v>
      </c>
    </row>
    <row r="3385" spans="1:15" x14ac:dyDescent="0.25">
      <c r="A3385">
        <v>3384</v>
      </c>
      <c r="B3385" t="str">
        <f>HYPERLINK("https://digitalcommons.unl.edu/cgi/viewcontent.cgi?article=3472&amp;context=tractormuseumlit","Click for test report")</f>
        <v>Click for test report</v>
      </c>
      <c r="C3385">
        <v>2012</v>
      </c>
      <c r="D3385" t="s">
        <v>1518</v>
      </c>
      <c r="E3385" t="s">
        <v>1519</v>
      </c>
      <c r="F3385" t="s">
        <v>1136</v>
      </c>
      <c r="G3385" t="s">
        <v>778</v>
      </c>
      <c r="H3385" t="s">
        <v>1520</v>
      </c>
      <c r="I3385" t="s">
        <v>64</v>
      </c>
      <c r="J3385" t="s">
        <v>20</v>
      </c>
      <c r="K3385" t="s">
        <v>21</v>
      </c>
      <c r="L3385" t="s">
        <v>1430</v>
      </c>
      <c r="N3385" t="s">
        <v>789</v>
      </c>
      <c r="O3385" t="s">
        <v>24</v>
      </c>
    </row>
    <row r="3386" spans="1:15" x14ac:dyDescent="0.25">
      <c r="A3386">
        <v>3385</v>
      </c>
      <c r="B3386" t="str">
        <f>HYPERLINK("https://digitalcommons.unl.edu/cgi/viewcontent.cgi?article=3473&amp;context=tractormuseumlit","Click for test report")</f>
        <v>Click for test report</v>
      </c>
      <c r="C3386">
        <v>2012</v>
      </c>
      <c r="D3386" t="s">
        <v>1515</v>
      </c>
      <c r="E3386" t="s">
        <v>1516</v>
      </c>
      <c r="F3386" t="s">
        <v>1136</v>
      </c>
      <c r="G3386" t="s">
        <v>778</v>
      </c>
      <c r="H3386" t="s">
        <v>1517</v>
      </c>
      <c r="I3386" t="s">
        <v>64</v>
      </c>
      <c r="J3386" t="s">
        <v>20</v>
      </c>
      <c r="K3386" t="s">
        <v>21</v>
      </c>
      <c r="L3386" t="s">
        <v>1424</v>
      </c>
      <c r="N3386" t="s">
        <v>1425</v>
      </c>
      <c r="O3386" t="s">
        <v>24</v>
      </c>
    </row>
    <row r="3387" spans="1:15" x14ac:dyDescent="0.25">
      <c r="A3387">
        <v>3386</v>
      </c>
      <c r="B3387" t="str">
        <f>HYPERLINK("https://digitalcommons.unl.edu/cgi/viewcontent.cgi?article=3474&amp;context=tractormuseumlit","Click for test report")</f>
        <v>Click for test report</v>
      </c>
      <c r="C3387">
        <v>2012</v>
      </c>
      <c r="D3387" t="s">
        <v>1511</v>
      </c>
      <c r="E3387" t="s">
        <v>1512</v>
      </c>
      <c r="F3387" t="s">
        <v>17</v>
      </c>
      <c r="G3387" t="s">
        <v>17</v>
      </c>
      <c r="H3387" t="s">
        <v>1513</v>
      </c>
      <c r="I3387" t="s">
        <v>19</v>
      </c>
      <c r="J3387" t="s">
        <v>20</v>
      </c>
      <c r="K3387" t="s">
        <v>21</v>
      </c>
      <c r="L3387" t="s">
        <v>839</v>
      </c>
      <c r="N3387" t="s">
        <v>1514</v>
      </c>
      <c r="O3387" t="s">
        <v>24</v>
      </c>
    </row>
    <row r="3388" spans="1:15" x14ac:dyDescent="0.25">
      <c r="A3388">
        <v>3387</v>
      </c>
      <c r="B3388" t="str">
        <f>HYPERLINK("https://digitalcommons.unl.edu/cgi/viewcontent.cgi?article=3475&amp;context=tractormuseumlit","Click for test report")</f>
        <v>Click for test report</v>
      </c>
      <c r="C3388">
        <v>2012</v>
      </c>
      <c r="D3388" t="s">
        <v>1508</v>
      </c>
      <c r="E3388" t="s">
        <v>1509</v>
      </c>
      <c r="F3388" t="s">
        <v>17</v>
      </c>
      <c r="G3388" t="s">
        <v>17</v>
      </c>
      <c r="H3388" t="s">
        <v>1510</v>
      </c>
      <c r="I3388" t="s">
        <v>19</v>
      </c>
      <c r="J3388" t="s">
        <v>20</v>
      </c>
      <c r="K3388" t="s">
        <v>21</v>
      </c>
      <c r="L3388" t="s">
        <v>786</v>
      </c>
      <c r="N3388" t="s">
        <v>118</v>
      </c>
      <c r="O3388" t="s">
        <v>24</v>
      </c>
    </row>
    <row r="3389" spans="1:15" x14ac:dyDescent="0.25">
      <c r="A3389">
        <v>3388</v>
      </c>
      <c r="B3389" t="str">
        <f>HYPERLINK("https://digitalcommons.unl.edu/cgi/viewcontent.cgi?article=3476&amp;context=tractormuseumlit","Click for test report")</f>
        <v>Click for test report</v>
      </c>
      <c r="C3389">
        <v>2012</v>
      </c>
      <c r="D3389" t="s">
        <v>1505</v>
      </c>
      <c r="E3389" t="s">
        <v>1506</v>
      </c>
      <c r="F3389" t="s">
        <v>17</v>
      </c>
      <c r="G3389" t="s">
        <v>17</v>
      </c>
      <c r="H3389" t="s">
        <v>1507</v>
      </c>
      <c r="I3389" t="s">
        <v>19</v>
      </c>
      <c r="J3389" t="s">
        <v>20</v>
      </c>
      <c r="K3389" t="s">
        <v>21</v>
      </c>
      <c r="L3389" t="s">
        <v>155</v>
      </c>
      <c r="N3389" t="s">
        <v>150</v>
      </c>
      <c r="O3389" t="s">
        <v>24</v>
      </c>
    </row>
    <row r="3390" spans="1:15" x14ac:dyDescent="0.25">
      <c r="A3390">
        <v>3389</v>
      </c>
      <c r="B3390" t="str">
        <f>HYPERLINK("https://digitalcommons.unl.edu/cgi/viewcontent.cgi?article=3477&amp;context=tractormuseumlit","Click for test report")</f>
        <v>Click for test report</v>
      </c>
      <c r="C3390">
        <v>2012</v>
      </c>
      <c r="D3390" t="s">
        <v>1504</v>
      </c>
      <c r="F3390" t="s">
        <v>17</v>
      </c>
      <c r="G3390" t="s">
        <v>17</v>
      </c>
      <c r="H3390" t="s">
        <v>1048</v>
      </c>
      <c r="I3390" t="s">
        <v>50</v>
      </c>
      <c r="J3390" t="s">
        <v>20</v>
      </c>
      <c r="K3390" t="s">
        <v>21</v>
      </c>
      <c r="L3390" t="s">
        <v>1347</v>
      </c>
      <c r="O3390" t="s">
        <v>24</v>
      </c>
    </row>
    <row r="3391" spans="1:15" x14ac:dyDescent="0.25">
      <c r="A3391">
        <v>3390</v>
      </c>
      <c r="B3391" t="str">
        <f>HYPERLINK("https://digitalcommons.unl.edu/cgi/viewcontent.cgi?article=3478&amp;context=tractormuseumlit","Click for test report")</f>
        <v>Click for test report</v>
      </c>
      <c r="C3391">
        <v>2012</v>
      </c>
      <c r="D3391" t="s">
        <v>1503</v>
      </c>
      <c r="F3391" t="s">
        <v>17</v>
      </c>
      <c r="G3391" t="s">
        <v>17</v>
      </c>
      <c r="H3391" t="s">
        <v>54</v>
      </c>
      <c r="I3391" t="s">
        <v>50</v>
      </c>
      <c r="J3391" t="s">
        <v>20</v>
      </c>
      <c r="K3391" t="s">
        <v>21</v>
      </c>
      <c r="L3391" t="s">
        <v>343</v>
      </c>
      <c r="O3391" t="s">
        <v>24</v>
      </c>
    </row>
    <row r="3392" spans="1:15" x14ac:dyDescent="0.25">
      <c r="A3392">
        <v>3391</v>
      </c>
      <c r="B3392" t="str">
        <f>HYPERLINK("https://digitalcommons.unl.edu/cgi/viewcontent.cgi?article=3479&amp;context=tractormuseumlit","Click for test report")</f>
        <v>Click for test report</v>
      </c>
      <c r="C3392">
        <v>2012</v>
      </c>
      <c r="D3392" t="s">
        <v>1501</v>
      </c>
      <c r="E3392" t="s">
        <v>1502</v>
      </c>
      <c r="F3392" t="s">
        <v>17</v>
      </c>
      <c r="G3392" t="s">
        <v>17</v>
      </c>
      <c r="H3392" t="s">
        <v>49</v>
      </c>
      <c r="I3392" t="s">
        <v>50</v>
      </c>
      <c r="J3392" t="s">
        <v>20</v>
      </c>
      <c r="K3392" t="s">
        <v>21</v>
      </c>
      <c r="L3392" t="s">
        <v>123</v>
      </c>
      <c r="N3392" t="s">
        <v>713</v>
      </c>
      <c r="O3392" t="s">
        <v>24</v>
      </c>
    </row>
    <row r="3393" spans="1:15" x14ac:dyDescent="0.25">
      <c r="A3393">
        <v>3392</v>
      </c>
      <c r="B3393" t="str">
        <f>HYPERLINK("https://digitalcommons.unl.edu/cgi/viewcontent.cgi?article=3480&amp;context=tractormuseumlit","Click for test report")</f>
        <v>Click for test report</v>
      </c>
      <c r="C3393">
        <v>2012</v>
      </c>
      <c r="D3393" t="s">
        <v>1498</v>
      </c>
      <c r="E3393" t="s">
        <v>1499</v>
      </c>
      <c r="F3393" t="s">
        <v>17</v>
      </c>
      <c r="G3393" t="s">
        <v>17</v>
      </c>
      <c r="H3393" t="s">
        <v>1500</v>
      </c>
      <c r="I3393" t="s">
        <v>28</v>
      </c>
      <c r="J3393" t="s">
        <v>29</v>
      </c>
      <c r="K3393" t="s">
        <v>21</v>
      </c>
      <c r="L3393" t="s">
        <v>1419</v>
      </c>
      <c r="N3393" t="s">
        <v>30</v>
      </c>
      <c r="O3393" t="s">
        <v>32</v>
      </c>
    </row>
    <row r="3394" spans="1:15" x14ac:dyDescent="0.25">
      <c r="A3394">
        <v>3393</v>
      </c>
      <c r="B3394" t="str">
        <f>HYPERLINK("https://digitalcommons.unl.edu/cgi/viewcontent.cgi?article=3481&amp;context=tractormuseumlit","Click for test report")</f>
        <v>Click for test report</v>
      </c>
      <c r="C3394">
        <v>2012</v>
      </c>
      <c r="D3394" t="s">
        <v>1495</v>
      </c>
      <c r="E3394" t="s">
        <v>1496</v>
      </c>
      <c r="F3394" t="s">
        <v>17</v>
      </c>
      <c r="G3394" t="s">
        <v>17</v>
      </c>
      <c r="H3394" t="s">
        <v>1497</v>
      </c>
      <c r="I3394" t="s">
        <v>28</v>
      </c>
      <c r="J3394" t="s">
        <v>29</v>
      </c>
      <c r="K3394" t="s">
        <v>21</v>
      </c>
      <c r="L3394" t="s">
        <v>990</v>
      </c>
      <c r="N3394" t="s">
        <v>1152</v>
      </c>
      <c r="O3394" t="s">
        <v>32</v>
      </c>
    </row>
    <row r="3395" spans="1:15" x14ac:dyDescent="0.25">
      <c r="A3395">
        <v>3394</v>
      </c>
      <c r="B3395" t="str">
        <f>HYPERLINK("https://digitalcommons.unl.edu/cgi/viewcontent.cgi?article=3482&amp;context=tractormuseumlit","Click for test report")</f>
        <v>Click for test report</v>
      </c>
      <c r="C3395">
        <v>2012</v>
      </c>
      <c r="D3395" t="s">
        <v>1491</v>
      </c>
      <c r="E3395" t="s">
        <v>1492</v>
      </c>
      <c r="F3395" t="s">
        <v>17</v>
      </c>
      <c r="G3395" t="s">
        <v>17</v>
      </c>
      <c r="H3395" t="s">
        <v>1493</v>
      </c>
      <c r="I3395" t="s">
        <v>28</v>
      </c>
      <c r="J3395" t="s">
        <v>96</v>
      </c>
      <c r="K3395" t="s">
        <v>21</v>
      </c>
      <c r="L3395" t="s">
        <v>261</v>
      </c>
      <c r="N3395" t="s">
        <v>1494</v>
      </c>
      <c r="O3395" t="s">
        <v>32</v>
      </c>
    </row>
    <row r="3396" spans="1:15" x14ac:dyDescent="0.25">
      <c r="A3396">
        <v>3395</v>
      </c>
      <c r="B3396" t="str">
        <f>HYPERLINK("https://digitalcommons.unl.edu/cgi/viewcontent.cgi?article=3483&amp;context=tractormuseumlit","Click for test report")</f>
        <v>Click for test report</v>
      </c>
      <c r="C3396">
        <v>2012</v>
      </c>
      <c r="D3396" t="s">
        <v>1487</v>
      </c>
      <c r="E3396" t="s">
        <v>1488</v>
      </c>
      <c r="F3396" t="s">
        <v>17</v>
      </c>
      <c r="G3396" t="s">
        <v>17</v>
      </c>
      <c r="H3396" t="s">
        <v>1489</v>
      </c>
      <c r="I3396" t="s">
        <v>28</v>
      </c>
      <c r="J3396" t="s">
        <v>29</v>
      </c>
      <c r="K3396" t="s">
        <v>21</v>
      </c>
      <c r="L3396" t="s">
        <v>81</v>
      </c>
      <c r="N3396" t="s">
        <v>1490</v>
      </c>
      <c r="O3396" t="s">
        <v>32</v>
      </c>
    </row>
    <row r="3397" spans="1:15" x14ac:dyDescent="0.25">
      <c r="A3397">
        <v>3396</v>
      </c>
      <c r="B3397" t="str">
        <f>HYPERLINK("https://digitalcommons.unl.edu/cgi/viewcontent.cgi?article=3484&amp;context=tractormuseumlit","Click for test report")</f>
        <v>Click for test report</v>
      </c>
      <c r="C3397">
        <v>2012</v>
      </c>
      <c r="D3397" t="s">
        <v>1483</v>
      </c>
      <c r="E3397" t="s">
        <v>1484</v>
      </c>
      <c r="F3397" t="s">
        <v>17</v>
      </c>
      <c r="G3397" t="s">
        <v>17</v>
      </c>
      <c r="H3397" t="s">
        <v>1485</v>
      </c>
      <c r="I3397" t="s">
        <v>28</v>
      </c>
      <c r="J3397" t="s">
        <v>96</v>
      </c>
      <c r="K3397" t="s">
        <v>21</v>
      </c>
      <c r="L3397" t="s">
        <v>981</v>
      </c>
      <c r="N3397" t="s">
        <v>1486</v>
      </c>
      <c r="O3397" t="s">
        <v>32</v>
      </c>
    </row>
    <row r="3398" spans="1:15" x14ac:dyDescent="0.25">
      <c r="A3398">
        <v>3397</v>
      </c>
      <c r="B3398" t="str">
        <f>HYPERLINK("https://digitalcommons.unl.edu/cgi/viewcontent.cgi?article=3485&amp;context=tractormuseumlit","Click for test report")</f>
        <v>Click for test report</v>
      </c>
      <c r="C3398">
        <v>2012</v>
      </c>
      <c r="D3398" t="s">
        <v>1479</v>
      </c>
      <c r="E3398" t="s">
        <v>1480</v>
      </c>
      <c r="F3398" t="s">
        <v>17</v>
      </c>
      <c r="G3398" t="s">
        <v>17</v>
      </c>
      <c r="H3398" t="s">
        <v>1481</v>
      </c>
      <c r="I3398" t="s">
        <v>28</v>
      </c>
      <c r="J3398" t="s">
        <v>29</v>
      </c>
      <c r="K3398" t="s">
        <v>21</v>
      </c>
      <c r="L3398" t="s">
        <v>30</v>
      </c>
      <c r="N3398" t="s">
        <v>1482</v>
      </c>
      <c r="O3398" t="s">
        <v>32</v>
      </c>
    </row>
    <row r="3399" spans="1:15" x14ac:dyDescent="0.25">
      <c r="A3399">
        <v>3398</v>
      </c>
      <c r="B3399" t="str">
        <f>HYPERLINK("https://digitalcommons.unl.edu/cgi/viewcontent.cgi?article=3486&amp;context=tractormuseumlit","Click for test report")</f>
        <v>Click for test report</v>
      </c>
      <c r="C3399">
        <v>2012</v>
      </c>
      <c r="D3399" t="s">
        <v>1475</v>
      </c>
      <c r="E3399" t="s">
        <v>1476</v>
      </c>
      <c r="F3399" t="s">
        <v>17</v>
      </c>
      <c r="G3399" t="s">
        <v>17</v>
      </c>
      <c r="H3399" t="s">
        <v>1477</v>
      </c>
      <c r="I3399" t="s">
        <v>28</v>
      </c>
      <c r="J3399" t="s">
        <v>96</v>
      </c>
      <c r="K3399" t="s">
        <v>21</v>
      </c>
      <c r="L3399" t="s">
        <v>144</v>
      </c>
      <c r="N3399" t="s">
        <v>1478</v>
      </c>
      <c r="O3399" t="s">
        <v>32</v>
      </c>
    </row>
    <row r="3400" spans="1:15" x14ac:dyDescent="0.25">
      <c r="A3400">
        <v>3399</v>
      </c>
      <c r="B3400" t="str">
        <f>HYPERLINK("https://digitalcommons.unl.edu/cgi/viewcontent.cgi?article=3487&amp;context=tractormuseumlit","Click for test report")</f>
        <v>Click for test report</v>
      </c>
      <c r="C3400">
        <v>2012</v>
      </c>
      <c r="D3400" t="s">
        <v>1472</v>
      </c>
      <c r="E3400" t="s">
        <v>1473</v>
      </c>
      <c r="F3400" t="s">
        <v>1282</v>
      </c>
      <c r="G3400" t="s">
        <v>191</v>
      </c>
      <c r="H3400" t="s">
        <v>1474</v>
      </c>
      <c r="I3400" t="s">
        <v>28</v>
      </c>
      <c r="J3400" t="s">
        <v>29</v>
      </c>
      <c r="K3400" t="s">
        <v>21</v>
      </c>
      <c r="L3400" t="s">
        <v>1418</v>
      </c>
      <c r="N3400" t="s">
        <v>1419</v>
      </c>
      <c r="O3400" t="s">
        <v>24</v>
      </c>
    </row>
    <row r="3401" spans="1:15" x14ac:dyDescent="0.25">
      <c r="A3401">
        <v>3400</v>
      </c>
      <c r="B3401" t="str">
        <f>HYPERLINK("https://digitalcommons.unl.edu/cgi/viewcontent.cgi?article=3488&amp;context=tractormuseumlit","Click for test report")</f>
        <v>Click for test report</v>
      </c>
      <c r="C3401">
        <v>2012</v>
      </c>
      <c r="D3401" t="s">
        <v>1468</v>
      </c>
      <c r="E3401" t="s">
        <v>1469</v>
      </c>
      <c r="F3401" t="s">
        <v>1282</v>
      </c>
      <c r="G3401" t="s">
        <v>191</v>
      </c>
      <c r="H3401" t="s">
        <v>1470</v>
      </c>
      <c r="I3401" t="s">
        <v>28</v>
      </c>
      <c r="J3401" t="s">
        <v>29</v>
      </c>
      <c r="K3401" t="s">
        <v>21</v>
      </c>
      <c r="L3401" t="s">
        <v>649</v>
      </c>
      <c r="N3401" t="s">
        <v>1471</v>
      </c>
      <c r="O3401" t="s">
        <v>32</v>
      </c>
    </row>
    <row r="3402" spans="1:15" x14ac:dyDescent="0.25">
      <c r="A3402">
        <v>3401</v>
      </c>
      <c r="B3402" t="str">
        <f>HYPERLINK("https://digitalcommons.unl.edu/cgi/viewcontent.cgi?article=3489&amp;context=tractormuseumlit","Click for test report")</f>
        <v>Click for test report</v>
      </c>
      <c r="C3402">
        <v>2012</v>
      </c>
      <c r="D3402" t="s">
        <v>1463</v>
      </c>
      <c r="E3402" t="s">
        <v>1464</v>
      </c>
      <c r="F3402" t="s">
        <v>1282</v>
      </c>
      <c r="G3402" t="s">
        <v>191</v>
      </c>
      <c r="H3402" t="s">
        <v>1465</v>
      </c>
      <c r="I3402" t="s">
        <v>28</v>
      </c>
      <c r="J3402" t="s">
        <v>80</v>
      </c>
      <c r="K3402" t="s">
        <v>21</v>
      </c>
      <c r="L3402" t="s">
        <v>1466</v>
      </c>
      <c r="N3402" t="s">
        <v>1467</v>
      </c>
      <c r="O3402" t="s">
        <v>32</v>
      </c>
    </row>
    <row r="3403" spans="1:15" x14ac:dyDescent="0.25">
      <c r="A3403">
        <v>3402</v>
      </c>
      <c r="B3403" t="str">
        <f>HYPERLINK("https://digitalcommons.unl.edu/cgi/viewcontent.cgi?article=3490&amp;context=tractormuseumlit","Click for test report")</f>
        <v>Click for test report</v>
      </c>
      <c r="C3403">
        <v>2012</v>
      </c>
      <c r="D3403" t="s">
        <v>1460</v>
      </c>
      <c r="E3403" t="s">
        <v>1461</v>
      </c>
      <c r="F3403" t="s">
        <v>1282</v>
      </c>
      <c r="G3403" t="s">
        <v>191</v>
      </c>
      <c r="H3403" t="s">
        <v>1462</v>
      </c>
      <c r="I3403" t="s">
        <v>28</v>
      </c>
      <c r="J3403" t="s">
        <v>80</v>
      </c>
      <c r="K3403" t="s">
        <v>21</v>
      </c>
      <c r="L3403" t="s">
        <v>178</v>
      </c>
      <c r="N3403" t="s">
        <v>178</v>
      </c>
      <c r="O3403" t="s">
        <v>32</v>
      </c>
    </row>
    <row r="3404" spans="1:15" x14ac:dyDescent="0.25">
      <c r="A3404">
        <v>3403</v>
      </c>
      <c r="B3404" t="str">
        <f>HYPERLINK("https://digitalcommons.unl.edu/cgi/viewcontent.cgi?article=3491&amp;context=tractormuseumlit","Click for test report")</f>
        <v>Click for test report</v>
      </c>
      <c r="C3404">
        <v>2012</v>
      </c>
      <c r="D3404" t="s">
        <v>1458</v>
      </c>
      <c r="E3404" t="s">
        <v>1459</v>
      </c>
      <c r="F3404" t="s">
        <v>588</v>
      </c>
      <c r="G3404" t="s">
        <v>135</v>
      </c>
      <c r="H3404" t="s">
        <v>664</v>
      </c>
      <c r="I3404" t="s">
        <v>50</v>
      </c>
      <c r="J3404" t="s">
        <v>20</v>
      </c>
      <c r="K3404" t="s">
        <v>21</v>
      </c>
      <c r="L3404" t="s">
        <v>122</v>
      </c>
      <c r="N3404" t="s">
        <v>571</v>
      </c>
      <c r="O3404" t="s">
        <v>24</v>
      </c>
    </row>
    <row r="3405" spans="1:15" x14ac:dyDescent="0.25">
      <c r="A3405">
        <v>3404</v>
      </c>
      <c r="B3405" t="str">
        <f>HYPERLINK("https://digitalcommons.unl.edu/cgi/viewcontent.cgi?article=3492&amp;context=tractormuseumlit","Click for test report")</f>
        <v>Click for test report</v>
      </c>
      <c r="C3405">
        <v>2012</v>
      </c>
      <c r="D3405" t="s">
        <v>1455</v>
      </c>
      <c r="E3405" t="s">
        <v>1456</v>
      </c>
      <c r="F3405" t="s">
        <v>588</v>
      </c>
      <c r="G3405" t="s">
        <v>135</v>
      </c>
      <c r="H3405" t="s">
        <v>1457</v>
      </c>
      <c r="I3405" t="s">
        <v>50</v>
      </c>
      <c r="J3405" t="s">
        <v>20</v>
      </c>
      <c r="K3405" t="s">
        <v>21</v>
      </c>
      <c r="L3405" t="s">
        <v>364</v>
      </c>
      <c r="N3405" t="s">
        <v>247</v>
      </c>
      <c r="O3405" t="s">
        <v>24</v>
      </c>
    </row>
    <row r="3406" spans="1:15" x14ac:dyDescent="0.25">
      <c r="A3406">
        <v>3405</v>
      </c>
      <c r="B3406" t="str">
        <f>HYPERLINK("https://digitalcommons.unl.edu/cgi/viewcontent.cgi?article=3493&amp;context=tractormuseumlit","Click for test report")</f>
        <v>Click for test report</v>
      </c>
      <c r="C3406">
        <v>2012</v>
      </c>
      <c r="D3406" t="s">
        <v>1453</v>
      </c>
      <c r="E3406" t="s">
        <v>1454</v>
      </c>
      <c r="F3406" t="s">
        <v>588</v>
      </c>
      <c r="G3406" t="s">
        <v>135</v>
      </c>
      <c r="H3406" t="s">
        <v>597</v>
      </c>
      <c r="I3406" t="s">
        <v>50</v>
      </c>
      <c r="J3406" t="s">
        <v>20</v>
      </c>
      <c r="K3406" t="s">
        <v>21</v>
      </c>
      <c r="L3406" t="s">
        <v>375</v>
      </c>
      <c r="N3406" t="s">
        <v>55</v>
      </c>
      <c r="O3406" t="s">
        <v>24</v>
      </c>
    </row>
    <row r="3407" spans="1:15" x14ac:dyDescent="0.25">
      <c r="A3407">
        <v>3406</v>
      </c>
      <c r="B3407" t="str">
        <f>HYPERLINK("https://digitalcommons.unl.edu/cgi/viewcontent.cgi?article=3494&amp;context=tractormuseumlit","Click for test report")</f>
        <v>Click for test report</v>
      </c>
      <c r="C3407">
        <v>2012</v>
      </c>
      <c r="D3407" t="s">
        <v>1451</v>
      </c>
      <c r="E3407" t="s">
        <v>1452</v>
      </c>
      <c r="F3407" t="s">
        <v>588</v>
      </c>
      <c r="G3407" t="s">
        <v>135</v>
      </c>
      <c r="H3407" t="s">
        <v>673</v>
      </c>
      <c r="I3407" t="s">
        <v>50</v>
      </c>
      <c r="J3407" t="s">
        <v>20</v>
      </c>
      <c r="K3407" t="s">
        <v>21</v>
      </c>
      <c r="L3407" t="s">
        <v>454</v>
      </c>
      <c r="N3407" t="s">
        <v>574</v>
      </c>
      <c r="O3407" t="s">
        <v>24</v>
      </c>
    </row>
    <row r="3408" spans="1:15" x14ac:dyDescent="0.25">
      <c r="A3408">
        <v>3407</v>
      </c>
      <c r="B3408" t="str">
        <f>HYPERLINK("https://digitalcommons.unl.edu/cgi/viewcontent.cgi?article=3495&amp;context=tractormuseumlit","Click for test report")</f>
        <v>Click for test report</v>
      </c>
      <c r="C3408">
        <v>2012</v>
      </c>
      <c r="D3408" t="s">
        <v>1446</v>
      </c>
      <c r="E3408" t="s">
        <v>1447</v>
      </c>
      <c r="F3408" t="s">
        <v>1282</v>
      </c>
      <c r="G3408" t="s">
        <v>191</v>
      </c>
      <c r="H3408" t="s">
        <v>1448</v>
      </c>
      <c r="I3408" t="s">
        <v>28</v>
      </c>
      <c r="J3408" t="s">
        <v>20</v>
      </c>
      <c r="K3408" t="s">
        <v>21</v>
      </c>
      <c r="L3408" t="s">
        <v>66</v>
      </c>
      <c r="N3408" t="s">
        <v>1449</v>
      </c>
      <c r="O3408" t="s">
        <v>1450</v>
      </c>
    </row>
    <row r="3409" spans="1:15" x14ac:dyDescent="0.25">
      <c r="A3409">
        <v>3408</v>
      </c>
      <c r="B3409" t="str">
        <f>HYPERLINK("https://digitalcommons.unl.edu/cgi/viewcontent.cgi?article=3496&amp;context=tractormuseumlit","Click for test report")</f>
        <v>Click for test report</v>
      </c>
      <c r="C3409">
        <v>2012</v>
      </c>
      <c r="D3409" t="s">
        <v>1441</v>
      </c>
      <c r="E3409" t="s">
        <v>1442</v>
      </c>
      <c r="F3409" t="s">
        <v>1282</v>
      </c>
      <c r="G3409" t="s">
        <v>191</v>
      </c>
      <c r="H3409" t="s">
        <v>1443</v>
      </c>
      <c r="I3409" t="s">
        <v>28</v>
      </c>
      <c r="J3409" t="s">
        <v>20</v>
      </c>
      <c r="K3409" t="s">
        <v>21</v>
      </c>
      <c r="L3409" t="s">
        <v>1444</v>
      </c>
      <c r="N3409" t="s">
        <v>161</v>
      </c>
      <c r="O3409" t="s">
        <v>1445</v>
      </c>
    </row>
    <row r="3410" spans="1:15" x14ac:dyDescent="0.25">
      <c r="A3410">
        <v>3409</v>
      </c>
      <c r="B3410" t="str">
        <f>HYPERLINK("https://digitalcommons.unl.edu/cgi/viewcontent.cgi?article=3497&amp;context=tractormuseumlit","Click for test report")</f>
        <v>Click for test report</v>
      </c>
      <c r="C3410">
        <v>2012</v>
      </c>
      <c r="D3410" t="s">
        <v>1436</v>
      </c>
      <c r="E3410" t="s">
        <v>1437</v>
      </c>
      <c r="F3410" t="s">
        <v>1282</v>
      </c>
      <c r="G3410" t="s">
        <v>135</v>
      </c>
      <c r="H3410" t="s">
        <v>1438</v>
      </c>
      <c r="I3410" t="s">
        <v>28</v>
      </c>
      <c r="J3410" t="s">
        <v>20</v>
      </c>
      <c r="K3410" t="s">
        <v>21</v>
      </c>
      <c r="L3410" t="s">
        <v>1439</v>
      </c>
      <c r="N3410" t="s">
        <v>70</v>
      </c>
      <c r="O3410" t="s">
        <v>1440</v>
      </c>
    </row>
    <row r="3411" spans="1:15" x14ac:dyDescent="0.25">
      <c r="A3411">
        <v>3410</v>
      </c>
      <c r="B3411" t="str">
        <f>HYPERLINK("https://digitalcommons.unl.edu/cgi/viewcontent.cgi?article=3498&amp;context=tractormuseumlit","Click for test report")</f>
        <v>Click for test report</v>
      </c>
      <c r="C3411">
        <v>2012</v>
      </c>
      <c r="D3411" t="s">
        <v>1432</v>
      </c>
      <c r="E3411" t="s">
        <v>1433</v>
      </c>
      <c r="F3411" t="s">
        <v>1282</v>
      </c>
      <c r="G3411" t="s">
        <v>135</v>
      </c>
      <c r="H3411" t="s">
        <v>1434</v>
      </c>
      <c r="I3411" t="s">
        <v>28</v>
      </c>
      <c r="J3411" t="s">
        <v>20</v>
      </c>
      <c r="K3411" t="s">
        <v>21</v>
      </c>
      <c r="L3411" t="s">
        <v>199</v>
      </c>
      <c r="N3411" t="s">
        <v>311</v>
      </c>
      <c r="O3411" t="s">
        <v>1435</v>
      </c>
    </row>
    <row r="3412" spans="1:15" x14ac:dyDescent="0.25">
      <c r="A3412">
        <v>3411</v>
      </c>
      <c r="B3412" t="str">
        <f>HYPERLINK("https://digitalcommons.unl.edu/cgi/viewcontent.cgi?article=3499&amp;context=tractormuseumlit","Click for test report")</f>
        <v>Click for test report</v>
      </c>
      <c r="C3412">
        <v>2012</v>
      </c>
      <c r="D3412" t="s">
        <v>1427</v>
      </c>
      <c r="E3412" t="s">
        <v>1428</v>
      </c>
      <c r="F3412" t="s">
        <v>1136</v>
      </c>
      <c r="G3412" t="s">
        <v>414</v>
      </c>
      <c r="H3412" t="s">
        <v>1429</v>
      </c>
      <c r="I3412" t="s">
        <v>64</v>
      </c>
      <c r="J3412" t="s">
        <v>20</v>
      </c>
      <c r="K3412" t="s">
        <v>21</v>
      </c>
      <c r="L3412" t="s">
        <v>1430</v>
      </c>
      <c r="N3412" t="s">
        <v>789</v>
      </c>
      <c r="O3412" t="s">
        <v>1431</v>
      </c>
    </row>
    <row r="3413" spans="1:15" x14ac:dyDescent="0.25">
      <c r="A3413">
        <v>3412</v>
      </c>
      <c r="B3413" t="str">
        <f>HYPERLINK("https://digitalcommons.unl.edu/cgi/viewcontent.cgi?article=3500&amp;context=tractormuseumlit","Click for test report")</f>
        <v>Click for test report</v>
      </c>
      <c r="C3413">
        <v>2012</v>
      </c>
      <c r="D3413" t="s">
        <v>1421</v>
      </c>
      <c r="E3413" t="s">
        <v>1422</v>
      </c>
      <c r="F3413" t="s">
        <v>1136</v>
      </c>
      <c r="G3413" t="s">
        <v>414</v>
      </c>
      <c r="H3413" t="s">
        <v>1423</v>
      </c>
      <c r="I3413" t="s">
        <v>64</v>
      </c>
      <c r="J3413" t="s">
        <v>20</v>
      </c>
      <c r="K3413" t="s">
        <v>21</v>
      </c>
      <c r="L3413" t="s">
        <v>1424</v>
      </c>
      <c r="N3413" t="s">
        <v>1425</v>
      </c>
      <c r="O3413" t="s">
        <v>1426</v>
      </c>
    </row>
    <row r="3414" spans="1:15" x14ac:dyDescent="0.25">
      <c r="A3414">
        <v>3413</v>
      </c>
      <c r="B3414" t="str">
        <f>HYPERLINK("https://digitalcommons.unl.edu/cgi/viewcontent.cgi?article=3501&amp;context=tractormuseumlit","Click for test report")</f>
        <v>Click for test report</v>
      </c>
      <c r="C3414">
        <v>2012</v>
      </c>
      <c r="D3414" t="s">
        <v>1415</v>
      </c>
      <c r="E3414" t="s">
        <v>1416</v>
      </c>
      <c r="F3414" t="s">
        <v>1282</v>
      </c>
      <c r="G3414" t="s">
        <v>135</v>
      </c>
      <c r="H3414" t="s">
        <v>1417</v>
      </c>
      <c r="I3414" t="s">
        <v>28</v>
      </c>
      <c r="J3414" t="s">
        <v>29</v>
      </c>
      <c r="K3414" t="s">
        <v>21</v>
      </c>
      <c r="L3414" t="s">
        <v>1418</v>
      </c>
      <c r="N3414" t="s">
        <v>1419</v>
      </c>
      <c r="O3414" t="s">
        <v>1420</v>
      </c>
    </row>
    <row r="3415" spans="1:15" x14ac:dyDescent="0.25">
      <c r="A3415">
        <v>3414</v>
      </c>
      <c r="B3415" t="str">
        <f>HYPERLINK("https://digitalcommons.unl.edu/cgi/viewcontent.cgi?article=3502&amp;context=tractormuseumlit","Click for test report")</f>
        <v>Click for test report</v>
      </c>
      <c r="C3415">
        <v>2012</v>
      </c>
      <c r="D3415" t="s">
        <v>1412</v>
      </c>
      <c r="E3415" t="s">
        <v>1413</v>
      </c>
      <c r="F3415" t="s">
        <v>588</v>
      </c>
      <c r="G3415" t="s">
        <v>191</v>
      </c>
      <c r="H3415" t="s">
        <v>589</v>
      </c>
      <c r="I3415" t="s">
        <v>50</v>
      </c>
      <c r="J3415" t="s">
        <v>20</v>
      </c>
      <c r="K3415" t="s">
        <v>21</v>
      </c>
      <c r="L3415" t="s">
        <v>122</v>
      </c>
      <c r="N3415" t="s">
        <v>571</v>
      </c>
      <c r="O3415" t="s">
        <v>1414</v>
      </c>
    </row>
    <row r="3416" spans="1:15" x14ac:dyDescent="0.25">
      <c r="A3416">
        <v>3415</v>
      </c>
      <c r="B3416" t="str">
        <f>HYPERLINK("https://digitalcommons.unl.edu/cgi/viewcontent.cgi?article=3503&amp;context=tractormuseumlit","Click for test report")</f>
        <v>Click for test report</v>
      </c>
      <c r="C3416">
        <v>2012</v>
      </c>
      <c r="D3416" t="s">
        <v>1408</v>
      </c>
      <c r="E3416" t="s">
        <v>1409</v>
      </c>
      <c r="F3416" t="s">
        <v>588</v>
      </c>
      <c r="G3416" t="s">
        <v>191</v>
      </c>
      <c r="H3416" t="s">
        <v>1410</v>
      </c>
      <c r="I3416" t="s">
        <v>50</v>
      </c>
      <c r="J3416" t="s">
        <v>20</v>
      </c>
      <c r="K3416" t="s">
        <v>21</v>
      </c>
      <c r="L3416" t="s">
        <v>364</v>
      </c>
      <c r="N3416" t="s">
        <v>247</v>
      </c>
      <c r="O3416" t="s">
        <v>1411</v>
      </c>
    </row>
    <row r="3417" spans="1:15" x14ac:dyDescent="0.25">
      <c r="A3417">
        <v>3416</v>
      </c>
      <c r="B3417" t="str">
        <f>HYPERLINK("https://digitalcommons.unl.edu/cgi/viewcontent.cgi?article=3504&amp;context=tractormuseumlit","Click for test report")</f>
        <v>Click for test report</v>
      </c>
      <c r="C3417">
        <v>2012</v>
      </c>
      <c r="D3417" t="s">
        <v>1405</v>
      </c>
      <c r="E3417" t="s">
        <v>1406</v>
      </c>
      <c r="F3417" t="s">
        <v>588</v>
      </c>
      <c r="G3417" t="s">
        <v>191</v>
      </c>
      <c r="H3417" t="s">
        <v>670</v>
      </c>
      <c r="I3417" t="s">
        <v>50</v>
      </c>
      <c r="J3417" t="s">
        <v>20</v>
      </c>
      <c r="K3417" t="s">
        <v>21</v>
      </c>
      <c r="L3417" t="s">
        <v>375</v>
      </c>
      <c r="N3417" t="s">
        <v>55</v>
      </c>
      <c r="O3417" t="s">
        <v>1407</v>
      </c>
    </row>
    <row r="3418" spans="1:15" x14ac:dyDescent="0.25">
      <c r="A3418">
        <v>3417</v>
      </c>
      <c r="B3418" t="str">
        <f>HYPERLINK("https://digitalcommons.unl.edu/cgi/viewcontent.cgi?article=3505&amp;context=tractormuseumlit","Click for test report")</f>
        <v>Click for test report</v>
      </c>
      <c r="C3418">
        <v>2012</v>
      </c>
      <c r="D3418" t="s">
        <v>1402</v>
      </c>
      <c r="E3418" t="s">
        <v>1403</v>
      </c>
      <c r="F3418" t="s">
        <v>588</v>
      </c>
      <c r="G3418" t="s">
        <v>191</v>
      </c>
      <c r="H3418" t="s">
        <v>600</v>
      </c>
      <c r="I3418" t="s">
        <v>50</v>
      </c>
      <c r="J3418" t="s">
        <v>20</v>
      </c>
      <c r="K3418" t="s">
        <v>21</v>
      </c>
      <c r="L3418" t="s">
        <v>454</v>
      </c>
      <c r="N3418" t="s">
        <v>574</v>
      </c>
      <c r="O3418" t="s">
        <v>1404</v>
      </c>
    </row>
    <row r="3419" spans="1:15" x14ac:dyDescent="0.25">
      <c r="A3419">
        <v>3418</v>
      </c>
      <c r="B3419" t="str">
        <f>HYPERLINK("https://digitalcommons.unl.edu/cgi/viewcontent.cgi?article=3965&amp;context=tractormuseumlit","Click for test report")</f>
        <v>Click for test report</v>
      </c>
      <c r="C3419">
        <v>2013</v>
      </c>
      <c r="E3419" t="s">
        <v>1401</v>
      </c>
      <c r="F3419" t="s">
        <v>111</v>
      </c>
      <c r="G3419" t="s">
        <v>778</v>
      </c>
      <c r="H3419" t="s">
        <v>1383</v>
      </c>
      <c r="I3419" t="s">
        <v>64</v>
      </c>
      <c r="J3419" t="s">
        <v>20</v>
      </c>
      <c r="K3419" t="s">
        <v>21</v>
      </c>
      <c r="L3419" t="s">
        <v>794</v>
      </c>
      <c r="N3419" t="s">
        <v>375</v>
      </c>
      <c r="O3419" t="s">
        <v>24</v>
      </c>
    </row>
    <row r="3420" spans="1:15" x14ac:dyDescent="0.25">
      <c r="A3420">
        <v>3419</v>
      </c>
      <c r="B3420" t="str">
        <f>HYPERLINK("https://digitalcommons.unl.edu/cgi/viewcontent.cgi?article=3966&amp;context=tractormuseumlit","Click for test report")</f>
        <v>Click for test report</v>
      </c>
      <c r="C3420">
        <v>2013</v>
      </c>
      <c r="E3420" t="s">
        <v>1400</v>
      </c>
      <c r="F3420" t="s">
        <v>111</v>
      </c>
      <c r="G3420" t="s">
        <v>778</v>
      </c>
      <c r="H3420" t="s">
        <v>1381</v>
      </c>
      <c r="I3420" t="s">
        <v>64</v>
      </c>
      <c r="J3420" t="s">
        <v>20</v>
      </c>
      <c r="K3420" t="s">
        <v>21</v>
      </c>
      <c r="L3420" t="s">
        <v>1397</v>
      </c>
      <c r="N3420" t="s">
        <v>130</v>
      </c>
      <c r="O3420" t="s">
        <v>24</v>
      </c>
    </row>
    <row r="3421" spans="1:15" x14ac:dyDescent="0.25">
      <c r="A3421">
        <v>3420</v>
      </c>
      <c r="B3421" t="str">
        <f>HYPERLINK("https://digitalcommons.unl.edu/cgi/viewcontent.cgi?article=3967&amp;context=tractormuseumlit","Click for test report")</f>
        <v>Click for test report</v>
      </c>
      <c r="C3421">
        <v>2013</v>
      </c>
      <c r="E3421" t="s">
        <v>1399</v>
      </c>
      <c r="F3421" t="s">
        <v>111</v>
      </c>
      <c r="G3421" t="s">
        <v>778</v>
      </c>
      <c r="H3421" t="s">
        <v>1379</v>
      </c>
      <c r="I3421" t="s">
        <v>64</v>
      </c>
      <c r="J3421" t="s">
        <v>20</v>
      </c>
      <c r="K3421" t="s">
        <v>21</v>
      </c>
      <c r="L3421" t="s">
        <v>858</v>
      </c>
      <c r="N3421" t="s">
        <v>23</v>
      </c>
      <c r="O3421" t="s">
        <v>24</v>
      </c>
    </row>
    <row r="3422" spans="1:15" x14ac:dyDescent="0.25">
      <c r="A3422">
        <v>3421</v>
      </c>
      <c r="B3422" t="str">
        <f>HYPERLINK("https://digitalcommons.unl.edu/cgi/viewcontent.cgi?article=3968&amp;context=tractormuseumlit","Click for test report")</f>
        <v>Click for test report</v>
      </c>
      <c r="C3422">
        <v>2013</v>
      </c>
      <c r="E3422" t="s">
        <v>1398</v>
      </c>
      <c r="F3422" t="s">
        <v>111</v>
      </c>
      <c r="G3422" t="s">
        <v>414</v>
      </c>
      <c r="H3422" t="s">
        <v>1377</v>
      </c>
      <c r="I3422" t="s">
        <v>64</v>
      </c>
      <c r="J3422" t="s">
        <v>20</v>
      </c>
      <c r="K3422" t="s">
        <v>21</v>
      </c>
      <c r="L3422" t="s">
        <v>794</v>
      </c>
      <c r="N3422" t="s">
        <v>375</v>
      </c>
      <c r="O3422" t="s">
        <v>24</v>
      </c>
    </row>
    <row r="3423" spans="1:15" x14ac:dyDescent="0.25">
      <c r="A3423">
        <v>3422</v>
      </c>
      <c r="B3423" t="str">
        <f>HYPERLINK("https://digitalcommons.unl.edu/cgi/viewcontent.cgi?article=3969&amp;context=tractormuseumlit","Click for test report")</f>
        <v>Click for test report</v>
      </c>
      <c r="C3423">
        <v>2013</v>
      </c>
      <c r="E3423" t="s">
        <v>1396</v>
      </c>
      <c r="F3423" t="s">
        <v>111</v>
      </c>
      <c r="G3423" t="s">
        <v>414</v>
      </c>
      <c r="H3423" t="s">
        <v>1375</v>
      </c>
      <c r="I3423" t="s">
        <v>64</v>
      </c>
      <c r="J3423" t="s">
        <v>20</v>
      </c>
      <c r="K3423" t="s">
        <v>21</v>
      </c>
      <c r="L3423" t="s">
        <v>1397</v>
      </c>
      <c r="N3423" t="s">
        <v>130</v>
      </c>
      <c r="O3423" t="s">
        <v>24</v>
      </c>
    </row>
    <row r="3424" spans="1:15" x14ac:dyDescent="0.25">
      <c r="A3424">
        <v>3423</v>
      </c>
      <c r="B3424" t="str">
        <f>HYPERLINK("https://digitalcommons.unl.edu/cgi/viewcontent.cgi?article=3970&amp;context=tractormuseumlit","Click for test report")</f>
        <v>Click for test report</v>
      </c>
      <c r="C3424">
        <v>2013</v>
      </c>
      <c r="E3424" t="s">
        <v>1395</v>
      </c>
      <c r="F3424" t="s">
        <v>111</v>
      </c>
      <c r="G3424" t="s">
        <v>414</v>
      </c>
      <c r="H3424" t="s">
        <v>1373</v>
      </c>
      <c r="I3424" t="s">
        <v>64</v>
      </c>
      <c r="J3424" t="s">
        <v>20</v>
      </c>
      <c r="K3424" t="s">
        <v>21</v>
      </c>
      <c r="L3424" t="s">
        <v>858</v>
      </c>
      <c r="N3424" t="s">
        <v>23</v>
      </c>
      <c r="O3424" t="s">
        <v>24</v>
      </c>
    </row>
    <row r="3425" spans="1:15" x14ac:dyDescent="0.25">
      <c r="A3425">
        <v>3424</v>
      </c>
      <c r="B3425" t="str">
        <f>HYPERLINK("https://digitalcommons.unl.edu/cgi/viewcontent.cgi?article=3971&amp;context=tractormuseumlit","Click for test report")</f>
        <v>Click for test report</v>
      </c>
      <c r="C3425">
        <v>2013</v>
      </c>
      <c r="E3425" t="s">
        <v>1393</v>
      </c>
      <c r="F3425" t="s">
        <v>111</v>
      </c>
      <c r="G3425" t="s">
        <v>778</v>
      </c>
      <c r="H3425" t="s">
        <v>1394</v>
      </c>
      <c r="I3425" t="s">
        <v>64</v>
      </c>
      <c r="J3425" t="s">
        <v>20</v>
      </c>
      <c r="K3425" t="s">
        <v>21</v>
      </c>
      <c r="L3425" t="s">
        <v>23</v>
      </c>
      <c r="N3425" t="s">
        <v>344</v>
      </c>
      <c r="O3425" t="s">
        <v>24</v>
      </c>
    </row>
    <row r="3426" spans="1:15" x14ac:dyDescent="0.25">
      <c r="A3426">
        <v>3425</v>
      </c>
      <c r="B3426" t="str">
        <f>HYPERLINK("https://digitalcommons.unl.edu/cgi/viewcontent.cgi?article=3972&amp;context=tractormuseumlit","Click for test report")</f>
        <v>Click for test report</v>
      </c>
      <c r="C3426">
        <v>2013</v>
      </c>
      <c r="E3426" t="s">
        <v>1392</v>
      </c>
      <c r="F3426" t="s">
        <v>111</v>
      </c>
      <c r="G3426" t="s">
        <v>778</v>
      </c>
      <c r="H3426" t="s">
        <v>1244</v>
      </c>
      <c r="I3426" t="s">
        <v>64</v>
      </c>
      <c r="J3426" t="s">
        <v>20</v>
      </c>
      <c r="K3426" t="s">
        <v>21</v>
      </c>
      <c r="L3426" t="s">
        <v>567</v>
      </c>
      <c r="N3426" t="s">
        <v>340</v>
      </c>
      <c r="O3426" t="s">
        <v>24</v>
      </c>
    </row>
    <row r="3427" spans="1:15" x14ac:dyDescent="0.25">
      <c r="A3427">
        <v>3426</v>
      </c>
      <c r="B3427" t="str">
        <f>HYPERLINK("https://digitalcommons.unl.edu/cgi/viewcontent.cgi?article=3973&amp;context=tractormuseumlit","Click for test report")</f>
        <v>Click for test report</v>
      </c>
      <c r="C3427">
        <v>2013</v>
      </c>
      <c r="E3427" t="s">
        <v>1390</v>
      </c>
      <c r="F3427" t="s">
        <v>111</v>
      </c>
      <c r="G3427" t="s">
        <v>778</v>
      </c>
      <c r="H3427" t="s">
        <v>1391</v>
      </c>
      <c r="I3427" t="s">
        <v>64</v>
      </c>
      <c r="J3427" t="s">
        <v>20</v>
      </c>
      <c r="K3427" t="s">
        <v>21</v>
      </c>
      <c r="L3427" t="s">
        <v>1386</v>
      </c>
      <c r="N3427" t="s">
        <v>123</v>
      </c>
      <c r="O3427" t="s">
        <v>24</v>
      </c>
    </row>
    <row r="3428" spans="1:15" x14ac:dyDescent="0.25">
      <c r="A3428">
        <v>3427</v>
      </c>
      <c r="B3428" t="str">
        <f>HYPERLINK("https://digitalcommons.unl.edu/cgi/viewcontent.cgi?article=3974&amp;context=tractormuseumlit","Click for test report")</f>
        <v>Click for test report</v>
      </c>
      <c r="C3428">
        <v>2013</v>
      </c>
      <c r="E3428" t="s">
        <v>1388</v>
      </c>
      <c r="F3428" t="s">
        <v>111</v>
      </c>
      <c r="G3428" t="s">
        <v>414</v>
      </c>
      <c r="H3428" t="s">
        <v>1389</v>
      </c>
      <c r="I3428" t="s">
        <v>64</v>
      </c>
      <c r="J3428" t="s">
        <v>20</v>
      </c>
      <c r="K3428" t="s">
        <v>21</v>
      </c>
      <c r="L3428" t="s">
        <v>23</v>
      </c>
      <c r="N3428" t="s">
        <v>344</v>
      </c>
      <c r="O3428" t="s">
        <v>24</v>
      </c>
    </row>
    <row r="3429" spans="1:15" x14ac:dyDescent="0.25">
      <c r="A3429">
        <v>3428</v>
      </c>
      <c r="B3429" t="str">
        <f>HYPERLINK("https://digitalcommons.unl.edu/cgi/viewcontent.cgi?article=3975&amp;context=tractormuseumlit","Click for test report")</f>
        <v>Click for test report</v>
      </c>
      <c r="C3429">
        <v>2013</v>
      </c>
      <c r="E3429" t="s">
        <v>1387</v>
      </c>
      <c r="F3429" t="s">
        <v>111</v>
      </c>
      <c r="G3429" t="s">
        <v>414</v>
      </c>
      <c r="H3429" t="s">
        <v>1242</v>
      </c>
      <c r="I3429" t="s">
        <v>64</v>
      </c>
      <c r="J3429" t="s">
        <v>20</v>
      </c>
      <c r="K3429" t="s">
        <v>21</v>
      </c>
      <c r="L3429" t="s">
        <v>567</v>
      </c>
      <c r="N3429" t="s">
        <v>340</v>
      </c>
      <c r="O3429" t="s">
        <v>24</v>
      </c>
    </row>
    <row r="3430" spans="1:15" x14ac:dyDescent="0.25">
      <c r="A3430">
        <v>3429</v>
      </c>
      <c r="B3430" t="str">
        <f>HYPERLINK("https://digitalcommons.unl.edu/cgi/viewcontent.cgi?article=3976&amp;context=tractormuseumlit","Click for test report")</f>
        <v>Click for test report</v>
      </c>
      <c r="C3430">
        <v>2013</v>
      </c>
      <c r="E3430" t="s">
        <v>1384</v>
      </c>
      <c r="F3430" t="s">
        <v>111</v>
      </c>
      <c r="G3430" t="s">
        <v>414</v>
      </c>
      <c r="H3430" t="s">
        <v>1385</v>
      </c>
      <c r="I3430" t="s">
        <v>64</v>
      </c>
      <c r="J3430" t="s">
        <v>20</v>
      </c>
      <c r="K3430" t="s">
        <v>21</v>
      </c>
      <c r="L3430" t="s">
        <v>1386</v>
      </c>
      <c r="N3430" t="s">
        <v>123</v>
      </c>
      <c r="O3430" t="s">
        <v>24</v>
      </c>
    </row>
    <row r="3431" spans="1:15" x14ac:dyDescent="0.25">
      <c r="A3431">
        <v>3430</v>
      </c>
      <c r="B3431" t="str">
        <f>HYPERLINK("https://digitalcommons.unl.edu/cgi/viewcontent.cgi?article=3977&amp;context=tractormuseumlit","Click for test report")</f>
        <v>Click for test report</v>
      </c>
      <c r="C3431">
        <v>2013</v>
      </c>
      <c r="E3431" t="s">
        <v>1382</v>
      </c>
      <c r="F3431" t="s">
        <v>111</v>
      </c>
      <c r="G3431" t="s">
        <v>778</v>
      </c>
      <c r="H3431" t="s">
        <v>1383</v>
      </c>
      <c r="I3431" t="s">
        <v>28</v>
      </c>
      <c r="J3431" t="s">
        <v>20</v>
      </c>
      <c r="K3431" t="s">
        <v>21</v>
      </c>
      <c r="L3431" t="s">
        <v>567</v>
      </c>
      <c r="N3431" t="s">
        <v>123</v>
      </c>
      <c r="O3431" t="s">
        <v>24</v>
      </c>
    </row>
    <row r="3432" spans="1:15" x14ac:dyDescent="0.25">
      <c r="A3432">
        <v>3431</v>
      </c>
      <c r="B3432" t="str">
        <f>HYPERLINK("https://digitalcommons.unl.edu/cgi/viewcontent.cgi?article=3978&amp;context=tractormuseumlit","Click for test report")</f>
        <v>Click for test report</v>
      </c>
      <c r="C3432">
        <v>2013</v>
      </c>
      <c r="E3432" t="s">
        <v>1380</v>
      </c>
      <c r="F3432" t="s">
        <v>111</v>
      </c>
      <c r="G3432" t="s">
        <v>778</v>
      </c>
      <c r="H3432" t="s">
        <v>1381</v>
      </c>
      <c r="I3432" t="s">
        <v>28</v>
      </c>
      <c r="J3432" t="s">
        <v>20</v>
      </c>
      <c r="K3432" t="s">
        <v>21</v>
      </c>
      <c r="L3432" t="s">
        <v>359</v>
      </c>
      <c r="N3432" t="s">
        <v>705</v>
      </c>
      <c r="O3432" t="s">
        <v>24</v>
      </c>
    </row>
    <row r="3433" spans="1:15" x14ac:dyDescent="0.25">
      <c r="A3433">
        <v>3432</v>
      </c>
      <c r="B3433" t="str">
        <f>HYPERLINK("https://digitalcommons.unl.edu/cgi/viewcontent.cgi?article=3979&amp;context=tractormuseumlit","Click for test report")</f>
        <v>Click for test report</v>
      </c>
      <c r="C3433">
        <v>2013</v>
      </c>
      <c r="E3433" t="s">
        <v>1378</v>
      </c>
      <c r="F3433" t="s">
        <v>111</v>
      </c>
      <c r="G3433" t="s">
        <v>778</v>
      </c>
      <c r="H3433" t="s">
        <v>1379</v>
      </c>
      <c r="I3433" t="s">
        <v>28</v>
      </c>
      <c r="J3433" t="s">
        <v>20</v>
      </c>
      <c r="K3433" t="s">
        <v>21</v>
      </c>
      <c r="L3433" t="s">
        <v>853</v>
      </c>
      <c r="N3433" t="s">
        <v>333</v>
      </c>
      <c r="O3433" t="s">
        <v>24</v>
      </c>
    </row>
    <row r="3434" spans="1:15" x14ac:dyDescent="0.25">
      <c r="A3434">
        <v>3433</v>
      </c>
      <c r="B3434" t="str">
        <f>HYPERLINK("https://digitalcommons.unl.edu/cgi/viewcontent.cgi?article=3980&amp;context=tractormuseumlit","Click for test report")</f>
        <v>Click for test report</v>
      </c>
      <c r="C3434">
        <v>2013</v>
      </c>
      <c r="E3434" t="s">
        <v>1376</v>
      </c>
      <c r="F3434" t="s">
        <v>111</v>
      </c>
      <c r="G3434" t="s">
        <v>414</v>
      </c>
      <c r="H3434" t="s">
        <v>1377</v>
      </c>
      <c r="I3434" t="s">
        <v>28</v>
      </c>
      <c r="J3434" t="s">
        <v>20</v>
      </c>
      <c r="K3434" t="s">
        <v>21</v>
      </c>
      <c r="L3434" t="s">
        <v>567</v>
      </c>
      <c r="N3434" t="s">
        <v>123</v>
      </c>
      <c r="O3434" t="s">
        <v>24</v>
      </c>
    </row>
    <row r="3435" spans="1:15" x14ac:dyDescent="0.25">
      <c r="A3435">
        <v>3434</v>
      </c>
      <c r="B3435" t="str">
        <f>HYPERLINK("https://digitalcommons.unl.edu/cgi/viewcontent.cgi?article=3981&amp;context=tractormuseumlit","Click for test report")</f>
        <v>Click for test report</v>
      </c>
      <c r="C3435">
        <v>2013</v>
      </c>
      <c r="E3435" t="s">
        <v>1374</v>
      </c>
      <c r="F3435" t="s">
        <v>111</v>
      </c>
      <c r="G3435" t="s">
        <v>414</v>
      </c>
      <c r="H3435" t="s">
        <v>1375</v>
      </c>
      <c r="I3435" t="s">
        <v>28</v>
      </c>
      <c r="J3435" t="s">
        <v>20</v>
      </c>
      <c r="K3435" t="s">
        <v>21</v>
      </c>
      <c r="L3435" t="s">
        <v>359</v>
      </c>
      <c r="N3435" t="s">
        <v>705</v>
      </c>
      <c r="O3435" t="s">
        <v>24</v>
      </c>
    </row>
    <row r="3436" spans="1:15" x14ac:dyDescent="0.25">
      <c r="A3436">
        <v>3435</v>
      </c>
      <c r="B3436" t="str">
        <f>HYPERLINK("https://digitalcommons.unl.edu/cgi/viewcontent.cgi?article=3982&amp;context=tractormuseumlit","Click for test report")</f>
        <v>Click for test report</v>
      </c>
      <c r="C3436">
        <v>2013</v>
      </c>
      <c r="E3436" t="s">
        <v>1372</v>
      </c>
      <c r="F3436" t="s">
        <v>111</v>
      </c>
      <c r="G3436" t="s">
        <v>414</v>
      </c>
      <c r="H3436" t="s">
        <v>1373</v>
      </c>
      <c r="I3436" t="s">
        <v>28</v>
      </c>
      <c r="J3436" t="s">
        <v>20</v>
      </c>
      <c r="K3436" t="s">
        <v>21</v>
      </c>
      <c r="L3436" t="s">
        <v>853</v>
      </c>
      <c r="N3436" t="s">
        <v>333</v>
      </c>
      <c r="O3436" t="s">
        <v>24</v>
      </c>
    </row>
    <row r="3437" spans="1:15" x14ac:dyDescent="0.25">
      <c r="A3437">
        <v>3436</v>
      </c>
      <c r="B3437" t="str">
        <f>HYPERLINK("https://digitalcommons.unl.edu/cgi/viewcontent.cgi?article=3983&amp;context=tractormuseumlit","Click for test report")</f>
        <v>Click for test report</v>
      </c>
      <c r="C3437">
        <v>2013</v>
      </c>
      <c r="E3437" t="s">
        <v>1369</v>
      </c>
      <c r="F3437" t="s">
        <v>17</v>
      </c>
      <c r="G3437" t="s">
        <v>17</v>
      </c>
      <c r="H3437" t="s">
        <v>1370</v>
      </c>
      <c r="I3437" t="s">
        <v>28</v>
      </c>
      <c r="J3437" t="s">
        <v>20</v>
      </c>
      <c r="K3437" t="s">
        <v>21</v>
      </c>
      <c r="L3437" t="s">
        <v>562</v>
      </c>
      <c r="N3437" t="s">
        <v>1371</v>
      </c>
      <c r="O3437" t="s">
        <v>24</v>
      </c>
    </row>
    <row r="3438" spans="1:15" x14ac:dyDescent="0.25">
      <c r="A3438">
        <v>3437</v>
      </c>
      <c r="B3438" t="str">
        <f>HYPERLINK("https://digitalcommons.unl.edu/cgi/viewcontent.cgi?article=3984&amp;context=tractormuseumlit","Click for test report")</f>
        <v>Click for test report</v>
      </c>
      <c r="C3438">
        <v>2013</v>
      </c>
      <c r="E3438" t="s">
        <v>1367</v>
      </c>
      <c r="F3438" t="s">
        <v>17</v>
      </c>
      <c r="G3438" t="s">
        <v>17</v>
      </c>
      <c r="H3438" t="s">
        <v>1368</v>
      </c>
      <c r="I3438" t="s">
        <v>28</v>
      </c>
      <c r="J3438" t="s">
        <v>20</v>
      </c>
      <c r="K3438" t="s">
        <v>21</v>
      </c>
      <c r="L3438" t="s">
        <v>339</v>
      </c>
      <c r="N3438" t="s">
        <v>716</v>
      </c>
      <c r="O3438" t="s">
        <v>24</v>
      </c>
    </row>
    <row r="3439" spans="1:15" x14ac:dyDescent="0.25">
      <c r="A3439">
        <v>3438</v>
      </c>
      <c r="B3439" t="str">
        <f>HYPERLINK("https://digitalcommons.unl.edu/cgi/viewcontent.cgi?article=3985&amp;context=tractormuseumlit","Click for test report")</f>
        <v>Click for test report</v>
      </c>
      <c r="C3439">
        <v>2013</v>
      </c>
      <c r="E3439" t="s">
        <v>1365</v>
      </c>
      <c r="F3439" t="s">
        <v>17</v>
      </c>
      <c r="G3439" t="s">
        <v>17</v>
      </c>
      <c r="H3439" t="s">
        <v>1366</v>
      </c>
      <c r="I3439" t="s">
        <v>28</v>
      </c>
      <c r="J3439" t="s">
        <v>20</v>
      </c>
      <c r="K3439" t="s">
        <v>21</v>
      </c>
      <c r="L3439" t="s">
        <v>571</v>
      </c>
      <c r="N3439" t="s">
        <v>457</v>
      </c>
      <c r="O3439" t="s">
        <v>24</v>
      </c>
    </row>
    <row r="3440" spans="1:15" x14ac:dyDescent="0.25">
      <c r="A3440">
        <v>3439</v>
      </c>
      <c r="B3440" t="str">
        <f>HYPERLINK("https://digitalcommons.unl.edu/cgi/viewcontent.cgi?article=3987&amp;context=tractormuseumlit","Click for test report")</f>
        <v>Click for test report</v>
      </c>
      <c r="C3440">
        <v>2013</v>
      </c>
      <c r="E3440" t="s">
        <v>1363</v>
      </c>
      <c r="F3440" t="s">
        <v>1246</v>
      </c>
      <c r="G3440" t="s">
        <v>191</v>
      </c>
      <c r="H3440" t="s">
        <v>1364</v>
      </c>
      <c r="I3440" t="s">
        <v>50</v>
      </c>
      <c r="J3440" t="s">
        <v>20</v>
      </c>
      <c r="K3440" t="s">
        <v>21</v>
      </c>
      <c r="L3440" t="s">
        <v>565</v>
      </c>
      <c r="N3440" t="s">
        <v>731</v>
      </c>
      <c r="O3440" t="s">
        <v>24</v>
      </c>
    </row>
    <row r="3441" spans="1:15" x14ac:dyDescent="0.25">
      <c r="A3441">
        <v>3440</v>
      </c>
      <c r="B3441" t="str">
        <f>HYPERLINK("https://digitalcommons.unl.edu/cgi/viewcontent.cgi?article=3988&amp;context=tractormuseumlit","Click for test report")</f>
        <v>Click for test report</v>
      </c>
      <c r="C3441">
        <v>2013</v>
      </c>
      <c r="E3441" t="s">
        <v>1361</v>
      </c>
      <c r="F3441" t="s">
        <v>1246</v>
      </c>
      <c r="G3441" t="s">
        <v>191</v>
      </c>
      <c r="H3441" t="s">
        <v>1362</v>
      </c>
      <c r="I3441" t="s">
        <v>50</v>
      </c>
      <c r="J3441" t="s">
        <v>20</v>
      </c>
      <c r="K3441" t="s">
        <v>21</v>
      </c>
      <c r="L3441" t="s">
        <v>247</v>
      </c>
      <c r="N3441" t="s">
        <v>731</v>
      </c>
      <c r="O3441" t="s">
        <v>24</v>
      </c>
    </row>
    <row r="3442" spans="1:15" x14ac:dyDescent="0.25">
      <c r="A3442">
        <v>3441</v>
      </c>
      <c r="B3442" t="str">
        <f>HYPERLINK("https://digitalcommons.unl.edu/cgi/viewcontent.cgi?article=3991&amp;context=tractormuseumlit","Click for test report")</f>
        <v>Click for test report</v>
      </c>
      <c r="C3442">
        <v>2013</v>
      </c>
      <c r="E3442" t="s">
        <v>1359</v>
      </c>
      <c r="F3442" t="s">
        <v>1246</v>
      </c>
      <c r="G3442" t="s">
        <v>135</v>
      </c>
      <c r="H3442" t="s">
        <v>1360</v>
      </c>
      <c r="I3442" t="s">
        <v>50</v>
      </c>
      <c r="J3442" t="s">
        <v>20</v>
      </c>
      <c r="K3442" t="s">
        <v>21</v>
      </c>
      <c r="L3442" t="s">
        <v>565</v>
      </c>
      <c r="N3442" t="s">
        <v>731</v>
      </c>
      <c r="O3442" t="s">
        <v>24</v>
      </c>
    </row>
    <row r="3443" spans="1:15" x14ac:dyDescent="0.25">
      <c r="A3443">
        <v>3442</v>
      </c>
      <c r="B3443" t="str">
        <f>HYPERLINK("https://digitalcommons.unl.edu/cgi/viewcontent.cgi?article=3992&amp;context=tractormuseumlit","Click for test report")</f>
        <v>Click for test report</v>
      </c>
      <c r="C3443">
        <v>2013</v>
      </c>
      <c r="E3443" t="s">
        <v>1357</v>
      </c>
      <c r="F3443" t="s">
        <v>1246</v>
      </c>
      <c r="G3443" t="s">
        <v>135</v>
      </c>
      <c r="H3443" t="s">
        <v>1358</v>
      </c>
      <c r="I3443" t="s">
        <v>50</v>
      </c>
      <c r="J3443" t="s">
        <v>20</v>
      </c>
      <c r="K3443" t="s">
        <v>21</v>
      </c>
      <c r="L3443" t="s">
        <v>247</v>
      </c>
      <c r="N3443" t="s">
        <v>731</v>
      </c>
      <c r="O3443" t="s">
        <v>24</v>
      </c>
    </row>
    <row r="3444" spans="1:15" x14ac:dyDescent="0.25">
      <c r="A3444">
        <v>3443</v>
      </c>
      <c r="B3444" t="str">
        <f>HYPERLINK("https://digitalcommons.unl.edu/cgi/viewcontent.cgi?article=3994&amp;context=tractormuseumlit","Click for test report")</f>
        <v>Click for test report</v>
      </c>
      <c r="C3444">
        <v>2013</v>
      </c>
      <c r="E3444" t="s">
        <v>1355</v>
      </c>
      <c r="F3444" t="s">
        <v>1343</v>
      </c>
      <c r="G3444" t="s">
        <v>191</v>
      </c>
      <c r="H3444" t="s">
        <v>1356</v>
      </c>
      <c r="I3444" t="s">
        <v>50</v>
      </c>
      <c r="J3444" t="s">
        <v>20</v>
      </c>
      <c r="K3444" t="s">
        <v>21</v>
      </c>
      <c r="L3444" t="s">
        <v>713</v>
      </c>
      <c r="N3444" t="s">
        <v>1350</v>
      </c>
      <c r="O3444" t="s">
        <v>24</v>
      </c>
    </row>
    <row r="3445" spans="1:15" x14ac:dyDescent="0.25">
      <c r="A3445">
        <v>3444</v>
      </c>
      <c r="B3445" t="str">
        <f>HYPERLINK("https://digitalcommons.unl.edu/cgi/viewcontent.cgi?article=3995&amp;context=tractormuseumlit","Click for test report")</f>
        <v>Click for test report</v>
      </c>
      <c r="C3445">
        <v>2013</v>
      </c>
      <c r="E3445" t="s">
        <v>1353</v>
      </c>
      <c r="F3445" t="s">
        <v>1343</v>
      </c>
      <c r="G3445" t="s">
        <v>191</v>
      </c>
      <c r="H3445" t="s">
        <v>1354</v>
      </c>
      <c r="I3445" t="s">
        <v>50</v>
      </c>
      <c r="J3445" t="s">
        <v>20</v>
      </c>
      <c r="K3445" t="s">
        <v>21</v>
      </c>
      <c r="L3445" t="s">
        <v>52</v>
      </c>
      <c r="N3445" t="s">
        <v>1347</v>
      </c>
      <c r="O3445" t="s">
        <v>24</v>
      </c>
    </row>
    <row r="3446" spans="1:15" x14ac:dyDescent="0.25">
      <c r="A3446">
        <v>3445</v>
      </c>
      <c r="B3446" t="str">
        <f>HYPERLINK("https://digitalcommons.unl.edu/cgi/viewcontent.cgi?article=3996&amp;context=tractormuseumlit","Click for test report")</f>
        <v>Click for test report</v>
      </c>
      <c r="C3446">
        <v>2013</v>
      </c>
      <c r="E3446" t="s">
        <v>1351</v>
      </c>
      <c r="F3446" t="s">
        <v>1343</v>
      </c>
      <c r="G3446" t="s">
        <v>191</v>
      </c>
      <c r="H3446" t="s">
        <v>1352</v>
      </c>
      <c r="I3446" t="s">
        <v>28</v>
      </c>
      <c r="J3446" t="s">
        <v>20</v>
      </c>
      <c r="K3446" t="s">
        <v>21</v>
      </c>
      <c r="L3446" t="s">
        <v>571</v>
      </c>
      <c r="N3446" t="s">
        <v>743</v>
      </c>
      <c r="O3446" t="s">
        <v>24</v>
      </c>
    </row>
    <row r="3447" spans="1:15" x14ac:dyDescent="0.25">
      <c r="A3447">
        <v>3446</v>
      </c>
      <c r="B3447" t="str">
        <f>HYPERLINK("https://digitalcommons.unl.edu/cgi/viewcontent.cgi?article=3997&amp;context=tractormuseumlit","Click for test report")</f>
        <v>Click for test report</v>
      </c>
      <c r="C3447">
        <v>2013</v>
      </c>
      <c r="E3447" t="s">
        <v>1348</v>
      </c>
      <c r="F3447" t="s">
        <v>1343</v>
      </c>
      <c r="G3447" t="s">
        <v>135</v>
      </c>
      <c r="H3447" t="s">
        <v>1349</v>
      </c>
      <c r="I3447" t="s">
        <v>50</v>
      </c>
      <c r="J3447" t="s">
        <v>20</v>
      </c>
      <c r="K3447" t="s">
        <v>21</v>
      </c>
      <c r="L3447" t="s">
        <v>713</v>
      </c>
      <c r="N3447" t="s">
        <v>1350</v>
      </c>
      <c r="O3447" t="s">
        <v>24</v>
      </c>
    </row>
    <row r="3448" spans="1:15" x14ac:dyDescent="0.25">
      <c r="A3448">
        <v>3447</v>
      </c>
      <c r="B3448" t="str">
        <f>HYPERLINK("https://digitalcommons.unl.edu/cgi/viewcontent.cgi?article=3998&amp;context=tractormuseumlit","Click for test report")</f>
        <v>Click for test report</v>
      </c>
      <c r="C3448">
        <v>2013</v>
      </c>
      <c r="E3448" t="s">
        <v>1345</v>
      </c>
      <c r="F3448" t="s">
        <v>1343</v>
      </c>
      <c r="G3448" t="s">
        <v>135</v>
      </c>
      <c r="H3448" t="s">
        <v>1346</v>
      </c>
      <c r="I3448" t="s">
        <v>50</v>
      </c>
      <c r="J3448" t="s">
        <v>20</v>
      </c>
      <c r="K3448" t="s">
        <v>21</v>
      </c>
      <c r="L3448" t="s">
        <v>52</v>
      </c>
      <c r="N3448" t="s">
        <v>1347</v>
      </c>
      <c r="O3448" t="s">
        <v>24</v>
      </c>
    </row>
    <row r="3449" spans="1:15" x14ac:dyDescent="0.25">
      <c r="A3449">
        <v>3448</v>
      </c>
      <c r="B3449" t="str">
        <f>HYPERLINK("https://digitalcommons.unl.edu/cgi/viewcontent.cgi?article=3999&amp;context=tractormuseumlit","Click for test report")</f>
        <v>Click for test report</v>
      </c>
      <c r="C3449">
        <v>2013</v>
      </c>
      <c r="E3449" t="s">
        <v>1342</v>
      </c>
      <c r="F3449" t="s">
        <v>1343</v>
      </c>
      <c r="G3449" t="s">
        <v>135</v>
      </c>
      <c r="H3449" t="s">
        <v>1344</v>
      </c>
      <c r="I3449" t="s">
        <v>28</v>
      </c>
      <c r="J3449" t="s">
        <v>20</v>
      </c>
      <c r="K3449" t="s">
        <v>21</v>
      </c>
      <c r="L3449" t="s">
        <v>571</v>
      </c>
      <c r="N3449" t="s">
        <v>743</v>
      </c>
      <c r="O3449" t="s">
        <v>24</v>
      </c>
    </row>
    <row r="3450" spans="1:15" x14ac:dyDescent="0.25">
      <c r="A3450">
        <v>3449</v>
      </c>
      <c r="B3450" t="str">
        <f>HYPERLINK("https://digitalcommons.unl.edu/cgi/viewcontent.cgi?article=3506&amp;context=tractormuseumlit","Click for test report")</f>
        <v>Click for test report</v>
      </c>
      <c r="C3450">
        <v>2013</v>
      </c>
      <c r="D3450" t="s">
        <v>1340</v>
      </c>
      <c r="F3450" t="s">
        <v>1255</v>
      </c>
      <c r="G3450" t="s">
        <v>135</v>
      </c>
      <c r="H3450" t="s">
        <v>1341</v>
      </c>
      <c r="I3450" t="s">
        <v>50</v>
      </c>
      <c r="J3450" t="s">
        <v>20</v>
      </c>
      <c r="K3450" t="s">
        <v>21</v>
      </c>
      <c r="L3450" t="s">
        <v>1257</v>
      </c>
      <c r="O3450" t="s">
        <v>24</v>
      </c>
    </row>
    <row r="3451" spans="1:15" x14ac:dyDescent="0.25">
      <c r="A3451">
        <v>3450</v>
      </c>
      <c r="B3451" t="str">
        <f>HYPERLINK("https://digitalcommons.unl.edu/cgi/viewcontent.cgi?article=3507&amp;context=tractormuseumlit","Click for test report")</f>
        <v>Click for test report</v>
      </c>
      <c r="C3451">
        <v>2013</v>
      </c>
      <c r="D3451" t="s">
        <v>1338</v>
      </c>
      <c r="F3451" t="s">
        <v>708</v>
      </c>
      <c r="G3451" t="s">
        <v>17</v>
      </c>
      <c r="H3451" t="s">
        <v>1339</v>
      </c>
      <c r="I3451" t="s">
        <v>50</v>
      </c>
      <c r="J3451" t="s">
        <v>20</v>
      </c>
      <c r="K3451" t="s">
        <v>21</v>
      </c>
      <c r="L3451" t="s">
        <v>562</v>
      </c>
      <c r="O3451" t="s">
        <v>1332</v>
      </c>
    </row>
    <row r="3452" spans="1:15" x14ac:dyDescent="0.25">
      <c r="A3452">
        <v>3451</v>
      </c>
      <c r="B3452" t="str">
        <f>HYPERLINK("https://digitalcommons.unl.edu/cgi/viewcontent.cgi?article=3508&amp;context=tractormuseumlit","Click for test report")</f>
        <v>Click for test report</v>
      </c>
      <c r="C3452">
        <v>2013</v>
      </c>
      <c r="D3452" t="s">
        <v>1336</v>
      </c>
      <c r="F3452" t="s">
        <v>708</v>
      </c>
      <c r="G3452" t="s">
        <v>17</v>
      </c>
      <c r="H3452" t="s">
        <v>1337</v>
      </c>
      <c r="I3452" t="s">
        <v>50</v>
      </c>
      <c r="J3452" t="s">
        <v>20</v>
      </c>
      <c r="K3452" t="s">
        <v>21</v>
      </c>
      <c r="L3452" t="s">
        <v>339</v>
      </c>
      <c r="O3452" t="s">
        <v>1332</v>
      </c>
    </row>
    <row r="3453" spans="1:15" x14ac:dyDescent="0.25">
      <c r="A3453">
        <v>3452</v>
      </c>
      <c r="B3453" t="str">
        <f>HYPERLINK("https://digitalcommons.unl.edu/cgi/viewcontent.cgi?article=3509&amp;context=tractormuseumlit","Click for test report")</f>
        <v>Click for test report</v>
      </c>
      <c r="C3453">
        <v>2013</v>
      </c>
      <c r="D3453" t="s">
        <v>1333</v>
      </c>
      <c r="E3453" t="s">
        <v>1334</v>
      </c>
      <c r="F3453" t="s">
        <v>708</v>
      </c>
      <c r="G3453" t="s">
        <v>17</v>
      </c>
      <c r="H3453" t="s">
        <v>1335</v>
      </c>
      <c r="I3453" t="s">
        <v>50</v>
      </c>
      <c r="J3453" t="s">
        <v>20</v>
      </c>
      <c r="K3453" t="s">
        <v>21</v>
      </c>
      <c r="L3453" t="s">
        <v>368</v>
      </c>
      <c r="N3453" t="s">
        <v>131</v>
      </c>
      <c r="O3453" t="s">
        <v>1332</v>
      </c>
    </row>
    <row r="3454" spans="1:15" x14ac:dyDescent="0.25">
      <c r="A3454">
        <v>3453</v>
      </c>
      <c r="B3454" t="str">
        <f>HYPERLINK("https://digitalcommons.unl.edu/cgi/viewcontent.cgi?article=3510&amp;context=tractormuseumlit","Click for test report")</f>
        <v>Click for test report</v>
      </c>
      <c r="C3454">
        <v>2013</v>
      </c>
      <c r="D3454" t="s">
        <v>1329</v>
      </c>
      <c r="E3454" t="s">
        <v>1330</v>
      </c>
      <c r="F3454" t="s">
        <v>708</v>
      </c>
      <c r="G3454" t="s">
        <v>17</v>
      </c>
      <c r="H3454" t="s">
        <v>1331</v>
      </c>
      <c r="I3454" t="s">
        <v>50</v>
      </c>
      <c r="J3454" t="s">
        <v>20</v>
      </c>
      <c r="K3454" t="s">
        <v>21</v>
      </c>
      <c r="L3454" t="s">
        <v>122</v>
      </c>
      <c r="N3454" t="s">
        <v>561</v>
      </c>
      <c r="O3454" t="s">
        <v>1332</v>
      </c>
    </row>
    <row r="3455" spans="1:15" x14ac:dyDescent="0.25">
      <c r="A3455">
        <v>3454</v>
      </c>
      <c r="B3455" t="str">
        <f>HYPERLINK("https://digitalcommons.unl.edu/cgi/viewcontent.cgi?article=3511&amp;context=tractormuseumlit","Click for test report")</f>
        <v>Click for test report</v>
      </c>
      <c r="C3455">
        <v>2013</v>
      </c>
      <c r="D3455" t="s">
        <v>1326</v>
      </c>
      <c r="E3455" t="s">
        <v>1327</v>
      </c>
      <c r="F3455" t="s">
        <v>17</v>
      </c>
      <c r="G3455" t="s">
        <v>17</v>
      </c>
      <c r="H3455" t="s">
        <v>1328</v>
      </c>
      <c r="I3455" t="s">
        <v>19</v>
      </c>
      <c r="J3455" t="s">
        <v>20</v>
      </c>
      <c r="K3455" t="s">
        <v>21</v>
      </c>
      <c r="L3455" t="s">
        <v>446</v>
      </c>
      <c r="N3455" t="s">
        <v>364</v>
      </c>
      <c r="O3455" t="s">
        <v>24</v>
      </c>
    </row>
    <row r="3456" spans="1:15" x14ac:dyDescent="0.25">
      <c r="A3456">
        <v>3455</v>
      </c>
      <c r="B3456" t="str">
        <f>HYPERLINK("https://digitalcommons.unl.edu/cgi/viewcontent.cgi?article=3512&amp;context=tractormuseumlit","Click for test report")</f>
        <v>Click for test report</v>
      </c>
      <c r="C3456">
        <v>2013</v>
      </c>
      <c r="D3456" t="s">
        <v>1323</v>
      </c>
      <c r="E3456" t="s">
        <v>1324</v>
      </c>
      <c r="F3456" t="s">
        <v>17</v>
      </c>
      <c r="G3456" t="s">
        <v>17</v>
      </c>
      <c r="H3456" t="s">
        <v>1325</v>
      </c>
      <c r="I3456" t="s">
        <v>19</v>
      </c>
      <c r="J3456" t="s">
        <v>20</v>
      </c>
      <c r="K3456" t="s">
        <v>21</v>
      </c>
      <c r="L3456" t="s">
        <v>1266</v>
      </c>
      <c r="N3456" t="s">
        <v>122</v>
      </c>
      <c r="O3456" t="s">
        <v>24</v>
      </c>
    </row>
    <row r="3457" spans="1:15" x14ac:dyDescent="0.25">
      <c r="A3457">
        <v>3456</v>
      </c>
      <c r="B3457" t="str">
        <f>HYPERLINK("https://digitalcommons.unl.edu/cgi/viewcontent.cgi?article=3514&amp;context=tractormuseumlit","Click for test report")</f>
        <v>Click for test report</v>
      </c>
      <c r="C3457">
        <v>2013</v>
      </c>
      <c r="D3457" t="s">
        <v>1320</v>
      </c>
      <c r="E3457" t="s">
        <v>1321</v>
      </c>
      <c r="F3457" t="s">
        <v>111</v>
      </c>
      <c r="G3457" t="s">
        <v>414</v>
      </c>
      <c r="H3457" t="s">
        <v>1322</v>
      </c>
      <c r="I3457" t="s">
        <v>28</v>
      </c>
      <c r="J3457" t="s">
        <v>96</v>
      </c>
      <c r="K3457" t="s">
        <v>21</v>
      </c>
      <c r="L3457" t="s">
        <v>1176</v>
      </c>
      <c r="N3457" t="s">
        <v>609</v>
      </c>
      <c r="O3457" t="s">
        <v>24</v>
      </c>
    </row>
    <row r="3458" spans="1:15" x14ac:dyDescent="0.25">
      <c r="A3458">
        <v>3457</v>
      </c>
      <c r="B3458" t="str">
        <f>HYPERLINK("https://digitalcommons.unl.edu/cgi/viewcontent.cgi?article=3515&amp;context=tractormuseumlit","Click for test report")</f>
        <v>Click for test report</v>
      </c>
      <c r="C3458">
        <v>2013</v>
      </c>
      <c r="D3458" t="s">
        <v>1317</v>
      </c>
      <c r="E3458" t="s">
        <v>1318</v>
      </c>
      <c r="F3458" t="s">
        <v>111</v>
      </c>
      <c r="G3458" t="s">
        <v>414</v>
      </c>
      <c r="H3458" t="s">
        <v>1319</v>
      </c>
      <c r="I3458" t="s">
        <v>28</v>
      </c>
      <c r="J3458" t="s">
        <v>96</v>
      </c>
      <c r="K3458" t="s">
        <v>21</v>
      </c>
      <c r="L3458" t="s">
        <v>1156</v>
      </c>
      <c r="N3458" t="s">
        <v>296</v>
      </c>
      <c r="O3458" t="s">
        <v>24</v>
      </c>
    </row>
    <row r="3459" spans="1:15" x14ac:dyDescent="0.25">
      <c r="A3459">
        <v>3458</v>
      </c>
      <c r="B3459" t="str">
        <f>HYPERLINK("https://digitalcommons.unl.edu/cgi/viewcontent.cgi?article=3516&amp;context=tractormuseumlit","Click for test report")</f>
        <v>Click for test report</v>
      </c>
      <c r="C3459">
        <v>2013</v>
      </c>
      <c r="D3459" t="s">
        <v>1315</v>
      </c>
      <c r="F3459" t="s">
        <v>62</v>
      </c>
      <c r="G3459" t="s">
        <v>62</v>
      </c>
      <c r="H3459" t="s">
        <v>1316</v>
      </c>
      <c r="I3459" t="s">
        <v>28</v>
      </c>
      <c r="J3459" t="s">
        <v>20</v>
      </c>
      <c r="K3459" t="s">
        <v>21</v>
      </c>
      <c r="L3459" t="s">
        <v>375</v>
      </c>
      <c r="O3459" t="s">
        <v>24</v>
      </c>
    </row>
    <row r="3460" spans="1:15" x14ac:dyDescent="0.25">
      <c r="A3460">
        <v>3459</v>
      </c>
      <c r="B3460" t="str">
        <f>HYPERLINK("https://digitalcommons.unl.edu/cgi/viewcontent.cgi?article=3517&amp;context=tractormuseumlit","Click for test report")</f>
        <v>Click for test report</v>
      </c>
      <c r="C3460">
        <v>2013</v>
      </c>
      <c r="D3460" t="s">
        <v>1312</v>
      </c>
      <c r="E3460" t="s">
        <v>1313</v>
      </c>
      <c r="F3460" t="s">
        <v>62</v>
      </c>
      <c r="G3460" t="s">
        <v>62</v>
      </c>
      <c r="H3460" t="s">
        <v>1314</v>
      </c>
      <c r="I3460" t="s">
        <v>28</v>
      </c>
      <c r="J3460" t="s">
        <v>20</v>
      </c>
      <c r="K3460" t="s">
        <v>21</v>
      </c>
      <c r="L3460" t="s">
        <v>567</v>
      </c>
      <c r="N3460" t="s">
        <v>51</v>
      </c>
      <c r="O3460" t="s">
        <v>24</v>
      </c>
    </row>
    <row r="3461" spans="1:15" x14ac:dyDescent="0.25">
      <c r="A3461">
        <v>3460</v>
      </c>
      <c r="B3461" t="str">
        <f>HYPERLINK("https://digitalcommons.unl.edu/cgi/viewcontent.cgi?article=3518&amp;context=tractormuseumlit","Click for test report")</f>
        <v>Click for test report</v>
      </c>
      <c r="C3461">
        <v>2013</v>
      </c>
      <c r="D3461" t="s">
        <v>1310</v>
      </c>
      <c r="F3461" t="s">
        <v>62</v>
      </c>
      <c r="G3461" t="s">
        <v>62</v>
      </c>
      <c r="H3461" t="s">
        <v>1311</v>
      </c>
      <c r="I3461" t="s">
        <v>50</v>
      </c>
      <c r="J3461" t="s">
        <v>20</v>
      </c>
      <c r="K3461" t="s">
        <v>21</v>
      </c>
      <c r="L3461" t="s">
        <v>457</v>
      </c>
      <c r="O3461" t="s">
        <v>24</v>
      </c>
    </row>
    <row r="3462" spans="1:15" x14ac:dyDescent="0.25">
      <c r="A3462">
        <v>3461</v>
      </c>
      <c r="B3462" t="str">
        <f>HYPERLINK("https://digitalcommons.unl.edu/cgi/viewcontent.cgi?article=3519&amp;context=tractormuseumlit","Click for test report")</f>
        <v>Click for test report</v>
      </c>
      <c r="C3462">
        <v>2013</v>
      </c>
      <c r="D3462" t="s">
        <v>1306</v>
      </c>
      <c r="E3462" t="s">
        <v>1307</v>
      </c>
      <c r="F3462" t="s">
        <v>61</v>
      </c>
      <c r="G3462" t="s">
        <v>61</v>
      </c>
      <c r="H3462" t="s">
        <v>1308</v>
      </c>
      <c r="I3462" t="s">
        <v>28</v>
      </c>
      <c r="J3462" t="s">
        <v>29</v>
      </c>
      <c r="K3462" t="s">
        <v>21</v>
      </c>
      <c r="L3462" t="s">
        <v>429</v>
      </c>
      <c r="N3462" t="s">
        <v>1309</v>
      </c>
      <c r="O3462" t="s">
        <v>24</v>
      </c>
    </row>
    <row r="3463" spans="1:15" x14ac:dyDescent="0.25">
      <c r="A3463">
        <v>3462</v>
      </c>
      <c r="B3463" t="str">
        <f>HYPERLINK("https://digitalcommons.unl.edu/cgi/viewcontent.cgi?article=3520&amp;context=tractormuseumlit","Click for test report")</f>
        <v>Click for test report</v>
      </c>
      <c r="C3463">
        <v>2013</v>
      </c>
      <c r="D3463" t="s">
        <v>1303</v>
      </c>
      <c r="E3463" t="s">
        <v>1304</v>
      </c>
      <c r="F3463" t="s">
        <v>61</v>
      </c>
      <c r="G3463" t="s">
        <v>61</v>
      </c>
      <c r="H3463" t="s">
        <v>1305</v>
      </c>
      <c r="I3463" t="s">
        <v>28</v>
      </c>
      <c r="J3463" t="s">
        <v>29</v>
      </c>
      <c r="K3463" t="s">
        <v>21</v>
      </c>
      <c r="L3463" t="s">
        <v>495</v>
      </c>
      <c r="N3463" t="s">
        <v>420</v>
      </c>
      <c r="O3463" t="s">
        <v>24</v>
      </c>
    </row>
    <row r="3464" spans="1:15" x14ac:dyDescent="0.25">
      <c r="A3464">
        <v>3463</v>
      </c>
      <c r="B3464" t="str">
        <f>HYPERLINK("https://digitalcommons.unl.edu/cgi/viewcontent.cgi?article=3521&amp;context=tractormuseumlit","Click for test report")</f>
        <v>Click for test report</v>
      </c>
      <c r="C3464">
        <v>2013</v>
      </c>
      <c r="D3464" t="s">
        <v>1299</v>
      </c>
      <c r="E3464" t="s">
        <v>1300</v>
      </c>
      <c r="F3464" t="s">
        <v>61</v>
      </c>
      <c r="G3464" t="s">
        <v>61</v>
      </c>
      <c r="H3464" t="s">
        <v>1301</v>
      </c>
      <c r="I3464" t="s">
        <v>28</v>
      </c>
      <c r="J3464" t="s">
        <v>29</v>
      </c>
      <c r="K3464" t="s">
        <v>21</v>
      </c>
      <c r="L3464" t="s">
        <v>286</v>
      </c>
      <c r="N3464" t="s">
        <v>1302</v>
      </c>
      <c r="O3464" t="s">
        <v>24</v>
      </c>
    </row>
    <row r="3465" spans="1:15" x14ac:dyDescent="0.25">
      <c r="A3465">
        <v>3464</v>
      </c>
      <c r="B3465" t="str">
        <f>HYPERLINK("https://digitalcommons.unl.edu/cgi/viewcontent.cgi?article=3522&amp;context=tractormuseumlit","Click for test report")</f>
        <v>Click for test report</v>
      </c>
      <c r="C3465">
        <v>2013</v>
      </c>
      <c r="D3465" t="s">
        <v>1296</v>
      </c>
      <c r="E3465" t="s">
        <v>1297</v>
      </c>
      <c r="F3465" t="s">
        <v>1282</v>
      </c>
      <c r="G3465" t="s">
        <v>191</v>
      </c>
      <c r="H3465" t="s">
        <v>1298</v>
      </c>
      <c r="I3465" t="s">
        <v>28</v>
      </c>
      <c r="J3465" t="s">
        <v>80</v>
      </c>
      <c r="K3465" t="s">
        <v>21</v>
      </c>
      <c r="L3465" t="s">
        <v>1059</v>
      </c>
      <c r="N3465" t="s">
        <v>206</v>
      </c>
      <c r="O3465" t="s">
        <v>24</v>
      </c>
    </row>
    <row r="3466" spans="1:15" x14ac:dyDescent="0.25">
      <c r="A3466">
        <v>3465</v>
      </c>
      <c r="B3466" t="str">
        <f>HYPERLINK("https://digitalcommons.unl.edu/cgi/viewcontent.cgi?article=3523&amp;context=tractormuseumlit","Click for test report")</f>
        <v>Click for test report</v>
      </c>
      <c r="C3466">
        <v>2013</v>
      </c>
      <c r="D3466" t="s">
        <v>1293</v>
      </c>
      <c r="E3466" t="s">
        <v>1294</v>
      </c>
      <c r="F3466" t="s">
        <v>1282</v>
      </c>
      <c r="G3466" t="s">
        <v>191</v>
      </c>
      <c r="H3466" t="s">
        <v>1295</v>
      </c>
      <c r="I3466" t="s">
        <v>28</v>
      </c>
      <c r="J3466" t="s">
        <v>80</v>
      </c>
      <c r="K3466" t="s">
        <v>21</v>
      </c>
      <c r="L3466" t="s">
        <v>138</v>
      </c>
      <c r="N3466" t="s">
        <v>1059</v>
      </c>
      <c r="O3466" t="s">
        <v>24</v>
      </c>
    </row>
    <row r="3467" spans="1:15" x14ac:dyDescent="0.25">
      <c r="A3467">
        <v>3466</v>
      </c>
      <c r="B3467" t="str">
        <f>HYPERLINK("https://digitalcommons.unl.edu/cgi/viewcontent.cgi?article=3524&amp;context=tractormuseumlit","Click for test report")</f>
        <v>Click for test report</v>
      </c>
      <c r="C3467">
        <v>2013</v>
      </c>
      <c r="D3467" t="s">
        <v>1290</v>
      </c>
      <c r="E3467" t="s">
        <v>1291</v>
      </c>
      <c r="F3467" t="s">
        <v>1282</v>
      </c>
      <c r="G3467" t="s">
        <v>191</v>
      </c>
      <c r="H3467" t="s">
        <v>1292</v>
      </c>
      <c r="I3467" t="s">
        <v>28</v>
      </c>
      <c r="J3467" t="s">
        <v>80</v>
      </c>
      <c r="K3467" t="s">
        <v>21</v>
      </c>
      <c r="L3467" t="s">
        <v>1288</v>
      </c>
      <c r="N3467" t="s">
        <v>620</v>
      </c>
      <c r="O3467" t="s">
        <v>24</v>
      </c>
    </row>
    <row r="3468" spans="1:15" x14ac:dyDescent="0.25">
      <c r="A3468">
        <v>3467</v>
      </c>
      <c r="B3468" t="str">
        <f>HYPERLINK("https://digitalcommons.unl.edu/cgi/viewcontent.cgi?article=3525&amp;context=tractormuseumlit","Click for test report")</f>
        <v>Click for test report</v>
      </c>
      <c r="C3468">
        <v>2013</v>
      </c>
      <c r="D3468" t="s">
        <v>1285</v>
      </c>
      <c r="E3468" t="s">
        <v>1286</v>
      </c>
      <c r="F3468" t="s">
        <v>1282</v>
      </c>
      <c r="G3468" t="s">
        <v>191</v>
      </c>
      <c r="H3468" t="s">
        <v>1287</v>
      </c>
      <c r="I3468" t="s">
        <v>28</v>
      </c>
      <c r="J3468" t="s">
        <v>80</v>
      </c>
      <c r="K3468" t="s">
        <v>21</v>
      </c>
      <c r="L3468" t="s">
        <v>1288</v>
      </c>
      <c r="N3468" t="s">
        <v>1289</v>
      </c>
      <c r="O3468" t="s">
        <v>24</v>
      </c>
    </row>
    <row r="3469" spans="1:15" x14ac:dyDescent="0.25">
      <c r="A3469">
        <v>3468</v>
      </c>
      <c r="B3469" t="str">
        <f>HYPERLINK("https://digitalcommons.unl.edu/cgi/viewcontent.cgi?article=3526&amp;context=tractormuseumlit","Click for test report")</f>
        <v>Click for test report</v>
      </c>
      <c r="C3469">
        <v>2013</v>
      </c>
      <c r="D3469" t="s">
        <v>1280</v>
      </c>
      <c r="E3469" t="s">
        <v>1281</v>
      </c>
      <c r="F3469" t="s">
        <v>1282</v>
      </c>
      <c r="G3469" t="s">
        <v>191</v>
      </c>
      <c r="H3469" t="s">
        <v>1283</v>
      </c>
      <c r="I3469" t="s">
        <v>28</v>
      </c>
      <c r="J3469" t="s">
        <v>80</v>
      </c>
      <c r="K3469" t="s">
        <v>21</v>
      </c>
      <c r="L3469" t="s">
        <v>982</v>
      </c>
      <c r="N3469" t="s">
        <v>1284</v>
      </c>
      <c r="O3469" t="s">
        <v>24</v>
      </c>
    </row>
    <row r="3470" spans="1:15" x14ac:dyDescent="0.25">
      <c r="A3470">
        <v>3469</v>
      </c>
      <c r="B3470" t="str">
        <f>HYPERLINK("https://digitalcommons.unl.edu/cgi/viewcontent.cgi?article=3527&amp;context=tractormuseumlit","Click for test report")</f>
        <v>Click for test report</v>
      </c>
      <c r="C3470">
        <v>2013</v>
      </c>
      <c r="D3470" t="s">
        <v>1279</v>
      </c>
      <c r="F3470" t="s">
        <v>17</v>
      </c>
      <c r="G3470" t="s">
        <v>17</v>
      </c>
      <c r="H3470" t="s">
        <v>721</v>
      </c>
      <c r="I3470" t="s">
        <v>50</v>
      </c>
      <c r="J3470" t="s">
        <v>20</v>
      </c>
      <c r="K3470" t="s">
        <v>21</v>
      </c>
      <c r="L3470" t="s">
        <v>722</v>
      </c>
      <c r="O3470" t="s">
        <v>24</v>
      </c>
    </row>
    <row r="3471" spans="1:15" x14ac:dyDescent="0.25">
      <c r="A3471">
        <v>3470</v>
      </c>
      <c r="B3471" t="str">
        <f>HYPERLINK("https://digitalcommons.unl.edu/cgi/viewcontent.cgi?article=3528&amp;context=tractormuseumlit","Click for test report")</f>
        <v>Click for test report</v>
      </c>
      <c r="C3471">
        <v>2013</v>
      </c>
      <c r="D3471" t="s">
        <v>1278</v>
      </c>
      <c r="F3471" t="s">
        <v>17</v>
      </c>
      <c r="G3471" t="s">
        <v>17</v>
      </c>
      <c r="H3471" t="s">
        <v>718</v>
      </c>
      <c r="I3471" t="s">
        <v>50</v>
      </c>
      <c r="J3471" t="s">
        <v>20</v>
      </c>
      <c r="K3471" t="s">
        <v>21</v>
      </c>
      <c r="L3471" t="s">
        <v>340</v>
      </c>
      <c r="O3471" t="s">
        <v>24</v>
      </c>
    </row>
    <row r="3472" spans="1:15" x14ac:dyDescent="0.25">
      <c r="A3472">
        <v>3471</v>
      </c>
      <c r="B3472" t="str">
        <f>HYPERLINK("https://digitalcommons.unl.edu/cgi/viewcontent.cgi?article=3529&amp;context=tractormuseumlit","Click for test report")</f>
        <v>Click for test report</v>
      </c>
      <c r="C3472">
        <v>2013</v>
      </c>
      <c r="D3472" t="s">
        <v>1275</v>
      </c>
      <c r="E3472" t="s">
        <v>1276</v>
      </c>
      <c r="F3472" t="s">
        <v>17</v>
      </c>
      <c r="G3472" t="s">
        <v>17</v>
      </c>
      <c r="H3472" t="s">
        <v>1277</v>
      </c>
      <c r="I3472" t="s">
        <v>28</v>
      </c>
      <c r="J3472" t="s">
        <v>20</v>
      </c>
      <c r="K3472" t="s">
        <v>21</v>
      </c>
      <c r="L3472" t="s">
        <v>340</v>
      </c>
      <c r="N3472" t="s">
        <v>565</v>
      </c>
      <c r="O3472" t="s">
        <v>24</v>
      </c>
    </row>
    <row r="3473" spans="1:15" x14ac:dyDescent="0.25">
      <c r="A3473">
        <v>3472</v>
      </c>
      <c r="B3473" t="str">
        <f>HYPERLINK("https://digitalcommons.unl.edu/cgi/viewcontent.cgi?article=3530&amp;context=tractormuseumlit","Click for test report")</f>
        <v>Click for test report</v>
      </c>
      <c r="C3473">
        <v>2013</v>
      </c>
      <c r="D3473" t="s">
        <v>1272</v>
      </c>
      <c r="E3473" t="s">
        <v>1273</v>
      </c>
      <c r="F3473" t="s">
        <v>17</v>
      </c>
      <c r="G3473" t="s">
        <v>17</v>
      </c>
      <c r="H3473" t="s">
        <v>1274</v>
      </c>
      <c r="I3473" t="s">
        <v>28</v>
      </c>
      <c r="J3473" t="s">
        <v>20</v>
      </c>
      <c r="K3473" t="s">
        <v>21</v>
      </c>
      <c r="L3473" t="s">
        <v>52</v>
      </c>
      <c r="N3473" t="s">
        <v>562</v>
      </c>
      <c r="O3473" t="s">
        <v>24</v>
      </c>
    </row>
    <row r="3474" spans="1:15" x14ac:dyDescent="0.25">
      <c r="A3474">
        <v>3473</v>
      </c>
      <c r="B3474" t="str">
        <f>HYPERLINK("https://digitalcommons.unl.edu/cgi/viewcontent.cgi?article=3531&amp;context=tractormuseumlit","Click for test report")</f>
        <v>Click for test report</v>
      </c>
      <c r="C3474">
        <v>2013</v>
      </c>
      <c r="D3474" t="s">
        <v>1269</v>
      </c>
      <c r="E3474" t="s">
        <v>1270</v>
      </c>
      <c r="F3474" t="s">
        <v>17</v>
      </c>
      <c r="G3474" t="s">
        <v>17</v>
      </c>
      <c r="H3474" t="s">
        <v>1271</v>
      </c>
      <c r="I3474" t="s">
        <v>28</v>
      </c>
      <c r="J3474" t="s">
        <v>20</v>
      </c>
      <c r="K3474" t="s">
        <v>21</v>
      </c>
      <c r="L3474" t="s">
        <v>130</v>
      </c>
      <c r="N3474" t="s">
        <v>123</v>
      </c>
      <c r="O3474" t="s">
        <v>24</v>
      </c>
    </row>
    <row r="3475" spans="1:15" x14ac:dyDescent="0.25">
      <c r="A3475">
        <v>3474</v>
      </c>
      <c r="B3475" t="str">
        <f>HYPERLINK("https://digitalcommons.unl.edu/cgi/viewcontent.cgi?article=3532&amp;context=tractormuseumlit","Click for test report")</f>
        <v>Click for test report</v>
      </c>
      <c r="C3475">
        <v>2013</v>
      </c>
      <c r="D3475" t="s">
        <v>1267</v>
      </c>
      <c r="E3475" t="s">
        <v>1268</v>
      </c>
      <c r="F3475" t="s">
        <v>17</v>
      </c>
      <c r="G3475" t="s">
        <v>17</v>
      </c>
      <c r="H3475" t="s">
        <v>18</v>
      </c>
      <c r="I3475" t="s">
        <v>28</v>
      </c>
      <c r="J3475" t="s">
        <v>20</v>
      </c>
      <c r="K3475" t="s">
        <v>21</v>
      </c>
      <c r="L3475" t="s">
        <v>336</v>
      </c>
      <c r="N3475" t="s">
        <v>364</v>
      </c>
      <c r="O3475" t="s">
        <v>24</v>
      </c>
    </row>
    <row r="3476" spans="1:15" x14ac:dyDescent="0.25">
      <c r="A3476">
        <v>3475</v>
      </c>
      <c r="B3476" t="str">
        <f>HYPERLINK("https://digitalcommons.unl.edu/cgi/viewcontent.cgi?article=3533&amp;context=tractormuseumlit","Click for test report")</f>
        <v>Click for test report</v>
      </c>
      <c r="C3476">
        <v>2013</v>
      </c>
      <c r="D3476" t="s">
        <v>1263</v>
      </c>
      <c r="E3476" t="s">
        <v>1264</v>
      </c>
      <c r="F3476" t="s">
        <v>17</v>
      </c>
      <c r="G3476" t="s">
        <v>17</v>
      </c>
      <c r="H3476" t="s">
        <v>1265</v>
      </c>
      <c r="I3476" t="s">
        <v>28</v>
      </c>
      <c r="J3476" t="s">
        <v>20</v>
      </c>
      <c r="K3476" t="s">
        <v>21</v>
      </c>
      <c r="L3476" t="s">
        <v>1266</v>
      </c>
      <c r="N3476" t="s">
        <v>374</v>
      </c>
      <c r="O3476" t="s">
        <v>24</v>
      </c>
    </row>
    <row r="3477" spans="1:15" x14ac:dyDescent="0.25">
      <c r="A3477">
        <v>3476</v>
      </c>
      <c r="B3477" t="str">
        <f>HYPERLINK("https://digitalcommons.unl.edu/cgi/viewcontent.cgi?article=3534&amp;context=tractormuseumlit","Click for test report")</f>
        <v>Click for test report</v>
      </c>
      <c r="C3477">
        <v>2013</v>
      </c>
      <c r="D3477" t="s">
        <v>1259</v>
      </c>
      <c r="E3477" t="s">
        <v>1260</v>
      </c>
      <c r="F3477" t="s">
        <v>17</v>
      </c>
      <c r="G3477" t="s">
        <v>17</v>
      </c>
      <c r="H3477" t="s">
        <v>1261</v>
      </c>
      <c r="I3477" t="s">
        <v>28</v>
      </c>
      <c r="J3477" t="s">
        <v>20</v>
      </c>
      <c r="K3477" t="s">
        <v>21</v>
      </c>
      <c r="L3477" t="s">
        <v>1262</v>
      </c>
      <c r="N3477" t="s">
        <v>119</v>
      </c>
      <c r="O3477" t="s">
        <v>24</v>
      </c>
    </row>
    <row r="3478" spans="1:15" x14ac:dyDescent="0.25">
      <c r="A3478">
        <v>3477</v>
      </c>
      <c r="B3478" t="str">
        <f>HYPERLINK("https://digitalcommons.unl.edu/cgi/viewcontent.cgi?article=3513&amp;context=tractormuseumlit","Click for test report")</f>
        <v>Click for test report</v>
      </c>
      <c r="C3478">
        <v>2013</v>
      </c>
      <c r="D3478" t="s">
        <v>1254</v>
      </c>
      <c r="F3478" t="s">
        <v>1255</v>
      </c>
      <c r="G3478" t="s">
        <v>191</v>
      </c>
      <c r="H3478" t="s">
        <v>1256</v>
      </c>
      <c r="I3478" t="s">
        <v>50</v>
      </c>
      <c r="J3478" t="s">
        <v>20</v>
      </c>
      <c r="K3478" t="s">
        <v>21</v>
      </c>
      <c r="L3478" t="s">
        <v>1257</v>
      </c>
      <c r="O3478" t="s">
        <v>1258</v>
      </c>
    </row>
    <row r="3479" spans="1:15" x14ac:dyDescent="0.25">
      <c r="A3479">
        <v>3478</v>
      </c>
      <c r="B3479" t="str">
        <f>HYPERLINK("https://digitalcommons.unl.edu/cgi/viewcontent.cgi?article=3986&amp;context=tractormuseumlit","Click for test report")</f>
        <v>Click for test report</v>
      </c>
      <c r="C3479">
        <v>2014</v>
      </c>
      <c r="E3479" t="s">
        <v>1252</v>
      </c>
      <c r="F3479" t="s">
        <v>1246</v>
      </c>
      <c r="G3479" t="s">
        <v>191</v>
      </c>
      <c r="H3479" t="s">
        <v>1253</v>
      </c>
      <c r="I3479" t="s">
        <v>50</v>
      </c>
      <c r="J3479" t="s">
        <v>20</v>
      </c>
      <c r="K3479" t="s">
        <v>21</v>
      </c>
      <c r="L3479" t="s">
        <v>764</v>
      </c>
      <c r="N3479" t="s">
        <v>353</v>
      </c>
      <c r="O3479" t="s">
        <v>24</v>
      </c>
    </row>
    <row r="3480" spans="1:15" x14ac:dyDescent="0.25">
      <c r="A3480">
        <v>3479</v>
      </c>
      <c r="B3480" t="str">
        <f>HYPERLINK("https://digitalcommons.unl.edu/cgi/viewcontent.cgi?article=3989&amp;context=tractormuseumlit","Click for test report")</f>
        <v>Click for test report</v>
      </c>
      <c r="C3480">
        <v>2014</v>
      </c>
      <c r="E3480" t="s">
        <v>1250</v>
      </c>
      <c r="F3480" t="s">
        <v>1246</v>
      </c>
      <c r="G3480" t="s">
        <v>191</v>
      </c>
      <c r="H3480" t="s">
        <v>1251</v>
      </c>
      <c r="I3480" t="s">
        <v>50</v>
      </c>
      <c r="J3480" t="s">
        <v>20</v>
      </c>
      <c r="K3480" t="s">
        <v>21</v>
      </c>
      <c r="L3480" t="s">
        <v>561</v>
      </c>
      <c r="N3480" t="s">
        <v>349</v>
      </c>
      <c r="O3480" t="s">
        <v>24</v>
      </c>
    </row>
    <row r="3481" spans="1:15" x14ac:dyDescent="0.25">
      <c r="A3481">
        <v>3480</v>
      </c>
      <c r="B3481" t="str">
        <f>HYPERLINK("https://digitalcommons.unl.edu/cgi/viewcontent.cgi?article=3990&amp;context=tractormuseumlit","Click for test report")</f>
        <v>Click for test report</v>
      </c>
      <c r="C3481">
        <v>2014</v>
      </c>
      <c r="E3481" t="s">
        <v>1248</v>
      </c>
      <c r="F3481" t="s">
        <v>1246</v>
      </c>
      <c r="G3481" t="s">
        <v>135</v>
      </c>
      <c r="H3481" t="s">
        <v>1249</v>
      </c>
      <c r="I3481" t="s">
        <v>50</v>
      </c>
      <c r="J3481" t="s">
        <v>20</v>
      </c>
      <c r="K3481" t="s">
        <v>21</v>
      </c>
      <c r="L3481" t="s">
        <v>764</v>
      </c>
      <c r="N3481" t="s">
        <v>353</v>
      </c>
      <c r="O3481" t="s">
        <v>24</v>
      </c>
    </row>
    <row r="3482" spans="1:15" x14ac:dyDescent="0.25">
      <c r="A3482">
        <v>3481</v>
      </c>
      <c r="B3482" t="str">
        <f>HYPERLINK("https://digitalcommons.unl.edu/cgi/viewcontent.cgi?article=3993&amp;context=tractormuseumlit","Click for test report")</f>
        <v>Click for test report</v>
      </c>
      <c r="C3482">
        <v>2014</v>
      </c>
      <c r="E3482" t="s">
        <v>1245</v>
      </c>
      <c r="F3482" t="s">
        <v>1246</v>
      </c>
      <c r="G3482" t="s">
        <v>135</v>
      </c>
      <c r="H3482" t="s">
        <v>1247</v>
      </c>
      <c r="I3482" t="s">
        <v>50</v>
      </c>
      <c r="J3482" t="s">
        <v>20</v>
      </c>
      <c r="K3482" t="s">
        <v>21</v>
      </c>
      <c r="L3482" t="s">
        <v>561</v>
      </c>
      <c r="N3482" t="s">
        <v>349</v>
      </c>
      <c r="O3482" t="s">
        <v>24</v>
      </c>
    </row>
    <row r="3483" spans="1:15" x14ac:dyDescent="0.25">
      <c r="A3483">
        <v>3482</v>
      </c>
      <c r="B3483" t="str">
        <f>HYPERLINK("https://digitalcommons.unl.edu/cgi/viewcontent.cgi?article=4000&amp;context=tractormuseumlit","Click for test report")</f>
        <v>Click for test report</v>
      </c>
      <c r="C3483">
        <v>2014</v>
      </c>
      <c r="E3483" t="s">
        <v>1243</v>
      </c>
      <c r="F3483" t="s">
        <v>111</v>
      </c>
      <c r="G3483" t="s">
        <v>778</v>
      </c>
      <c r="H3483" t="s">
        <v>1244</v>
      </c>
      <c r="I3483" t="s">
        <v>28</v>
      </c>
      <c r="J3483" t="s">
        <v>20</v>
      </c>
      <c r="K3483" t="s">
        <v>21</v>
      </c>
      <c r="L3483" t="s">
        <v>567</v>
      </c>
      <c r="N3483" t="s">
        <v>561</v>
      </c>
      <c r="O3483" t="s">
        <v>24</v>
      </c>
    </row>
    <row r="3484" spans="1:15" x14ac:dyDescent="0.25">
      <c r="A3484">
        <v>3483</v>
      </c>
      <c r="B3484" t="str">
        <f>HYPERLINK("https://digitalcommons.unl.edu/cgi/viewcontent.cgi?article=4001&amp;context=tractormuseumlit","Click for test report")</f>
        <v>Click for test report</v>
      </c>
      <c r="C3484">
        <v>2014</v>
      </c>
      <c r="E3484" t="s">
        <v>1241</v>
      </c>
      <c r="F3484" t="s">
        <v>111</v>
      </c>
      <c r="G3484" t="s">
        <v>414</v>
      </c>
      <c r="H3484" t="s">
        <v>1242</v>
      </c>
      <c r="I3484" t="s">
        <v>28</v>
      </c>
      <c r="J3484" t="s">
        <v>20</v>
      </c>
      <c r="K3484" t="s">
        <v>21</v>
      </c>
      <c r="L3484" t="s">
        <v>567</v>
      </c>
      <c r="N3484" t="s">
        <v>561</v>
      </c>
      <c r="O3484" t="s">
        <v>24</v>
      </c>
    </row>
    <row r="3485" spans="1:15" x14ac:dyDescent="0.25">
      <c r="A3485">
        <v>3484</v>
      </c>
      <c r="B3485" t="str">
        <f>HYPERLINK("https://digitalcommons.unl.edu/cgi/viewcontent.cgi?article=3535&amp;context=tractormuseumlit","Click for test report")</f>
        <v>Click for test report</v>
      </c>
      <c r="C3485">
        <v>2014</v>
      </c>
      <c r="D3485" t="s">
        <v>1238</v>
      </c>
      <c r="E3485" t="s">
        <v>1239</v>
      </c>
      <c r="F3485" t="s">
        <v>17</v>
      </c>
      <c r="G3485" t="s">
        <v>17</v>
      </c>
      <c r="H3485" t="s">
        <v>523</v>
      </c>
      <c r="I3485" t="s">
        <v>28</v>
      </c>
      <c r="J3485" t="s">
        <v>20</v>
      </c>
      <c r="K3485" t="s">
        <v>21</v>
      </c>
      <c r="L3485" t="s">
        <v>1240</v>
      </c>
      <c r="N3485" t="s">
        <v>901</v>
      </c>
      <c r="O3485" t="s">
        <v>24</v>
      </c>
    </row>
    <row r="3486" spans="1:15" x14ac:dyDescent="0.25">
      <c r="A3486">
        <v>3485</v>
      </c>
      <c r="B3486" t="str">
        <f>HYPERLINK("https://digitalcommons.unl.edu/cgi/viewcontent.cgi?article=3536&amp;context=tractormuseumlit","Click for test report")</f>
        <v>Click for test report</v>
      </c>
      <c r="C3486">
        <v>2014</v>
      </c>
      <c r="D3486" t="s">
        <v>1235</v>
      </c>
      <c r="E3486" t="s">
        <v>1236</v>
      </c>
      <c r="F3486" t="s">
        <v>17</v>
      </c>
      <c r="G3486" t="s">
        <v>17</v>
      </c>
      <c r="H3486" t="s">
        <v>1212</v>
      </c>
      <c r="I3486" t="s">
        <v>64</v>
      </c>
      <c r="J3486" t="s">
        <v>20</v>
      </c>
      <c r="K3486" t="s">
        <v>21</v>
      </c>
      <c r="L3486" t="s">
        <v>1237</v>
      </c>
      <c r="N3486" t="s">
        <v>813</v>
      </c>
      <c r="O3486" t="s">
        <v>24</v>
      </c>
    </row>
    <row r="3487" spans="1:15" x14ac:dyDescent="0.25">
      <c r="A3487">
        <v>3486</v>
      </c>
      <c r="B3487" t="str">
        <f>HYPERLINK("https://digitalcommons.unl.edu/cgi/viewcontent.cgi?article=3537&amp;context=tractormuseumlit","Click for test report")</f>
        <v>Click for test report</v>
      </c>
      <c r="C3487">
        <v>2014</v>
      </c>
      <c r="D3487" t="s">
        <v>1232</v>
      </c>
      <c r="E3487" t="s">
        <v>1233</v>
      </c>
      <c r="F3487" t="s">
        <v>17</v>
      </c>
      <c r="G3487" t="s">
        <v>17</v>
      </c>
      <c r="H3487" t="s">
        <v>1234</v>
      </c>
      <c r="I3487" t="s">
        <v>28</v>
      </c>
      <c r="J3487" t="s">
        <v>20</v>
      </c>
      <c r="K3487" t="s">
        <v>21</v>
      </c>
      <c r="L3487" t="s">
        <v>166</v>
      </c>
      <c r="N3487" t="s">
        <v>167</v>
      </c>
      <c r="O3487" t="s">
        <v>24</v>
      </c>
    </row>
    <row r="3488" spans="1:15" x14ac:dyDescent="0.25">
      <c r="A3488">
        <v>3487</v>
      </c>
      <c r="B3488" t="str">
        <f>HYPERLINK("https://digitalcommons.unl.edu/cgi/viewcontent.cgi?article=3538&amp;context=tractormuseumlit","Click for test report")</f>
        <v>Click for test report</v>
      </c>
      <c r="C3488">
        <v>2014</v>
      </c>
      <c r="D3488" t="s">
        <v>1229</v>
      </c>
      <c r="E3488" t="s">
        <v>1230</v>
      </c>
      <c r="F3488" t="s">
        <v>17</v>
      </c>
      <c r="G3488" t="s">
        <v>17</v>
      </c>
      <c r="H3488" t="s">
        <v>1231</v>
      </c>
      <c r="I3488" t="s">
        <v>28</v>
      </c>
      <c r="J3488" t="s">
        <v>20</v>
      </c>
      <c r="K3488" t="s">
        <v>21</v>
      </c>
      <c r="L3488" t="s">
        <v>160</v>
      </c>
      <c r="N3488" t="s">
        <v>161</v>
      </c>
      <c r="O3488" t="s">
        <v>24</v>
      </c>
    </row>
    <row r="3489" spans="1:15" x14ac:dyDescent="0.25">
      <c r="A3489">
        <v>3488</v>
      </c>
      <c r="B3489" t="str">
        <f>HYPERLINK("https://digitalcommons.unl.edu/cgi/viewcontent.cgi?article=3539&amp;context=tractormuseumlit","Click for test report")</f>
        <v>Click for test report</v>
      </c>
      <c r="C3489">
        <v>2014</v>
      </c>
      <c r="D3489" t="s">
        <v>1226</v>
      </c>
      <c r="E3489" t="s">
        <v>1227</v>
      </c>
      <c r="F3489" t="s">
        <v>191</v>
      </c>
      <c r="G3489" t="s">
        <v>191</v>
      </c>
      <c r="H3489" t="s">
        <v>1228</v>
      </c>
      <c r="I3489" t="s">
        <v>64</v>
      </c>
      <c r="J3489" t="s">
        <v>20</v>
      </c>
      <c r="K3489" t="s">
        <v>21</v>
      </c>
      <c r="L3489" t="s">
        <v>108</v>
      </c>
      <c r="N3489" t="s">
        <v>310</v>
      </c>
      <c r="O3489" t="s">
        <v>24</v>
      </c>
    </row>
    <row r="3490" spans="1:15" x14ac:dyDescent="0.25">
      <c r="A3490">
        <v>3489</v>
      </c>
      <c r="B3490" t="str">
        <f>HYPERLINK("https://digitalcommons.unl.edu/cgi/viewcontent.cgi?article=3541&amp;context=tractormuseumlit","Click for test report")</f>
        <v>Click for test report</v>
      </c>
      <c r="C3490">
        <v>2014</v>
      </c>
      <c r="D3490" t="s">
        <v>1223</v>
      </c>
      <c r="E3490" t="s">
        <v>1224</v>
      </c>
      <c r="F3490" t="s">
        <v>111</v>
      </c>
      <c r="G3490" t="s">
        <v>414</v>
      </c>
      <c r="H3490" t="s">
        <v>1225</v>
      </c>
      <c r="I3490" t="s">
        <v>28</v>
      </c>
      <c r="J3490" t="s">
        <v>96</v>
      </c>
      <c r="K3490" t="s">
        <v>21</v>
      </c>
      <c r="L3490" t="s">
        <v>211</v>
      </c>
      <c r="N3490" t="s">
        <v>605</v>
      </c>
      <c r="O3490" t="s">
        <v>24</v>
      </c>
    </row>
    <row r="3491" spans="1:15" x14ac:dyDescent="0.25">
      <c r="A3491">
        <v>3490</v>
      </c>
      <c r="B3491" t="str">
        <f>HYPERLINK("https://digitalcommons.unl.edu/cgi/viewcontent.cgi?article=3542&amp;context=tractormuseumlit","Click for test report")</f>
        <v>Click for test report</v>
      </c>
      <c r="C3491">
        <v>2014</v>
      </c>
      <c r="D3491" t="s">
        <v>1220</v>
      </c>
      <c r="E3491" t="s">
        <v>1221</v>
      </c>
      <c r="F3491" t="s">
        <v>111</v>
      </c>
      <c r="G3491" t="s">
        <v>414</v>
      </c>
      <c r="H3491" t="s">
        <v>1222</v>
      </c>
      <c r="I3491" t="s">
        <v>28</v>
      </c>
      <c r="J3491" t="s">
        <v>96</v>
      </c>
      <c r="K3491" t="s">
        <v>21</v>
      </c>
      <c r="L3491" t="s">
        <v>1068</v>
      </c>
      <c r="N3491" t="s">
        <v>1055</v>
      </c>
      <c r="O3491" t="s">
        <v>24</v>
      </c>
    </row>
    <row r="3492" spans="1:15" x14ac:dyDescent="0.25">
      <c r="A3492">
        <v>3491</v>
      </c>
      <c r="B3492" t="str">
        <f>HYPERLINK("https://digitalcommons.unl.edu/cgi/viewcontent.cgi?article=3543&amp;context=tractormuseumlit","Click for test report")</f>
        <v>Click for test report</v>
      </c>
      <c r="C3492">
        <v>2014</v>
      </c>
      <c r="D3492" t="s">
        <v>1217</v>
      </c>
      <c r="E3492" t="s">
        <v>1218</v>
      </c>
      <c r="F3492" t="s">
        <v>111</v>
      </c>
      <c r="G3492" t="s">
        <v>414</v>
      </c>
      <c r="H3492" t="s">
        <v>1219</v>
      </c>
      <c r="I3492" t="s">
        <v>28</v>
      </c>
      <c r="J3492" t="s">
        <v>96</v>
      </c>
      <c r="K3492" t="s">
        <v>21</v>
      </c>
      <c r="L3492" t="s">
        <v>1073</v>
      </c>
      <c r="N3492" t="s">
        <v>991</v>
      </c>
      <c r="O3492" t="s">
        <v>24</v>
      </c>
    </row>
    <row r="3493" spans="1:15" x14ac:dyDescent="0.25">
      <c r="A3493">
        <v>3492</v>
      </c>
      <c r="B3493" t="str">
        <f>HYPERLINK("https://digitalcommons.unl.edu/cgi/viewcontent.cgi?article=3544&amp;context=tractormuseumlit","Click for test report")</f>
        <v>Click for test report</v>
      </c>
      <c r="C3493">
        <v>2014</v>
      </c>
      <c r="D3493" t="s">
        <v>1214</v>
      </c>
      <c r="E3493" t="s">
        <v>1215</v>
      </c>
      <c r="F3493" t="s">
        <v>17</v>
      </c>
      <c r="G3493" t="s">
        <v>17</v>
      </c>
      <c r="H3493" t="s">
        <v>1216</v>
      </c>
      <c r="I3493" t="s">
        <v>28</v>
      </c>
      <c r="J3493" t="s">
        <v>20</v>
      </c>
      <c r="K3493" t="s">
        <v>21</v>
      </c>
      <c r="L3493" t="s">
        <v>66</v>
      </c>
      <c r="N3493" t="s">
        <v>155</v>
      </c>
      <c r="O3493" t="s">
        <v>24</v>
      </c>
    </row>
    <row r="3494" spans="1:15" x14ac:dyDescent="0.25">
      <c r="A3494">
        <v>3493</v>
      </c>
      <c r="B3494" t="str">
        <f>HYPERLINK("https://digitalcommons.unl.edu/cgi/viewcontent.cgi?article=3545&amp;context=tractormuseumlit","Click for test report")</f>
        <v>Click for test report</v>
      </c>
      <c r="C3494">
        <v>2014</v>
      </c>
      <c r="D3494" t="s">
        <v>1210</v>
      </c>
      <c r="E3494" t="s">
        <v>1211</v>
      </c>
      <c r="F3494" t="s">
        <v>17</v>
      </c>
      <c r="G3494" t="s">
        <v>17</v>
      </c>
      <c r="H3494" t="s">
        <v>1212</v>
      </c>
      <c r="I3494" t="s">
        <v>28</v>
      </c>
      <c r="J3494" t="s">
        <v>20</v>
      </c>
      <c r="K3494" t="s">
        <v>21</v>
      </c>
      <c r="L3494" t="s">
        <v>227</v>
      </c>
      <c r="N3494" t="s">
        <v>1213</v>
      </c>
      <c r="O3494" t="s">
        <v>24</v>
      </c>
    </row>
    <row r="3495" spans="1:15" x14ac:dyDescent="0.25">
      <c r="A3495">
        <v>3494</v>
      </c>
      <c r="B3495" t="str">
        <f>HYPERLINK("https://digitalcommons.unl.edu/cgi/viewcontent.cgi?article=3546&amp;context=tractormuseumlit","Click for test report")</f>
        <v>Click for test report</v>
      </c>
      <c r="C3495">
        <v>2014</v>
      </c>
      <c r="D3495" t="s">
        <v>1207</v>
      </c>
      <c r="E3495" t="s">
        <v>1208</v>
      </c>
      <c r="F3495" t="s">
        <v>134</v>
      </c>
      <c r="G3495" t="s">
        <v>1194</v>
      </c>
      <c r="H3495" t="s">
        <v>1209</v>
      </c>
      <c r="I3495" t="s">
        <v>28</v>
      </c>
      <c r="J3495" t="s">
        <v>29</v>
      </c>
      <c r="K3495" t="s">
        <v>21</v>
      </c>
      <c r="L3495" t="s">
        <v>40</v>
      </c>
      <c r="N3495" t="s">
        <v>1156</v>
      </c>
      <c r="O3495" t="s">
        <v>24</v>
      </c>
    </row>
    <row r="3496" spans="1:15" x14ac:dyDescent="0.25">
      <c r="A3496">
        <v>3495</v>
      </c>
      <c r="B3496" t="str">
        <f>HYPERLINK("https://digitalcommons.unl.edu/cgi/viewcontent.cgi?article=3548&amp;context=tractormuseumlit","Click for test report")</f>
        <v>Click for test report</v>
      </c>
      <c r="C3496">
        <v>2014</v>
      </c>
      <c r="D3496" t="s">
        <v>1204</v>
      </c>
      <c r="E3496" t="s">
        <v>1205</v>
      </c>
      <c r="F3496" t="s">
        <v>134</v>
      </c>
      <c r="G3496" t="s">
        <v>1194</v>
      </c>
      <c r="H3496" t="s">
        <v>1206</v>
      </c>
      <c r="I3496" t="s">
        <v>28</v>
      </c>
      <c r="J3496" t="s">
        <v>29</v>
      </c>
      <c r="K3496" t="s">
        <v>21</v>
      </c>
      <c r="L3496" t="s">
        <v>1152</v>
      </c>
      <c r="N3496" t="s">
        <v>36</v>
      </c>
      <c r="O3496" t="s">
        <v>24</v>
      </c>
    </row>
    <row r="3497" spans="1:15" x14ac:dyDescent="0.25">
      <c r="A3497">
        <v>3496</v>
      </c>
      <c r="B3497" t="str">
        <f>HYPERLINK("https://digitalcommons.unl.edu/cgi/viewcontent.cgi?article=3550&amp;context=tractormuseumlit","Click for test report")</f>
        <v>Click for test report</v>
      </c>
      <c r="C3497">
        <v>2014</v>
      </c>
      <c r="D3497" t="s">
        <v>1201</v>
      </c>
      <c r="E3497" t="s">
        <v>1202</v>
      </c>
      <c r="F3497" t="s">
        <v>134</v>
      </c>
      <c r="G3497" t="s">
        <v>1194</v>
      </c>
      <c r="H3497" t="s">
        <v>1203</v>
      </c>
      <c r="I3497" t="s">
        <v>28</v>
      </c>
      <c r="J3497" t="s">
        <v>29</v>
      </c>
      <c r="K3497" t="s">
        <v>21</v>
      </c>
      <c r="L3497" t="s">
        <v>1146</v>
      </c>
      <c r="N3497" t="s">
        <v>1147</v>
      </c>
      <c r="O3497" t="s">
        <v>24</v>
      </c>
    </row>
    <row r="3498" spans="1:15" x14ac:dyDescent="0.25">
      <c r="A3498">
        <v>3497</v>
      </c>
      <c r="B3498" t="str">
        <f>HYPERLINK("https://digitalcommons.unl.edu/cgi/viewcontent.cgi?article=3552&amp;context=tractormuseumlit","Click for test report")</f>
        <v>Click for test report</v>
      </c>
      <c r="C3498">
        <v>2014</v>
      </c>
      <c r="D3498" t="s">
        <v>1196</v>
      </c>
      <c r="E3498" t="s">
        <v>1197</v>
      </c>
      <c r="F3498" t="s">
        <v>134</v>
      </c>
      <c r="G3498" t="s">
        <v>1194</v>
      </c>
      <c r="H3498" t="s">
        <v>1198</v>
      </c>
      <c r="I3498" t="s">
        <v>28</v>
      </c>
      <c r="J3498" t="s">
        <v>29</v>
      </c>
      <c r="K3498" t="s">
        <v>21</v>
      </c>
      <c r="L3498" t="s">
        <v>982</v>
      </c>
      <c r="N3498" t="s">
        <v>1199</v>
      </c>
      <c r="O3498" t="s">
        <v>1200</v>
      </c>
    </row>
    <row r="3499" spans="1:15" x14ac:dyDescent="0.25">
      <c r="A3499">
        <v>3498</v>
      </c>
      <c r="B3499" t="str">
        <f>HYPERLINK("https://digitalcommons.unl.edu/cgi/viewcontent.cgi?article=3553&amp;context=tractormuseumlit","Click for test report")</f>
        <v>Click for test report</v>
      </c>
      <c r="C3499">
        <v>2014</v>
      </c>
      <c r="D3499" t="s">
        <v>1192</v>
      </c>
      <c r="E3499" t="s">
        <v>1193</v>
      </c>
      <c r="F3499" t="s">
        <v>134</v>
      </c>
      <c r="G3499" t="s">
        <v>1194</v>
      </c>
      <c r="H3499" t="s">
        <v>1195</v>
      </c>
      <c r="I3499" t="s">
        <v>28</v>
      </c>
      <c r="J3499" t="s">
        <v>29</v>
      </c>
      <c r="K3499" t="s">
        <v>21</v>
      </c>
      <c r="L3499" t="s">
        <v>187</v>
      </c>
      <c r="N3499" t="s">
        <v>977</v>
      </c>
      <c r="O3499" t="s">
        <v>24</v>
      </c>
    </row>
    <row r="3500" spans="1:15" x14ac:dyDescent="0.25">
      <c r="A3500">
        <v>3499</v>
      </c>
      <c r="B3500" t="str">
        <f>HYPERLINK("https://digitalcommons.unl.edu/cgi/viewcontent.cgi?article=3555&amp;context=tractormuseumlit","Click for test report")</f>
        <v>Click for test report</v>
      </c>
      <c r="C3500">
        <v>2014</v>
      </c>
      <c r="D3500" t="s">
        <v>1189</v>
      </c>
      <c r="E3500" t="s">
        <v>1190</v>
      </c>
      <c r="F3500" t="s">
        <v>134</v>
      </c>
      <c r="G3500" t="s">
        <v>135</v>
      </c>
      <c r="H3500" t="s">
        <v>1191</v>
      </c>
      <c r="I3500" t="s">
        <v>28</v>
      </c>
      <c r="J3500" t="s">
        <v>29</v>
      </c>
      <c r="K3500" t="s">
        <v>21</v>
      </c>
      <c r="L3500" t="s">
        <v>657</v>
      </c>
      <c r="N3500" t="s">
        <v>1146</v>
      </c>
      <c r="O3500" t="s">
        <v>24</v>
      </c>
    </row>
    <row r="3501" spans="1:15" x14ac:dyDescent="0.25">
      <c r="A3501">
        <v>3500</v>
      </c>
      <c r="B3501" t="str">
        <f>HYPERLINK("https://digitalcommons.unl.edu/cgi/viewcontent.cgi?article=3556&amp;context=tractormuseumlit","Click for test report")</f>
        <v>Click for test report</v>
      </c>
      <c r="C3501">
        <v>2014</v>
      </c>
      <c r="D3501" t="s">
        <v>1186</v>
      </c>
      <c r="E3501" t="s">
        <v>1187</v>
      </c>
      <c r="F3501" t="s">
        <v>17</v>
      </c>
      <c r="G3501" t="s">
        <v>17</v>
      </c>
      <c r="H3501" t="s">
        <v>1188</v>
      </c>
      <c r="I3501" t="s">
        <v>28</v>
      </c>
      <c r="J3501" t="s">
        <v>20</v>
      </c>
      <c r="K3501" t="s">
        <v>21</v>
      </c>
      <c r="L3501" t="s">
        <v>900</v>
      </c>
      <c r="N3501" t="s">
        <v>66</v>
      </c>
      <c r="O3501" t="s">
        <v>1177</v>
      </c>
    </row>
    <row r="3502" spans="1:15" x14ac:dyDescent="0.25">
      <c r="A3502">
        <v>3501</v>
      </c>
      <c r="B3502" t="str">
        <f>HYPERLINK("https://digitalcommons.unl.edu/cgi/viewcontent.cgi?article=3557&amp;context=tractormuseumlit","Click for test report")</f>
        <v>Click for test report</v>
      </c>
      <c r="C3502">
        <v>2014</v>
      </c>
      <c r="D3502" t="s">
        <v>1183</v>
      </c>
      <c r="E3502" t="s">
        <v>1184</v>
      </c>
      <c r="F3502" t="s">
        <v>17</v>
      </c>
      <c r="G3502" t="s">
        <v>17</v>
      </c>
      <c r="H3502" t="s">
        <v>1185</v>
      </c>
      <c r="I3502" t="s">
        <v>28</v>
      </c>
      <c r="J3502" t="s">
        <v>20</v>
      </c>
      <c r="K3502" t="s">
        <v>21</v>
      </c>
      <c r="L3502" t="s">
        <v>212</v>
      </c>
      <c r="N3502" t="s">
        <v>514</v>
      </c>
      <c r="O3502" t="s">
        <v>1177</v>
      </c>
    </row>
    <row r="3503" spans="1:15" x14ac:dyDescent="0.25">
      <c r="A3503">
        <v>3502</v>
      </c>
      <c r="B3503" t="str">
        <f>HYPERLINK("https://digitalcommons.unl.edu/cgi/viewcontent.cgi?article=3558&amp;context=tractormuseumlit","Click for test report")</f>
        <v>Click for test report</v>
      </c>
      <c r="C3503">
        <v>2014</v>
      </c>
      <c r="D3503" t="s">
        <v>1178</v>
      </c>
      <c r="E3503" t="s">
        <v>1179</v>
      </c>
      <c r="F3503" t="s">
        <v>17</v>
      </c>
      <c r="G3503" t="s">
        <v>17</v>
      </c>
      <c r="H3503" t="s">
        <v>1180</v>
      </c>
      <c r="I3503" t="s">
        <v>28</v>
      </c>
      <c r="J3503" t="s">
        <v>20</v>
      </c>
      <c r="K3503" t="s">
        <v>21</v>
      </c>
      <c r="L3503" t="s">
        <v>1181</v>
      </c>
      <c r="N3503" t="s">
        <v>1182</v>
      </c>
      <c r="O3503" t="s">
        <v>1177</v>
      </c>
    </row>
    <row r="3504" spans="1:15" x14ac:dyDescent="0.25">
      <c r="A3504">
        <v>3503</v>
      </c>
      <c r="B3504" t="str">
        <f>HYPERLINK("https://digitalcommons.unl.edu/cgi/viewcontent.cgi?article=3559&amp;context=tractormuseumlit","Click for test report")</f>
        <v>Click for test report</v>
      </c>
      <c r="C3504">
        <v>2014</v>
      </c>
      <c r="D3504" t="s">
        <v>1173</v>
      </c>
      <c r="E3504" t="s">
        <v>1174</v>
      </c>
      <c r="F3504" t="s">
        <v>17</v>
      </c>
      <c r="G3504" t="s">
        <v>17</v>
      </c>
      <c r="H3504" t="s">
        <v>1175</v>
      </c>
      <c r="I3504" t="s">
        <v>28</v>
      </c>
      <c r="J3504" t="s">
        <v>20</v>
      </c>
      <c r="K3504" t="s">
        <v>21</v>
      </c>
      <c r="L3504" t="s">
        <v>1176</v>
      </c>
      <c r="N3504" t="s">
        <v>231</v>
      </c>
      <c r="O3504" t="s">
        <v>1177</v>
      </c>
    </row>
    <row r="3505" spans="1:15" x14ac:dyDescent="0.25">
      <c r="A3505">
        <v>3504</v>
      </c>
      <c r="B3505" t="str">
        <f>HYPERLINK("https://digitalcommons.unl.edu/cgi/viewcontent.cgi?article=3560&amp;context=tractormuseumlit","Click for test report")</f>
        <v>Click for test report</v>
      </c>
      <c r="C3505">
        <v>2014</v>
      </c>
      <c r="D3505" t="s">
        <v>1170</v>
      </c>
      <c r="E3505" t="s">
        <v>1171</v>
      </c>
      <c r="F3505" t="s">
        <v>17</v>
      </c>
      <c r="G3505" t="s">
        <v>17</v>
      </c>
      <c r="H3505" t="s">
        <v>989</v>
      </c>
      <c r="I3505" t="s">
        <v>64</v>
      </c>
      <c r="J3505" t="s">
        <v>20</v>
      </c>
      <c r="K3505" t="s">
        <v>21</v>
      </c>
      <c r="L3505" t="s">
        <v>40</v>
      </c>
      <c r="N3505" t="s">
        <v>1172</v>
      </c>
      <c r="O3505" t="s">
        <v>24</v>
      </c>
    </row>
    <row r="3506" spans="1:15" x14ac:dyDescent="0.25">
      <c r="A3506">
        <v>3505</v>
      </c>
      <c r="B3506" t="str">
        <f>HYPERLINK("https://digitalcommons.unl.edu/cgi/viewcontent.cgi?article=3561&amp;context=tractormuseumlit","Click for test report")</f>
        <v>Click for test report</v>
      </c>
      <c r="C3506">
        <v>2014</v>
      </c>
      <c r="D3506" t="s">
        <v>1165</v>
      </c>
      <c r="E3506" t="s">
        <v>1166</v>
      </c>
      <c r="F3506" t="s">
        <v>17</v>
      </c>
      <c r="G3506" t="s">
        <v>17</v>
      </c>
      <c r="H3506" t="s">
        <v>1167</v>
      </c>
      <c r="I3506" t="s">
        <v>64</v>
      </c>
      <c r="J3506" t="s">
        <v>96</v>
      </c>
      <c r="K3506" t="s">
        <v>21</v>
      </c>
      <c r="L3506" t="s">
        <v>1082</v>
      </c>
      <c r="N3506" t="s">
        <v>1168</v>
      </c>
      <c r="O3506" t="s">
        <v>1169</v>
      </c>
    </row>
    <row r="3507" spans="1:15" x14ac:dyDescent="0.25">
      <c r="A3507">
        <v>3506</v>
      </c>
      <c r="B3507" t="str">
        <f>HYPERLINK("https://digitalcommons.unl.edu/cgi/viewcontent.cgi?article=3562&amp;context=tractormuseumlit","Click for test report")</f>
        <v>Click for test report</v>
      </c>
      <c r="C3507">
        <v>2014</v>
      </c>
      <c r="D3507" t="s">
        <v>1162</v>
      </c>
      <c r="E3507" t="s">
        <v>1163</v>
      </c>
      <c r="F3507" t="s">
        <v>1136</v>
      </c>
      <c r="G3507" t="s">
        <v>778</v>
      </c>
      <c r="H3507" t="s">
        <v>1164</v>
      </c>
      <c r="I3507" t="s">
        <v>28</v>
      </c>
      <c r="J3507" t="s">
        <v>20</v>
      </c>
      <c r="K3507" t="s">
        <v>21</v>
      </c>
      <c r="L3507" t="s">
        <v>833</v>
      </c>
      <c r="N3507" t="s">
        <v>520</v>
      </c>
      <c r="O3507" t="s">
        <v>24</v>
      </c>
    </row>
    <row r="3508" spans="1:15" x14ac:dyDescent="0.25">
      <c r="A3508">
        <v>3507</v>
      </c>
      <c r="B3508" t="str">
        <f>HYPERLINK("https://digitalcommons.unl.edu/cgi/viewcontent.cgi?article=3540&amp;context=tractormuseumlit","Click for test report")</f>
        <v>Click for test report</v>
      </c>
      <c r="C3508">
        <v>2014</v>
      </c>
      <c r="D3508" t="s">
        <v>1158</v>
      </c>
      <c r="E3508" t="s">
        <v>1159</v>
      </c>
      <c r="F3508" t="s">
        <v>191</v>
      </c>
      <c r="G3508" t="s">
        <v>135</v>
      </c>
      <c r="H3508" t="s">
        <v>1160</v>
      </c>
      <c r="I3508" t="s">
        <v>64</v>
      </c>
      <c r="J3508" t="s">
        <v>20</v>
      </c>
      <c r="K3508" t="s">
        <v>21</v>
      </c>
      <c r="L3508" t="s">
        <v>108</v>
      </c>
      <c r="N3508" t="s">
        <v>310</v>
      </c>
      <c r="O3508" t="s">
        <v>1161</v>
      </c>
    </row>
    <row r="3509" spans="1:15" x14ac:dyDescent="0.25">
      <c r="A3509">
        <v>3508</v>
      </c>
      <c r="B3509" t="str">
        <f>HYPERLINK("https://digitalcommons.unl.edu/cgi/viewcontent.cgi?article=3547&amp;context=tractormuseumlit","Click for test report")</f>
        <v>Click for test report</v>
      </c>
      <c r="C3509">
        <v>2014</v>
      </c>
      <c r="D3509" t="s">
        <v>1153</v>
      </c>
      <c r="E3509" t="s">
        <v>1154</v>
      </c>
      <c r="F3509" t="s">
        <v>134</v>
      </c>
      <c r="G3509" t="s">
        <v>135</v>
      </c>
      <c r="H3509" t="s">
        <v>1155</v>
      </c>
      <c r="I3509" t="s">
        <v>28</v>
      </c>
      <c r="J3509" t="s">
        <v>29</v>
      </c>
      <c r="K3509" t="s">
        <v>21</v>
      </c>
      <c r="L3509" t="s">
        <v>40</v>
      </c>
      <c r="N3509" t="s">
        <v>1156</v>
      </c>
      <c r="O3509" t="s">
        <v>1157</v>
      </c>
    </row>
    <row r="3510" spans="1:15" x14ac:dyDescent="0.25">
      <c r="A3510">
        <v>3509</v>
      </c>
      <c r="B3510" t="str">
        <f>HYPERLINK("https://digitalcommons.unl.edu/cgi/viewcontent.cgi?article=3549&amp;context=tractormuseumlit","Click for test report")</f>
        <v>Click for test report</v>
      </c>
      <c r="C3510">
        <v>2014</v>
      </c>
      <c r="D3510" t="s">
        <v>1149</v>
      </c>
      <c r="E3510" t="s">
        <v>1150</v>
      </c>
      <c r="F3510" t="s">
        <v>134</v>
      </c>
      <c r="G3510" t="s">
        <v>135</v>
      </c>
      <c r="H3510" t="s">
        <v>1151</v>
      </c>
      <c r="I3510" t="s">
        <v>28</v>
      </c>
      <c r="J3510" t="s">
        <v>29</v>
      </c>
      <c r="K3510" t="s">
        <v>21</v>
      </c>
      <c r="L3510" t="s">
        <v>1152</v>
      </c>
      <c r="N3510" t="s">
        <v>36</v>
      </c>
      <c r="O3510" t="s">
        <v>24</v>
      </c>
    </row>
    <row r="3511" spans="1:15" x14ac:dyDescent="0.25">
      <c r="A3511">
        <v>3510</v>
      </c>
      <c r="B3511" t="str">
        <f>HYPERLINK("https://digitalcommons.unl.edu/cgi/viewcontent.cgi?article=3551&amp;context=tractormuseumlit","Click for test report")</f>
        <v>Click for test report</v>
      </c>
      <c r="C3511">
        <v>2014</v>
      </c>
      <c r="D3511" t="s">
        <v>1143</v>
      </c>
      <c r="E3511" t="s">
        <v>1144</v>
      </c>
      <c r="F3511" t="s">
        <v>134</v>
      </c>
      <c r="G3511" t="s">
        <v>135</v>
      </c>
      <c r="H3511" t="s">
        <v>1145</v>
      </c>
      <c r="I3511" t="s">
        <v>28</v>
      </c>
      <c r="J3511" t="s">
        <v>29</v>
      </c>
      <c r="K3511" t="s">
        <v>21</v>
      </c>
      <c r="L3511" t="s">
        <v>1146</v>
      </c>
      <c r="N3511" t="s">
        <v>1147</v>
      </c>
      <c r="O3511" t="s">
        <v>1148</v>
      </c>
    </row>
    <row r="3512" spans="1:15" x14ac:dyDescent="0.25">
      <c r="A3512">
        <v>3511</v>
      </c>
      <c r="B3512" t="str">
        <f>HYPERLINK("https://digitalcommons.unl.edu/cgi/viewcontent.cgi?article=3554&amp;context=tractormuseumlit","Click for test report")</f>
        <v>Click for test report</v>
      </c>
      <c r="C3512">
        <v>2014</v>
      </c>
      <c r="D3512" t="s">
        <v>1139</v>
      </c>
      <c r="E3512" t="s">
        <v>1140</v>
      </c>
      <c r="F3512" t="s">
        <v>134</v>
      </c>
      <c r="G3512" t="s">
        <v>135</v>
      </c>
      <c r="H3512" t="s">
        <v>1141</v>
      </c>
      <c r="I3512" t="s">
        <v>28</v>
      </c>
      <c r="J3512" t="s">
        <v>29</v>
      </c>
      <c r="K3512" t="s">
        <v>21</v>
      </c>
      <c r="L3512" t="s">
        <v>187</v>
      </c>
      <c r="N3512" t="s">
        <v>977</v>
      </c>
      <c r="O3512" t="s">
        <v>1142</v>
      </c>
    </row>
    <row r="3513" spans="1:15" x14ac:dyDescent="0.25">
      <c r="A3513">
        <v>3512</v>
      </c>
      <c r="B3513" t="str">
        <f>HYPERLINK("https://digitalcommons.unl.edu/cgi/viewcontent.cgi?article=3563&amp;context=tractormuseumlit","Click for test report")</f>
        <v>Click for test report</v>
      </c>
      <c r="C3513">
        <v>2014</v>
      </c>
      <c r="D3513" t="s">
        <v>1134</v>
      </c>
      <c r="E3513" t="s">
        <v>1135</v>
      </c>
      <c r="F3513" t="s">
        <v>1136</v>
      </c>
      <c r="G3513" t="s">
        <v>414</v>
      </c>
      <c r="H3513" t="s">
        <v>1137</v>
      </c>
      <c r="I3513" t="s">
        <v>28</v>
      </c>
      <c r="J3513" t="s">
        <v>20</v>
      </c>
      <c r="K3513" t="s">
        <v>21</v>
      </c>
      <c r="L3513" t="s">
        <v>833</v>
      </c>
      <c r="N3513" t="s">
        <v>520</v>
      </c>
      <c r="O3513" t="s">
        <v>1138</v>
      </c>
    </row>
    <row r="3514" spans="1:15" x14ac:dyDescent="0.25">
      <c r="A3514">
        <v>3513</v>
      </c>
      <c r="B3514" t="str">
        <f>HYPERLINK("https://digitalcommons.unl.edu/cgi/viewcontent.cgi?article=4181&amp;context=tractormuseumlit","Click for test report")</f>
        <v>Click for test report</v>
      </c>
      <c r="C3514">
        <v>2015</v>
      </c>
      <c r="E3514" t="s">
        <v>1133</v>
      </c>
      <c r="F3514" t="s">
        <v>111</v>
      </c>
      <c r="G3514" t="s">
        <v>778</v>
      </c>
      <c r="H3514" t="s">
        <v>929</v>
      </c>
      <c r="I3514" t="s">
        <v>28</v>
      </c>
      <c r="J3514" t="s">
        <v>20</v>
      </c>
      <c r="K3514" t="s">
        <v>21</v>
      </c>
      <c r="L3514" t="s">
        <v>821</v>
      </c>
      <c r="N3514" t="s">
        <v>328</v>
      </c>
      <c r="O3514" t="s">
        <v>24</v>
      </c>
    </row>
    <row r="3515" spans="1:15" x14ac:dyDescent="0.25">
      <c r="A3515">
        <v>3514</v>
      </c>
      <c r="B3515" t="str">
        <f>HYPERLINK("https://digitalcommons.unl.edu/cgi/viewcontent.cgi?article=4182&amp;context=tractormuseumlit","Click for test report")</f>
        <v>Click for test report</v>
      </c>
      <c r="C3515">
        <v>2015</v>
      </c>
      <c r="E3515" t="s">
        <v>1132</v>
      </c>
      <c r="F3515" t="s">
        <v>111</v>
      </c>
      <c r="G3515" t="s">
        <v>778</v>
      </c>
      <c r="H3515" t="s">
        <v>927</v>
      </c>
      <c r="I3515" t="s">
        <v>28</v>
      </c>
      <c r="J3515" t="s">
        <v>20</v>
      </c>
      <c r="K3515" t="s">
        <v>21</v>
      </c>
      <c r="L3515" t="s">
        <v>821</v>
      </c>
      <c r="N3515" t="s">
        <v>328</v>
      </c>
      <c r="O3515" t="s">
        <v>24</v>
      </c>
    </row>
    <row r="3516" spans="1:15" x14ac:dyDescent="0.25">
      <c r="A3516">
        <v>3515</v>
      </c>
      <c r="B3516" t="str">
        <f>HYPERLINK("https://digitalcommons.unl.edu/cgi/viewcontent.cgi?article=4183&amp;context=tractormuseumlit","Click for test report")</f>
        <v>Click for test report</v>
      </c>
      <c r="C3516">
        <v>2015</v>
      </c>
      <c r="E3516" t="s">
        <v>1131</v>
      </c>
      <c r="F3516" t="s">
        <v>111</v>
      </c>
      <c r="G3516" t="s">
        <v>778</v>
      </c>
      <c r="H3516" t="s">
        <v>925</v>
      </c>
      <c r="I3516" t="s">
        <v>28</v>
      </c>
      <c r="J3516" t="s">
        <v>20</v>
      </c>
      <c r="K3516" t="s">
        <v>21</v>
      </c>
      <c r="L3516" t="s">
        <v>905</v>
      </c>
      <c r="N3516" t="s">
        <v>150</v>
      </c>
      <c r="O3516" t="s">
        <v>24</v>
      </c>
    </row>
    <row r="3517" spans="1:15" x14ac:dyDescent="0.25">
      <c r="A3517">
        <v>3516</v>
      </c>
      <c r="B3517" t="str">
        <f>HYPERLINK("https://digitalcommons.unl.edu/cgi/viewcontent.cgi?article=4223&amp;context=tractormuseumlit","Click for test report")</f>
        <v>Click for test report</v>
      </c>
      <c r="C3517">
        <v>2015</v>
      </c>
      <c r="E3517" t="s">
        <v>1130</v>
      </c>
      <c r="F3517" t="s">
        <v>111</v>
      </c>
      <c r="G3517" t="s">
        <v>778</v>
      </c>
      <c r="H3517" t="s">
        <v>923</v>
      </c>
      <c r="I3517" t="s">
        <v>28</v>
      </c>
      <c r="J3517" t="s">
        <v>20</v>
      </c>
      <c r="K3517" t="s">
        <v>21</v>
      </c>
      <c r="L3517" t="s">
        <v>905</v>
      </c>
      <c r="N3517" t="s">
        <v>150</v>
      </c>
      <c r="O3517" t="s">
        <v>24</v>
      </c>
    </row>
    <row r="3518" spans="1:15" x14ac:dyDescent="0.25">
      <c r="A3518">
        <v>3517</v>
      </c>
      <c r="B3518" t="str">
        <f>HYPERLINK("https://digitalcommons.unl.edu/cgi/viewcontent.cgi?article=4184&amp;context=tractormuseumlit","Click for test report")</f>
        <v>Click for test report</v>
      </c>
      <c r="C3518">
        <v>2015</v>
      </c>
      <c r="E3518" t="s">
        <v>1129</v>
      </c>
      <c r="F3518" t="s">
        <v>111</v>
      </c>
      <c r="G3518" t="s">
        <v>778</v>
      </c>
      <c r="H3518" t="s">
        <v>921</v>
      </c>
      <c r="I3518" t="s">
        <v>28</v>
      </c>
      <c r="J3518" t="s">
        <v>20</v>
      </c>
      <c r="K3518" t="s">
        <v>21</v>
      </c>
      <c r="L3518" t="s">
        <v>1124</v>
      </c>
      <c r="N3518" t="s">
        <v>1125</v>
      </c>
      <c r="O3518" t="s">
        <v>24</v>
      </c>
    </row>
    <row r="3519" spans="1:15" x14ac:dyDescent="0.25">
      <c r="A3519">
        <v>3518</v>
      </c>
      <c r="B3519" t="str">
        <f>HYPERLINK("https://digitalcommons.unl.edu/cgi/viewcontent.cgi?article=4224&amp;context=tractormuseumlit","Click for test report")</f>
        <v>Click for test report</v>
      </c>
      <c r="C3519">
        <v>2015</v>
      </c>
      <c r="E3519" t="s">
        <v>1128</v>
      </c>
      <c r="F3519" t="s">
        <v>111</v>
      </c>
      <c r="G3519" t="s">
        <v>778</v>
      </c>
      <c r="H3519" t="s">
        <v>919</v>
      </c>
      <c r="I3519" t="s">
        <v>28</v>
      </c>
      <c r="J3519" t="s">
        <v>20</v>
      </c>
      <c r="K3519" t="s">
        <v>21</v>
      </c>
      <c r="L3519" t="s">
        <v>1124</v>
      </c>
      <c r="N3519" t="s">
        <v>1125</v>
      </c>
      <c r="O3519" t="s">
        <v>24</v>
      </c>
    </row>
    <row r="3520" spans="1:15" x14ac:dyDescent="0.25">
      <c r="A3520">
        <v>3519</v>
      </c>
      <c r="B3520" t="str">
        <f>HYPERLINK("https://digitalcommons.unl.edu/cgi/viewcontent.cgi?article=4186&amp;context=tractormuseumlit","Click for test report")</f>
        <v>Click for test report</v>
      </c>
      <c r="C3520">
        <v>2015</v>
      </c>
      <c r="E3520" t="s">
        <v>1127</v>
      </c>
      <c r="F3520" t="s">
        <v>111</v>
      </c>
      <c r="G3520" t="s">
        <v>414</v>
      </c>
      <c r="H3520" t="s">
        <v>908</v>
      </c>
      <c r="I3520" t="s">
        <v>28</v>
      </c>
      <c r="J3520" t="s">
        <v>20</v>
      </c>
      <c r="K3520" t="s">
        <v>21</v>
      </c>
      <c r="L3520" t="s">
        <v>821</v>
      </c>
      <c r="N3520" t="s">
        <v>328</v>
      </c>
      <c r="O3520" t="s">
        <v>24</v>
      </c>
    </row>
    <row r="3521" spans="1:15" x14ac:dyDescent="0.25">
      <c r="A3521">
        <v>3520</v>
      </c>
      <c r="B3521" t="str">
        <f>HYPERLINK("https://digitalcommons.unl.edu/cgi/viewcontent.cgi?article=4187&amp;context=tractormuseumlit","Click for test report")</f>
        <v>Click for test report</v>
      </c>
      <c r="C3521">
        <v>2015</v>
      </c>
      <c r="E3521" t="s">
        <v>1126</v>
      </c>
      <c r="F3521" t="s">
        <v>111</v>
      </c>
      <c r="G3521" t="s">
        <v>414</v>
      </c>
      <c r="H3521" t="s">
        <v>904</v>
      </c>
      <c r="I3521" t="s">
        <v>28</v>
      </c>
      <c r="J3521" t="s">
        <v>20</v>
      </c>
      <c r="K3521" t="s">
        <v>21</v>
      </c>
      <c r="L3521" t="s">
        <v>905</v>
      </c>
      <c r="N3521" t="s">
        <v>150</v>
      </c>
      <c r="O3521" t="s">
        <v>24</v>
      </c>
    </row>
    <row r="3522" spans="1:15" x14ac:dyDescent="0.25">
      <c r="A3522">
        <v>3521</v>
      </c>
      <c r="B3522" t="str">
        <f>HYPERLINK("https://digitalcommons.unl.edu/cgi/viewcontent.cgi?article=4188&amp;context=tractormuseumlit","Click for test report")</f>
        <v>Click for test report</v>
      </c>
      <c r="C3522">
        <v>2015</v>
      </c>
      <c r="E3522" t="s">
        <v>1123</v>
      </c>
      <c r="F3522" t="s">
        <v>111</v>
      </c>
      <c r="G3522" t="s">
        <v>414</v>
      </c>
      <c r="H3522" t="s">
        <v>899</v>
      </c>
      <c r="I3522" t="s">
        <v>28</v>
      </c>
      <c r="J3522" t="s">
        <v>20</v>
      </c>
      <c r="K3522" t="s">
        <v>21</v>
      </c>
      <c r="L3522" t="s">
        <v>1124</v>
      </c>
      <c r="N3522" t="s">
        <v>1125</v>
      </c>
      <c r="O3522" t="s">
        <v>24</v>
      </c>
    </row>
    <row r="3523" spans="1:15" x14ac:dyDescent="0.25">
      <c r="A3523">
        <v>3522</v>
      </c>
      <c r="B3523" t="str">
        <f>HYPERLINK("https://digitalcommons.unl.edu/cgi/viewcontent.cgi?article=4169&amp;context=tractormuseumlit","Click for test report")</f>
        <v>Click for test report</v>
      </c>
      <c r="C3523">
        <v>2015</v>
      </c>
      <c r="E3523" t="s">
        <v>1121</v>
      </c>
      <c r="F3523" t="s">
        <v>111</v>
      </c>
      <c r="G3523" t="s">
        <v>778</v>
      </c>
      <c r="H3523" t="s">
        <v>1122</v>
      </c>
      <c r="I3523" t="s">
        <v>64</v>
      </c>
      <c r="J3523" t="s">
        <v>20</v>
      </c>
      <c r="K3523" t="s">
        <v>21</v>
      </c>
      <c r="L3523" t="s">
        <v>514</v>
      </c>
      <c r="N3523" t="s">
        <v>434</v>
      </c>
      <c r="O3523" t="s">
        <v>869</v>
      </c>
    </row>
    <row r="3524" spans="1:15" x14ac:dyDescent="0.25">
      <c r="A3524">
        <v>3523</v>
      </c>
      <c r="B3524" t="str">
        <f>HYPERLINK("https://digitalcommons.unl.edu/cgi/viewcontent.cgi?article=4219&amp;context=tractormuseumlit","Click for test report")</f>
        <v>Click for test report</v>
      </c>
      <c r="C3524">
        <v>2015</v>
      </c>
      <c r="E3524" t="s">
        <v>1119</v>
      </c>
      <c r="F3524" t="s">
        <v>111</v>
      </c>
      <c r="G3524" t="s">
        <v>778</v>
      </c>
      <c r="H3524" t="s">
        <v>1120</v>
      </c>
      <c r="I3524" t="s">
        <v>64</v>
      </c>
      <c r="J3524" t="s">
        <v>20</v>
      </c>
      <c r="K3524" t="s">
        <v>21</v>
      </c>
      <c r="L3524" t="s">
        <v>514</v>
      </c>
      <c r="N3524" t="s">
        <v>434</v>
      </c>
      <c r="O3524" t="s">
        <v>869</v>
      </c>
    </row>
    <row r="3525" spans="1:15" x14ac:dyDescent="0.25">
      <c r="A3525">
        <v>3524</v>
      </c>
      <c r="B3525" t="str">
        <f>HYPERLINK("https://digitalcommons.unl.edu/cgi/viewcontent.cgi?article=4170&amp;context=tractormuseumlit","Click for test report")</f>
        <v>Click for test report</v>
      </c>
      <c r="C3525">
        <v>2015</v>
      </c>
      <c r="E3525" t="s">
        <v>1117</v>
      </c>
      <c r="F3525" t="s">
        <v>111</v>
      </c>
      <c r="G3525" t="s">
        <v>778</v>
      </c>
      <c r="H3525" t="s">
        <v>1118</v>
      </c>
      <c r="I3525" t="s">
        <v>64</v>
      </c>
      <c r="J3525" t="s">
        <v>20</v>
      </c>
      <c r="K3525" t="s">
        <v>21</v>
      </c>
      <c r="L3525" t="s">
        <v>509</v>
      </c>
      <c r="N3525" t="s">
        <v>1098</v>
      </c>
      <c r="O3525" t="s">
        <v>869</v>
      </c>
    </row>
    <row r="3526" spans="1:15" x14ac:dyDescent="0.25">
      <c r="A3526">
        <v>3525</v>
      </c>
      <c r="B3526" t="str">
        <f>HYPERLINK("https://digitalcommons.unl.edu/cgi/viewcontent.cgi?article=4168&amp;context=tractormuseumlit","Click for test report")</f>
        <v>Click for test report</v>
      </c>
      <c r="C3526">
        <v>2015</v>
      </c>
      <c r="E3526" t="s">
        <v>1115</v>
      </c>
      <c r="F3526" t="s">
        <v>111</v>
      </c>
      <c r="G3526" t="s">
        <v>778</v>
      </c>
      <c r="H3526" t="s">
        <v>1116</v>
      </c>
      <c r="I3526" t="s">
        <v>64</v>
      </c>
      <c r="J3526" t="s">
        <v>20</v>
      </c>
      <c r="K3526" t="s">
        <v>21</v>
      </c>
      <c r="L3526" t="s">
        <v>509</v>
      </c>
      <c r="N3526" t="s">
        <v>1098</v>
      </c>
      <c r="O3526" t="s">
        <v>869</v>
      </c>
    </row>
    <row r="3527" spans="1:15" x14ac:dyDescent="0.25">
      <c r="A3527">
        <v>3526</v>
      </c>
      <c r="B3527" t="str">
        <f>HYPERLINK("https://digitalcommons.unl.edu/cgi/viewcontent.cgi?article=4229&amp;context=tractormuseumlit","Click for test report")</f>
        <v>Click for test report</v>
      </c>
      <c r="C3527">
        <v>2015</v>
      </c>
      <c r="E3527" t="s">
        <v>1113</v>
      </c>
      <c r="F3527" t="s">
        <v>111</v>
      </c>
      <c r="G3527" t="s">
        <v>778</v>
      </c>
      <c r="H3527" t="s">
        <v>1114</v>
      </c>
      <c r="I3527" t="s">
        <v>64</v>
      </c>
      <c r="J3527" t="s">
        <v>20</v>
      </c>
      <c r="K3527" t="s">
        <v>21</v>
      </c>
      <c r="L3527" t="s">
        <v>200</v>
      </c>
      <c r="N3527" t="s">
        <v>160</v>
      </c>
      <c r="O3527" t="s">
        <v>869</v>
      </c>
    </row>
    <row r="3528" spans="1:15" x14ac:dyDescent="0.25">
      <c r="A3528">
        <v>3527</v>
      </c>
      <c r="B3528" t="str">
        <f>HYPERLINK("https://digitalcommons.unl.edu/cgi/viewcontent.cgi?article=4171&amp;context=tractormuseumlit","Click for test report")</f>
        <v>Click for test report</v>
      </c>
      <c r="C3528">
        <v>2015</v>
      </c>
      <c r="E3528" t="s">
        <v>1111</v>
      </c>
      <c r="F3528" t="s">
        <v>111</v>
      </c>
      <c r="G3528" t="s">
        <v>778</v>
      </c>
      <c r="H3528" t="s">
        <v>1112</v>
      </c>
      <c r="I3528" t="s">
        <v>64</v>
      </c>
      <c r="J3528" t="s">
        <v>20</v>
      </c>
      <c r="K3528" t="s">
        <v>21</v>
      </c>
      <c r="L3528" t="s">
        <v>200</v>
      </c>
      <c r="N3528" t="s">
        <v>160</v>
      </c>
      <c r="O3528" t="s">
        <v>869</v>
      </c>
    </row>
    <row r="3529" spans="1:15" x14ac:dyDescent="0.25">
      <c r="A3529">
        <v>3528</v>
      </c>
      <c r="B3529" t="str">
        <f>HYPERLINK("https://digitalcommons.unl.edu/cgi/viewcontent.cgi?article=4172&amp;context=tractormuseumlit","Click for test report")</f>
        <v>Click for test report</v>
      </c>
      <c r="C3529">
        <v>2015</v>
      </c>
      <c r="E3529" t="s">
        <v>1109</v>
      </c>
      <c r="F3529" t="s">
        <v>111</v>
      </c>
      <c r="G3529" t="s">
        <v>778</v>
      </c>
      <c r="H3529" t="s">
        <v>1110</v>
      </c>
      <c r="I3529" t="s">
        <v>64</v>
      </c>
      <c r="J3529" t="s">
        <v>20</v>
      </c>
      <c r="K3529" t="s">
        <v>21</v>
      </c>
      <c r="L3529" t="s">
        <v>396</v>
      </c>
      <c r="N3529" t="s">
        <v>222</v>
      </c>
      <c r="O3529" t="s">
        <v>869</v>
      </c>
    </row>
    <row r="3530" spans="1:15" x14ac:dyDescent="0.25">
      <c r="A3530">
        <v>3529</v>
      </c>
      <c r="B3530" t="str">
        <f>HYPERLINK("https://digitalcommons.unl.edu/cgi/viewcontent.cgi?article=4220&amp;context=tractormuseumlit","Click for test report")</f>
        <v>Click for test report</v>
      </c>
      <c r="C3530">
        <v>2015</v>
      </c>
      <c r="E3530" t="s">
        <v>1107</v>
      </c>
      <c r="F3530" t="s">
        <v>111</v>
      </c>
      <c r="G3530" t="s">
        <v>778</v>
      </c>
      <c r="H3530" t="s">
        <v>1108</v>
      </c>
      <c r="I3530" t="s">
        <v>64</v>
      </c>
      <c r="J3530" t="s">
        <v>20</v>
      </c>
      <c r="K3530" t="s">
        <v>21</v>
      </c>
      <c r="L3530" t="s">
        <v>396</v>
      </c>
      <c r="N3530" t="s">
        <v>222</v>
      </c>
      <c r="O3530" t="s">
        <v>869</v>
      </c>
    </row>
    <row r="3531" spans="1:15" x14ac:dyDescent="0.25">
      <c r="A3531">
        <v>3530</v>
      </c>
      <c r="B3531" t="str">
        <f>HYPERLINK("https://digitalcommons.unl.edu/cgi/viewcontent.cgi?article=4173&amp;context=tractormuseumlit","Click for test report")</f>
        <v>Click for test report</v>
      </c>
      <c r="C3531">
        <v>2015</v>
      </c>
      <c r="E3531" t="s">
        <v>1105</v>
      </c>
      <c r="F3531" t="s">
        <v>111</v>
      </c>
      <c r="G3531" t="s">
        <v>778</v>
      </c>
      <c r="H3531" t="s">
        <v>1106</v>
      </c>
      <c r="I3531" t="s">
        <v>64</v>
      </c>
      <c r="J3531" t="s">
        <v>20</v>
      </c>
      <c r="K3531" t="s">
        <v>21</v>
      </c>
      <c r="L3531" t="s">
        <v>103</v>
      </c>
      <c r="N3531" t="s">
        <v>227</v>
      </c>
      <c r="O3531" t="s">
        <v>869</v>
      </c>
    </row>
    <row r="3532" spans="1:15" x14ac:dyDescent="0.25">
      <c r="A3532">
        <v>3531</v>
      </c>
      <c r="B3532" t="str">
        <f>HYPERLINK("https://digitalcommons.unl.edu/cgi/viewcontent.cgi?article=4221&amp;context=tractormuseumlit","Click for test report")</f>
        <v>Click for test report</v>
      </c>
      <c r="C3532">
        <v>2015</v>
      </c>
      <c r="E3532" t="s">
        <v>1103</v>
      </c>
      <c r="F3532" t="s">
        <v>111</v>
      </c>
      <c r="G3532" t="s">
        <v>778</v>
      </c>
      <c r="H3532" t="s">
        <v>1104</v>
      </c>
      <c r="I3532" t="s">
        <v>64</v>
      </c>
      <c r="J3532" t="s">
        <v>20</v>
      </c>
      <c r="K3532" t="s">
        <v>21</v>
      </c>
      <c r="L3532" t="s">
        <v>103</v>
      </c>
      <c r="N3532" t="s">
        <v>227</v>
      </c>
      <c r="O3532" t="s">
        <v>869</v>
      </c>
    </row>
    <row r="3533" spans="1:15" x14ac:dyDescent="0.25">
      <c r="A3533">
        <v>3532</v>
      </c>
      <c r="B3533" t="str">
        <f>HYPERLINK("https://digitalcommons.unl.edu/cgi/viewcontent.cgi?article=4174&amp;context=tractormuseumlit","Click for test report")</f>
        <v>Click for test report</v>
      </c>
      <c r="C3533">
        <v>2015</v>
      </c>
      <c r="E3533" t="s">
        <v>1100</v>
      </c>
      <c r="F3533" t="s">
        <v>111</v>
      </c>
      <c r="G3533" t="s">
        <v>414</v>
      </c>
      <c r="H3533" t="s">
        <v>1101</v>
      </c>
      <c r="I3533" t="s">
        <v>64</v>
      </c>
      <c r="J3533" t="s">
        <v>20</v>
      </c>
      <c r="K3533" t="s">
        <v>21</v>
      </c>
      <c r="L3533" t="s">
        <v>514</v>
      </c>
      <c r="N3533" t="s">
        <v>434</v>
      </c>
      <c r="O3533" t="s">
        <v>1102</v>
      </c>
    </row>
    <row r="3534" spans="1:15" x14ac:dyDescent="0.25">
      <c r="A3534">
        <v>3533</v>
      </c>
      <c r="B3534" t="str">
        <f>HYPERLINK("https://digitalcommons.unl.edu/cgi/viewcontent.cgi?article=4175&amp;context=tractormuseumlit","Click for test report")</f>
        <v>Click for test report</v>
      </c>
      <c r="C3534">
        <v>2015</v>
      </c>
      <c r="E3534" t="s">
        <v>1096</v>
      </c>
      <c r="F3534" t="s">
        <v>111</v>
      </c>
      <c r="G3534" t="s">
        <v>414</v>
      </c>
      <c r="H3534" t="s">
        <v>1097</v>
      </c>
      <c r="I3534" t="s">
        <v>64</v>
      </c>
      <c r="J3534" t="s">
        <v>20</v>
      </c>
      <c r="K3534" t="s">
        <v>21</v>
      </c>
      <c r="L3534" t="s">
        <v>509</v>
      </c>
      <c r="N3534" t="s">
        <v>1098</v>
      </c>
      <c r="O3534" t="s">
        <v>1099</v>
      </c>
    </row>
    <row r="3535" spans="1:15" x14ac:dyDescent="0.25">
      <c r="A3535">
        <v>3534</v>
      </c>
      <c r="B3535" t="str">
        <f>HYPERLINK("https://digitalcommons.unl.edu/cgi/viewcontent.cgi?article=4176&amp;context=tractormuseumlit","Click for test report")</f>
        <v>Click for test report</v>
      </c>
      <c r="C3535">
        <v>2015</v>
      </c>
      <c r="E3535" t="s">
        <v>1093</v>
      </c>
      <c r="F3535" t="s">
        <v>111</v>
      </c>
      <c r="G3535" t="s">
        <v>414</v>
      </c>
      <c r="H3535" t="s">
        <v>1094</v>
      </c>
      <c r="I3535" t="s">
        <v>64</v>
      </c>
      <c r="J3535" t="s">
        <v>20</v>
      </c>
      <c r="K3535" t="s">
        <v>21</v>
      </c>
      <c r="L3535" t="s">
        <v>200</v>
      </c>
      <c r="N3535" t="s">
        <v>160</v>
      </c>
      <c r="O3535" t="s">
        <v>1095</v>
      </c>
    </row>
    <row r="3536" spans="1:15" x14ac:dyDescent="0.25">
      <c r="A3536">
        <v>3535</v>
      </c>
      <c r="B3536" t="str">
        <f>HYPERLINK("https://digitalcommons.unl.edu/cgi/viewcontent.cgi?article=4177&amp;context=tractormuseumlit","Click for test report")</f>
        <v>Click for test report</v>
      </c>
      <c r="C3536">
        <v>2015</v>
      </c>
      <c r="E3536" t="s">
        <v>1090</v>
      </c>
      <c r="F3536" t="s">
        <v>111</v>
      </c>
      <c r="G3536" t="s">
        <v>414</v>
      </c>
      <c r="H3536" t="s">
        <v>1091</v>
      </c>
      <c r="I3536" t="s">
        <v>64</v>
      </c>
      <c r="J3536" t="s">
        <v>20</v>
      </c>
      <c r="K3536" t="s">
        <v>21</v>
      </c>
      <c r="L3536" t="s">
        <v>396</v>
      </c>
      <c r="N3536" t="s">
        <v>222</v>
      </c>
      <c r="O3536" t="s">
        <v>1092</v>
      </c>
    </row>
    <row r="3537" spans="1:15" x14ac:dyDescent="0.25">
      <c r="A3537">
        <v>3536</v>
      </c>
      <c r="B3537" t="str">
        <f>HYPERLINK("https://digitalcommons.unl.edu/cgi/viewcontent.cgi?article=4178&amp;context=tractormuseumlit","Click for test report")</f>
        <v>Click for test report</v>
      </c>
      <c r="C3537">
        <v>2015</v>
      </c>
      <c r="E3537" t="s">
        <v>1087</v>
      </c>
      <c r="F3537" t="s">
        <v>111</v>
      </c>
      <c r="G3537" t="s">
        <v>414</v>
      </c>
      <c r="H3537" t="s">
        <v>1088</v>
      </c>
      <c r="I3537" t="s">
        <v>64</v>
      </c>
      <c r="J3537" t="s">
        <v>20</v>
      </c>
      <c r="K3537" t="s">
        <v>21</v>
      </c>
      <c r="L3537" t="s">
        <v>103</v>
      </c>
      <c r="N3537" t="s">
        <v>227</v>
      </c>
      <c r="O3537" t="s">
        <v>1089</v>
      </c>
    </row>
    <row r="3538" spans="1:15" x14ac:dyDescent="0.25">
      <c r="A3538">
        <v>3537</v>
      </c>
      <c r="B3538" t="str">
        <f>HYPERLINK("https://digitalcommons.unl.edu/cgi/viewcontent.cgi?article=3564&amp;context=tractormuseumlit","Click for test report")</f>
        <v>Click for test report</v>
      </c>
      <c r="C3538">
        <v>2015</v>
      </c>
      <c r="D3538" t="s">
        <v>1085</v>
      </c>
      <c r="E3538" t="s">
        <v>1086</v>
      </c>
      <c r="F3538" t="s">
        <v>17</v>
      </c>
      <c r="G3538" t="s">
        <v>17</v>
      </c>
      <c r="H3538" t="s">
        <v>438</v>
      </c>
      <c r="I3538" t="s">
        <v>28</v>
      </c>
      <c r="J3538" t="s">
        <v>20</v>
      </c>
      <c r="K3538" t="s">
        <v>21</v>
      </c>
      <c r="L3538" t="s">
        <v>315</v>
      </c>
      <c r="N3538" t="s">
        <v>818</v>
      </c>
      <c r="O3538" t="s">
        <v>24</v>
      </c>
    </row>
    <row r="3539" spans="1:15" x14ac:dyDescent="0.25">
      <c r="A3539">
        <v>3538</v>
      </c>
      <c r="B3539" t="str">
        <f>HYPERLINK("https://digitalcommons.unl.edu/cgi/viewcontent.cgi?article=3565&amp;context=tractormuseumlit","Click for test report")</f>
        <v>Click for test report</v>
      </c>
      <c r="C3539">
        <v>2015</v>
      </c>
      <c r="D3539" t="s">
        <v>1083</v>
      </c>
      <c r="E3539" t="s">
        <v>1084</v>
      </c>
      <c r="F3539" t="s">
        <v>17</v>
      </c>
      <c r="G3539" t="s">
        <v>17</v>
      </c>
      <c r="H3539" t="s">
        <v>433</v>
      </c>
      <c r="I3539" t="s">
        <v>28</v>
      </c>
      <c r="J3539" t="s">
        <v>20</v>
      </c>
      <c r="K3539" t="s">
        <v>21</v>
      </c>
      <c r="L3539" t="s">
        <v>469</v>
      </c>
      <c r="N3539" t="s">
        <v>814</v>
      </c>
      <c r="O3539" t="s">
        <v>24</v>
      </c>
    </row>
    <row r="3540" spans="1:15" x14ac:dyDescent="0.25">
      <c r="A3540">
        <v>3539</v>
      </c>
      <c r="B3540" t="str">
        <f>HYPERLINK("https://digitalcommons.unl.edu/cgi/viewcontent.cgi?article=3566&amp;context=tractormuseumlit","Click for test report")</f>
        <v>Click for test report</v>
      </c>
      <c r="C3540">
        <v>2015</v>
      </c>
      <c r="D3540" t="s">
        <v>1079</v>
      </c>
      <c r="E3540" t="s">
        <v>1080</v>
      </c>
      <c r="F3540" t="s">
        <v>17</v>
      </c>
      <c r="G3540" t="s">
        <v>17</v>
      </c>
      <c r="H3540" t="s">
        <v>1081</v>
      </c>
      <c r="I3540" t="s">
        <v>28</v>
      </c>
      <c r="J3540" t="s">
        <v>29</v>
      </c>
      <c r="K3540" t="s">
        <v>21</v>
      </c>
      <c r="L3540" t="s">
        <v>97</v>
      </c>
      <c r="N3540" t="s">
        <v>1082</v>
      </c>
      <c r="O3540" t="s">
        <v>24</v>
      </c>
    </row>
    <row r="3541" spans="1:15" x14ac:dyDescent="0.25">
      <c r="A3541">
        <v>3540</v>
      </c>
      <c r="B3541" t="str">
        <f>HYPERLINK("https://digitalcommons.unl.edu/cgi/viewcontent.cgi?article=3567&amp;context=tractormuseumlit","Click for test report")</f>
        <v>Click for test report</v>
      </c>
      <c r="C3541">
        <v>2015</v>
      </c>
      <c r="D3541" t="s">
        <v>1075</v>
      </c>
      <c r="E3541" t="s">
        <v>1076</v>
      </c>
      <c r="F3541" t="s">
        <v>17</v>
      </c>
      <c r="G3541" t="s">
        <v>17</v>
      </c>
      <c r="H3541" t="s">
        <v>1077</v>
      </c>
      <c r="I3541" t="s">
        <v>28</v>
      </c>
      <c r="J3541" t="s">
        <v>29</v>
      </c>
      <c r="K3541" t="s">
        <v>21</v>
      </c>
      <c r="L3541" t="s">
        <v>1078</v>
      </c>
      <c r="N3541" t="s">
        <v>291</v>
      </c>
      <c r="O3541" t="s">
        <v>32</v>
      </c>
    </row>
    <row r="3542" spans="1:15" x14ac:dyDescent="0.25">
      <c r="A3542">
        <v>3541</v>
      </c>
      <c r="B3542" t="str">
        <f>HYPERLINK("https://digitalcommons.unl.edu/cgi/viewcontent.cgi?article=3568&amp;context=tractormuseumlit","Click for test report")</f>
        <v>Click for test report</v>
      </c>
      <c r="C3542">
        <v>2015</v>
      </c>
      <c r="D3542" t="s">
        <v>1070</v>
      </c>
      <c r="E3542" t="s">
        <v>1071</v>
      </c>
      <c r="F3542" t="s">
        <v>17</v>
      </c>
      <c r="G3542" t="s">
        <v>17</v>
      </c>
      <c r="H3542" t="s">
        <v>1072</v>
      </c>
      <c r="I3542" t="s">
        <v>28</v>
      </c>
      <c r="J3542" t="s">
        <v>29</v>
      </c>
      <c r="K3542" t="s">
        <v>21</v>
      </c>
      <c r="L3542" t="s">
        <v>1073</v>
      </c>
      <c r="N3542" t="s">
        <v>1074</v>
      </c>
      <c r="O3542" t="s">
        <v>32</v>
      </c>
    </row>
    <row r="3543" spans="1:15" x14ac:dyDescent="0.25">
      <c r="A3543">
        <v>3542</v>
      </c>
      <c r="B3543" t="str">
        <f>HYPERLINK("https://digitalcommons.unl.edu/cgi/viewcontent.cgi?article=3569&amp;context=tractormuseumlit","Click for test report")</f>
        <v>Click for test report</v>
      </c>
      <c r="C3543">
        <v>2015</v>
      </c>
      <c r="D3543" t="s">
        <v>1065</v>
      </c>
      <c r="E3543" t="s">
        <v>1066</v>
      </c>
      <c r="F3543" t="s">
        <v>17</v>
      </c>
      <c r="G3543" t="s">
        <v>17</v>
      </c>
      <c r="H3543" t="s">
        <v>1067</v>
      </c>
      <c r="I3543" t="s">
        <v>28</v>
      </c>
      <c r="J3543" t="s">
        <v>96</v>
      </c>
      <c r="K3543" t="s">
        <v>21</v>
      </c>
      <c r="L3543" t="s">
        <v>1068</v>
      </c>
      <c r="N3543" t="s">
        <v>1069</v>
      </c>
      <c r="O3543" t="s">
        <v>32</v>
      </c>
    </row>
    <row r="3544" spans="1:15" x14ac:dyDescent="0.25">
      <c r="A3544">
        <v>3543</v>
      </c>
      <c r="B3544" t="str">
        <f>HYPERLINK("https://digitalcommons.unl.edu/cgi/viewcontent.cgi?article=3570&amp;context=tractormuseumlit","Click for test report")</f>
        <v>Click for test report</v>
      </c>
      <c r="C3544">
        <v>2015</v>
      </c>
      <c r="D3544" t="s">
        <v>1061</v>
      </c>
      <c r="E3544" t="s">
        <v>1062</v>
      </c>
      <c r="F3544" t="s">
        <v>17</v>
      </c>
      <c r="G3544" t="s">
        <v>17</v>
      </c>
      <c r="H3544" t="s">
        <v>1063</v>
      </c>
      <c r="I3544" t="s">
        <v>28</v>
      </c>
      <c r="J3544" t="s">
        <v>29</v>
      </c>
      <c r="K3544" t="s">
        <v>21</v>
      </c>
      <c r="L3544" t="s">
        <v>1064</v>
      </c>
      <c r="N3544" t="s">
        <v>688</v>
      </c>
      <c r="O3544" t="s">
        <v>32</v>
      </c>
    </row>
    <row r="3545" spans="1:15" x14ac:dyDescent="0.25">
      <c r="A3545">
        <v>3544</v>
      </c>
      <c r="B3545" t="str">
        <f>HYPERLINK("https://digitalcommons.unl.edu/cgi/viewcontent.cgi?article=3571&amp;context=tractormuseumlit","Click for test report")</f>
        <v>Click for test report</v>
      </c>
      <c r="C3545">
        <v>2015</v>
      </c>
      <c r="D3545" t="s">
        <v>1056</v>
      </c>
      <c r="E3545" t="s">
        <v>1057</v>
      </c>
      <c r="F3545" t="s">
        <v>17</v>
      </c>
      <c r="G3545" t="s">
        <v>17</v>
      </c>
      <c r="H3545" t="s">
        <v>1058</v>
      </c>
      <c r="I3545" t="s">
        <v>28</v>
      </c>
      <c r="J3545" t="s">
        <v>96</v>
      </c>
      <c r="K3545" t="s">
        <v>21</v>
      </c>
      <c r="L3545" t="s">
        <v>1059</v>
      </c>
      <c r="N3545" t="s">
        <v>1060</v>
      </c>
      <c r="O3545" t="s">
        <v>32</v>
      </c>
    </row>
    <row r="3546" spans="1:15" x14ac:dyDescent="0.25">
      <c r="A3546">
        <v>3545</v>
      </c>
      <c r="B3546" t="str">
        <f>HYPERLINK("https://digitalcommons.unl.edu/cgi/viewcontent.cgi?article=3572&amp;context=tractormuseumlit","Click for test report")</f>
        <v>Click for test report</v>
      </c>
      <c r="C3546">
        <v>2015</v>
      </c>
      <c r="D3546" t="s">
        <v>1052</v>
      </c>
      <c r="E3546" t="s">
        <v>1053</v>
      </c>
      <c r="F3546" t="s">
        <v>17</v>
      </c>
      <c r="G3546" t="s">
        <v>17</v>
      </c>
      <c r="H3546" t="s">
        <v>1054</v>
      </c>
      <c r="I3546" t="s">
        <v>28</v>
      </c>
      <c r="J3546" t="s">
        <v>20</v>
      </c>
      <c r="K3546" t="s">
        <v>21</v>
      </c>
      <c r="L3546" t="s">
        <v>1055</v>
      </c>
      <c r="N3546" t="s">
        <v>310</v>
      </c>
      <c r="O3546" t="s">
        <v>297</v>
      </c>
    </row>
    <row r="3547" spans="1:15" x14ac:dyDescent="0.25">
      <c r="A3547">
        <v>3546</v>
      </c>
      <c r="B3547" t="str">
        <f>HYPERLINK("https://digitalcommons.unl.edu/cgi/viewcontent.cgi?article=3573&amp;context=tractormuseumlit","Click for test report")</f>
        <v>Click for test report</v>
      </c>
      <c r="C3547">
        <v>2015</v>
      </c>
      <c r="D3547" t="s">
        <v>1049</v>
      </c>
      <c r="F3547" t="s">
        <v>17</v>
      </c>
      <c r="G3547" t="s">
        <v>17</v>
      </c>
      <c r="H3547" t="s">
        <v>1050</v>
      </c>
      <c r="I3547" t="s">
        <v>50</v>
      </c>
      <c r="J3547" t="s">
        <v>20</v>
      </c>
      <c r="K3547" t="s">
        <v>21</v>
      </c>
      <c r="L3547" t="s">
        <v>1051</v>
      </c>
      <c r="O3547" t="s">
        <v>1045</v>
      </c>
    </row>
    <row r="3548" spans="1:15" x14ac:dyDescent="0.25">
      <c r="A3548">
        <v>3547</v>
      </c>
      <c r="B3548" t="str">
        <f>HYPERLINK("https://digitalcommons.unl.edu/cgi/viewcontent.cgi?article=3574&amp;context=tractormuseumlit","Click for test report")</f>
        <v>Click for test report</v>
      </c>
      <c r="C3548">
        <v>2015</v>
      </c>
      <c r="D3548" t="s">
        <v>1047</v>
      </c>
      <c r="F3548" t="s">
        <v>17</v>
      </c>
      <c r="G3548" t="s">
        <v>17</v>
      </c>
      <c r="H3548" t="s">
        <v>1048</v>
      </c>
      <c r="I3548" t="s">
        <v>50</v>
      </c>
      <c r="J3548" t="s">
        <v>20</v>
      </c>
      <c r="K3548" t="s">
        <v>21</v>
      </c>
      <c r="L3548" t="s">
        <v>722</v>
      </c>
      <c r="O3548" t="s">
        <v>1045</v>
      </c>
    </row>
    <row r="3549" spans="1:15" x14ac:dyDescent="0.25">
      <c r="A3549">
        <v>3548</v>
      </c>
      <c r="B3549" t="str">
        <f>HYPERLINK("https://digitalcommons.unl.edu/cgi/viewcontent.cgi?article=3575&amp;context=tractormuseumlit","Click for test report")</f>
        <v>Click for test report</v>
      </c>
      <c r="C3549">
        <v>2015</v>
      </c>
      <c r="D3549" t="s">
        <v>1046</v>
      </c>
      <c r="F3549" t="s">
        <v>17</v>
      </c>
      <c r="G3549" t="s">
        <v>17</v>
      </c>
      <c r="H3549" t="s">
        <v>54</v>
      </c>
      <c r="I3549" t="s">
        <v>50</v>
      </c>
      <c r="J3549" t="s">
        <v>20</v>
      </c>
      <c r="K3549" t="s">
        <v>21</v>
      </c>
      <c r="L3549" t="s">
        <v>340</v>
      </c>
      <c r="O3549" t="s">
        <v>1045</v>
      </c>
    </row>
    <row r="3550" spans="1:15" x14ac:dyDescent="0.25">
      <c r="A3550">
        <v>3549</v>
      </c>
      <c r="B3550" t="str">
        <f>HYPERLINK("https://digitalcommons.unl.edu/cgi/viewcontent.cgi?article=3576&amp;context=tractormuseumlit","Click for test report")</f>
        <v>Click for test report</v>
      </c>
      <c r="C3550">
        <v>2015</v>
      </c>
      <c r="D3550" t="s">
        <v>1043</v>
      </c>
      <c r="E3550" t="s">
        <v>1044</v>
      </c>
      <c r="F3550" t="s">
        <v>17</v>
      </c>
      <c r="G3550" t="s">
        <v>17</v>
      </c>
      <c r="H3550" t="s">
        <v>49</v>
      </c>
      <c r="I3550" t="s">
        <v>50</v>
      </c>
      <c r="J3550" t="s">
        <v>20</v>
      </c>
      <c r="K3550" t="s">
        <v>21</v>
      </c>
      <c r="L3550" t="s">
        <v>46</v>
      </c>
      <c r="N3550" t="s">
        <v>454</v>
      </c>
      <c r="O3550" t="s">
        <v>1045</v>
      </c>
    </row>
    <row r="3551" spans="1:15" x14ac:dyDescent="0.25">
      <c r="A3551">
        <v>3550</v>
      </c>
      <c r="B3551" t="str">
        <f>HYPERLINK("https://digitalcommons.unl.edu/cgi/viewcontent.cgi?article=3577&amp;context=tractormuseumlit","Click for test report")</f>
        <v>Click for test report</v>
      </c>
      <c r="C3551">
        <v>2015</v>
      </c>
      <c r="D3551" t="s">
        <v>1038</v>
      </c>
      <c r="E3551" t="s">
        <v>1039</v>
      </c>
      <c r="F3551" t="s">
        <v>959</v>
      </c>
      <c r="G3551" t="s">
        <v>191</v>
      </c>
      <c r="H3551" t="s">
        <v>1040</v>
      </c>
      <c r="I3551" t="s">
        <v>28</v>
      </c>
      <c r="J3551" t="s">
        <v>20</v>
      </c>
      <c r="K3551" t="s">
        <v>21</v>
      </c>
      <c r="L3551" t="s">
        <v>1041</v>
      </c>
      <c r="N3551" t="s">
        <v>1042</v>
      </c>
      <c r="O3551" t="s">
        <v>1030</v>
      </c>
    </row>
    <row r="3552" spans="1:15" x14ac:dyDescent="0.25">
      <c r="A3552">
        <v>3551</v>
      </c>
      <c r="B3552" t="str">
        <f>HYPERLINK("https://digitalcommons.unl.edu/cgi/viewcontent.cgi?article=3578&amp;context=tractormuseumlit","Click for test report")</f>
        <v>Click for test report</v>
      </c>
      <c r="C3552">
        <v>2015</v>
      </c>
      <c r="D3552" t="s">
        <v>1034</v>
      </c>
      <c r="E3552" t="s">
        <v>1035</v>
      </c>
      <c r="F3552" t="s">
        <v>959</v>
      </c>
      <c r="G3552" t="s">
        <v>191</v>
      </c>
      <c r="H3552" t="s">
        <v>1036</v>
      </c>
      <c r="I3552" t="s">
        <v>28</v>
      </c>
      <c r="J3552" t="s">
        <v>20</v>
      </c>
      <c r="K3552" t="s">
        <v>21</v>
      </c>
      <c r="L3552" t="s">
        <v>913</v>
      </c>
      <c r="N3552" t="s">
        <v>1037</v>
      </c>
      <c r="O3552" t="s">
        <v>1030</v>
      </c>
    </row>
    <row r="3553" spans="1:15" x14ac:dyDescent="0.25">
      <c r="A3553">
        <v>3552</v>
      </c>
      <c r="B3553" t="str">
        <f>HYPERLINK("https://digitalcommons.unl.edu/cgi/viewcontent.cgi?article=3579&amp;context=tractormuseumlit","Click for test report")</f>
        <v>Click for test report</v>
      </c>
      <c r="C3553">
        <v>2015</v>
      </c>
      <c r="D3553" t="s">
        <v>1031</v>
      </c>
      <c r="E3553" t="s">
        <v>1032</v>
      </c>
      <c r="F3553" t="s">
        <v>959</v>
      </c>
      <c r="G3553" t="s">
        <v>191</v>
      </c>
      <c r="H3553" t="s">
        <v>1033</v>
      </c>
      <c r="I3553" t="s">
        <v>28</v>
      </c>
      <c r="J3553" t="s">
        <v>20</v>
      </c>
      <c r="K3553" t="s">
        <v>21</v>
      </c>
      <c r="L3553" t="s">
        <v>161</v>
      </c>
      <c r="N3553" t="s">
        <v>520</v>
      </c>
      <c r="O3553" t="s">
        <v>1030</v>
      </c>
    </row>
    <row r="3554" spans="1:15" x14ac:dyDescent="0.25">
      <c r="A3554">
        <v>3553</v>
      </c>
      <c r="B3554" t="str">
        <f>HYPERLINK("https://digitalcommons.unl.edu/cgi/viewcontent.cgi?article=3580&amp;context=tractormuseumlit","Click for test report")</f>
        <v>Click for test report</v>
      </c>
      <c r="C3554">
        <v>2015</v>
      </c>
      <c r="D3554" t="s">
        <v>1025</v>
      </c>
      <c r="E3554" t="s">
        <v>1026</v>
      </c>
      <c r="F3554" t="s">
        <v>959</v>
      </c>
      <c r="G3554" t="s">
        <v>191</v>
      </c>
      <c r="H3554" t="s">
        <v>1027</v>
      </c>
      <c r="I3554" t="s">
        <v>64</v>
      </c>
      <c r="J3554" t="s">
        <v>20</v>
      </c>
      <c r="K3554" t="s">
        <v>21</v>
      </c>
      <c r="L3554" t="s">
        <v>1028</v>
      </c>
      <c r="N3554" t="s">
        <v>1029</v>
      </c>
      <c r="O3554" t="s">
        <v>1030</v>
      </c>
    </row>
    <row r="3555" spans="1:15" x14ac:dyDescent="0.25">
      <c r="A3555">
        <v>3554</v>
      </c>
      <c r="B3555" t="str">
        <f>HYPERLINK("https://digitalcommons.unl.edu/cgi/viewcontent.cgi?article=3581&amp;context=tractormuseumlit","Click for test report")</f>
        <v>Click for test report</v>
      </c>
      <c r="C3555">
        <v>2015</v>
      </c>
      <c r="D3555" t="s">
        <v>1022</v>
      </c>
      <c r="E3555" t="s">
        <v>1023</v>
      </c>
      <c r="F3555" t="s">
        <v>577</v>
      </c>
      <c r="G3555" t="s">
        <v>135</v>
      </c>
      <c r="H3555" t="s">
        <v>1024</v>
      </c>
      <c r="I3555" t="s">
        <v>28</v>
      </c>
      <c r="J3555" t="s">
        <v>20</v>
      </c>
      <c r="K3555" t="s">
        <v>21</v>
      </c>
      <c r="L3555" t="s">
        <v>900</v>
      </c>
      <c r="N3555" t="s">
        <v>71</v>
      </c>
      <c r="O3555" t="s">
        <v>24</v>
      </c>
    </row>
    <row r="3556" spans="1:15" x14ac:dyDescent="0.25">
      <c r="A3556">
        <v>3555</v>
      </c>
      <c r="B3556" t="str">
        <f>HYPERLINK("https://digitalcommons.unl.edu/cgi/viewcontent.cgi?article=3583&amp;context=tractormuseumlit","Click for test report")</f>
        <v>Click for test report</v>
      </c>
      <c r="C3556">
        <v>2015</v>
      </c>
      <c r="D3556" t="s">
        <v>1019</v>
      </c>
      <c r="E3556" t="s">
        <v>1020</v>
      </c>
      <c r="F3556" t="s">
        <v>959</v>
      </c>
      <c r="G3556" t="s">
        <v>191</v>
      </c>
      <c r="H3556" t="s">
        <v>1021</v>
      </c>
      <c r="I3556" t="s">
        <v>28</v>
      </c>
      <c r="J3556" t="s">
        <v>20</v>
      </c>
      <c r="K3556" t="s">
        <v>21</v>
      </c>
      <c r="L3556" t="s">
        <v>964</v>
      </c>
      <c r="N3556" t="s">
        <v>70</v>
      </c>
      <c r="O3556" t="s">
        <v>24</v>
      </c>
    </row>
    <row r="3557" spans="1:15" x14ac:dyDescent="0.25">
      <c r="A3557">
        <v>3556</v>
      </c>
      <c r="B3557" t="str">
        <f>HYPERLINK("https://digitalcommons.unl.edu/cgi/viewcontent.cgi?article=3585&amp;context=tractormuseumlit","Click for test report")</f>
        <v>Click for test report</v>
      </c>
      <c r="C3557">
        <v>2015</v>
      </c>
      <c r="D3557" t="s">
        <v>1016</v>
      </c>
      <c r="E3557" t="s">
        <v>1017</v>
      </c>
      <c r="F3557" t="s">
        <v>959</v>
      </c>
      <c r="G3557" t="s">
        <v>191</v>
      </c>
      <c r="H3557" t="s">
        <v>1018</v>
      </c>
      <c r="I3557" t="s">
        <v>28</v>
      </c>
      <c r="J3557" t="s">
        <v>20</v>
      </c>
      <c r="K3557" t="s">
        <v>21</v>
      </c>
      <c r="L3557" t="s">
        <v>950</v>
      </c>
      <c r="N3557" t="s">
        <v>222</v>
      </c>
      <c r="O3557" t="s">
        <v>24</v>
      </c>
    </row>
    <row r="3558" spans="1:15" x14ac:dyDescent="0.25">
      <c r="A3558">
        <v>3557</v>
      </c>
      <c r="B3558" t="str">
        <f>HYPERLINK("https://digitalcommons.unl.edu/cgi/viewcontent.cgi?article=3587&amp;context=tractormuseumlit","Click for test report")</f>
        <v>Click for test report</v>
      </c>
      <c r="C3558">
        <v>2015</v>
      </c>
      <c r="D3558" t="s">
        <v>1013</v>
      </c>
      <c r="E3558" t="s">
        <v>1014</v>
      </c>
      <c r="F3558" t="s">
        <v>577</v>
      </c>
      <c r="G3558" t="s">
        <v>135</v>
      </c>
      <c r="H3558" t="s">
        <v>1015</v>
      </c>
      <c r="I3558" t="s">
        <v>28</v>
      </c>
      <c r="J3558" t="s">
        <v>20</v>
      </c>
      <c r="K3558" t="s">
        <v>21</v>
      </c>
      <c r="L3558" t="s">
        <v>954</v>
      </c>
      <c r="N3558" t="s">
        <v>955</v>
      </c>
      <c r="O3558" t="s">
        <v>24</v>
      </c>
    </row>
    <row r="3559" spans="1:15" x14ac:dyDescent="0.25">
      <c r="A3559">
        <v>3558</v>
      </c>
      <c r="B3559" t="str">
        <f>HYPERLINK("https://digitalcommons.unl.edu/cgi/viewcontent.cgi?article=3589&amp;context=tractormuseumlit","Click for test report")</f>
        <v>Click for test report</v>
      </c>
      <c r="C3559">
        <v>2015</v>
      </c>
      <c r="D3559" t="s">
        <v>1010</v>
      </c>
      <c r="E3559" t="s">
        <v>1011</v>
      </c>
      <c r="F3559" t="s">
        <v>134</v>
      </c>
      <c r="G3559" t="s">
        <v>191</v>
      </c>
      <c r="H3559" t="s">
        <v>1012</v>
      </c>
      <c r="I3559" t="s">
        <v>64</v>
      </c>
      <c r="J3559" t="s">
        <v>20</v>
      </c>
      <c r="K3559" t="s">
        <v>21</v>
      </c>
      <c r="L3559" t="s">
        <v>81</v>
      </c>
      <c r="N3559" t="s">
        <v>950</v>
      </c>
      <c r="O3559" t="s">
        <v>24</v>
      </c>
    </row>
    <row r="3560" spans="1:15" x14ac:dyDescent="0.25">
      <c r="A3560">
        <v>3559</v>
      </c>
      <c r="B3560" t="str">
        <f>HYPERLINK("https://digitalcommons.unl.edu/cgi/viewcontent.cgi?article=3591&amp;context=tractormuseumlit","Click for test report")</f>
        <v>Click for test report</v>
      </c>
      <c r="C3560">
        <v>2015</v>
      </c>
      <c r="D3560" t="s">
        <v>1006</v>
      </c>
      <c r="F3560" t="s">
        <v>1003</v>
      </c>
      <c r="G3560" t="s">
        <v>1004</v>
      </c>
      <c r="H3560" t="s">
        <v>1007</v>
      </c>
      <c r="I3560" t="s">
        <v>1008</v>
      </c>
      <c r="J3560" t="s">
        <v>20</v>
      </c>
      <c r="K3560" t="s">
        <v>21</v>
      </c>
      <c r="L3560" t="s">
        <v>1009</v>
      </c>
      <c r="O3560" t="s">
        <v>24</v>
      </c>
    </row>
    <row r="3561" spans="1:15" x14ac:dyDescent="0.25">
      <c r="A3561">
        <v>3560</v>
      </c>
      <c r="B3561" t="str">
        <f>HYPERLINK("https://digitalcommons.unl.edu/cgi/viewcontent.cgi?article=3592&amp;context=tractormuseumlit","Click for test report")</f>
        <v>Click for test report</v>
      </c>
      <c r="C3561">
        <v>2015</v>
      </c>
      <c r="D3561" t="s">
        <v>1002</v>
      </c>
      <c r="F3561" t="s">
        <v>1003</v>
      </c>
      <c r="G3561" t="s">
        <v>1004</v>
      </c>
      <c r="H3561" t="s">
        <v>1005</v>
      </c>
      <c r="I3561" t="s">
        <v>50</v>
      </c>
      <c r="J3561" t="s">
        <v>20</v>
      </c>
      <c r="K3561" t="s">
        <v>21</v>
      </c>
      <c r="L3561" t="s">
        <v>349</v>
      </c>
      <c r="O3561" t="s">
        <v>24</v>
      </c>
    </row>
    <row r="3562" spans="1:15" x14ac:dyDescent="0.25">
      <c r="A3562">
        <v>3561</v>
      </c>
      <c r="B3562" t="str">
        <f>HYPERLINK("https://digitalcommons.unl.edu/cgi/viewcontent.cgi?article=3593&amp;context=tractormuseumlit","Click for test report")</f>
        <v>Click for test report</v>
      </c>
      <c r="C3562">
        <v>2015</v>
      </c>
      <c r="D3562" t="s">
        <v>996</v>
      </c>
      <c r="E3562" t="s">
        <v>997</v>
      </c>
      <c r="F3562" t="s">
        <v>17</v>
      </c>
      <c r="G3562" t="s">
        <v>17</v>
      </c>
      <c r="H3562" t="s">
        <v>998</v>
      </c>
      <c r="I3562" t="s">
        <v>28</v>
      </c>
      <c r="J3562" t="s">
        <v>96</v>
      </c>
      <c r="K3562" t="s">
        <v>21</v>
      </c>
      <c r="L3562" t="s">
        <v>999</v>
      </c>
      <c r="N3562" t="s">
        <v>1000</v>
      </c>
      <c r="O3562" t="s">
        <v>1001</v>
      </c>
    </row>
    <row r="3563" spans="1:15" x14ac:dyDescent="0.25">
      <c r="A3563">
        <v>3562</v>
      </c>
      <c r="B3563" t="str">
        <f>HYPERLINK("https://digitalcommons.unl.edu/cgi/viewcontent.cgi?article=3594&amp;context=tractormuseumlit","Click for test report")</f>
        <v>Click for test report</v>
      </c>
      <c r="C3563">
        <v>2015</v>
      </c>
      <c r="D3563" t="s">
        <v>992</v>
      </c>
      <c r="E3563" t="s">
        <v>993</v>
      </c>
      <c r="F3563" t="s">
        <v>17</v>
      </c>
      <c r="G3563" t="s">
        <v>17</v>
      </c>
      <c r="H3563" t="s">
        <v>994</v>
      </c>
      <c r="I3563" t="s">
        <v>28</v>
      </c>
      <c r="J3563" t="s">
        <v>20</v>
      </c>
      <c r="K3563" t="s">
        <v>21</v>
      </c>
      <c r="L3563" t="s">
        <v>103</v>
      </c>
      <c r="N3563" t="s">
        <v>995</v>
      </c>
      <c r="O3563" t="s">
        <v>24</v>
      </c>
    </row>
    <row r="3564" spans="1:15" x14ac:dyDescent="0.25">
      <c r="A3564">
        <v>3563</v>
      </c>
      <c r="B3564" t="str">
        <f>HYPERLINK("https://digitalcommons.unl.edu/cgi/viewcontent.cgi?article=3595&amp;context=tractormuseumlit","Click for test report")</f>
        <v>Click for test report</v>
      </c>
      <c r="C3564">
        <v>2015</v>
      </c>
      <c r="D3564" t="s">
        <v>987</v>
      </c>
      <c r="E3564" t="s">
        <v>988</v>
      </c>
      <c r="F3564" t="s">
        <v>17</v>
      </c>
      <c r="G3564" t="s">
        <v>17</v>
      </c>
      <c r="H3564" t="s">
        <v>989</v>
      </c>
      <c r="I3564" t="s">
        <v>28</v>
      </c>
      <c r="J3564" t="s">
        <v>20</v>
      </c>
      <c r="K3564" t="s">
        <v>21</v>
      </c>
      <c r="L3564" t="s">
        <v>990</v>
      </c>
      <c r="N3564" t="s">
        <v>991</v>
      </c>
      <c r="O3564" t="s">
        <v>24</v>
      </c>
    </row>
    <row r="3565" spans="1:15" x14ac:dyDescent="0.25">
      <c r="A3565">
        <v>3564</v>
      </c>
      <c r="B3565" t="str">
        <f>HYPERLINK("https://digitalcommons.unl.edu/cgi/viewcontent.cgi?article=3596&amp;context=tractormuseumlit","Click for test report")</f>
        <v>Click for test report</v>
      </c>
      <c r="C3565">
        <v>2015</v>
      </c>
      <c r="D3565" t="s">
        <v>983</v>
      </c>
      <c r="E3565" t="s">
        <v>984</v>
      </c>
      <c r="F3565" t="s">
        <v>17</v>
      </c>
      <c r="G3565" t="s">
        <v>17</v>
      </c>
      <c r="H3565" t="s">
        <v>985</v>
      </c>
      <c r="I3565" t="s">
        <v>28</v>
      </c>
      <c r="J3565" t="s">
        <v>96</v>
      </c>
      <c r="K3565" t="s">
        <v>21</v>
      </c>
      <c r="L3565" t="s">
        <v>81</v>
      </c>
      <c r="N3565" t="s">
        <v>986</v>
      </c>
      <c r="O3565" t="s">
        <v>24</v>
      </c>
    </row>
    <row r="3566" spans="1:15" x14ac:dyDescent="0.25">
      <c r="A3566">
        <v>3565</v>
      </c>
      <c r="B3566" t="str">
        <f>HYPERLINK("https://digitalcommons.unl.edu/cgi/viewcontent.cgi?article=3597&amp;context=tractormuseumlit","Click for test report")</f>
        <v>Click for test report</v>
      </c>
      <c r="C3566">
        <v>2015</v>
      </c>
      <c r="D3566" t="s">
        <v>978</v>
      </c>
      <c r="E3566" t="s">
        <v>979</v>
      </c>
      <c r="F3566" t="s">
        <v>17</v>
      </c>
      <c r="G3566" t="s">
        <v>17</v>
      </c>
      <c r="H3566" t="s">
        <v>980</v>
      </c>
      <c r="I3566" t="s">
        <v>28</v>
      </c>
      <c r="J3566" t="s">
        <v>29</v>
      </c>
      <c r="K3566" t="s">
        <v>21</v>
      </c>
      <c r="L3566" t="s">
        <v>981</v>
      </c>
      <c r="N3566" t="s">
        <v>982</v>
      </c>
      <c r="O3566" t="s">
        <v>32</v>
      </c>
    </row>
    <row r="3567" spans="1:15" x14ac:dyDescent="0.25">
      <c r="A3567">
        <v>3566</v>
      </c>
      <c r="B3567" t="str">
        <f>HYPERLINK("https://digitalcommons.unl.edu/cgi/viewcontent.cgi?article=3598&amp;context=tractormuseumlit","Click for test report")</f>
        <v>Click for test report</v>
      </c>
      <c r="C3567">
        <v>2015</v>
      </c>
      <c r="D3567" t="s">
        <v>974</v>
      </c>
      <c r="E3567" t="s">
        <v>975</v>
      </c>
      <c r="F3567" t="s">
        <v>17</v>
      </c>
      <c r="G3567" t="s">
        <v>17</v>
      </c>
      <c r="H3567" t="s">
        <v>976</v>
      </c>
      <c r="I3567" t="s">
        <v>28</v>
      </c>
      <c r="J3567" t="s">
        <v>96</v>
      </c>
      <c r="K3567" t="s">
        <v>21</v>
      </c>
      <c r="L3567" t="s">
        <v>97</v>
      </c>
      <c r="N3567" t="s">
        <v>977</v>
      </c>
      <c r="O3567" t="s">
        <v>32</v>
      </c>
    </row>
    <row r="3568" spans="1:15" x14ac:dyDescent="0.25">
      <c r="A3568">
        <v>3567</v>
      </c>
      <c r="B3568" t="str">
        <f>HYPERLINK("https://digitalcommons.unl.edu/cgi/viewcontent.cgi?article=3599&amp;context=tractormuseumlit","Click for test report")</f>
        <v>Click for test report</v>
      </c>
      <c r="C3568">
        <v>2015</v>
      </c>
      <c r="D3568" t="s">
        <v>971</v>
      </c>
      <c r="E3568" t="s">
        <v>972</v>
      </c>
      <c r="F3568" t="s">
        <v>17</v>
      </c>
      <c r="G3568" t="s">
        <v>17</v>
      </c>
      <c r="H3568" t="s">
        <v>973</v>
      </c>
      <c r="I3568" t="s">
        <v>28</v>
      </c>
      <c r="J3568" t="s">
        <v>29</v>
      </c>
      <c r="K3568" t="s">
        <v>21</v>
      </c>
      <c r="L3568" t="s">
        <v>661</v>
      </c>
      <c r="N3568" t="s">
        <v>584</v>
      </c>
      <c r="O3568" t="s">
        <v>32</v>
      </c>
    </row>
    <row r="3569" spans="1:15" x14ac:dyDescent="0.25">
      <c r="A3569">
        <v>3568</v>
      </c>
      <c r="B3569" t="str">
        <f>HYPERLINK("https://digitalcommons.unl.edu/cgi/viewcontent.cgi?article=3600&amp;context=tractormuseumlit","Click for test report")</f>
        <v>Click for test report</v>
      </c>
      <c r="C3569">
        <v>2015</v>
      </c>
      <c r="D3569" t="s">
        <v>968</v>
      </c>
      <c r="E3569" t="s">
        <v>969</v>
      </c>
      <c r="F3569" t="s">
        <v>17</v>
      </c>
      <c r="G3569" t="s">
        <v>17</v>
      </c>
      <c r="H3569" t="s">
        <v>970</v>
      </c>
      <c r="I3569" t="s">
        <v>28</v>
      </c>
      <c r="J3569" t="s">
        <v>20</v>
      </c>
      <c r="K3569" t="s">
        <v>21</v>
      </c>
      <c r="L3569" t="s">
        <v>839</v>
      </c>
      <c r="N3569" t="s">
        <v>858</v>
      </c>
      <c r="O3569" t="s">
        <v>24</v>
      </c>
    </row>
    <row r="3570" spans="1:15" x14ac:dyDescent="0.25">
      <c r="A3570">
        <v>3569</v>
      </c>
      <c r="B3570" t="str">
        <f>HYPERLINK("https://digitalcommons.unl.edu/cgi/viewcontent.cgi?article=3582&amp;context=tractormuseumlit","Click for test report")</f>
        <v>Click for test report</v>
      </c>
      <c r="C3570">
        <v>2015</v>
      </c>
      <c r="D3570" t="s">
        <v>965</v>
      </c>
      <c r="E3570" t="s">
        <v>966</v>
      </c>
      <c r="F3570" t="s">
        <v>577</v>
      </c>
      <c r="G3570" t="s">
        <v>191</v>
      </c>
      <c r="H3570" t="s">
        <v>967</v>
      </c>
      <c r="I3570" t="s">
        <v>28</v>
      </c>
      <c r="J3570" t="s">
        <v>20</v>
      </c>
      <c r="K3570" t="s">
        <v>21</v>
      </c>
      <c r="L3570" t="s">
        <v>900</v>
      </c>
      <c r="N3570" t="s">
        <v>71</v>
      </c>
      <c r="O3570" t="s">
        <v>24</v>
      </c>
    </row>
    <row r="3571" spans="1:15" x14ac:dyDescent="0.25">
      <c r="A3571">
        <v>3570</v>
      </c>
      <c r="B3571" t="str">
        <f>HYPERLINK("https://digitalcommons.unl.edu/cgi/viewcontent.cgi?article=3584&amp;context=tractormuseumlit","Click for test report")</f>
        <v>Click for test report</v>
      </c>
      <c r="C3571">
        <v>2015</v>
      </c>
      <c r="D3571" t="s">
        <v>961</v>
      </c>
      <c r="E3571" t="s">
        <v>962</v>
      </c>
      <c r="F3571" t="s">
        <v>959</v>
      </c>
      <c r="G3571" t="s">
        <v>135</v>
      </c>
      <c r="H3571" t="s">
        <v>963</v>
      </c>
      <c r="I3571" t="s">
        <v>28</v>
      </c>
      <c r="J3571" t="s">
        <v>20</v>
      </c>
      <c r="K3571" t="s">
        <v>21</v>
      </c>
      <c r="L3571" t="s">
        <v>964</v>
      </c>
      <c r="N3571" t="s">
        <v>70</v>
      </c>
      <c r="O3571" t="s">
        <v>24</v>
      </c>
    </row>
    <row r="3572" spans="1:15" x14ac:dyDescent="0.25">
      <c r="A3572">
        <v>3571</v>
      </c>
      <c r="B3572" t="str">
        <f>HYPERLINK("https://digitalcommons.unl.edu/cgi/viewcontent.cgi?article=3586&amp;context=tractormuseumlit","Click for test report")</f>
        <v>Click for test report</v>
      </c>
      <c r="C3572">
        <v>2015</v>
      </c>
      <c r="D3572" t="s">
        <v>957</v>
      </c>
      <c r="E3572" t="s">
        <v>958</v>
      </c>
      <c r="F3572" t="s">
        <v>959</v>
      </c>
      <c r="G3572" t="s">
        <v>135</v>
      </c>
      <c r="H3572" t="s">
        <v>960</v>
      </c>
      <c r="I3572" t="s">
        <v>28</v>
      </c>
      <c r="J3572" t="s">
        <v>20</v>
      </c>
      <c r="K3572" t="s">
        <v>21</v>
      </c>
      <c r="L3572" t="s">
        <v>950</v>
      </c>
      <c r="N3572" t="s">
        <v>222</v>
      </c>
      <c r="O3572" t="s">
        <v>24</v>
      </c>
    </row>
    <row r="3573" spans="1:15" x14ac:dyDescent="0.25">
      <c r="A3573">
        <v>3572</v>
      </c>
      <c r="B3573" t="str">
        <f>HYPERLINK("https://digitalcommons.unl.edu/cgi/viewcontent.cgi?article=3588&amp;context=tractormuseumlit","Click for test report")</f>
        <v>Click for test report</v>
      </c>
      <c r="C3573">
        <v>2015</v>
      </c>
      <c r="D3573" t="s">
        <v>951</v>
      </c>
      <c r="E3573" t="s">
        <v>952</v>
      </c>
      <c r="F3573" t="s">
        <v>577</v>
      </c>
      <c r="G3573" t="s">
        <v>191</v>
      </c>
      <c r="H3573" t="s">
        <v>953</v>
      </c>
      <c r="I3573" t="s">
        <v>28</v>
      </c>
      <c r="J3573" t="s">
        <v>20</v>
      </c>
      <c r="K3573" t="s">
        <v>21</v>
      </c>
      <c r="L3573" t="s">
        <v>954</v>
      </c>
      <c r="N3573" t="s">
        <v>955</v>
      </c>
      <c r="O3573" t="s">
        <v>956</v>
      </c>
    </row>
    <row r="3574" spans="1:15" x14ac:dyDescent="0.25">
      <c r="A3574">
        <v>3573</v>
      </c>
      <c r="B3574" t="str">
        <f>HYPERLINK("https://digitalcommons.unl.edu/cgi/viewcontent.cgi?article=3590&amp;context=tractormuseumlit","Click for test report")</f>
        <v>Click for test report</v>
      </c>
      <c r="C3574">
        <v>2015</v>
      </c>
      <c r="D3574" t="s">
        <v>947</v>
      </c>
      <c r="E3574" t="s">
        <v>948</v>
      </c>
      <c r="F3574" t="s">
        <v>134</v>
      </c>
      <c r="G3574" t="s">
        <v>135</v>
      </c>
      <c r="H3574" t="s">
        <v>949</v>
      </c>
      <c r="I3574" t="s">
        <v>64</v>
      </c>
      <c r="J3574" t="s">
        <v>20</v>
      </c>
      <c r="K3574" t="s">
        <v>21</v>
      </c>
      <c r="L3574" t="s">
        <v>81</v>
      </c>
      <c r="N3574" t="s">
        <v>950</v>
      </c>
      <c r="O3574" t="s">
        <v>24</v>
      </c>
    </row>
    <row r="3575" spans="1:15" x14ac:dyDescent="0.25">
      <c r="A3575">
        <v>3574</v>
      </c>
      <c r="B3575" t="str">
        <f>HYPERLINK("https://digitalcommons.unl.edu/cgi/viewcontent.cgi?article=4179&amp;context=tractormuseumlit","Click for test report")</f>
        <v>Click for test report</v>
      </c>
      <c r="C3575">
        <v>2016</v>
      </c>
      <c r="E3575" t="s">
        <v>945</v>
      </c>
      <c r="F3575" t="s">
        <v>111</v>
      </c>
      <c r="G3575" t="s">
        <v>778</v>
      </c>
      <c r="H3575" t="s">
        <v>946</v>
      </c>
      <c r="I3575" t="s">
        <v>28</v>
      </c>
      <c r="J3575" t="s">
        <v>20</v>
      </c>
      <c r="K3575" t="s">
        <v>21</v>
      </c>
      <c r="L3575" t="s">
        <v>939</v>
      </c>
      <c r="N3575" t="s">
        <v>119</v>
      </c>
      <c r="O3575" t="s">
        <v>24</v>
      </c>
    </row>
    <row r="3576" spans="1:15" x14ac:dyDescent="0.25">
      <c r="A3576">
        <v>3575</v>
      </c>
      <c r="B3576" t="str">
        <f>HYPERLINK("https://digitalcommons.unl.edu/cgi/viewcontent.cgi?article=4180&amp;context=tractormuseumlit","Click for test report")</f>
        <v>Click for test report</v>
      </c>
      <c r="C3576">
        <v>2016</v>
      </c>
      <c r="E3576" t="s">
        <v>943</v>
      </c>
      <c r="F3576" t="s">
        <v>111</v>
      </c>
      <c r="G3576" t="s">
        <v>778</v>
      </c>
      <c r="H3576" t="s">
        <v>944</v>
      </c>
      <c r="I3576" t="s">
        <v>28</v>
      </c>
      <c r="J3576" t="s">
        <v>20</v>
      </c>
      <c r="K3576" t="s">
        <v>21</v>
      </c>
      <c r="L3576" t="s">
        <v>836</v>
      </c>
      <c r="N3576" t="s">
        <v>528</v>
      </c>
      <c r="O3576" t="s">
        <v>24</v>
      </c>
    </row>
    <row r="3577" spans="1:15" x14ac:dyDescent="0.25">
      <c r="A3577">
        <v>3576</v>
      </c>
      <c r="B3577" t="str">
        <f>HYPERLINK("https://digitalcommons.unl.edu/cgi/viewcontent.cgi?article=4222&amp;context=tractormuseumlit","Click for test report")</f>
        <v>Click for test report</v>
      </c>
      <c r="C3577">
        <v>2016</v>
      </c>
      <c r="E3577" t="s">
        <v>941</v>
      </c>
      <c r="F3577" t="s">
        <v>111</v>
      </c>
      <c r="G3577" t="s">
        <v>778</v>
      </c>
      <c r="H3577" t="s">
        <v>942</v>
      </c>
      <c r="I3577" t="s">
        <v>28</v>
      </c>
      <c r="J3577" t="s">
        <v>20</v>
      </c>
      <c r="K3577" t="s">
        <v>21</v>
      </c>
      <c r="L3577" t="s">
        <v>836</v>
      </c>
      <c r="N3577" t="s">
        <v>528</v>
      </c>
      <c r="O3577" t="s">
        <v>24</v>
      </c>
    </row>
    <row r="3578" spans="1:15" x14ac:dyDescent="0.25">
      <c r="A3578">
        <v>3577</v>
      </c>
      <c r="B3578" t="str">
        <f>HYPERLINK("https://digitalcommons.unl.edu/cgi/viewcontent.cgi?article=4166&amp;context=tractormuseumlit","Click for test report")</f>
        <v>Click for test report</v>
      </c>
      <c r="C3578">
        <v>2016</v>
      </c>
      <c r="E3578" t="s">
        <v>938</v>
      </c>
      <c r="F3578" t="s">
        <v>111</v>
      </c>
      <c r="G3578" t="s">
        <v>414</v>
      </c>
      <c r="H3578" t="s">
        <v>916</v>
      </c>
      <c r="I3578" t="s">
        <v>28</v>
      </c>
      <c r="J3578" t="s">
        <v>20</v>
      </c>
      <c r="K3578" t="s">
        <v>21</v>
      </c>
      <c r="L3578" t="s">
        <v>939</v>
      </c>
      <c r="N3578" t="s">
        <v>119</v>
      </c>
      <c r="O3578" t="s">
        <v>940</v>
      </c>
    </row>
    <row r="3579" spans="1:15" x14ac:dyDescent="0.25">
      <c r="A3579">
        <v>3578</v>
      </c>
      <c r="B3579" t="str">
        <f>HYPERLINK("https://digitalcommons.unl.edu/cgi/viewcontent.cgi?article=4185&amp;context=tractormuseumlit","Click for test report")</f>
        <v>Click for test report</v>
      </c>
      <c r="C3579">
        <v>2016</v>
      </c>
      <c r="E3579" t="s">
        <v>936</v>
      </c>
      <c r="F3579" t="s">
        <v>111</v>
      </c>
      <c r="G3579" t="s">
        <v>414</v>
      </c>
      <c r="H3579" t="s">
        <v>912</v>
      </c>
      <c r="I3579" t="s">
        <v>28</v>
      </c>
      <c r="J3579" t="s">
        <v>20</v>
      </c>
      <c r="K3579" t="s">
        <v>21</v>
      </c>
      <c r="L3579" t="s">
        <v>836</v>
      </c>
      <c r="N3579" t="s">
        <v>528</v>
      </c>
      <c r="O3579" t="s">
        <v>937</v>
      </c>
    </row>
    <row r="3580" spans="1:15" x14ac:dyDescent="0.25">
      <c r="A3580">
        <v>3579</v>
      </c>
      <c r="B3580" t="str">
        <f>HYPERLINK("https://digitalcommons.unl.edu/cgi/viewcontent.cgi?article=4189&amp;context=tractormuseumlit","Click for test report")</f>
        <v>Click for test report</v>
      </c>
      <c r="C3580">
        <v>2016</v>
      </c>
      <c r="E3580" t="s">
        <v>934</v>
      </c>
      <c r="F3580" t="s">
        <v>111</v>
      </c>
      <c r="G3580" t="s">
        <v>778</v>
      </c>
      <c r="H3580" t="s">
        <v>935</v>
      </c>
      <c r="I3580" t="s">
        <v>64</v>
      </c>
      <c r="J3580" t="s">
        <v>20</v>
      </c>
      <c r="K3580" t="s">
        <v>21</v>
      </c>
      <c r="L3580" t="s">
        <v>786</v>
      </c>
      <c r="N3580" t="s">
        <v>842</v>
      </c>
      <c r="O3580" t="s">
        <v>869</v>
      </c>
    </row>
    <row r="3581" spans="1:15" x14ac:dyDescent="0.25">
      <c r="A3581">
        <v>3580</v>
      </c>
      <c r="B3581" t="str">
        <f>HYPERLINK("https://digitalcommons.unl.edu/cgi/viewcontent.cgi?article=4190&amp;context=tractormuseumlit","Click for test report")</f>
        <v>Click for test report</v>
      </c>
      <c r="C3581">
        <v>2016</v>
      </c>
      <c r="E3581" t="s">
        <v>932</v>
      </c>
      <c r="F3581" t="s">
        <v>111</v>
      </c>
      <c r="G3581" t="s">
        <v>778</v>
      </c>
      <c r="H3581" t="s">
        <v>933</v>
      </c>
      <c r="I3581" t="s">
        <v>64</v>
      </c>
      <c r="J3581" t="s">
        <v>20</v>
      </c>
      <c r="K3581" t="s">
        <v>21</v>
      </c>
      <c r="L3581" t="s">
        <v>913</v>
      </c>
      <c r="N3581" t="s">
        <v>771</v>
      </c>
      <c r="O3581" t="s">
        <v>869</v>
      </c>
    </row>
    <row r="3582" spans="1:15" x14ac:dyDescent="0.25">
      <c r="A3582">
        <v>3581</v>
      </c>
      <c r="B3582" t="str">
        <f>HYPERLINK("https://digitalcommons.unl.edu/cgi/viewcontent.cgi?article=4191&amp;context=tractormuseumlit","Click for test report")</f>
        <v>Click for test report</v>
      </c>
      <c r="C3582">
        <v>2016</v>
      </c>
      <c r="E3582" t="s">
        <v>930</v>
      </c>
      <c r="F3582" t="s">
        <v>111</v>
      </c>
      <c r="G3582" t="s">
        <v>778</v>
      </c>
      <c r="H3582" t="s">
        <v>931</v>
      </c>
      <c r="I3582" t="s">
        <v>64</v>
      </c>
      <c r="J3582" t="s">
        <v>20</v>
      </c>
      <c r="K3582" t="s">
        <v>21</v>
      </c>
      <c r="L3582" t="s">
        <v>913</v>
      </c>
      <c r="N3582" t="s">
        <v>771</v>
      </c>
      <c r="O3582" t="s">
        <v>869</v>
      </c>
    </row>
    <row r="3583" spans="1:15" x14ac:dyDescent="0.25">
      <c r="A3583">
        <v>3582</v>
      </c>
      <c r="B3583" t="str">
        <f>HYPERLINK("https://digitalcommons.unl.edu/cgi/viewcontent.cgi?article=4192&amp;context=tractormuseumlit","Click for test report")</f>
        <v>Click for test report</v>
      </c>
      <c r="C3583">
        <v>2016</v>
      </c>
      <c r="E3583" t="s">
        <v>928</v>
      </c>
      <c r="F3583" t="s">
        <v>111</v>
      </c>
      <c r="G3583" t="s">
        <v>778</v>
      </c>
      <c r="H3583" t="s">
        <v>929</v>
      </c>
      <c r="I3583" t="s">
        <v>64</v>
      </c>
      <c r="J3583" t="s">
        <v>20</v>
      </c>
      <c r="K3583" t="s">
        <v>21</v>
      </c>
      <c r="L3583" t="s">
        <v>434</v>
      </c>
      <c r="N3583" t="s">
        <v>909</v>
      </c>
      <c r="O3583" t="s">
        <v>869</v>
      </c>
    </row>
    <row r="3584" spans="1:15" x14ac:dyDescent="0.25">
      <c r="A3584">
        <v>3583</v>
      </c>
      <c r="B3584" t="str">
        <f>HYPERLINK("https://digitalcommons.unl.edu/cgi/viewcontent.cgi?article=4193&amp;context=tractormuseumlit","Click for test report")</f>
        <v>Click for test report</v>
      </c>
      <c r="C3584">
        <v>2016</v>
      </c>
      <c r="E3584" t="s">
        <v>926</v>
      </c>
      <c r="F3584" t="s">
        <v>111</v>
      </c>
      <c r="G3584" t="s">
        <v>778</v>
      </c>
      <c r="H3584" t="s">
        <v>927</v>
      </c>
      <c r="I3584" t="s">
        <v>64</v>
      </c>
      <c r="J3584" t="s">
        <v>20</v>
      </c>
      <c r="K3584" t="s">
        <v>21</v>
      </c>
      <c r="L3584" t="s">
        <v>434</v>
      </c>
      <c r="N3584" t="s">
        <v>909</v>
      </c>
      <c r="O3584" t="s">
        <v>24</v>
      </c>
    </row>
    <row r="3585" spans="1:15" x14ac:dyDescent="0.25">
      <c r="A3585">
        <v>3584</v>
      </c>
      <c r="B3585" t="str">
        <f>HYPERLINK("https://digitalcommons.unl.edu/cgi/viewcontent.cgi?article=4194&amp;context=tractormuseumlit","Click for test report")</f>
        <v>Click for test report</v>
      </c>
      <c r="C3585">
        <v>2016</v>
      </c>
      <c r="E3585" t="s">
        <v>924</v>
      </c>
      <c r="F3585" t="s">
        <v>111</v>
      </c>
      <c r="G3585" t="s">
        <v>778</v>
      </c>
      <c r="H3585" t="s">
        <v>925</v>
      </c>
      <c r="I3585" t="s">
        <v>64</v>
      </c>
      <c r="J3585" t="s">
        <v>20</v>
      </c>
      <c r="K3585" t="s">
        <v>21</v>
      </c>
      <c r="L3585" t="s">
        <v>905</v>
      </c>
      <c r="N3585" t="s">
        <v>786</v>
      </c>
      <c r="O3585" t="s">
        <v>24</v>
      </c>
    </row>
    <row r="3586" spans="1:15" x14ac:dyDescent="0.25">
      <c r="A3586">
        <v>3585</v>
      </c>
      <c r="B3586" t="str">
        <f>HYPERLINK("https://digitalcommons.unl.edu/cgi/viewcontent.cgi?article=4225&amp;context=tractormuseumlit","Click for test report")</f>
        <v>Click for test report</v>
      </c>
      <c r="C3586">
        <v>2016</v>
      </c>
      <c r="E3586" t="s">
        <v>922</v>
      </c>
      <c r="F3586" t="s">
        <v>111</v>
      </c>
      <c r="G3586" t="s">
        <v>778</v>
      </c>
      <c r="H3586" t="s">
        <v>923</v>
      </c>
      <c r="I3586" t="s">
        <v>64</v>
      </c>
      <c r="J3586" t="s">
        <v>20</v>
      </c>
      <c r="K3586" t="s">
        <v>21</v>
      </c>
      <c r="L3586" t="s">
        <v>905</v>
      </c>
      <c r="N3586" t="s">
        <v>786</v>
      </c>
      <c r="O3586" t="s">
        <v>24</v>
      </c>
    </row>
    <row r="3587" spans="1:15" x14ac:dyDescent="0.25">
      <c r="A3587">
        <v>3586</v>
      </c>
      <c r="B3587" t="str">
        <f>HYPERLINK("https://digitalcommons.unl.edu/cgi/viewcontent.cgi?article=4195&amp;context=tractormuseumlit","Click for test report")</f>
        <v>Click for test report</v>
      </c>
      <c r="C3587">
        <v>2016</v>
      </c>
      <c r="E3587" t="s">
        <v>920</v>
      </c>
      <c r="F3587" t="s">
        <v>111</v>
      </c>
      <c r="G3587" t="s">
        <v>778</v>
      </c>
      <c r="H3587" t="s">
        <v>921</v>
      </c>
      <c r="I3587" t="s">
        <v>64</v>
      </c>
      <c r="J3587" t="s">
        <v>20</v>
      </c>
      <c r="K3587" t="s">
        <v>21</v>
      </c>
      <c r="L3587" t="s">
        <v>900</v>
      </c>
      <c r="N3587" t="s">
        <v>901</v>
      </c>
      <c r="O3587" t="s">
        <v>24</v>
      </c>
    </row>
    <row r="3588" spans="1:15" x14ac:dyDescent="0.25">
      <c r="A3588">
        <v>3587</v>
      </c>
      <c r="B3588" t="str">
        <f>HYPERLINK("https://digitalcommons.unl.edu/cgi/viewcontent.cgi?article=4196&amp;context=tractormuseumlit","Click for test report")</f>
        <v>Click for test report</v>
      </c>
      <c r="C3588">
        <v>2016</v>
      </c>
      <c r="E3588" t="s">
        <v>918</v>
      </c>
      <c r="F3588" t="s">
        <v>111</v>
      </c>
      <c r="G3588" t="s">
        <v>778</v>
      </c>
      <c r="H3588" t="s">
        <v>919</v>
      </c>
      <c r="I3588" t="s">
        <v>64</v>
      </c>
      <c r="J3588" t="s">
        <v>20</v>
      </c>
      <c r="K3588" t="s">
        <v>21</v>
      </c>
      <c r="L3588" t="s">
        <v>900</v>
      </c>
      <c r="N3588" t="s">
        <v>901</v>
      </c>
      <c r="O3588" t="s">
        <v>24</v>
      </c>
    </row>
    <row r="3589" spans="1:15" x14ac:dyDescent="0.25">
      <c r="A3589">
        <v>3588</v>
      </c>
      <c r="B3589" t="str">
        <f>HYPERLINK("https://digitalcommons.unl.edu/cgi/viewcontent.cgi?article=4167&amp;context=tractormuseumlit","Click for test report")</f>
        <v>Click for test report</v>
      </c>
      <c r="C3589">
        <v>2016</v>
      </c>
      <c r="E3589" t="s">
        <v>915</v>
      </c>
      <c r="F3589" t="s">
        <v>111</v>
      </c>
      <c r="G3589" t="s">
        <v>414</v>
      </c>
      <c r="H3589" t="s">
        <v>916</v>
      </c>
      <c r="I3589" t="s">
        <v>64</v>
      </c>
      <c r="J3589" t="s">
        <v>20</v>
      </c>
      <c r="K3589" t="s">
        <v>21</v>
      </c>
      <c r="L3589" t="s">
        <v>786</v>
      </c>
      <c r="N3589" t="s">
        <v>842</v>
      </c>
      <c r="O3589" t="s">
        <v>917</v>
      </c>
    </row>
    <row r="3590" spans="1:15" x14ac:dyDescent="0.25">
      <c r="A3590">
        <v>3589</v>
      </c>
      <c r="B3590" t="str">
        <f>HYPERLINK("https://digitalcommons.unl.edu/cgi/viewcontent.cgi?article=4197&amp;context=tractormuseumlit","Click for test report")</f>
        <v>Click for test report</v>
      </c>
      <c r="C3590">
        <v>2016</v>
      </c>
      <c r="E3590" t="s">
        <v>911</v>
      </c>
      <c r="F3590" t="s">
        <v>111</v>
      </c>
      <c r="G3590" t="s">
        <v>414</v>
      </c>
      <c r="H3590" t="s">
        <v>912</v>
      </c>
      <c r="I3590" t="s">
        <v>64</v>
      </c>
      <c r="J3590" t="s">
        <v>20</v>
      </c>
      <c r="K3590" t="s">
        <v>21</v>
      </c>
      <c r="L3590" t="s">
        <v>913</v>
      </c>
      <c r="N3590" t="s">
        <v>771</v>
      </c>
      <c r="O3590" t="s">
        <v>914</v>
      </c>
    </row>
    <row r="3591" spans="1:15" x14ac:dyDescent="0.25">
      <c r="A3591">
        <v>3590</v>
      </c>
      <c r="B3591" t="str">
        <f>HYPERLINK("https://digitalcommons.unl.edu/cgi/viewcontent.cgi?article=4198&amp;context=tractormuseumlit","Click for test report")</f>
        <v>Click for test report</v>
      </c>
      <c r="C3591">
        <v>2016</v>
      </c>
      <c r="E3591" t="s">
        <v>907</v>
      </c>
      <c r="F3591" t="s">
        <v>111</v>
      </c>
      <c r="G3591" t="s">
        <v>414</v>
      </c>
      <c r="H3591" t="s">
        <v>908</v>
      </c>
      <c r="I3591" t="s">
        <v>64</v>
      </c>
      <c r="J3591" t="s">
        <v>20</v>
      </c>
      <c r="K3591" t="s">
        <v>21</v>
      </c>
      <c r="L3591" t="s">
        <v>434</v>
      </c>
      <c r="N3591" t="s">
        <v>909</v>
      </c>
      <c r="O3591" t="s">
        <v>910</v>
      </c>
    </row>
    <row r="3592" spans="1:15" x14ac:dyDescent="0.25">
      <c r="A3592">
        <v>3591</v>
      </c>
      <c r="B3592" t="str">
        <f>HYPERLINK("https://digitalcommons.unl.edu/cgi/viewcontent.cgi?article=4199&amp;context=tractormuseumlit","Click for test report")</f>
        <v>Click for test report</v>
      </c>
      <c r="C3592">
        <v>2016</v>
      </c>
      <c r="E3592" t="s">
        <v>903</v>
      </c>
      <c r="F3592" t="s">
        <v>111</v>
      </c>
      <c r="G3592" t="s">
        <v>414</v>
      </c>
      <c r="H3592" t="s">
        <v>904</v>
      </c>
      <c r="I3592" t="s">
        <v>64</v>
      </c>
      <c r="J3592" t="s">
        <v>20</v>
      </c>
      <c r="K3592" t="s">
        <v>21</v>
      </c>
      <c r="L3592" t="s">
        <v>905</v>
      </c>
      <c r="N3592" t="s">
        <v>786</v>
      </c>
      <c r="O3592" t="s">
        <v>906</v>
      </c>
    </row>
    <row r="3593" spans="1:15" x14ac:dyDescent="0.25">
      <c r="A3593">
        <v>3592</v>
      </c>
      <c r="B3593" t="str">
        <f>HYPERLINK("https://digitalcommons.unl.edu/cgi/viewcontent.cgi?article=4200&amp;context=tractormuseumlit","Click for test report")</f>
        <v>Click for test report</v>
      </c>
      <c r="C3593">
        <v>2016</v>
      </c>
      <c r="E3593" t="s">
        <v>898</v>
      </c>
      <c r="F3593" t="s">
        <v>111</v>
      </c>
      <c r="G3593" t="s">
        <v>414</v>
      </c>
      <c r="H3593" t="s">
        <v>899</v>
      </c>
      <c r="I3593" t="s">
        <v>64</v>
      </c>
      <c r="J3593" t="s">
        <v>20</v>
      </c>
      <c r="K3593" t="s">
        <v>21</v>
      </c>
      <c r="L3593" t="s">
        <v>900</v>
      </c>
      <c r="N3593" t="s">
        <v>901</v>
      </c>
      <c r="O3593" t="s">
        <v>902</v>
      </c>
    </row>
    <row r="3594" spans="1:15" x14ac:dyDescent="0.25">
      <c r="A3594">
        <v>3593</v>
      </c>
      <c r="B3594" t="str">
        <f>HYPERLINK("https://digitalcommons.unl.edu/cgi/viewcontent.cgi?article=4201&amp;context=tractormuseumlit","Click for test report")</f>
        <v>Click for test report</v>
      </c>
      <c r="C3594">
        <v>2016</v>
      </c>
      <c r="E3594" t="s">
        <v>896</v>
      </c>
      <c r="F3594" t="s">
        <v>752</v>
      </c>
      <c r="G3594" t="s">
        <v>191</v>
      </c>
      <c r="H3594" t="s">
        <v>897</v>
      </c>
      <c r="I3594" t="s">
        <v>64</v>
      </c>
      <c r="J3594" t="s">
        <v>20</v>
      </c>
      <c r="K3594" t="s">
        <v>21</v>
      </c>
      <c r="L3594" t="s">
        <v>306</v>
      </c>
      <c r="N3594" t="s">
        <v>892</v>
      </c>
      <c r="O3594" t="s">
        <v>24</v>
      </c>
    </row>
    <row r="3595" spans="1:15" x14ac:dyDescent="0.25">
      <c r="A3595">
        <v>3594</v>
      </c>
      <c r="B3595" t="str">
        <f>HYPERLINK("https://digitalcommons.unl.edu/cgi/viewcontent.cgi?article=4202&amp;context=tractormuseumlit","Click for test report")</f>
        <v>Click for test report</v>
      </c>
      <c r="C3595">
        <v>2016</v>
      </c>
      <c r="E3595" t="s">
        <v>894</v>
      </c>
      <c r="F3595" t="s">
        <v>752</v>
      </c>
      <c r="G3595" t="s">
        <v>191</v>
      </c>
      <c r="H3595" t="s">
        <v>895</v>
      </c>
      <c r="I3595" t="s">
        <v>64</v>
      </c>
      <c r="J3595" t="s">
        <v>20</v>
      </c>
      <c r="K3595" t="s">
        <v>21</v>
      </c>
      <c r="L3595" t="s">
        <v>393</v>
      </c>
      <c r="N3595" t="s">
        <v>888</v>
      </c>
      <c r="O3595" t="s">
        <v>24</v>
      </c>
    </row>
    <row r="3596" spans="1:15" x14ac:dyDescent="0.25">
      <c r="A3596">
        <v>3595</v>
      </c>
      <c r="B3596" t="str">
        <f>HYPERLINK("https://digitalcommons.unl.edu/cgi/viewcontent.cgi?article=4203&amp;context=tractormuseumlit","Click for test report")</f>
        <v>Click for test report</v>
      </c>
      <c r="C3596">
        <v>2016</v>
      </c>
      <c r="E3596" t="s">
        <v>890</v>
      </c>
      <c r="F3596" t="s">
        <v>752</v>
      </c>
      <c r="G3596" t="s">
        <v>738</v>
      </c>
      <c r="H3596" t="s">
        <v>891</v>
      </c>
      <c r="I3596" t="s">
        <v>64</v>
      </c>
      <c r="J3596" t="s">
        <v>20</v>
      </c>
      <c r="K3596" t="s">
        <v>21</v>
      </c>
      <c r="L3596" t="s">
        <v>306</v>
      </c>
      <c r="N3596" t="s">
        <v>892</v>
      </c>
      <c r="O3596" t="s">
        <v>893</v>
      </c>
    </row>
    <row r="3597" spans="1:15" x14ac:dyDescent="0.25">
      <c r="A3597">
        <v>3596</v>
      </c>
      <c r="B3597" t="str">
        <f>HYPERLINK("https://digitalcommons.unl.edu/cgi/viewcontent.cgi?article=4204&amp;context=tractormuseumlit","Click for test report")</f>
        <v>Click for test report</v>
      </c>
      <c r="C3597">
        <v>2016</v>
      </c>
      <c r="E3597" t="s">
        <v>886</v>
      </c>
      <c r="F3597" t="s">
        <v>752</v>
      </c>
      <c r="G3597" t="s">
        <v>738</v>
      </c>
      <c r="H3597" t="s">
        <v>887</v>
      </c>
      <c r="I3597" t="s">
        <v>64</v>
      </c>
      <c r="J3597" t="s">
        <v>20</v>
      </c>
      <c r="K3597" t="s">
        <v>21</v>
      </c>
      <c r="L3597" t="s">
        <v>393</v>
      </c>
      <c r="N3597" t="s">
        <v>888</v>
      </c>
      <c r="O3597" t="s">
        <v>889</v>
      </c>
    </row>
    <row r="3598" spans="1:15" x14ac:dyDescent="0.25">
      <c r="A3598">
        <v>3597</v>
      </c>
      <c r="B3598" t="str">
        <f>HYPERLINK("https://digitalcommons.unl.edu/cgi/viewcontent.cgi?article=4205&amp;context=tractormuseumlit","Click for test report")</f>
        <v>Click for test report</v>
      </c>
      <c r="C3598">
        <v>2016</v>
      </c>
      <c r="E3598" t="s">
        <v>884</v>
      </c>
      <c r="F3598" t="s">
        <v>111</v>
      </c>
      <c r="G3598" t="s">
        <v>778</v>
      </c>
      <c r="H3598" t="s">
        <v>885</v>
      </c>
      <c r="I3598" t="s">
        <v>28</v>
      </c>
      <c r="J3598" t="s">
        <v>20</v>
      </c>
      <c r="K3598" t="s">
        <v>21</v>
      </c>
      <c r="L3598" t="s">
        <v>842</v>
      </c>
      <c r="N3598" t="s">
        <v>364</v>
      </c>
      <c r="O3598" t="s">
        <v>24</v>
      </c>
    </row>
    <row r="3599" spans="1:15" x14ac:dyDescent="0.25">
      <c r="A3599">
        <v>3598</v>
      </c>
      <c r="B3599" t="str">
        <f>HYPERLINK("https://digitalcommons.unl.edu/cgi/viewcontent.cgi?article=4226&amp;context=tractormuseumlit","Click for test report")</f>
        <v>Click for test report</v>
      </c>
      <c r="C3599">
        <v>2016</v>
      </c>
      <c r="E3599" t="s">
        <v>882</v>
      </c>
      <c r="F3599" t="s">
        <v>111</v>
      </c>
      <c r="G3599" t="s">
        <v>778</v>
      </c>
      <c r="H3599" t="s">
        <v>883</v>
      </c>
      <c r="I3599" t="s">
        <v>28</v>
      </c>
      <c r="J3599" t="s">
        <v>20</v>
      </c>
      <c r="K3599" t="s">
        <v>21</v>
      </c>
      <c r="L3599" t="s">
        <v>842</v>
      </c>
      <c r="N3599" t="s">
        <v>364</v>
      </c>
      <c r="O3599" t="s">
        <v>24</v>
      </c>
    </row>
    <row r="3600" spans="1:15" x14ac:dyDescent="0.25">
      <c r="A3600">
        <v>3599</v>
      </c>
      <c r="B3600" t="str">
        <f>HYPERLINK("https://digitalcommons.unl.edu/cgi/viewcontent.cgi?article=4206&amp;context=tractormuseumlit","Click for test report")</f>
        <v>Click for test report</v>
      </c>
      <c r="C3600">
        <v>2016</v>
      </c>
      <c r="E3600" t="s">
        <v>881</v>
      </c>
      <c r="F3600" t="s">
        <v>111</v>
      </c>
      <c r="G3600" t="s">
        <v>778</v>
      </c>
      <c r="H3600" t="s">
        <v>877</v>
      </c>
      <c r="I3600" t="s">
        <v>28</v>
      </c>
      <c r="J3600" t="s">
        <v>20</v>
      </c>
      <c r="K3600" t="s">
        <v>21</v>
      </c>
      <c r="L3600" t="s">
        <v>858</v>
      </c>
      <c r="N3600" t="s">
        <v>23</v>
      </c>
      <c r="O3600" t="s">
        <v>24</v>
      </c>
    </row>
    <row r="3601" spans="1:15" x14ac:dyDescent="0.25">
      <c r="A3601">
        <v>3600</v>
      </c>
      <c r="B3601" t="str">
        <f>HYPERLINK("https://digitalcommons.unl.edu/cgi/viewcontent.cgi?article=4227&amp;context=tractormuseumlit","Click for test report")</f>
        <v>Click for test report</v>
      </c>
      <c r="C3601">
        <v>2016</v>
      </c>
      <c r="E3601" t="s">
        <v>880</v>
      </c>
      <c r="F3601" t="s">
        <v>111</v>
      </c>
      <c r="G3601" t="s">
        <v>778</v>
      </c>
      <c r="H3601" t="s">
        <v>875</v>
      </c>
      <c r="I3601" t="s">
        <v>28</v>
      </c>
      <c r="J3601" t="s">
        <v>20</v>
      </c>
      <c r="K3601" t="s">
        <v>21</v>
      </c>
      <c r="L3601" t="s">
        <v>858</v>
      </c>
      <c r="N3601" t="s">
        <v>23</v>
      </c>
      <c r="O3601" t="s">
        <v>24</v>
      </c>
    </row>
    <row r="3602" spans="1:15" x14ac:dyDescent="0.25">
      <c r="A3602">
        <v>3601</v>
      </c>
      <c r="B3602" t="str">
        <f>HYPERLINK("https://digitalcommons.unl.edu/cgi/viewcontent.cgi?article=4207&amp;context=tractormuseumlit","Click for test report")</f>
        <v>Click for test report</v>
      </c>
      <c r="C3602">
        <v>2016</v>
      </c>
      <c r="E3602" t="s">
        <v>879</v>
      </c>
      <c r="F3602" t="s">
        <v>111</v>
      </c>
      <c r="G3602" t="s">
        <v>778</v>
      </c>
      <c r="H3602" t="s">
        <v>877</v>
      </c>
      <c r="I3602" t="s">
        <v>28</v>
      </c>
      <c r="J3602" t="s">
        <v>20</v>
      </c>
      <c r="K3602" t="s">
        <v>21</v>
      </c>
      <c r="L3602" t="s">
        <v>329</v>
      </c>
      <c r="N3602" t="s">
        <v>705</v>
      </c>
      <c r="O3602" t="s">
        <v>24</v>
      </c>
    </row>
    <row r="3603" spans="1:15" x14ac:dyDescent="0.25">
      <c r="A3603">
        <v>3602</v>
      </c>
      <c r="B3603" t="str">
        <f>HYPERLINK("https://digitalcommons.unl.edu/cgi/viewcontent.cgi?article=4208&amp;context=tractormuseumlit","Click for test report")</f>
        <v>Click for test report</v>
      </c>
      <c r="C3603">
        <v>2016</v>
      </c>
      <c r="E3603" t="s">
        <v>878</v>
      </c>
      <c r="F3603" t="s">
        <v>111</v>
      </c>
      <c r="G3603" t="s">
        <v>778</v>
      </c>
      <c r="H3603" t="s">
        <v>875</v>
      </c>
      <c r="I3603" t="s">
        <v>28</v>
      </c>
      <c r="J3603" t="s">
        <v>20</v>
      </c>
      <c r="K3603" t="s">
        <v>21</v>
      </c>
      <c r="L3603" t="s">
        <v>329</v>
      </c>
      <c r="N3603" t="s">
        <v>705</v>
      </c>
      <c r="O3603" t="s">
        <v>24</v>
      </c>
    </row>
    <row r="3604" spans="1:15" x14ac:dyDescent="0.25">
      <c r="A3604">
        <v>3603</v>
      </c>
      <c r="B3604" t="str">
        <f>HYPERLINK("https://digitalcommons.unl.edu/cgi/viewcontent.cgi?article=4209&amp;context=tractormuseumlit","Click for test report")</f>
        <v>Click for test report</v>
      </c>
      <c r="C3604">
        <v>2016</v>
      </c>
      <c r="E3604" t="s">
        <v>876</v>
      </c>
      <c r="F3604" t="s">
        <v>111</v>
      </c>
      <c r="G3604" t="s">
        <v>778</v>
      </c>
      <c r="H3604" t="s">
        <v>877</v>
      </c>
      <c r="I3604" t="s">
        <v>64</v>
      </c>
      <c r="J3604" t="s">
        <v>20</v>
      </c>
      <c r="K3604" t="s">
        <v>21</v>
      </c>
      <c r="L3604" t="s">
        <v>771</v>
      </c>
      <c r="N3604" t="s">
        <v>368</v>
      </c>
      <c r="O3604" t="s">
        <v>869</v>
      </c>
    </row>
    <row r="3605" spans="1:15" x14ac:dyDescent="0.25">
      <c r="A3605">
        <v>3604</v>
      </c>
      <c r="B3605" t="str">
        <f>HYPERLINK("https://digitalcommons.unl.edu/cgi/viewcontent.cgi?article=4210&amp;context=tractormuseumlit","Click for test report")</f>
        <v>Click for test report</v>
      </c>
      <c r="C3605">
        <v>2016</v>
      </c>
      <c r="E3605" t="s">
        <v>874</v>
      </c>
      <c r="F3605" t="s">
        <v>111</v>
      </c>
      <c r="G3605" t="s">
        <v>778</v>
      </c>
      <c r="H3605" t="s">
        <v>875</v>
      </c>
      <c r="I3605" t="s">
        <v>64</v>
      </c>
      <c r="J3605" t="s">
        <v>20</v>
      </c>
      <c r="K3605" t="s">
        <v>21</v>
      </c>
      <c r="L3605" t="s">
        <v>771</v>
      </c>
      <c r="N3605" t="s">
        <v>368</v>
      </c>
      <c r="O3605" t="s">
        <v>24</v>
      </c>
    </row>
    <row r="3606" spans="1:15" x14ac:dyDescent="0.25">
      <c r="A3606">
        <v>3605</v>
      </c>
      <c r="B3606" t="str">
        <f>HYPERLINK("https://digitalcommons.unl.edu/cgi/viewcontent.cgi?article=4211&amp;context=tractormuseumlit","Click for test report")</f>
        <v>Click for test report</v>
      </c>
      <c r="C3606">
        <v>2016</v>
      </c>
      <c r="E3606" t="s">
        <v>873</v>
      </c>
      <c r="F3606" t="s">
        <v>111</v>
      </c>
      <c r="G3606" t="s">
        <v>778</v>
      </c>
      <c r="H3606" t="s">
        <v>871</v>
      </c>
      <c r="I3606" t="s">
        <v>28</v>
      </c>
      <c r="J3606" t="s">
        <v>20</v>
      </c>
      <c r="K3606" t="s">
        <v>21</v>
      </c>
      <c r="L3606" t="s">
        <v>853</v>
      </c>
      <c r="N3606" t="s">
        <v>22</v>
      </c>
      <c r="O3606" t="s">
        <v>24</v>
      </c>
    </row>
    <row r="3607" spans="1:15" x14ac:dyDescent="0.25">
      <c r="A3607">
        <v>3606</v>
      </c>
      <c r="B3607" t="str">
        <f>HYPERLINK("https://digitalcommons.unl.edu/cgi/viewcontent.cgi?article=4212&amp;context=tractormuseumlit","Click for test report")</f>
        <v>Click for test report</v>
      </c>
      <c r="C3607">
        <v>2016</v>
      </c>
      <c r="E3607" t="s">
        <v>872</v>
      </c>
      <c r="F3607" t="s">
        <v>111</v>
      </c>
      <c r="G3607" t="s">
        <v>778</v>
      </c>
      <c r="H3607" t="s">
        <v>868</v>
      </c>
      <c r="I3607" t="s">
        <v>28</v>
      </c>
      <c r="J3607" t="s">
        <v>20</v>
      </c>
      <c r="K3607" t="s">
        <v>21</v>
      </c>
      <c r="L3607" t="s">
        <v>853</v>
      </c>
      <c r="N3607" t="s">
        <v>22</v>
      </c>
      <c r="O3607" t="s">
        <v>24</v>
      </c>
    </row>
    <row r="3608" spans="1:15" x14ac:dyDescent="0.25">
      <c r="A3608">
        <v>3607</v>
      </c>
      <c r="B3608" t="str">
        <f>HYPERLINK("https://digitalcommons.unl.edu/cgi/viewcontent.cgi?article=4213&amp;context=tractormuseumlit","Click for test report")</f>
        <v>Click for test report</v>
      </c>
      <c r="C3608">
        <v>2016</v>
      </c>
      <c r="E3608" t="s">
        <v>870</v>
      </c>
      <c r="F3608" t="s">
        <v>111</v>
      </c>
      <c r="G3608" t="s">
        <v>778</v>
      </c>
      <c r="H3608" t="s">
        <v>871</v>
      </c>
      <c r="I3608" t="s">
        <v>64</v>
      </c>
      <c r="J3608" t="s">
        <v>20</v>
      </c>
      <c r="K3608" t="s">
        <v>21</v>
      </c>
      <c r="L3608" t="s">
        <v>325</v>
      </c>
      <c r="N3608" t="s">
        <v>374</v>
      </c>
      <c r="O3608" t="s">
        <v>24</v>
      </c>
    </row>
    <row r="3609" spans="1:15" x14ac:dyDescent="0.25">
      <c r="A3609">
        <v>3608</v>
      </c>
      <c r="B3609" t="str">
        <f>HYPERLINK("https://digitalcommons.unl.edu/cgi/viewcontent.cgi?article=4214&amp;context=tractormuseumlit","Click for test report")</f>
        <v>Click for test report</v>
      </c>
      <c r="C3609">
        <v>2016</v>
      </c>
      <c r="E3609" t="s">
        <v>867</v>
      </c>
      <c r="F3609" t="s">
        <v>111</v>
      </c>
      <c r="G3609" t="s">
        <v>778</v>
      </c>
      <c r="H3609" t="s">
        <v>868</v>
      </c>
      <c r="I3609" t="s">
        <v>64</v>
      </c>
      <c r="J3609" t="s">
        <v>20</v>
      </c>
      <c r="K3609" t="s">
        <v>21</v>
      </c>
      <c r="L3609" t="s">
        <v>325</v>
      </c>
      <c r="N3609" t="s">
        <v>374</v>
      </c>
      <c r="O3609" t="s">
        <v>869</v>
      </c>
    </row>
    <row r="3610" spans="1:15" x14ac:dyDescent="0.25">
      <c r="A3610">
        <v>3609</v>
      </c>
      <c r="B3610" t="str">
        <f>HYPERLINK("https://digitalcommons.unl.edu/cgi/viewcontent.cgi?article=4215&amp;context=tractormuseumlit","Click for test report")</f>
        <v>Click for test report</v>
      </c>
      <c r="C3610">
        <v>2016</v>
      </c>
      <c r="E3610" t="s">
        <v>866</v>
      </c>
      <c r="F3610" t="s">
        <v>111</v>
      </c>
      <c r="G3610" t="s">
        <v>778</v>
      </c>
      <c r="H3610" t="s">
        <v>864</v>
      </c>
      <c r="I3610" t="s">
        <v>28</v>
      </c>
      <c r="J3610" t="s">
        <v>20</v>
      </c>
      <c r="K3610" t="s">
        <v>21</v>
      </c>
      <c r="L3610" t="s">
        <v>439</v>
      </c>
      <c r="N3610" t="s">
        <v>359</v>
      </c>
      <c r="O3610" t="s">
        <v>24</v>
      </c>
    </row>
    <row r="3611" spans="1:15" x14ac:dyDescent="0.25">
      <c r="A3611">
        <v>3610</v>
      </c>
      <c r="B3611" t="str">
        <f>HYPERLINK("https://digitalcommons.unl.edu/cgi/viewcontent.cgi?article=4216&amp;context=tractormuseumlit","Click for test report")</f>
        <v>Click for test report</v>
      </c>
      <c r="C3611">
        <v>2016</v>
      </c>
      <c r="E3611" t="s">
        <v>865</v>
      </c>
      <c r="F3611" t="s">
        <v>111</v>
      </c>
      <c r="G3611" t="s">
        <v>778</v>
      </c>
      <c r="H3611" t="s">
        <v>862</v>
      </c>
      <c r="I3611" t="s">
        <v>28</v>
      </c>
      <c r="J3611" t="s">
        <v>20</v>
      </c>
      <c r="K3611" t="s">
        <v>21</v>
      </c>
      <c r="L3611" t="s">
        <v>439</v>
      </c>
      <c r="N3611" t="s">
        <v>359</v>
      </c>
      <c r="O3611" t="s">
        <v>24</v>
      </c>
    </row>
    <row r="3612" spans="1:15" x14ac:dyDescent="0.25">
      <c r="A3612">
        <v>3611</v>
      </c>
      <c r="B3612" t="str">
        <f>HYPERLINK("https://digitalcommons.unl.edu/cgi/viewcontent.cgi?article=4217&amp;context=tractormuseumlit","Click for test report")</f>
        <v>Click for test report</v>
      </c>
      <c r="C3612">
        <v>2016</v>
      </c>
      <c r="E3612" t="s">
        <v>863</v>
      </c>
      <c r="F3612" t="s">
        <v>111</v>
      </c>
      <c r="G3612" t="s">
        <v>778</v>
      </c>
      <c r="H3612" t="s">
        <v>864</v>
      </c>
      <c r="I3612" t="s">
        <v>64</v>
      </c>
      <c r="J3612" t="s">
        <v>20</v>
      </c>
      <c r="K3612" t="s">
        <v>21</v>
      </c>
      <c r="L3612" t="s">
        <v>818</v>
      </c>
      <c r="N3612" t="s">
        <v>567</v>
      </c>
      <c r="O3612" t="s">
        <v>24</v>
      </c>
    </row>
    <row r="3613" spans="1:15" x14ac:dyDescent="0.25">
      <c r="A3613">
        <v>3612</v>
      </c>
      <c r="B3613" t="str">
        <f>HYPERLINK("https://digitalcommons.unl.edu/cgi/viewcontent.cgi?article=4228&amp;context=tractormuseumlit","Click for test report")</f>
        <v>Click for test report</v>
      </c>
      <c r="C3613">
        <v>2016</v>
      </c>
      <c r="E3613" t="s">
        <v>861</v>
      </c>
      <c r="F3613" t="s">
        <v>111</v>
      </c>
      <c r="G3613" t="s">
        <v>778</v>
      </c>
      <c r="H3613" t="s">
        <v>862</v>
      </c>
      <c r="I3613" t="s">
        <v>64</v>
      </c>
      <c r="J3613" t="s">
        <v>20</v>
      </c>
      <c r="K3613" t="s">
        <v>21</v>
      </c>
      <c r="L3613" t="s">
        <v>818</v>
      </c>
      <c r="N3613" t="s">
        <v>567</v>
      </c>
      <c r="O3613" t="s">
        <v>24</v>
      </c>
    </row>
    <row r="3614" spans="1:15" x14ac:dyDescent="0.25">
      <c r="A3614">
        <v>3613</v>
      </c>
      <c r="B3614" t="str">
        <f>HYPERLINK("https://digitalcommons.unl.edu/cgi/viewcontent.cgi?article=4230&amp;context=tractormuseumlit","Click for test report")</f>
        <v>Click for test report</v>
      </c>
      <c r="C3614">
        <v>2016</v>
      </c>
      <c r="E3614" t="s">
        <v>859</v>
      </c>
      <c r="F3614" t="s">
        <v>111</v>
      </c>
      <c r="G3614" t="s">
        <v>414</v>
      </c>
      <c r="H3614" t="s">
        <v>860</v>
      </c>
      <c r="I3614" t="s">
        <v>28</v>
      </c>
      <c r="J3614" t="s">
        <v>20</v>
      </c>
      <c r="K3614" t="s">
        <v>21</v>
      </c>
      <c r="L3614" t="s">
        <v>842</v>
      </c>
      <c r="N3614" t="s">
        <v>364</v>
      </c>
      <c r="O3614" t="s">
        <v>24</v>
      </c>
    </row>
    <row r="3615" spans="1:15" x14ac:dyDescent="0.25">
      <c r="A3615">
        <v>3614</v>
      </c>
      <c r="B3615" t="str">
        <f>HYPERLINK("https://digitalcommons.unl.edu/cgi/viewcontent.cgi?article=4231&amp;context=tractormuseumlit","Click for test report")</f>
        <v>Click for test report</v>
      </c>
      <c r="C3615">
        <v>2016</v>
      </c>
      <c r="E3615" t="s">
        <v>857</v>
      </c>
      <c r="F3615" t="s">
        <v>111</v>
      </c>
      <c r="G3615" t="s">
        <v>414</v>
      </c>
      <c r="H3615" t="s">
        <v>855</v>
      </c>
      <c r="I3615" t="s">
        <v>28</v>
      </c>
      <c r="J3615" t="s">
        <v>20</v>
      </c>
      <c r="K3615" t="s">
        <v>21</v>
      </c>
      <c r="L3615" t="s">
        <v>858</v>
      </c>
      <c r="N3615" t="s">
        <v>23</v>
      </c>
      <c r="O3615" t="s">
        <v>24</v>
      </c>
    </row>
    <row r="3616" spans="1:15" x14ac:dyDescent="0.25">
      <c r="A3616">
        <v>3615</v>
      </c>
      <c r="B3616" t="str">
        <f>HYPERLINK("https://digitalcommons.unl.edu/cgi/viewcontent.cgi?article=4232&amp;context=tractormuseumlit","Click for test report")</f>
        <v>Click for test report</v>
      </c>
      <c r="C3616">
        <v>2016</v>
      </c>
      <c r="E3616" t="s">
        <v>856</v>
      </c>
      <c r="F3616" t="s">
        <v>111</v>
      </c>
      <c r="G3616" t="s">
        <v>414</v>
      </c>
      <c r="H3616" t="s">
        <v>855</v>
      </c>
      <c r="I3616" t="s">
        <v>28</v>
      </c>
      <c r="J3616" t="s">
        <v>20</v>
      </c>
      <c r="K3616" t="s">
        <v>21</v>
      </c>
      <c r="L3616" t="s">
        <v>329</v>
      </c>
      <c r="N3616" t="s">
        <v>705</v>
      </c>
      <c r="O3616" t="s">
        <v>24</v>
      </c>
    </row>
    <row r="3617" spans="1:15" x14ac:dyDescent="0.25">
      <c r="A3617">
        <v>3616</v>
      </c>
      <c r="B3617" t="str">
        <f>HYPERLINK("https://digitalcommons.unl.edu/cgi/viewcontent.cgi?article=4233&amp;context=tractormuseumlit","Click for test report")</f>
        <v>Click for test report</v>
      </c>
      <c r="C3617">
        <v>2016</v>
      </c>
      <c r="E3617" t="s">
        <v>854</v>
      </c>
      <c r="F3617" t="s">
        <v>111</v>
      </c>
      <c r="G3617" t="s">
        <v>414</v>
      </c>
      <c r="H3617" t="s">
        <v>855</v>
      </c>
      <c r="I3617" t="s">
        <v>64</v>
      </c>
      <c r="J3617" t="s">
        <v>20</v>
      </c>
      <c r="K3617" t="s">
        <v>21</v>
      </c>
      <c r="L3617" t="s">
        <v>771</v>
      </c>
      <c r="N3617" t="s">
        <v>368</v>
      </c>
      <c r="O3617" t="s">
        <v>24</v>
      </c>
    </row>
    <row r="3618" spans="1:15" x14ac:dyDescent="0.25">
      <c r="A3618">
        <v>3617</v>
      </c>
      <c r="B3618" t="str">
        <f>HYPERLINK("https://digitalcommons.unl.edu/cgi/viewcontent.cgi?article=4234&amp;context=tractormuseumlit","Click for test report")</f>
        <v>Click for test report</v>
      </c>
      <c r="C3618">
        <v>2016</v>
      </c>
      <c r="E3618" t="s">
        <v>852</v>
      </c>
      <c r="F3618" t="s">
        <v>111</v>
      </c>
      <c r="G3618" t="s">
        <v>414</v>
      </c>
      <c r="H3618" t="s">
        <v>851</v>
      </c>
      <c r="I3618" t="s">
        <v>28</v>
      </c>
      <c r="J3618" t="s">
        <v>20</v>
      </c>
      <c r="K3618" t="s">
        <v>21</v>
      </c>
      <c r="L3618" t="s">
        <v>853</v>
      </c>
      <c r="N3618" t="s">
        <v>22</v>
      </c>
      <c r="O3618" t="s">
        <v>24</v>
      </c>
    </row>
    <row r="3619" spans="1:15" x14ac:dyDescent="0.25">
      <c r="A3619">
        <v>3618</v>
      </c>
      <c r="B3619" t="str">
        <f>HYPERLINK("https://digitalcommons.unl.edu/cgi/viewcontent.cgi?article=4235&amp;context=tractormuseumlit","Click for test report")</f>
        <v>Click for test report</v>
      </c>
      <c r="C3619">
        <v>2016</v>
      </c>
      <c r="E3619" t="s">
        <v>850</v>
      </c>
      <c r="F3619" t="s">
        <v>111</v>
      </c>
      <c r="G3619" t="s">
        <v>414</v>
      </c>
      <c r="H3619" t="s">
        <v>851</v>
      </c>
      <c r="I3619" t="s">
        <v>64</v>
      </c>
      <c r="J3619" t="s">
        <v>20</v>
      </c>
      <c r="K3619" t="s">
        <v>21</v>
      </c>
      <c r="L3619" t="s">
        <v>325</v>
      </c>
      <c r="N3619" t="s">
        <v>374</v>
      </c>
      <c r="O3619" t="s">
        <v>24</v>
      </c>
    </row>
    <row r="3620" spans="1:15" x14ac:dyDescent="0.25">
      <c r="A3620">
        <v>3619</v>
      </c>
      <c r="B3620" t="str">
        <f>HYPERLINK("https://digitalcommons.unl.edu/cgi/viewcontent.cgi?article=4236&amp;context=tractormuseumlit","Click for test report")</f>
        <v>Click for test report</v>
      </c>
      <c r="C3620">
        <v>2016</v>
      </c>
      <c r="E3620" t="s">
        <v>849</v>
      </c>
      <c r="F3620" t="s">
        <v>111</v>
      </c>
      <c r="G3620" t="s">
        <v>414</v>
      </c>
      <c r="H3620" t="s">
        <v>848</v>
      </c>
      <c r="I3620" t="s">
        <v>28</v>
      </c>
      <c r="J3620" t="s">
        <v>20</v>
      </c>
      <c r="K3620" t="s">
        <v>21</v>
      </c>
      <c r="L3620" t="s">
        <v>439</v>
      </c>
      <c r="N3620" t="s">
        <v>359</v>
      </c>
      <c r="O3620" t="s">
        <v>24</v>
      </c>
    </row>
    <row r="3621" spans="1:15" x14ac:dyDescent="0.25">
      <c r="A3621">
        <v>3620</v>
      </c>
      <c r="B3621" t="str">
        <f>HYPERLINK("https://digitalcommons.unl.edu/cgi/viewcontent.cgi?article=4237&amp;context=tractormuseumlit","Click for test report")</f>
        <v>Click for test report</v>
      </c>
      <c r="C3621">
        <v>2016</v>
      </c>
      <c r="E3621" t="s">
        <v>847</v>
      </c>
      <c r="F3621" t="s">
        <v>111</v>
      </c>
      <c r="G3621" t="s">
        <v>414</v>
      </c>
      <c r="H3621" t="s">
        <v>848</v>
      </c>
      <c r="I3621" t="s">
        <v>64</v>
      </c>
      <c r="J3621" t="s">
        <v>20</v>
      </c>
      <c r="K3621" t="s">
        <v>21</v>
      </c>
      <c r="L3621" t="s">
        <v>818</v>
      </c>
      <c r="N3621" t="s">
        <v>567</v>
      </c>
      <c r="O3621" t="s">
        <v>24</v>
      </c>
    </row>
    <row r="3622" spans="1:15" x14ac:dyDescent="0.25">
      <c r="A3622">
        <v>3621</v>
      </c>
      <c r="B3622" t="str">
        <f>HYPERLINK("https://digitalcommons.unl.edu/cgi/viewcontent.cgi?article=4238&amp;context=tractormuseumlit","Click for test report")</f>
        <v>Click for test report</v>
      </c>
      <c r="C3622">
        <v>2016</v>
      </c>
      <c r="E3622" t="s">
        <v>845</v>
      </c>
      <c r="F3622" t="s">
        <v>737</v>
      </c>
      <c r="G3622" t="s">
        <v>738</v>
      </c>
      <c r="H3622" t="s">
        <v>846</v>
      </c>
      <c r="I3622" t="s">
        <v>64</v>
      </c>
      <c r="J3622" t="s">
        <v>20</v>
      </c>
      <c r="K3622" t="s">
        <v>21</v>
      </c>
      <c r="L3622" t="s">
        <v>130</v>
      </c>
      <c r="N3622" t="s">
        <v>339</v>
      </c>
      <c r="O3622" t="s">
        <v>815</v>
      </c>
    </row>
    <row r="3623" spans="1:15" x14ac:dyDescent="0.25">
      <c r="A3623">
        <v>3622</v>
      </c>
      <c r="B3623" t="str">
        <f>HYPERLINK("https://digitalcommons.unl.edu/cgi/viewcontent.cgi?article=4239&amp;context=tractormuseumlit","Click for test report")</f>
        <v>Click for test report</v>
      </c>
      <c r="C3623">
        <v>2016</v>
      </c>
      <c r="E3623" t="s">
        <v>843</v>
      </c>
      <c r="F3623" t="s">
        <v>737</v>
      </c>
      <c r="G3623" t="s">
        <v>738</v>
      </c>
      <c r="H3623" t="s">
        <v>844</v>
      </c>
      <c r="I3623" t="s">
        <v>64</v>
      </c>
      <c r="J3623" t="s">
        <v>20</v>
      </c>
      <c r="K3623" t="s">
        <v>21</v>
      </c>
      <c r="L3623" t="s">
        <v>333</v>
      </c>
      <c r="N3623" t="s">
        <v>51</v>
      </c>
      <c r="O3623" t="s">
        <v>815</v>
      </c>
    </row>
    <row r="3624" spans="1:15" x14ac:dyDescent="0.25">
      <c r="A3624">
        <v>3623</v>
      </c>
      <c r="B3624" t="str">
        <f>HYPERLINK("https://digitalcommons.unl.edu/cgi/viewcontent.cgi?article=4240&amp;context=tractormuseumlit","Click for test report")</f>
        <v>Click for test report</v>
      </c>
      <c r="C3624">
        <v>2016</v>
      </c>
      <c r="E3624" t="s">
        <v>840</v>
      </c>
      <c r="F3624" t="s">
        <v>737</v>
      </c>
      <c r="G3624" t="s">
        <v>738</v>
      </c>
      <c r="H3624" t="s">
        <v>841</v>
      </c>
      <c r="I3624" t="s">
        <v>64</v>
      </c>
      <c r="J3624" t="s">
        <v>20</v>
      </c>
      <c r="K3624" t="s">
        <v>21</v>
      </c>
      <c r="L3624" t="s">
        <v>842</v>
      </c>
      <c r="N3624" t="s">
        <v>45</v>
      </c>
      <c r="O3624" t="s">
        <v>815</v>
      </c>
    </row>
    <row r="3625" spans="1:15" x14ac:dyDescent="0.25">
      <c r="A3625">
        <v>3624</v>
      </c>
      <c r="B3625" t="str">
        <f>HYPERLINK("https://digitalcommons.unl.edu/cgi/viewcontent.cgi?article=4218&amp;context=tractormuseumlit","Click for test report")</f>
        <v>Click for test report</v>
      </c>
      <c r="C3625">
        <v>2016</v>
      </c>
      <c r="E3625" t="s">
        <v>837</v>
      </c>
      <c r="F3625" t="s">
        <v>737</v>
      </c>
      <c r="G3625" t="s">
        <v>738</v>
      </c>
      <c r="H3625" t="s">
        <v>838</v>
      </c>
      <c r="I3625" t="s">
        <v>64</v>
      </c>
      <c r="J3625" t="s">
        <v>20</v>
      </c>
      <c r="K3625" t="s">
        <v>21</v>
      </c>
      <c r="L3625" t="s">
        <v>839</v>
      </c>
      <c r="N3625" t="s">
        <v>569</v>
      </c>
      <c r="O3625" t="s">
        <v>815</v>
      </c>
    </row>
    <row r="3626" spans="1:15" x14ac:dyDescent="0.25">
      <c r="A3626">
        <v>3625</v>
      </c>
      <c r="B3626" t="str">
        <f>HYPERLINK("https://digitalcommons.unl.edu/cgi/viewcontent.cgi?article=4241&amp;context=tractormuseumlit","Click for test report")</f>
        <v>Click for test report</v>
      </c>
      <c r="C3626">
        <v>2016</v>
      </c>
      <c r="E3626" t="s">
        <v>834</v>
      </c>
      <c r="F3626" t="s">
        <v>737</v>
      </c>
      <c r="G3626" t="s">
        <v>738</v>
      </c>
      <c r="H3626" t="s">
        <v>835</v>
      </c>
      <c r="I3626" t="s">
        <v>64</v>
      </c>
      <c r="J3626" t="s">
        <v>20</v>
      </c>
      <c r="K3626" t="s">
        <v>21</v>
      </c>
      <c r="L3626" t="s">
        <v>836</v>
      </c>
      <c r="N3626" t="s">
        <v>474</v>
      </c>
      <c r="O3626" t="s">
        <v>815</v>
      </c>
    </row>
    <row r="3627" spans="1:15" x14ac:dyDescent="0.25">
      <c r="A3627">
        <v>3626</v>
      </c>
      <c r="B3627" t="str">
        <f>HYPERLINK("https://digitalcommons.unl.edu/cgi/viewcontent.cgi?article=4242&amp;context=tractormuseumlit","Click for test report")</f>
        <v>Click for test report</v>
      </c>
      <c r="C3627">
        <v>2016</v>
      </c>
      <c r="E3627" t="s">
        <v>831</v>
      </c>
      <c r="F3627" t="s">
        <v>737</v>
      </c>
      <c r="G3627" t="s">
        <v>738</v>
      </c>
      <c r="H3627" t="s">
        <v>832</v>
      </c>
      <c r="I3627" t="s">
        <v>64</v>
      </c>
      <c r="J3627" t="s">
        <v>20</v>
      </c>
      <c r="K3627" t="s">
        <v>21</v>
      </c>
      <c r="L3627" t="s">
        <v>833</v>
      </c>
      <c r="N3627" t="s">
        <v>818</v>
      </c>
      <c r="O3627" t="s">
        <v>815</v>
      </c>
    </row>
    <row r="3628" spans="1:15" x14ac:dyDescent="0.25">
      <c r="A3628">
        <v>3627</v>
      </c>
      <c r="B3628" t="str">
        <f>HYPERLINK("https://digitalcommons.unl.edu/cgi/viewcontent.cgi?article=4243&amp;context=tractormuseumlit","Click for test report")</f>
        <v>Click for test report</v>
      </c>
      <c r="C3628">
        <v>2016</v>
      </c>
      <c r="E3628" t="s">
        <v>829</v>
      </c>
      <c r="F3628" t="s">
        <v>737</v>
      </c>
      <c r="G3628" t="s">
        <v>738</v>
      </c>
      <c r="H3628" t="s">
        <v>830</v>
      </c>
      <c r="I3628" t="s">
        <v>64</v>
      </c>
      <c r="J3628" t="s">
        <v>20</v>
      </c>
      <c r="K3628" t="s">
        <v>21</v>
      </c>
      <c r="L3628" t="s">
        <v>75</v>
      </c>
      <c r="N3628" t="s">
        <v>814</v>
      </c>
      <c r="O3628" t="s">
        <v>815</v>
      </c>
    </row>
    <row r="3629" spans="1:15" x14ac:dyDescent="0.25">
      <c r="A3629">
        <v>3628</v>
      </c>
      <c r="B3629" t="str">
        <f>HYPERLINK("https://digitalcommons.unl.edu/cgi/viewcontent.cgi?article=4244&amp;context=tractormuseumlit","Click for test report")</f>
        <v>Click for test report</v>
      </c>
      <c r="C3629">
        <v>2016</v>
      </c>
      <c r="E3629" t="s">
        <v>827</v>
      </c>
      <c r="F3629" t="s">
        <v>737</v>
      </c>
      <c r="G3629" t="s">
        <v>191</v>
      </c>
      <c r="H3629" t="s">
        <v>828</v>
      </c>
      <c r="I3629" t="s">
        <v>64</v>
      </c>
      <c r="J3629" t="s">
        <v>20</v>
      </c>
      <c r="K3629" t="s">
        <v>21</v>
      </c>
      <c r="L3629" t="s">
        <v>363</v>
      </c>
      <c r="N3629" t="s">
        <v>51</v>
      </c>
      <c r="O3629" t="s">
        <v>815</v>
      </c>
    </row>
    <row r="3630" spans="1:15" x14ac:dyDescent="0.25">
      <c r="A3630">
        <v>3629</v>
      </c>
      <c r="B3630" t="str">
        <f>HYPERLINK("https://digitalcommons.unl.edu/cgi/viewcontent.cgi?article=4347&amp;context=tractormuseumlit","Click for test report")</f>
        <v>Click for test report</v>
      </c>
      <c r="C3630">
        <v>2016</v>
      </c>
      <c r="E3630" t="s">
        <v>825</v>
      </c>
      <c r="F3630" t="s">
        <v>737</v>
      </c>
      <c r="G3630" t="s">
        <v>191</v>
      </c>
      <c r="H3630" t="s">
        <v>826</v>
      </c>
      <c r="I3630" t="s">
        <v>64</v>
      </c>
      <c r="J3630" t="s">
        <v>20</v>
      </c>
      <c r="K3630" t="s">
        <v>21</v>
      </c>
      <c r="L3630" t="s">
        <v>474</v>
      </c>
      <c r="N3630" t="s">
        <v>45</v>
      </c>
      <c r="O3630" t="s">
        <v>815</v>
      </c>
    </row>
    <row r="3631" spans="1:15" x14ac:dyDescent="0.25">
      <c r="A3631">
        <v>3630</v>
      </c>
      <c r="B3631" t="str">
        <f>HYPERLINK("https://digitalcommons.unl.edu/cgi/viewcontent.cgi?article=4245&amp;context=tractormuseumlit","Click for test report")</f>
        <v>Click for test report</v>
      </c>
      <c r="C3631">
        <v>2016</v>
      </c>
      <c r="E3631" t="s">
        <v>822</v>
      </c>
      <c r="F3631" t="s">
        <v>737</v>
      </c>
      <c r="G3631" t="s">
        <v>191</v>
      </c>
      <c r="H3631" t="s">
        <v>823</v>
      </c>
      <c r="I3631" t="s">
        <v>64</v>
      </c>
      <c r="J3631" t="s">
        <v>20</v>
      </c>
      <c r="K3631" t="s">
        <v>21</v>
      </c>
      <c r="L3631" t="s">
        <v>824</v>
      </c>
      <c r="N3631" t="s">
        <v>569</v>
      </c>
      <c r="O3631" t="s">
        <v>815</v>
      </c>
    </row>
    <row r="3632" spans="1:15" x14ac:dyDescent="0.25">
      <c r="A3632">
        <v>3631</v>
      </c>
      <c r="B3632" t="str">
        <f>HYPERLINK("https://digitalcommons.unl.edu/cgi/viewcontent.cgi?article=4246&amp;context=tractormuseumlit","Click for test report")</f>
        <v>Click for test report</v>
      </c>
      <c r="C3632">
        <v>2016</v>
      </c>
      <c r="E3632" t="s">
        <v>819</v>
      </c>
      <c r="F3632" t="s">
        <v>737</v>
      </c>
      <c r="G3632" t="s">
        <v>191</v>
      </c>
      <c r="H3632" t="s">
        <v>820</v>
      </c>
      <c r="I3632" t="s">
        <v>64</v>
      </c>
      <c r="J3632" t="s">
        <v>20</v>
      </c>
      <c r="K3632" t="s">
        <v>21</v>
      </c>
      <c r="L3632" t="s">
        <v>821</v>
      </c>
      <c r="N3632" t="s">
        <v>474</v>
      </c>
      <c r="O3632" t="s">
        <v>815</v>
      </c>
    </row>
    <row r="3633" spans="1:15" x14ac:dyDescent="0.25">
      <c r="A3633">
        <v>3632</v>
      </c>
      <c r="B3633" t="str">
        <f>HYPERLINK("https://digitalcommons.unl.edu/cgi/viewcontent.cgi?article=4247&amp;context=tractormuseumlit","Click for test report")</f>
        <v>Click for test report</v>
      </c>
      <c r="C3633">
        <v>2016</v>
      </c>
      <c r="E3633" t="s">
        <v>816</v>
      </c>
      <c r="F3633" t="s">
        <v>737</v>
      </c>
      <c r="G3633" t="s">
        <v>191</v>
      </c>
      <c r="H3633" t="s">
        <v>817</v>
      </c>
      <c r="I3633" t="s">
        <v>64</v>
      </c>
      <c r="J3633" t="s">
        <v>20</v>
      </c>
      <c r="K3633" t="s">
        <v>21</v>
      </c>
      <c r="L3633" t="s">
        <v>505</v>
      </c>
      <c r="N3633" t="s">
        <v>818</v>
      </c>
      <c r="O3633" t="s">
        <v>815</v>
      </c>
    </row>
    <row r="3634" spans="1:15" x14ac:dyDescent="0.25">
      <c r="A3634">
        <v>3633</v>
      </c>
      <c r="B3634" t="str">
        <f>HYPERLINK("https://digitalcommons.unl.edu/cgi/viewcontent.cgi?article=4248&amp;context=tractormuseumlit","Click for test report")</f>
        <v>Click for test report</v>
      </c>
      <c r="C3634">
        <v>2016</v>
      </c>
      <c r="E3634" t="s">
        <v>811</v>
      </c>
      <c r="F3634" t="s">
        <v>737</v>
      </c>
      <c r="G3634" t="s">
        <v>191</v>
      </c>
      <c r="H3634" t="s">
        <v>812</v>
      </c>
      <c r="I3634" t="s">
        <v>64</v>
      </c>
      <c r="J3634" t="s">
        <v>20</v>
      </c>
      <c r="K3634" t="s">
        <v>21</v>
      </c>
      <c r="L3634" t="s">
        <v>813</v>
      </c>
      <c r="N3634" t="s">
        <v>814</v>
      </c>
      <c r="O3634" t="s">
        <v>815</v>
      </c>
    </row>
    <row r="3635" spans="1:15" x14ac:dyDescent="0.25">
      <c r="A3635">
        <v>3634</v>
      </c>
      <c r="B3635" t="str">
        <f>HYPERLINK("https://digitalcommons.unl.edu/cgi/viewcontent.cgi?article=4249&amp;context=tractormuseumlit","Click for test report")</f>
        <v>Click for test report</v>
      </c>
      <c r="C3635">
        <v>2016</v>
      </c>
      <c r="E3635" t="s">
        <v>809</v>
      </c>
      <c r="F3635" t="s">
        <v>737</v>
      </c>
      <c r="G3635" t="s">
        <v>191</v>
      </c>
      <c r="H3635" t="s">
        <v>810</v>
      </c>
      <c r="I3635" t="s">
        <v>64</v>
      </c>
      <c r="J3635" t="s">
        <v>20</v>
      </c>
      <c r="K3635" t="s">
        <v>21</v>
      </c>
      <c r="L3635" t="s">
        <v>677</v>
      </c>
      <c r="N3635" t="s">
        <v>722</v>
      </c>
      <c r="O3635" t="s">
        <v>24</v>
      </c>
    </row>
    <row r="3636" spans="1:15" x14ac:dyDescent="0.25">
      <c r="A3636">
        <v>3635</v>
      </c>
      <c r="B3636" t="str">
        <f>HYPERLINK("https://digitalcommons.unl.edu/cgi/viewcontent.cgi?article=4250&amp;context=tractormuseumlit","Click for test report")</f>
        <v>Click for test report</v>
      </c>
      <c r="C3636">
        <v>2016</v>
      </c>
      <c r="E3636" t="s">
        <v>807</v>
      </c>
      <c r="F3636" t="s">
        <v>737</v>
      </c>
      <c r="G3636" t="s">
        <v>191</v>
      </c>
      <c r="H3636" t="s">
        <v>808</v>
      </c>
      <c r="I3636" t="s">
        <v>28</v>
      </c>
      <c r="J3636" t="s">
        <v>20</v>
      </c>
      <c r="K3636" t="s">
        <v>21</v>
      </c>
      <c r="L3636" t="s">
        <v>558</v>
      </c>
      <c r="N3636" t="s">
        <v>378</v>
      </c>
      <c r="O3636" t="s">
        <v>24</v>
      </c>
    </row>
    <row r="3637" spans="1:15" x14ac:dyDescent="0.25">
      <c r="A3637">
        <v>3636</v>
      </c>
      <c r="B3637" t="str">
        <f>HYPERLINK("https://digitalcommons.unl.edu/cgi/viewcontent.cgi?article=4251&amp;context=tractormuseumlit","Click for test report")</f>
        <v>Click for test report</v>
      </c>
      <c r="C3637">
        <v>2016</v>
      </c>
      <c r="E3637" t="s">
        <v>805</v>
      </c>
      <c r="F3637" t="s">
        <v>737</v>
      </c>
      <c r="G3637" t="s">
        <v>191</v>
      </c>
      <c r="H3637" t="s">
        <v>806</v>
      </c>
      <c r="I3637" t="s">
        <v>28</v>
      </c>
      <c r="J3637" t="s">
        <v>20</v>
      </c>
      <c r="K3637" t="s">
        <v>21</v>
      </c>
      <c r="L3637" t="s">
        <v>569</v>
      </c>
      <c r="N3637" t="s">
        <v>55</v>
      </c>
      <c r="O3637" t="s">
        <v>24</v>
      </c>
    </row>
    <row r="3638" spans="1:15" x14ac:dyDescent="0.25">
      <c r="A3638">
        <v>3637</v>
      </c>
      <c r="B3638" t="str">
        <f>HYPERLINK("https://digitalcommons.unl.edu/cgi/viewcontent.cgi?article=4252&amp;context=tractormuseumlit","Click for test report")</f>
        <v>Click for test report</v>
      </c>
      <c r="C3638">
        <v>2016</v>
      </c>
      <c r="E3638" t="s">
        <v>803</v>
      </c>
      <c r="F3638" t="s">
        <v>737</v>
      </c>
      <c r="G3638" t="s">
        <v>191</v>
      </c>
      <c r="H3638" t="s">
        <v>804</v>
      </c>
      <c r="I3638" t="s">
        <v>64</v>
      </c>
      <c r="J3638" t="s">
        <v>20</v>
      </c>
      <c r="K3638" t="s">
        <v>21</v>
      </c>
      <c r="L3638" t="s">
        <v>794</v>
      </c>
      <c r="N3638" t="s">
        <v>461</v>
      </c>
      <c r="O3638" t="s">
        <v>24</v>
      </c>
    </row>
    <row r="3639" spans="1:15" x14ac:dyDescent="0.25">
      <c r="A3639">
        <v>3638</v>
      </c>
      <c r="B3639" t="str">
        <f>HYPERLINK("https://digitalcommons.unl.edu/cgi/viewcontent.cgi?article=4253&amp;context=tractormuseumlit","Click for test report")</f>
        <v>Click for test report</v>
      </c>
      <c r="C3639">
        <v>2016</v>
      </c>
      <c r="E3639" t="s">
        <v>801</v>
      </c>
      <c r="F3639" t="s">
        <v>737</v>
      </c>
      <c r="G3639" t="s">
        <v>191</v>
      </c>
      <c r="H3639" t="s">
        <v>802</v>
      </c>
      <c r="I3639" t="s">
        <v>28</v>
      </c>
      <c r="J3639" t="s">
        <v>20</v>
      </c>
      <c r="K3639" t="s">
        <v>21</v>
      </c>
      <c r="L3639" t="s">
        <v>359</v>
      </c>
      <c r="N3639" t="s">
        <v>375</v>
      </c>
      <c r="O3639" t="s">
        <v>24</v>
      </c>
    </row>
    <row r="3640" spans="1:15" x14ac:dyDescent="0.25">
      <c r="A3640">
        <v>3639</v>
      </c>
      <c r="B3640" t="str">
        <f>HYPERLINK("https://digitalcommons.unl.edu/cgi/viewcontent.cgi?article=4254&amp;context=tractormuseumlit","Click for test report")</f>
        <v>Click for test report</v>
      </c>
      <c r="C3640">
        <v>2016</v>
      </c>
      <c r="E3640" t="s">
        <v>799</v>
      </c>
      <c r="F3640" t="s">
        <v>752</v>
      </c>
      <c r="G3640" t="s">
        <v>738</v>
      </c>
      <c r="H3640" t="s">
        <v>800</v>
      </c>
      <c r="I3640" t="s">
        <v>28</v>
      </c>
      <c r="J3640" t="s">
        <v>20</v>
      </c>
      <c r="K3640" t="s">
        <v>21</v>
      </c>
      <c r="L3640" t="s">
        <v>677</v>
      </c>
      <c r="N3640" t="s">
        <v>722</v>
      </c>
      <c r="O3640" t="s">
        <v>24</v>
      </c>
    </row>
    <row r="3641" spans="1:15" x14ac:dyDescent="0.25">
      <c r="A3641">
        <v>3640</v>
      </c>
      <c r="B3641" t="str">
        <f>HYPERLINK("https://digitalcommons.unl.edu/cgi/viewcontent.cgi?article=4255&amp;context=tractormuseumlit","Click for test report")</f>
        <v>Click for test report</v>
      </c>
      <c r="C3641">
        <v>2016</v>
      </c>
      <c r="E3641" t="s">
        <v>797</v>
      </c>
      <c r="F3641" t="s">
        <v>752</v>
      </c>
      <c r="G3641" t="s">
        <v>738</v>
      </c>
      <c r="H3641" t="s">
        <v>798</v>
      </c>
      <c r="I3641" t="s">
        <v>28</v>
      </c>
      <c r="J3641" t="s">
        <v>20</v>
      </c>
      <c r="K3641" t="s">
        <v>21</v>
      </c>
      <c r="L3641" t="s">
        <v>558</v>
      </c>
      <c r="N3641" t="s">
        <v>378</v>
      </c>
      <c r="O3641" t="s">
        <v>24</v>
      </c>
    </row>
    <row r="3642" spans="1:15" x14ac:dyDescent="0.25">
      <c r="A3642">
        <v>3641</v>
      </c>
      <c r="B3642" t="str">
        <f>HYPERLINK("https://digitalcommons.unl.edu/cgi/viewcontent.cgi?article=4256&amp;context=tractormuseumlit","Click for test report")</f>
        <v>Click for test report</v>
      </c>
      <c r="C3642">
        <v>2016</v>
      </c>
      <c r="E3642" t="s">
        <v>795</v>
      </c>
      <c r="F3642" t="s">
        <v>752</v>
      </c>
      <c r="G3642" t="s">
        <v>738</v>
      </c>
      <c r="H3642" t="s">
        <v>796</v>
      </c>
      <c r="I3642" t="s">
        <v>28</v>
      </c>
      <c r="J3642" t="s">
        <v>20</v>
      </c>
      <c r="K3642" t="s">
        <v>21</v>
      </c>
      <c r="L3642" t="s">
        <v>569</v>
      </c>
      <c r="N3642" t="s">
        <v>55</v>
      </c>
      <c r="O3642" t="s">
        <v>24</v>
      </c>
    </row>
    <row r="3643" spans="1:15" x14ac:dyDescent="0.25">
      <c r="A3643">
        <v>3642</v>
      </c>
      <c r="B3643" t="str">
        <f>HYPERLINK("https://digitalcommons.unl.edu/cgi/viewcontent.cgi?article=4257&amp;context=tractormuseumlit","Click for test report")</f>
        <v>Click for test report</v>
      </c>
      <c r="C3643">
        <v>2016</v>
      </c>
      <c r="E3643" t="s">
        <v>792</v>
      </c>
      <c r="F3643" t="s">
        <v>752</v>
      </c>
      <c r="G3643" t="s">
        <v>738</v>
      </c>
      <c r="H3643" t="s">
        <v>793</v>
      </c>
      <c r="I3643" t="s">
        <v>64</v>
      </c>
      <c r="J3643" t="s">
        <v>20</v>
      </c>
      <c r="K3643" t="s">
        <v>21</v>
      </c>
      <c r="L3643" t="s">
        <v>794</v>
      </c>
      <c r="N3643" t="s">
        <v>461</v>
      </c>
      <c r="O3643" t="s">
        <v>24</v>
      </c>
    </row>
    <row r="3644" spans="1:15" x14ac:dyDescent="0.25">
      <c r="A3644">
        <v>3643</v>
      </c>
      <c r="B3644" t="str">
        <f>HYPERLINK("https://digitalcommons.unl.edu/cgi/viewcontent.cgi?article=4258&amp;context=tractormuseumlit","Click for test report")</f>
        <v>Click for test report</v>
      </c>
      <c r="C3644">
        <v>2016</v>
      </c>
      <c r="E3644" t="s">
        <v>790</v>
      </c>
      <c r="F3644" t="s">
        <v>752</v>
      </c>
      <c r="G3644" t="s">
        <v>738</v>
      </c>
      <c r="H3644" t="s">
        <v>791</v>
      </c>
      <c r="I3644" t="s">
        <v>28</v>
      </c>
      <c r="J3644" t="s">
        <v>20</v>
      </c>
      <c r="K3644" t="s">
        <v>21</v>
      </c>
      <c r="L3644" t="s">
        <v>359</v>
      </c>
      <c r="N3644" t="s">
        <v>375</v>
      </c>
      <c r="O3644" t="s">
        <v>24</v>
      </c>
    </row>
    <row r="3645" spans="1:15" x14ac:dyDescent="0.25">
      <c r="A3645">
        <v>3644</v>
      </c>
      <c r="B3645" t="str">
        <f>HYPERLINK("https://digitalcommons.unl.edu/cgi/viewcontent.cgi?article=4264&amp;context=tractormuseumlit","Click for test report")</f>
        <v>Click for test report</v>
      </c>
      <c r="C3645">
        <v>2016</v>
      </c>
      <c r="E3645" t="s">
        <v>788</v>
      </c>
      <c r="F3645" t="s">
        <v>17</v>
      </c>
      <c r="G3645" t="s">
        <v>17</v>
      </c>
      <c r="H3645" t="s">
        <v>327</v>
      </c>
      <c r="I3645" t="s">
        <v>28</v>
      </c>
      <c r="J3645" t="s">
        <v>20</v>
      </c>
      <c r="K3645" t="s">
        <v>21</v>
      </c>
      <c r="L3645" t="s">
        <v>789</v>
      </c>
      <c r="N3645" t="s">
        <v>474</v>
      </c>
      <c r="O3645" t="s">
        <v>24</v>
      </c>
    </row>
    <row r="3646" spans="1:15" x14ac:dyDescent="0.25">
      <c r="A3646">
        <v>3645</v>
      </c>
      <c r="B3646" t="str">
        <f>HYPERLINK("https://digitalcommons.unl.edu/cgi/viewcontent.cgi?article=4265&amp;context=tractormuseumlit","Click for test report")</f>
        <v>Click for test report</v>
      </c>
      <c r="C3646">
        <v>2016</v>
      </c>
      <c r="E3646" t="s">
        <v>785</v>
      </c>
      <c r="F3646" t="s">
        <v>17</v>
      </c>
      <c r="G3646" t="s">
        <v>17</v>
      </c>
      <c r="H3646" t="s">
        <v>324</v>
      </c>
      <c r="I3646" t="s">
        <v>28</v>
      </c>
      <c r="J3646" t="s">
        <v>20</v>
      </c>
      <c r="K3646" t="s">
        <v>21</v>
      </c>
      <c r="L3646" t="s">
        <v>786</v>
      </c>
      <c r="N3646" t="s">
        <v>787</v>
      </c>
      <c r="O3646" t="s">
        <v>24</v>
      </c>
    </row>
    <row r="3647" spans="1:15" x14ac:dyDescent="0.25">
      <c r="A3647">
        <v>3646</v>
      </c>
      <c r="B3647" t="str">
        <f>HYPERLINK("https://digitalcommons.unl.edu/cgi/viewcontent.cgi?article=4266&amp;context=tractormuseumlit","Click for test report")</f>
        <v>Click for test report</v>
      </c>
      <c r="C3647">
        <v>2016</v>
      </c>
      <c r="E3647" t="s">
        <v>783</v>
      </c>
      <c r="F3647" t="s">
        <v>111</v>
      </c>
      <c r="G3647" t="s">
        <v>778</v>
      </c>
      <c r="H3647" t="s">
        <v>784</v>
      </c>
      <c r="I3647" t="s">
        <v>64</v>
      </c>
      <c r="J3647" t="s">
        <v>20</v>
      </c>
      <c r="K3647" t="s">
        <v>21</v>
      </c>
      <c r="L3647" t="s">
        <v>359</v>
      </c>
      <c r="N3647" t="s">
        <v>127</v>
      </c>
      <c r="O3647" t="s">
        <v>24</v>
      </c>
    </row>
    <row r="3648" spans="1:15" x14ac:dyDescent="0.25">
      <c r="A3648">
        <v>3647</v>
      </c>
      <c r="B3648" t="str">
        <f>HYPERLINK("https://digitalcommons.unl.edu/cgi/viewcontent.cgi?article=4267&amp;context=tractormuseumlit","Click for test report")</f>
        <v>Click for test report</v>
      </c>
      <c r="C3648">
        <v>2016</v>
      </c>
      <c r="E3648" t="s">
        <v>782</v>
      </c>
      <c r="F3648" t="s">
        <v>111</v>
      </c>
      <c r="G3648" t="s">
        <v>778</v>
      </c>
      <c r="H3648" t="s">
        <v>781</v>
      </c>
      <c r="I3648" t="s">
        <v>28</v>
      </c>
      <c r="J3648" t="s">
        <v>20</v>
      </c>
      <c r="K3648" t="s">
        <v>21</v>
      </c>
      <c r="L3648" t="s">
        <v>774</v>
      </c>
      <c r="N3648" t="s">
        <v>558</v>
      </c>
      <c r="O3648" t="s">
        <v>24</v>
      </c>
    </row>
    <row r="3649" spans="1:15" x14ac:dyDescent="0.25">
      <c r="A3649">
        <v>3648</v>
      </c>
      <c r="B3649" t="str">
        <f>HYPERLINK("https://digitalcommons.unl.edu/cgi/viewcontent.cgi?article=4268&amp;context=tractormuseumlit","Click for test report")</f>
        <v>Click for test report</v>
      </c>
      <c r="C3649">
        <v>2016</v>
      </c>
      <c r="E3649" t="s">
        <v>780</v>
      </c>
      <c r="F3649" t="s">
        <v>111</v>
      </c>
      <c r="G3649" t="s">
        <v>778</v>
      </c>
      <c r="H3649" t="s">
        <v>781</v>
      </c>
      <c r="I3649" t="s">
        <v>64</v>
      </c>
      <c r="J3649" t="s">
        <v>20</v>
      </c>
      <c r="K3649" t="s">
        <v>21</v>
      </c>
      <c r="L3649" t="s">
        <v>332</v>
      </c>
      <c r="N3649" t="s">
        <v>705</v>
      </c>
      <c r="O3649" t="s">
        <v>24</v>
      </c>
    </row>
    <row r="3650" spans="1:15" x14ac:dyDescent="0.25">
      <c r="A3650">
        <v>3649</v>
      </c>
      <c r="B3650" t="str">
        <f>HYPERLINK("https://digitalcommons.unl.edu/cgi/viewcontent.cgi?article=4269&amp;context=tractormuseumlit","Click for test report")</f>
        <v>Click for test report</v>
      </c>
      <c r="C3650">
        <v>2016</v>
      </c>
      <c r="E3650" t="s">
        <v>777</v>
      </c>
      <c r="F3650" t="s">
        <v>111</v>
      </c>
      <c r="G3650" t="s">
        <v>778</v>
      </c>
      <c r="H3650" t="s">
        <v>779</v>
      </c>
      <c r="I3650" t="s">
        <v>64</v>
      </c>
      <c r="J3650" t="s">
        <v>20</v>
      </c>
      <c r="K3650" t="s">
        <v>21</v>
      </c>
      <c r="L3650" t="s">
        <v>771</v>
      </c>
      <c r="N3650" t="s">
        <v>374</v>
      </c>
      <c r="O3650" t="s">
        <v>24</v>
      </c>
    </row>
    <row r="3651" spans="1:15" x14ac:dyDescent="0.25">
      <c r="A3651">
        <v>3650</v>
      </c>
      <c r="B3651" t="str">
        <f>HYPERLINK("https://digitalcommons.unl.edu/cgi/viewcontent.cgi?article=4270&amp;context=tractormuseumlit","Click for test report")</f>
        <v>Click for test report</v>
      </c>
      <c r="C3651">
        <v>2016</v>
      </c>
      <c r="E3651" t="s">
        <v>775</v>
      </c>
      <c r="F3651" t="s">
        <v>111</v>
      </c>
      <c r="G3651" t="s">
        <v>414</v>
      </c>
      <c r="H3651" t="s">
        <v>776</v>
      </c>
      <c r="I3651" t="s">
        <v>64</v>
      </c>
      <c r="J3651" t="s">
        <v>20</v>
      </c>
      <c r="K3651" t="s">
        <v>21</v>
      </c>
      <c r="L3651" t="s">
        <v>359</v>
      </c>
      <c r="N3651" t="s">
        <v>127</v>
      </c>
      <c r="O3651" t="s">
        <v>24</v>
      </c>
    </row>
    <row r="3652" spans="1:15" x14ac:dyDescent="0.25">
      <c r="A3652">
        <v>3651</v>
      </c>
      <c r="B3652" t="str">
        <f>HYPERLINK("https://digitalcommons.unl.edu/cgi/viewcontent.cgi?article=4271&amp;context=tractormuseumlit","Click for test report")</f>
        <v>Click for test report</v>
      </c>
      <c r="C3652">
        <v>2016</v>
      </c>
      <c r="E3652" t="s">
        <v>772</v>
      </c>
      <c r="F3652" t="s">
        <v>111</v>
      </c>
      <c r="G3652" t="s">
        <v>414</v>
      </c>
      <c r="H3652" t="s">
        <v>773</v>
      </c>
      <c r="I3652" t="s">
        <v>28</v>
      </c>
      <c r="J3652" t="s">
        <v>20</v>
      </c>
      <c r="K3652" t="s">
        <v>21</v>
      </c>
      <c r="L3652" t="s">
        <v>774</v>
      </c>
      <c r="N3652" t="s">
        <v>558</v>
      </c>
      <c r="O3652" t="s">
        <v>24</v>
      </c>
    </row>
    <row r="3653" spans="1:15" x14ac:dyDescent="0.25">
      <c r="A3653">
        <v>3652</v>
      </c>
      <c r="B3653" t="str">
        <f>HYPERLINK("https://digitalcommons.unl.edu/cgi/viewcontent.cgi?article=4272&amp;context=tractormuseumlit","Click for test report")</f>
        <v>Click for test report</v>
      </c>
      <c r="C3653">
        <v>2016</v>
      </c>
      <c r="E3653" t="s">
        <v>769</v>
      </c>
      <c r="F3653" t="s">
        <v>111</v>
      </c>
      <c r="G3653" t="s">
        <v>414</v>
      </c>
      <c r="H3653" t="s">
        <v>770</v>
      </c>
      <c r="I3653" t="s">
        <v>64</v>
      </c>
      <c r="J3653" t="s">
        <v>20</v>
      </c>
      <c r="K3653" t="s">
        <v>21</v>
      </c>
      <c r="L3653" t="s">
        <v>771</v>
      </c>
      <c r="N3653" t="s">
        <v>374</v>
      </c>
      <c r="O3653" t="s">
        <v>24</v>
      </c>
    </row>
    <row r="3654" spans="1:15" x14ac:dyDescent="0.25">
      <c r="A3654">
        <v>3653</v>
      </c>
      <c r="B3654" t="str">
        <f>HYPERLINK("https://digitalcommons.unl.edu/cgi/viewcontent.cgi?article=4273&amp;context=tractormuseumlit","Click for test report")</f>
        <v>Click for test report</v>
      </c>
      <c r="C3654">
        <v>2016</v>
      </c>
      <c r="E3654" t="s">
        <v>767</v>
      </c>
      <c r="F3654" t="s">
        <v>752</v>
      </c>
      <c r="G3654" t="s">
        <v>191</v>
      </c>
      <c r="H3654" t="s">
        <v>768</v>
      </c>
      <c r="I3654" t="s">
        <v>28</v>
      </c>
      <c r="J3654" t="s">
        <v>20</v>
      </c>
      <c r="K3654" t="s">
        <v>21</v>
      </c>
      <c r="L3654" t="s">
        <v>375</v>
      </c>
      <c r="N3654" t="s">
        <v>764</v>
      </c>
      <c r="O3654" t="s">
        <v>24</v>
      </c>
    </row>
    <row r="3655" spans="1:15" x14ac:dyDescent="0.25">
      <c r="A3655">
        <v>3654</v>
      </c>
      <c r="B3655" t="str">
        <f>HYPERLINK("https://digitalcommons.unl.edu/cgi/viewcontent.cgi?article=4274&amp;context=tractormuseumlit","Click for test report")</f>
        <v>Click for test report</v>
      </c>
      <c r="C3655">
        <v>2016</v>
      </c>
      <c r="E3655" t="s">
        <v>765</v>
      </c>
      <c r="F3655" t="s">
        <v>752</v>
      </c>
      <c r="G3655" t="s">
        <v>191</v>
      </c>
      <c r="H3655" t="s">
        <v>766</v>
      </c>
      <c r="I3655" t="s">
        <v>28</v>
      </c>
      <c r="J3655" t="s">
        <v>20</v>
      </c>
      <c r="K3655" t="s">
        <v>21</v>
      </c>
      <c r="L3655" t="s">
        <v>571</v>
      </c>
      <c r="N3655" t="s">
        <v>740</v>
      </c>
      <c r="O3655" t="s">
        <v>24</v>
      </c>
    </row>
    <row r="3656" spans="1:15" x14ac:dyDescent="0.25">
      <c r="A3656">
        <v>3655</v>
      </c>
      <c r="B3656" t="str">
        <f>HYPERLINK("https://digitalcommons.unl.edu/cgi/viewcontent.cgi?article=4275&amp;context=tractormuseumlit","Click for test report")</f>
        <v>Click for test report</v>
      </c>
      <c r="C3656">
        <v>2016</v>
      </c>
      <c r="E3656" t="s">
        <v>762</v>
      </c>
      <c r="F3656" t="s">
        <v>752</v>
      </c>
      <c r="G3656" t="s">
        <v>738</v>
      </c>
      <c r="H3656" t="s">
        <v>763</v>
      </c>
      <c r="I3656" t="s">
        <v>28</v>
      </c>
      <c r="J3656" t="s">
        <v>20</v>
      </c>
      <c r="K3656" t="s">
        <v>21</v>
      </c>
      <c r="L3656" t="s">
        <v>375</v>
      </c>
      <c r="N3656" t="s">
        <v>764</v>
      </c>
      <c r="O3656" t="s">
        <v>24</v>
      </c>
    </row>
    <row r="3657" spans="1:15" x14ac:dyDescent="0.25">
      <c r="A3657">
        <v>3656</v>
      </c>
      <c r="B3657" t="str">
        <f>HYPERLINK("https://digitalcommons.unl.edu/cgi/viewcontent.cgi?article=4276&amp;context=tractormuseumlit","Click for test report")</f>
        <v>Click for test report</v>
      </c>
      <c r="C3657">
        <v>2016</v>
      </c>
      <c r="E3657" t="s">
        <v>760</v>
      </c>
      <c r="F3657" t="s">
        <v>752</v>
      </c>
      <c r="G3657" t="s">
        <v>738</v>
      </c>
      <c r="H3657" t="s">
        <v>761</v>
      </c>
      <c r="I3657" t="s">
        <v>28</v>
      </c>
      <c r="J3657" t="s">
        <v>20</v>
      </c>
      <c r="K3657" t="s">
        <v>21</v>
      </c>
      <c r="L3657" t="s">
        <v>571</v>
      </c>
      <c r="N3657" t="s">
        <v>740</v>
      </c>
      <c r="O3657" t="s">
        <v>24</v>
      </c>
    </row>
    <row r="3658" spans="1:15" x14ac:dyDescent="0.25">
      <c r="A3658">
        <v>3657</v>
      </c>
      <c r="B3658" t="str">
        <f>HYPERLINK("https://digitalcommons.unl.edu/cgi/viewcontent.cgi?article=4277&amp;context=tractormuseumlit","Click for test report")</f>
        <v>Click for test report</v>
      </c>
      <c r="C3658">
        <v>2016</v>
      </c>
      <c r="E3658" t="s">
        <v>758</v>
      </c>
      <c r="F3658" t="s">
        <v>752</v>
      </c>
      <c r="G3658" t="s">
        <v>191</v>
      </c>
      <c r="H3658" t="s">
        <v>759</v>
      </c>
      <c r="I3658" t="s">
        <v>28</v>
      </c>
      <c r="J3658" t="s">
        <v>20</v>
      </c>
      <c r="K3658" t="s">
        <v>21</v>
      </c>
      <c r="L3658" t="s">
        <v>747</v>
      </c>
      <c r="N3658" t="s">
        <v>750</v>
      </c>
      <c r="O3658" t="s">
        <v>24</v>
      </c>
    </row>
    <row r="3659" spans="1:15" x14ac:dyDescent="0.25">
      <c r="A3659">
        <v>3658</v>
      </c>
      <c r="B3659" t="str">
        <f>HYPERLINK("https://digitalcommons.unl.edu/cgi/viewcontent.cgi?article=4278&amp;context=tractormuseumlit","Click for test report")</f>
        <v>Click for test report</v>
      </c>
      <c r="C3659">
        <v>2016</v>
      </c>
      <c r="E3659" t="s">
        <v>756</v>
      </c>
      <c r="F3659" t="s">
        <v>752</v>
      </c>
      <c r="G3659" t="s">
        <v>191</v>
      </c>
      <c r="H3659" t="s">
        <v>757</v>
      </c>
      <c r="I3659" t="s">
        <v>28</v>
      </c>
      <c r="J3659" t="s">
        <v>20</v>
      </c>
      <c r="K3659" t="s">
        <v>21</v>
      </c>
      <c r="L3659" t="s">
        <v>746</v>
      </c>
      <c r="N3659" t="s">
        <v>747</v>
      </c>
      <c r="O3659" t="s">
        <v>24</v>
      </c>
    </row>
    <row r="3660" spans="1:15" x14ac:dyDescent="0.25">
      <c r="A3660">
        <v>3659</v>
      </c>
      <c r="B3660" t="str">
        <f>HYPERLINK("https://digitalcommons.unl.edu/cgi/viewcontent.cgi?article=4279&amp;context=tractormuseumlit","Click for test report")</f>
        <v>Click for test report</v>
      </c>
      <c r="C3660">
        <v>2016</v>
      </c>
      <c r="E3660" t="s">
        <v>754</v>
      </c>
      <c r="F3660" t="s">
        <v>752</v>
      </c>
      <c r="G3660" t="s">
        <v>191</v>
      </c>
      <c r="H3660" t="s">
        <v>755</v>
      </c>
      <c r="I3660" t="s">
        <v>28</v>
      </c>
      <c r="J3660" t="s">
        <v>20</v>
      </c>
      <c r="K3660" t="s">
        <v>21</v>
      </c>
      <c r="L3660" t="s">
        <v>340</v>
      </c>
      <c r="N3660" t="s">
        <v>743</v>
      </c>
      <c r="O3660" t="s">
        <v>24</v>
      </c>
    </row>
    <row r="3661" spans="1:15" x14ac:dyDescent="0.25">
      <c r="A3661">
        <v>3660</v>
      </c>
      <c r="B3661" t="str">
        <f>HYPERLINK("https://digitalcommons.unl.edu/cgi/viewcontent.cgi?article=4280&amp;context=tractormuseumlit","Click for test report")</f>
        <v>Click for test report</v>
      </c>
      <c r="C3661">
        <v>2016</v>
      </c>
      <c r="E3661" t="s">
        <v>751</v>
      </c>
      <c r="F3661" t="s">
        <v>752</v>
      </c>
      <c r="G3661" t="s">
        <v>191</v>
      </c>
      <c r="H3661" t="s">
        <v>753</v>
      </c>
      <c r="I3661" t="s">
        <v>28</v>
      </c>
      <c r="J3661" t="s">
        <v>20</v>
      </c>
      <c r="K3661" t="s">
        <v>21</v>
      </c>
      <c r="L3661" t="s">
        <v>46</v>
      </c>
      <c r="N3661" t="s">
        <v>740</v>
      </c>
      <c r="O3661" t="s">
        <v>24</v>
      </c>
    </row>
    <row r="3662" spans="1:15" x14ac:dyDescent="0.25">
      <c r="A3662">
        <v>3661</v>
      </c>
      <c r="B3662" t="str">
        <f>HYPERLINK("https://digitalcommons.unl.edu/cgi/viewcontent.cgi?article=4281&amp;context=tractormuseumlit","Click for test report")</f>
        <v>Click for test report</v>
      </c>
      <c r="C3662">
        <v>2016</v>
      </c>
      <c r="E3662" t="s">
        <v>748</v>
      </c>
      <c r="F3662" t="s">
        <v>737</v>
      </c>
      <c r="G3662" t="s">
        <v>738</v>
      </c>
      <c r="H3662" t="s">
        <v>749</v>
      </c>
      <c r="I3662" t="s">
        <v>28</v>
      </c>
      <c r="J3662" t="s">
        <v>20</v>
      </c>
      <c r="K3662" t="s">
        <v>21</v>
      </c>
      <c r="L3662" t="s">
        <v>747</v>
      </c>
      <c r="N3662" t="s">
        <v>750</v>
      </c>
      <c r="O3662" t="s">
        <v>24</v>
      </c>
    </row>
    <row r="3663" spans="1:15" x14ac:dyDescent="0.25">
      <c r="A3663">
        <v>3662</v>
      </c>
      <c r="B3663" t="str">
        <f>HYPERLINK("https://digitalcommons.unl.edu/cgi/viewcontent.cgi?article=4282&amp;context=tractormuseumlit","Click for test report")</f>
        <v>Click for test report</v>
      </c>
      <c r="C3663">
        <v>2016</v>
      </c>
      <c r="E3663" t="s">
        <v>744</v>
      </c>
      <c r="F3663" t="s">
        <v>737</v>
      </c>
      <c r="G3663" t="s">
        <v>738</v>
      </c>
      <c r="H3663" t="s">
        <v>745</v>
      </c>
      <c r="I3663" t="s">
        <v>28</v>
      </c>
      <c r="J3663" t="s">
        <v>20</v>
      </c>
      <c r="K3663" t="s">
        <v>21</v>
      </c>
      <c r="L3663" t="s">
        <v>746</v>
      </c>
      <c r="N3663" t="s">
        <v>747</v>
      </c>
      <c r="O3663" t="s">
        <v>24</v>
      </c>
    </row>
    <row r="3664" spans="1:15" x14ac:dyDescent="0.25">
      <c r="A3664">
        <v>3663</v>
      </c>
      <c r="B3664" t="str">
        <f>HYPERLINK("https://digitalcommons.unl.edu/cgi/viewcontent.cgi?article=4283&amp;context=tractormuseumlit","Click for test report")</f>
        <v>Click for test report</v>
      </c>
      <c r="C3664">
        <v>2016</v>
      </c>
      <c r="E3664" t="s">
        <v>741</v>
      </c>
      <c r="F3664" t="s">
        <v>737</v>
      </c>
      <c r="G3664" t="s">
        <v>738</v>
      </c>
      <c r="H3664" t="s">
        <v>742</v>
      </c>
      <c r="I3664" t="s">
        <v>28</v>
      </c>
      <c r="J3664" t="s">
        <v>20</v>
      </c>
      <c r="K3664" t="s">
        <v>21</v>
      </c>
      <c r="L3664" t="s">
        <v>340</v>
      </c>
      <c r="N3664" t="s">
        <v>743</v>
      </c>
      <c r="O3664" t="s">
        <v>24</v>
      </c>
    </row>
    <row r="3665" spans="1:15" x14ac:dyDescent="0.25">
      <c r="A3665">
        <v>3664</v>
      </c>
      <c r="B3665" t="str">
        <f>HYPERLINK("https://digitalcommons.unl.edu/cgi/viewcontent.cgi?article=4284&amp;context=tractormuseumlit","Click for test report")</f>
        <v>Click for test report</v>
      </c>
      <c r="C3665">
        <v>2016</v>
      </c>
      <c r="E3665" t="s">
        <v>736</v>
      </c>
      <c r="F3665" t="s">
        <v>737</v>
      </c>
      <c r="G3665" t="s">
        <v>738</v>
      </c>
      <c r="H3665" t="s">
        <v>739</v>
      </c>
      <c r="I3665" t="s">
        <v>28</v>
      </c>
      <c r="J3665" t="s">
        <v>20</v>
      </c>
      <c r="K3665" t="s">
        <v>21</v>
      </c>
      <c r="L3665" t="s">
        <v>46</v>
      </c>
      <c r="N3665" t="s">
        <v>740</v>
      </c>
      <c r="O3665" t="s">
        <v>24</v>
      </c>
    </row>
    <row r="3666" spans="1:15" x14ac:dyDescent="0.25">
      <c r="A3666">
        <v>3665</v>
      </c>
      <c r="B3666" t="str">
        <f>HYPERLINK("https://digitalcommons.unl.edu/cgi/viewcontent.cgi?article=3601&amp;context=tractormuseumlit","Click for test report")</f>
        <v>Click for test report</v>
      </c>
      <c r="C3666">
        <v>2016</v>
      </c>
      <c r="D3666" t="s">
        <v>733</v>
      </c>
      <c r="F3666" t="s">
        <v>17</v>
      </c>
      <c r="G3666" t="s">
        <v>17</v>
      </c>
      <c r="H3666" t="s">
        <v>734</v>
      </c>
      <c r="I3666" t="s">
        <v>50</v>
      </c>
      <c r="J3666" t="s">
        <v>20</v>
      </c>
      <c r="K3666" t="s">
        <v>21</v>
      </c>
      <c r="L3666" t="s">
        <v>735</v>
      </c>
      <c r="O3666" t="s">
        <v>726</v>
      </c>
    </row>
    <row r="3667" spans="1:15" x14ac:dyDescent="0.25">
      <c r="A3667">
        <v>3666</v>
      </c>
      <c r="B3667" t="str">
        <f>HYPERLINK("https://digitalcommons.unl.edu/cgi/viewcontent.cgi?article=3602&amp;context=tractormuseumlit","Click for test report")</f>
        <v>Click for test report</v>
      </c>
      <c r="C3667">
        <v>2016</v>
      </c>
      <c r="D3667" t="s">
        <v>729</v>
      </c>
      <c r="F3667" t="s">
        <v>17</v>
      </c>
      <c r="G3667" t="s">
        <v>17</v>
      </c>
      <c r="H3667" t="s">
        <v>730</v>
      </c>
      <c r="I3667" t="s">
        <v>50</v>
      </c>
      <c r="J3667" t="s">
        <v>20</v>
      </c>
      <c r="K3667" t="s">
        <v>21</v>
      </c>
      <c r="L3667" t="s">
        <v>731</v>
      </c>
      <c r="O3667" t="s">
        <v>732</v>
      </c>
    </row>
    <row r="3668" spans="1:15" x14ac:dyDescent="0.25">
      <c r="A3668">
        <v>3667</v>
      </c>
      <c r="B3668" t="str">
        <f>HYPERLINK("https://digitalcommons.unl.edu/cgi/viewcontent.cgi?article=3603&amp;context=tractormuseumlit","Click for test report")</f>
        <v>Click for test report</v>
      </c>
      <c r="C3668">
        <v>2016</v>
      </c>
      <c r="D3668" t="s">
        <v>727</v>
      </c>
      <c r="F3668" t="s">
        <v>17</v>
      </c>
      <c r="G3668" t="s">
        <v>17</v>
      </c>
      <c r="H3668" t="s">
        <v>724</v>
      </c>
      <c r="I3668" t="s">
        <v>50</v>
      </c>
      <c r="J3668" t="s">
        <v>20</v>
      </c>
      <c r="K3668" t="s">
        <v>21</v>
      </c>
      <c r="L3668" t="s">
        <v>728</v>
      </c>
      <c r="O3668" t="s">
        <v>726</v>
      </c>
    </row>
    <row r="3669" spans="1:15" x14ac:dyDescent="0.25">
      <c r="A3669">
        <v>3668</v>
      </c>
      <c r="B3669" t="str">
        <f>HYPERLINK("https://digitalcommons.unl.edu/cgi/viewcontent.cgi?article=3604&amp;context=tractormuseumlit","Click for test report")</f>
        <v>Click for test report</v>
      </c>
      <c r="C3669">
        <v>2016</v>
      </c>
      <c r="D3669" t="s">
        <v>723</v>
      </c>
      <c r="F3669" t="s">
        <v>17</v>
      </c>
      <c r="G3669" t="s">
        <v>17</v>
      </c>
      <c r="H3669" t="s">
        <v>724</v>
      </c>
      <c r="I3669" t="s">
        <v>50</v>
      </c>
      <c r="J3669" t="s">
        <v>20</v>
      </c>
      <c r="K3669" t="s">
        <v>21</v>
      </c>
      <c r="L3669" t="s">
        <v>725</v>
      </c>
      <c r="O3669" t="s">
        <v>726</v>
      </c>
    </row>
    <row r="3670" spans="1:15" x14ac:dyDescent="0.25">
      <c r="A3670">
        <v>3669</v>
      </c>
      <c r="B3670" t="str">
        <f>HYPERLINK("https://digitalcommons.unl.edu/cgi/viewcontent.cgi?article=3605&amp;context=tractormuseumlit","Click for test report")</f>
        <v>Click for test report</v>
      </c>
      <c r="C3670">
        <v>2016</v>
      </c>
      <c r="D3670" t="s">
        <v>720</v>
      </c>
      <c r="F3670" t="s">
        <v>17</v>
      </c>
      <c r="G3670" t="s">
        <v>17</v>
      </c>
      <c r="H3670" t="s">
        <v>721</v>
      </c>
      <c r="I3670" t="s">
        <v>50</v>
      </c>
      <c r="J3670" t="s">
        <v>20</v>
      </c>
      <c r="K3670" t="s">
        <v>21</v>
      </c>
      <c r="L3670" t="s">
        <v>722</v>
      </c>
      <c r="O3670" t="s">
        <v>719</v>
      </c>
    </row>
    <row r="3671" spans="1:15" x14ac:dyDescent="0.25">
      <c r="A3671">
        <v>3670</v>
      </c>
      <c r="B3671" t="str">
        <f>HYPERLINK("https://digitalcommons.unl.edu/cgi/viewcontent.cgi?article=3606&amp;context=tractormuseumlit","Click for test report")</f>
        <v>Click for test report</v>
      </c>
      <c r="C3671">
        <v>2016</v>
      </c>
      <c r="D3671" t="s">
        <v>717</v>
      </c>
      <c r="F3671" t="s">
        <v>17</v>
      </c>
      <c r="G3671" t="s">
        <v>17</v>
      </c>
      <c r="H3671" t="s">
        <v>718</v>
      </c>
      <c r="I3671" t="s">
        <v>50</v>
      </c>
      <c r="J3671" t="s">
        <v>20</v>
      </c>
      <c r="K3671" t="s">
        <v>21</v>
      </c>
      <c r="L3671" t="s">
        <v>340</v>
      </c>
      <c r="O3671" t="s">
        <v>719</v>
      </c>
    </row>
    <row r="3672" spans="1:15" x14ac:dyDescent="0.25">
      <c r="A3672">
        <v>3671</v>
      </c>
      <c r="B3672" t="str">
        <f>HYPERLINK("https://digitalcommons.unl.edu/cgi/viewcontent.cgi?article=3607&amp;context=tractormuseumlit","Click for test report")</f>
        <v>Click for test report</v>
      </c>
      <c r="C3672">
        <v>2016</v>
      </c>
      <c r="D3672" t="s">
        <v>714</v>
      </c>
      <c r="F3672" t="s">
        <v>708</v>
      </c>
      <c r="G3672" t="s">
        <v>17</v>
      </c>
      <c r="H3672" t="s">
        <v>715</v>
      </c>
      <c r="I3672" t="s">
        <v>50</v>
      </c>
      <c r="J3672" t="s">
        <v>20</v>
      </c>
      <c r="K3672" t="s">
        <v>21</v>
      </c>
      <c r="L3672" t="s">
        <v>716</v>
      </c>
      <c r="O3672" t="s">
        <v>24</v>
      </c>
    </row>
    <row r="3673" spans="1:15" x14ac:dyDescent="0.25">
      <c r="A3673">
        <v>3672</v>
      </c>
      <c r="B3673" t="str">
        <f>HYPERLINK("https://digitalcommons.unl.edu/cgi/viewcontent.cgi?article=3608&amp;context=tractormuseumlit","Click for test report")</f>
        <v>Click for test report</v>
      </c>
      <c r="C3673">
        <v>2016</v>
      </c>
      <c r="D3673" t="s">
        <v>710</v>
      </c>
      <c r="E3673" t="s">
        <v>711</v>
      </c>
      <c r="F3673" t="s">
        <v>708</v>
      </c>
      <c r="G3673" t="s">
        <v>17</v>
      </c>
      <c r="H3673" t="s">
        <v>712</v>
      </c>
      <c r="I3673" t="s">
        <v>50</v>
      </c>
      <c r="J3673" t="s">
        <v>20</v>
      </c>
      <c r="K3673" t="s">
        <v>21</v>
      </c>
      <c r="L3673" t="s">
        <v>51</v>
      </c>
      <c r="N3673" t="s">
        <v>713</v>
      </c>
      <c r="O3673" t="s">
        <v>24</v>
      </c>
    </row>
    <row r="3674" spans="1:15" x14ac:dyDescent="0.25">
      <c r="A3674">
        <v>3673</v>
      </c>
      <c r="B3674" t="str">
        <f>HYPERLINK("https://digitalcommons.unl.edu/cgi/viewcontent.cgi?article=3609&amp;context=tractormuseumlit","Click for test report")</f>
        <v>Click for test report</v>
      </c>
      <c r="C3674">
        <v>2016</v>
      </c>
      <c r="D3674" t="s">
        <v>706</v>
      </c>
      <c r="E3674" t="s">
        <v>707</v>
      </c>
      <c r="F3674" t="s">
        <v>708</v>
      </c>
      <c r="G3674" t="s">
        <v>17</v>
      </c>
      <c r="H3674" t="s">
        <v>709</v>
      </c>
      <c r="I3674" t="s">
        <v>28</v>
      </c>
      <c r="J3674" t="s">
        <v>20</v>
      </c>
      <c r="K3674" t="s">
        <v>21</v>
      </c>
      <c r="L3674" t="s">
        <v>446</v>
      </c>
      <c r="N3674" t="s">
        <v>127</v>
      </c>
      <c r="O3674" t="s">
        <v>24</v>
      </c>
    </row>
    <row r="3675" spans="1:15" x14ac:dyDescent="0.25">
      <c r="A3675">
        <v>3674</v>
      </c>
      <c r="B3675" t="str">
        <f>HYPERLINK("https://digitalcommons.unl.edu/cgi/viewcontent.cgi?article=3610&amp;context=tractormuseumlit","Click for test report")</f>
        <v>Click for test report</v>
      </c>
      <c r="C3675">
        <v>2016</v>
      </c>
      <c r="D3675" t="s">
        <v>702</v>
      </c>
      <c r="E3675" t="s">
        <v>703</v>
      </c>
      <c r="F3675" t="s">
        <v>17</v>
      </c>
      <c r="G3675" t="s">
        <v>17</v>
      </c>
      <c r="H3675" t="s">
        <v>704</v>
      </c>
      <c r="I3675" t="s">
        <v>28</v>
      </c>
      <c r="J3675" t="s">
        <v>20</v>
      </c>
      <c r="K3675" t="s">
        <v>21</v>
      </c>
      <c r="L3675" t="s">
        <v>122</v>
      </c>
      <c r="N3675" t="s">
        <v>705</v>
      </c>
      <c r="O3675" t="s">
        <v>24</v>
      </c>
    </row>
    <row r="3676" spans="1:15" x14ac:dyDescent="0.25">
      <c r="A3676">
        <v>3675</v>
      </c>
      <c r="B3676" t="str">
        <f>HYPERLINK("https://digitalcommons.unl.edu/cgi/viewcontent.cgi?article=3611&amp;context=tractormuseumlit","Click for test report")</f>
        <v>Click for test report</v>
      </c>
      <c r="C3676">
        <v>2016</v>
      </c>
      <c r="D3676" t="s">
        <v>699</v>
      </c>
      <c r="E3676" t="s">
        <v>700</v>
      </c>
      <c r="F3676" t="s">
        <v>17</v>
      </c>
      <c r="G3676" t="s">
        <v>17</v>
      </c>
      <c r="H3676" t="s">
        <v>701</v>
      </c>
      <c r="I3676" t="s">
        <v>28</v>
      </c>
      <c r="J3676" t="s">
        <v>20</v>
      </c>
      <c r="K3676" t="s">
        <v>21</v>
      </c>
      <c r="L3676" t="s">
        <v>332</v>
      </c>
      <c r="N3676" t="s">
        <v>126</v>
      </c>
      <c r="O3676" t="s">
        <v>24</v>
      </c>
    </row>
    <row r="3677" spans="1:15" x14ac:dyDescent="0.25">
      <c r="A3677">
        <v>3676</v>
      </c>
      <c r="B3677" t="str">
        <f>HYPERLINK("https://digitalcommons.unl.edu/cgi/viewcontent.cgi?article=3612&amp;context=tractormuseumlit","Click for test report")</f>
        <v>Click for test report</v>
      </c>
      <c r="C3677">
        <v>2016</v>
      </c>
      <c r="D3677" t="s">
        <v>696</v>
      </c>
      <c r="E3677" t="s">
        <v>697</v>
      </c>
      <c r="F3677" t="s">
        <v>577</v>
      </c>
      <c r="G3677" t="s">
        <v>191</v>
      </c>
      <c r="H3677" t="s">
        <v>698</v>
      </c>
      <c r="I3677" t="s">
        <v>28</v>
      </c>
      <c r="J3677" t="s">
        <v>137</v>
      </c>
      <c r="K3677" t="s">
        <v>21</v>
      </c>
      <c r="L3677" t="s">
        <v>393</v>
      </c>
      <c r="N3677" t="s">
        <v>166</v>
      </c>
      <c r="O3677" t="s">
        <v>24</v>
      </c>
    </row>
    <row r="3678" spans="1:15" x14ac:dyDescent="0.25">
      <c r="A3678">
        <v>3677</v>
      </c>
      <c r="B3678" t="str">
        <f>HYPERLINK("https://digitalcommons.unl.edu/cgi/viewcontent.cgi?article=3614&amp;context=tractormuseumlit","Click for test report")</f>
        <v>Click for test report</v>
      </c>
      <c r="C3678">
        <v>2016</v>
      </c>
      <c r="D3678" t="s">
        <v>693</v>
      </c>
      <c r="E3678" t="s">
        <v>694</v>
      </c>
      <c r="F3678" t="s">
        <v>577</v>
      </c>
      <c r="G3678" t="s">
        <v>135</v>
      </c>
      <c r="H3678" t="s">
        <v>695</v>
      </c>
      <c r="I3678" t="s">
        <v>28</v>
      </c>
      <c r="J3678" t="s">
        <v>20</v>
      </c>
      <c r="K3678" t="s">
        <v>21</v>
      </c>
      <c r="L3678" t="s">
        <v>429</v>
      </c>
      <c r="N3678" t="s">
        <v>609</v>
      </c>
      <c r="O3678" t="s">
        <v>24</v>
      </c>
    </row>
    <row r="3679" spans="1:15" x14ac:dyDescent="0.25">
      <c r="A3679">
        <v>3678</v>
      </c>
      <c r="B3679" t="str">
        <f>HYPERLINK("https://digitalcommons.unl.edu/cgi/viewcontent.cgi?article=3616&amp;context=tractormuseumlit","Click for test report")</f>
        <v>Click for test report</v>
      </c>
      <c r="C3679">
        <v>2016</v>
      </c>
      <c r="D3679" t="s">
        <v>690</v>
      </c>
      <c r="E3679" t="s">
        <v>691</v>
      </c>
      <c r="F3679" t="s">
        <v>134</v>
      </c>
      <c r="G3679" t="s">
        <v>191</v>
      </c>
      <c r="H3679" t="s">
        <v>692</v>
      </c>
      <c r="I3679" t="s">
        <v>64</v>
      </c>
      <c r="J3679" t="s">
        <v>137</v>
      </c>
      <c r="K3679" t="s">
        <v>21</v>
      </c>
      <c r="L3679" t="s">
        <v>30</v>
      </c>
      <c r="N3679" t="s">
        <v>605</v>
      </c>
      <c r="O3679" t="s">
        <v>24</v>
      </c>
    </row>
    <row r="3680" spans="1:15" x14ac:dyDescent="0.25">
      <c r="A3680">
        <v>3679</v>
      </c>
      <c r="B3680" t="str">
        <f>HYPERLINK("https://digitalcommons.unl.edu/cgi/viewcontent.cgi?article=3618&amp;context=tractormuseumlit","Click for test report")</f>
        <v>Click for test report</v>
      </c>
      <c r="C3680">
        <v>2016</v>
      </c>
      <c r="D3680" t="s">
        <v>685</v>
      </c>
      <c r="E3680" t="s">
        <v>686</v>
      </c>
      <c r="F3680" t="s">
        <v>241</v>
      </c>
      <c r="G3680" t="s">
        <v>242</v>
      </c>
      <c r="H3680" t="s">
        <v>687</v>
      </c>
      <c r="I3680" t="s">
        <v>64</v>
      </c>
      <c r="J3680" t="s">
        <v>29</v>
      </c>
      <c r="K3680" t="s">
        <v>21</v>
      </c>
      <c r="L3680" t="s">
        <v>688</v>
      </c>
      <c r="N3680" t="s">
        <v>689</v>
      </c>
      <c r="O3680" t="s">
        <v>24</v>
      </c>
    </row>
    <row r="3681" spans="1:15" x14ac:dyDescent="0.25">
      <c r="A3681">
        <v>3680</v>
      </c>
      <c r="B3681" t="str">
        <f>HYPERLINK("https://digitalcommons.unl.edu/cgi/viewcontent.cgi?article=3619&amp;context=tractormuseumlit","Click for test report")</f>
        <v>Click for test report</v>
      </c>
      <c r="C3681">
        <v>2016</v>
      </c>
      <c r="D3681" t="s">
        <v>683</v>
      </c>
      <c r="F3681" t="s">
        <v>62</v>
      </c>
      <c r="G3681" t="s">
        <v>62</v>
      </c>
      <c r="H3681" t="s">
        <v>684</v>
      </c>
      <c r="I3681" t="s">
        <v>28</v>
      </c>
      <c r="J3681" t="s">
        <v>20</v>
      </c>
      <c r="K3681" t="s">
        <v>21</v>
      </c>
      <c r="L3681" t="s">
        <v>375</v>
      </c>
      <c r="O3681" t="s">
        <v>24</v>
      </c>
    </row>
    <row r="3682" spans="1:15" x14ac:dyDescent="0.25">
      <c r="A3682">
        <v>3681</v>
      </c>
      <c r="B3682" t="str">
        <f>HYPERLINK("https://digitalcommons.unl.edu/cgi/viewcontent.cgi?article=3620&amp;context=tractormuseumlit","Click for test report")</f>
        <v>Click for test report</v>
      </c>
      <c r="C3682">
        <v>2016</v>
      </c>
      <c r="D3682" t="s">
        <v>681</v>
      </c>
      <c r="F3682" t="s">
        <v>62</v>
      </c>
      <c r="G3682" t="s">
        <v>62</v>
      </c>
      <c r="H3682" t="s">
        <v>682</v>
      </c>
      <c r="I3682" t="s">
        <v>28</v>
      </c>
      <c r="J3682" t="s">
        <v>20</v>
      </c>
      <c r="K3682" t="s">
        <v>21</v>
      </c>
      <c r="L3682" t="s">
        <v>131</v>
      </c>
      <c r="O3682" t="s">
        <v>24</v>
      </c>
    </row>
    <row r="3683" spans="1:15" x14ac:dyDescent="0.25">
      <c r="A3683">
        <v>3682</v>
      </c>
      <c r="B3683" t="str">
        <f>HYPERLINK("https://digitalcommons.unl.edu/cgi/viewcontent.cgi?article=3621&amp;context=tractormuseumlit","Click for test report")</f>
        <v>Click for test report</v>
      </c>
      <c r="C3683">
        <v>2016</v>
      </c>
      <c r="D3683" t="s">
        <v>678</v>
      </c>
      <c r="E3683" t="s">
        <v>679</v>
      </c>
      <c r="F3683" t="s">
        <v>62</v>
      </c>
      <c r="G3683" t="s">
        <v>62</v>
      </c>
      <c r="H3683" t="s">
        <v>680</v>
      </c>
      <c r="I3683" t="s">
        <v>28</v>
      </c>
      <c r="J3683" t="s">
        <v>20</v>
      </c>
      <c r="K3683" t="s">
        <v>21</v>
      </c>
      <c r="L3683" t="s">
        <v>374</v>
      </c>
      <c r="N3683" t="s">
        <v>247</v>
      </c>
      <c r="O3683" t="s">
        <v>24</v>
      </c>
    </row>
    <row r="3684" spans="1:15" x14ac:dyDescent="0.25">
      <c r="A3684">
        <v>3683</v>
      </c>
      <c r="B3684" t="str">
        <f>HYPERLINK("https://digitalcommons.unl.edu/cgi/viewcontent.cgi?article=3622&amp;context=tractormuseumlit","Click for test report")</f>
        <v>Click for test report</v>
      </c>
      <c r="C3684">
        <v>2016</v>
      </c>
      <c r="D3684" t="s">
        <v>674</v>
      </c>
      <c r="E3684" t="s">
        <v>675</v>
      </c>
      <c r="F3684" t="s">
        <v>62</v>
      </c>
      <c r="G3684" t="s">
        <v>62</v>
      </c>
      <c r="H3684" t="s">
        <v>676</v>
      </c>
      <c r="I3684" t="s">
        <v>28</v>
      </c>
      <c r="J3684" t="s">
        <v>20</v>
      </c>
      <c r="K3684" t="s">
        <v>21</v>
      </c>
      <c r="L3684" t="s">
        <v>363</v>
      </c>
      <c r="N3684" t="s">
        <v>677</v>
      </c>
      <c r="O3684" t="s">
        <v>24</v>
      </c>
    </row>
    <row r="3685" spans="1:15" x14ac:dyDescent="0.25">
      <c r="A3685">
        <v>3684</v>
      </c>
      <c r="B3685" t="str">
        <f>HYPERLINK("https://digitalcommons.unl.edu/cgi/viewcontent.cgi?article=3623&amp;context=tractormuseumlit","Click for test report")</f>
        <v>Click for test report</v>
      </c>
      <c r="C3685">
        <v>2016</v>
      </c>
      <c r="D3685" t="s">
        <v>671</v>
      </c>
      <c r="E3685" t="s">
        <v>672</v>
      </c>
      <c r="F3685" t="s">
        <v>588</v>
      </c>
      <c r="G3685" t="s">
        <v>135</v>
      </c>
      <c r="H3685" t="s">
        <v>673</v>
      </c>
      <c r="I3685" t="s">
        <v>50</v>
      </c>
      <c r="J3685" t="s">
        <v>20</v>
      </c>
      <c r="K3685" t="s">
        <v>21</v>
      </c>
      <c r="L3685" t="s">
        <v>454</v>
      </c>
      <c r="N3685" t="s">
        <v>344</v>
      </c>
      <c r="O3685" t="s">
        <v>24</v>
      </c>
    </row>
    <row r="3686" spans="1:15" x14ac:dyDescent="0.25">
      <c r="A3686">
        <v>3685</v>
      </c>
      <c r="B3686" t="str">
        <f>HYPERLINK("https://digitalcommons.unl.edu/cgi/viewcontent.cgi?article=3625&amp;context=tractormuseumlit","Click for test report")</f>
        <v>Click for test report</v>
      </c>
      <c r="C3686">
        <v>2016</v>
      </c>
      <c r="D3686" t="s">
        <v>668</v>
      </c>
      <c r="E3686" t="s">
        <v>669</v>
      </c>
      <c r="F3686" t="s">
        <v>588</v>
      </c>
      <c r="G3686" t="s">
        <v>191</v>
      </c>
      <c r="H3686" t="s">
        <v>670</v>
      </c>
      <c r="I3686" t="s">
        <v>50</v>
      </c>
      <c r="J3686" t="s">
        <v>20</v>
      </c>
      <c r="K3686" t="s">
        <v>21</v>
      </c>
      <c r="L3686" t="s">
        <v>127</v>
      </c>
      <c r="N3686" t="s">
        <v>340</v>
      </c>
      <c r="O3686" t="s">
        <v>24</v>
      </c>
    </row>
    <row r="3687" spans="1:15" x14ac:dyDescent="0.25">
      <c r="A3687">
        <v>3686</v>
      </c>
      <c r="B3687" t="str">
        <f>HYPERLINK("https://digitalcommons.unl.edu/cgi/viewcontent.cgi?article=3627&amp;context=tractormuseumlit","Click for test report")</f>
        <v>Click for test report</v>
      </c>
      <c r="C3687">
        <v>2016</v>
      </c>
      <c r="D3687" t="s">
        <v>665</v>
      </c>
      <c r="E3687" t="s">
        <v>666</v>
      </c>
      <c r="F3687" t="s">
        <v>588</v>
      </c>
      <c r="G3687" t="s">
        <v>191</v>
      </c>
      <c r="H3687" t="s">
        <v>667</v>
      </c>
      <c r="I3687" t="s">
        <v>28</v>
      </c>
      <c r="J3687" t="s">
        <v>20</v>
      </c>
      <c r="K3687" t="s">
        <v>21</v>
      </c>
      <c r="L3687" t="s">
        <v>336</v>
      </c>
      <c r="N3687" t="s">
        <v>247</v>
      </c>
      <c r="O3687" t="s">
        <v>24</v>
      </c>
    </row>
    <row r="3688" spans="1:15" x14ac:dyDescent="0.25">
      <c r="A3688">
        <v>3687</v>
      </c>
      <c r="B3688" t="str">
        <f>HYPERLINK("https://digitalcommons.unl.edu/cgi/viewcontent.cgi?article=3629&amp;context=tractormuseumlit","Click for test report")</f>
        <v>Click for test report</v>
      </c>
      <c r="C3688">
        <v>2016</v>
      </c>
      <c r="D3688" t="s">
        <v>662</v>
      </c>
      <c r="E3688" t="s">
        <v>663</v>
      </c>
      <c r="F3688" t="s">
        <v>588</v>
      </c>
      <c r="G3688" t="s">
        <v>135</v>
      </c>
      <c r="H3688" t="s">
        <v>664</v>
      </c>
      <c r="I3688" t="s">
        <v>28</v>
      </c>
      <c r="J3688" t="s">
        <v>20</v>
      </c>
      <c r="K3688" t="s">
        <v>21</v>
      </c>
      <c r="L3688" t="s">
        <v>333</v>
      </c>
      <c r="N3688" t="s">
        <v>46</v>
      </c>
      <c r="O3688" t="s">
        <v>24</v>
      </c>
    </row>
    <row r="3689" spans="1:15" x14ac:dyDescent="0.25">
      <c r="A3689">
        <v>3688</v>
      </c>
      <c r="B3689" t="str">
        <f>HYPERLINK("https://digitalcommons.unl.edu/cgi/viewcontent.cgi?article=3630&amp;context=tractormuseumlit","Click for test report")</f>
        <v>Click for test report</v>
      </c>
      <c r="C3689">
        <v>2016</v>
      </c>
      <c r="D3689" t="s">
        <v>658</v>
      </c>
      <c r="E3689" t="s">
        <v>659</v>
      </c>
      <c r="F3689" t="s">
        <v>134</v>
      </c>
      <c r="G3689" t="s">
        <v>191</v>
      </c>
      <c r="H3689" t="s">
        <v>660</v>
      </c>
      <c r="I3689" t="s">
        <v>28</v>
      </c>
      <c r="J3689" t="s">
        <v>80</v>
      </c>
      <c r="K3689" t="s">
        <v>21</v>
      </c>
      <c r="L3689" t="s">
        <v>661</v>
      </c>
      <c r="N3689" t="s">
        <v>226</v>
      </c>
      <c r="O3689" t="s">
        <v>24</v>
      </c>
    </row>
    <row r="3690" spans="1:15" x14ac:dyDescent="0.25">
      <c r="A3690">
        <v>3689</v>
      </c>
      <c r="B3690" t="str">
        <f>HYPERLINK("https://digitalcommons.unl.edu/cgi/viewcontent.cgi?article=3631&amp;context=tractormuseumlit","Click for test report")</f>
        <v>Click for test report</v>
      </c>
      <c r="C3690">
        <v>2016</v>
      </c>
      <c r="D3690" t="s">
        <v>654</v>
      </c>
      <c r="E3690" t="s">
        <v>655</v>
      </c>
      <c r="F3690" t="s">
        <v>134</v>
      </c>
      <c r="G3690" t="s">
        <v>191</v>
      </c>
      <c r="H3690" t="s">
        <v>656</v>
      </c>
      <c r="I3690" t="s">
        <v>28</v>
      </c>
      <c r="J3690" t="s">
        <v>80</v>
      </c>
      <c r="K3690" t="s">
        <v>21</v>
      </c>
      <c r="L3690" t="s">
        <v>657</v>
      </c>
      <c r="N3690" t="s">
        <v>629</v>
      </c>
      <c r="O3690" t="s">
        <v>24</v>
      </c>
    </row>
    <row r="3691" spans="1:15" x14ac:dyDescent="0.25">
      <c r="A3691">
        <v>3690</v>
      </c>
      <c r="B3691" t="str">
        <f>HYPERLINK("https://digitalcommons.unl.edu/cgi/viewcontent.cgi?article=3632&amp;context=tractormuseumlit","Click for test report")</f>
        <v>Click for test report</v>
      </c>
      <c r="C3691">
        <v>2016</v>
      </c>
      <c r="D3691" t="s">
        <v>651</v>
      </c>
      <c r="E3691" t="s">
        <v>652</v>
      </c>
      <c r="F3691" t="s">
        <v>577</v>
      </c>
      <c r="G3691" t="s">
        <v>191</v>
      </c>
      <c r="H3691" t="s">
        <v>653</v>
      </c>
      <c r="I3691" t="s">
        <v>28</v>
      </c>
      <c r="J3691" t="s">
        <v>29</v>
      </c>
      <c r="K3691" t="s">
        <v>21</v>
      </c>
      <c r="L3691" t="s">
        <v>187</v>
      </c>
      <c r="N3691" t="s">
        <v>584</v>
      </c>
      <c r="O3691" t="s">
        <v>32</v>
      </c>
    </row>
    <row r="3692" spans="1:15" x14ac:dyDescent="0.25">
      <c r="A3692">
        <v>3691</v>
      </c>
      <c r="B3692" t="str">
        <f>HYPERLINK("https://digitalcommons.unl.edu/cgi/viewcontent.cgi?article=3634&amp;context=tractormuseumlit","Click for test report")</f>
        <v>Click for test report</v>
      </c>
      <c r="C3692">
        <v>2016</v>
      </c>
      <c r="D3692" t="s">
        <v>646</v>
      </c>
      <c r="E3692" t="s">
        <v>647</v>
      </c>
      <c r="F3692" t="s">
        <v>478</v>
      </c>
      <c r="G3692" t="s">
        <v>191</v>
      </c>
      <c r="H3692" t="s">
        <v>648</v>
      </c>
      <c r="I3692" t="s">
        <v>28</v>
      </c>
      <c r="J3692" t="s">
        <v>80</v>
      </c>
      <c r="K3692" t="s">
        <v>21</v>
      </c>
      <c r="L3692" t="s">
        <v>649</v>
      </c>
      <c r="N3692" t="s">
        <v>650</v>
      </c>
      <c r="O3692" t="s">
        <v>32</v>
      </c>
    </row>
    <row r="3693" spans="1:15" x14ac:dyDescent="0.25">
      <c r="A3693">
        <v>3692</v>
      </c>
      <c r="B3693" t="str">
        <f>HYPERLINK("https://digitalcommons.unl.edu/cgi/viewcontent.cgi?article=3635&amp;context=tractormuseumlit","Click for test report")</f>
        <v>Click for test report</v>
      </c>
      <c r="C3693">
        <v>2016</v>
      </c>
      <c r="D3693" t="s">
        <v>643</v>
      </c>
      <c r="E3693" t="s">
        <v>644</v>
      </c>
      <c r="F3693" t="s">
        <v>577</v>
      </c>
      <c r="G3693" t="s">
        <v>191</v>
      </c>
      <c r="H3693" t="s">
        <v>645</v>
      </c>
      <c r="I3693" t="s">
        <v>28</v>
      </c>
      <c r="J3693" t="s">
        <v>29</v>
      </c>
      <c r="K3693" t="s">
        <v>21</v>
      </c>
      <c r="L3693" t="s">
        <v>187</v>
      </c>
      <c r="N3693" t="s">
        <v>579</v>
      </c>
      <c r="O3693" t="s">
        <v>32</v>
      </c>
    </row>
    <row r="3694" spans="1:15" x14ac:dyDescent="0.25">
      <c r="A3694">
        <v>3693</v>
      </c>
      <c r="B3694" t="str">
        <f>HYPERLINK("https://digitalcommons.unl.edu/cgi/viewcontent.cgi?article=3637&amp;context=tractormuseumlit","Click for test report")</f>
        <v>Click for test report</v>
      </c>
      <c r="C3694">
        <v>2016</v>
      </c>
      <c r="D3694" t="s">
        <v>638</v>
      </c>
      <c r="E3694" t="s">
        <v>639</v>
      </c>
      <c r="F3694" t="s">
        <v>478</v>
      </c>
      <c r="G3694" t="s">
        <v>191</v>
      </c>
      <c r="H3694" t="s">
        <v>640</v>
      </c>
      <c r="I3694" t="s">
        <v>28</v>
      </c>
      <c r="J3694" t="s">
        <v>80</v>
      </c>
      <c r="K3694" t="s">
        <v>21</v>
      </c>
      <c r="L3694" t="s">
        <v>641</v>
      </c>
      <c r="N3694" t="s">
        <v>642</v>
      </c>
      <c r="O3694" t="s">
        <v>32</v>
      </c>
    </row>
    <row r="3695" spans="1:15" x14ac:dyDescent="0.25">
      <c r="A3695">
        <v>3694</v>
      </c>
      <c r="B3695" t="str">
        <f>HYPERLINK("https://digitalcommons.unl.edu/cgi/viewcontent.cgi?article=3638&amp;context=tractormuseumlit","Click for test report")</f>
        <v>Click for test report</v>
      </c>
      <c r="C3695">
        <v>2016</v>
      </c>
      <c r="D3695" t="s">
        <v>634</v>
      </c>
      <c r="E3695" t="s">
        <v>635</v>
      </c>
      <c r="F3695" t="s">
        <v>111</v>
      </c>
      <c r="G3695" t="s">
        <v>414</v>
      </c>
      <c r="H3695" t="s">
        <v>636</v>
      </c>
      <c r="I3695" t="s">
        <v>28</v>
      </c>
      <c r="J3695" t="s">
        <v>96</v>
      </c>
      <c r="K3695" t="s">
        <v>21</v>
      </c>
      <c r="L3695" t="s">
        <v>637</v>
      </c>
      <c r="N3695" t="s">
        <v>280</v>
      </c>
      <c r="O3695" t="s">
        <v>24</v>
      </c>
    </row>
    <row r="3696" spans="1:15" x14ac:dyDescent="0.25">
      <c r="A3696">
        <v>3695</v>
      </c>
      <c r="B3696" t="str">
        <f>HYPERLINK("https://digitalcommons.unl.edu/cgi/viewcontent.cgi?article=3639&amp;context=tractormuseumlit","Click for test report")</f>
        <v>Click for test report</v>
      </c>
      <c r="C3696">
        <v>2016</v>
      </c>
      <c r="D3696" t="s">
        <v>630</v>
      </c>
      <c r="E3696" t="s">
        <v>631</v>
      </c>
      <c r="F3696" t="s">
        <v>111</v>
      </c>
      <c r="G3696" t="s">
        <v>414</v>
      </c>
      <c r="H3696" t="s">
        <v>632</v>
      </c>
      <c r="I3696" t="s">
        <v>28</v>
      </c>
      <c r="J3696" t="s">
        <v>96</v>
      </c>
      <c r="K3696" t="s">
        <v>21</v>
      </c>
      <c r="L3696" t="s">
        <v>88</v>
      </c>
      <c r="N3696" t="s">
        <v>633</v>
      </c>
      <c r="O3696" t="s">
        <v>24</v>
      </c>
    </row>
    <row r="3697" spans="1:15" x14ac:dyDescent="0.25">
      <c r="A3697">
        <v>3696</v>
      </c>
      <c r="B3697" t="str">
        <f>HYPERLINK("https://digitalcommons.unl.edu/cgi/viewcontent.cgi?article=3640&amp;context=tractormuseumlit","Click for test report")</f>
        <v>Click for test report</v>
      </c>
      <c r="C3697">
        <v>2016</v>
      </c>
      <c r="D3697" t="s">
        <v>625</v>
      </c>
      <c r="E3697" t="s">
        <v>626</v>
      </c>
      <c r="F3697" t="s">
        <v>111</v>
      </c>
      <c r="G3697" t="s">
        <v>414</v>
      </c>
      <c r="H3697" t="s">
        <v>627</v>
      </c>
      <c r="I3697" t="s">
        <v>28</v>
      </c>
      <c r="J3697" t="s">
        <v>96</v>
      </c>
      <c r="K3697" t="s">
        <v>21</v>
      </c>
      <c r="L3697" t="s">
        <v>628</v>
      </c>
      <c r="N3697" t="s">
        <v>629</v>
      </c>
      <c r="O3697" t="s">
        <v>24</v>
      </c>
    </row>
    <row r="3698" spans="1:15" x14ac:dyDescent="0.25">
      <c r="A3698">
        <v>3697</v>
      </c>
      <c r="B3698" t="str">
        <f>HYPERLINK("https://digitalcommons.unl.edu/cgi/viewcontent.cgi?article=3641&amp;context=tractormuseumlit","Click for test report")</f>
        <v>Click for test report</v>
      </c>
      <c r="C3698">
        <v>2016</v>
      </c>
      <c r="D3698" t="s">
        <v>621</v>
      </c>
      <c r="E3698" t="s">
        <v>622</v>
      </c>
      <c r="F3698" t="s">
        <v>111</v>
      </c>
      <c r="G3698" t="s">
        <v>414</v>
      </c>
      <c r="H3698" t="s">
        <v>623</v>
      </c>
      <c r="I3698" t="s">
        <v>28</v>
      </c>
      <c r="J3698" t="s">
        <v>96</v>
      </c>
      <c r="K3698" t="s">
        <v>21</v>
      </c>
      <c r="L3698" t="s">
        <v>624</v>
      </c>
      <c r="N3698" t="s">
        <v>536</v>
      </c>
      <c r="O3698" t="s">
        <v>24</v>
      </c>
    </row>
    <row r="3699" spans="1:15" x14ac:dyDescent="0.25">
      <c r="A3699">
        <v>3698</v>
      </c>
      <c r="B3699" t="str">
        <f>HYPERLINK("https://digitalcommons.unl.edu/cgi/viewcontent.cgi?article=3642&amp;context=tractormuseumlit","Click for test report")</f>
        <v>Click for test report</v>
      </c>
      <c r="C3699">
        <v>2016</v>
      </c>
      <c r="D3699" t="s">
        <v>617</v>
      </c>
      <c r="E3699" t="s">
        <v>618</v>
      </c>
      <c r="F3699" t="s">
        <v>17</v>
      </c>
      <c r="G3699" t="s">
        <v>17</v>
      </c>
      <c r="H3699" t="s">
        <v>619</v>
      </c>
      <c r="I3699" t="s">
        <v>28</v>
      </c>
      <c r="J3699" t="s">
        <v>80</v>
      </c>
      <c r="K3699" t="s">
        <v>21</v>
      </c>
      <c r="L3699" t="s">
        <v>205</v>
      </c>
      <c r="N3699" t="s">
        <v>620</v>
      </c>
      <c r="O3699" t="s">
        <v>430</v>
      </c>
    </row>
    <row r="3700" spans="1:15" x14ac:dyDescent="0.25">
      <c r="A3700">
        <v>3699</v>
      </c>
      <c r="B3700" t="str">
        <f>HYPERLINK("https://digitalcommons.unl.edu/cgi/viewcontent.cgi?article=3643&amp;context=tractormuseumlit","Click for test report")</f>
        <v>Click for test report</v>
      </c>
      <c r="C3700">
        <v>2016</v>
      </c>
      <c r="D3700" t="s">
        <v>613</v>
      </c>
      <c r="E3700" t="s">
        <v>614</v>
      </c>
      <c r="F3700" t="s">
        <v>17</v>
      </c>
      <c r="G3700" t="s">
        <v>17</v>
      </c>
      <c r="H3700" t="s">
        <v>615</v>
      </c>
      <c r="I3700" t="s">
        <v>28</v>
      </c>
      <c r="J3700" t="s">
        <v>80</v>
      </c>
      <c r="K3700" t="s">
        <v>21</v>
      </c>
      <c r="L3700" t="s">
        <v>275</v>
      </c>
      <c r="N3700" t="s">
        <v>616</v>
      </c>
      <c r="O3700" t="s">
        <v>430</v>
      </c>
    </row>
    <row r="3701" spans="1:15" x14ac:dyDescent="0.25">
      <c r="A3701">
        <v>3700</v>
      </c>
      <c r="B3701" t="str">
        <f>HYPERLINK("https://digitalcommons.unl.edu/cgi/viewcontent.cgi?article=3613&amp;context=tractormuseumlit","Click for test report")</f>
        <v>Click for test report</v>
      </c>
      <c r="C3701">
        <v>2016</v>
      </c>
      <c r="D3701" t="s">
        <v>610</v>
      </c>
      <c r="E3701" t="s">
        <v>611</v>
      </c>
      <c r="F3701" t="s">
        <v>577</v>
      </c>
      <c r="G3701" t="s">
        <v>135</v>
      </c>
      <c r="H3701" t="s">
        <v>612</v>
      </c>
      <c r="I3701" t="s">
        <v>28</v>
      </c>
      <c r="J3701" t="s">
        <v>137</v>
      </c>
      <c r="K3701" t="s">
        <v>21</v>
      </c>
      <c r="L3701" t="s">
        <v>393</v>
      </c>
      <c r="N3701" t="s">
        <v>166</v>
      </c>
      <c r="O3701" t="s">
        <v>24</v>
      </c>
    </row>
    <row r="3702" spans="1:15" x14ac:dyDescent="0.25">
      <c r="A3702">
        <v>3701</v>
      </c>
      <c r="B3702" t="str">
        <f>HYPERLINK("https://digitalcommons.unl.edu/cgi/viewcontent.cgi?article=3615&amp;context=tractormuseumlit","Click for test report")</f>
        <v>Click for test report</v>
      </c>
      <c r="C3702">
        <v>2016</v>
      </c>
      <c r="D3702" t="s">
        <v>606</v>
      </c>
      <c r="E3702" t="s">
        <v>607</v>
      </c>
      <c r="F3702" t="s">
        <v>577</v>
      </c>
      <c r="G3702" t="s">
        <v>191</v>
      </c>
      <c r="H3702" t="s">
        <v>608</v>
      </c>
      <c r="I3702" t="s">
        <v>28</v>
      </c>
      <c r="J3702" t="s">
        <v>137</v>
      </c>
      <c r="K3702" t="s">
        <v>21</v>
      </c>
      <c r="L3702" t="s">
        <v>429</v>
      </c>
      <c r="N3702" t="s">
        <v>609</v>
      </c>
      <c r="O3702" t="s">
        <v>24</v>
      </c>
    </row>
    <row r="3703" spans="1:15" x14ac:dyDescent="0.25">
      <c r="A3703">
        <v>3702</v>
      </c>
      <c r="B3703" t="str">
        <f>HYPERLINK("https://digitalcommons.unl.edu/cgi/viewcontent.cgi?article=3617&amp;context=tractormuseumlit","Click for test report")</f>
        <v>Click for test report</v>
      </c>
      <c r="C3703">
        <v>2016</v>
      </c>
      <c r="D3703" t="s">
        <v>602</v>
      </c>
      <c r="E3703" t="s">
        <v>603</v>
      </c>
      <c r="F3703" t="s">
        <v>134</v>
      </c>
      <c r="G3703" t="s">
        <v>135</v>
      </c>
      <c r="H3703" t="s">
        <v>604</v>
      </c>
      <c r="I3703" t="s">
        <v>64</v>
      </c>
      <c r="J3703" t="s">
        <v>20</v>
      </c>
      <c r="K3703" t="s">
        <v>21</v>
      </c>
      <c r="L3703" t="s">
        <v>30</v>
      </c>
      <c r="N3703" t="s">
        <v>605</v>
      </c>
      <c r="O3703" t="s">
        <v>24</v>
      </c>
    </row>
    <row r="3704" spans="1:15" x14ac:dyDescent="0.25">
      <c r="A3704">
        <v>3703</v>
      </c>
      <c r="B3704" t="str">
        <f>HYPERLINK("https://digitalcommons.unl.edu/cgi/viewcontent.cgi?article=3624&amp;context=tractormuseumlit","Click for test report")</f>
        <v>Click for test report</v>
      </c>
      <c r="C3704">
        <v>2016</v>
      </c>
      <c r="D3704" t="s">
        <v>598</v>
      </c>
      <c r="E3704" t="s">
        <v>599</v>
      </c>
      <c r="F3704" t="s">
        <v>588</v>
      </c>
      <c r="G3704" t="s">
        <v>191</v>
      </c>
      <c r="H3704" t="s">
        <v>600</v>
      </c>
      <c r="I3704" t="s">
        <v>50</v>
      </c>
      <c r="J3704" t="s">
        <v>20</v>
      </c>
      <c r="K3704" t="s">
        <v>21</v>
      </c>
      <c r="L3704" t="s">
        <v>454</v>
      </c>
      <c r="N3704" t="s">
        <v>344</v>
      </c>
      <c r="O3704" t="s">
        <v>601</v>
      </c>
    </row>
    <row r="3705" spans="1:15" x14ac:dyDescent="0.25">
      <c r="A3705">
        <v>3704</v>
      </c>
      <c r="B3705" t="str">
        <f>HYPERLINK("https://digitalcommons.unl.edu/cgi/viewcontent.cgi?article=3626&amp;context=tractormuseumlit","Click for test report")</f>
        <v>Click for test report</v>
      </c>
      <c r="C3705">
        <v>2016</v>
      </c>
      <c r="D3705" t="s">
        <v>595</v>
      </c>
      <c r="E3705" t="s">
        <v>596</v>
      </c>
      <c r="F3705" t="s">
        <v>588</v>
      </c>
      <c r="G3705" t="s">
        <v>135</v>
      </c>
      <c r="H3705" t="s">
        <v>597</v>
      </c>
      <c r="I3705" t="s">
        <v>50</v>
      </c>
      <c r="J3705" t="s">
        <v>20</v>
      </c>
      <c r="K3705" t="s">
        <v>21</v>
      </c>
      <c r="L3705" t="s">
        <v>127</v>
      </c>
      <c r="N3705" t="s">
        <v>340</v>
      </c>
      <c r="O3705" t="s">
        <v>24</v>
      </c>
    </row>
    <row r="3706" spans="1:15" x14ac:dyDescent="0.25">
      <c r="A3706">
        <v>3705</v>
      </c>
      <c r="B3706" t="str">
        <f>HYPERLINK("https://digitalcommons.unl.edu/cgi/viewcontent.cgi?article=3628&amp;context=tractormuseumlit","Click for test report")</f>
        <v>Click for test report</v>
      </c>
      <c r="C3706">
        <v>2016</v>
      </c>
      <c r="D3706" t="s">
        <v>591</v>
      </c>
      <c r="E3706" t="s">
        <v>592</v>
      </c>
      <c r="F3706" t="s">
        <v>588</v>
      </c>
      <c r="G3706" t="s">
        <v>135</v>
      </c>
      <c r="H3706" t="s">
        <v>593</v>
      </c>
      <c r="I3706" t="s">
        <v>28</v>
      </c>
      <c r="J3706" t="s">
        <v>20</v>
      </c>
      <c r="K3706" t="s">
        <v>21</v>
      </c>
      <c r="L3706" t="s">
        <v>336</v>
      </c>
      <c r="N3706" t="s">
        <v>247</v>
      </c>
      <c r="O3706" t="s">
        <v>594</v>
      </c>
    </row>
    <row r="3707" spans="1:15" x14ac:dyDescent="0.25">
      <c r="A3707">
        <v>3706</v>
      </c>
      <c r="B3707" t="str">
        <f>HYPERLINK("https://digitalcommons.unl.edu/cgi/viewcontent.cgi?article=3653&amp;context=tractormuseumlit","Click for test report")</f>
        <v>Click for test report</v>
      </c>
      <c r="C3707">
        <v>2016</v>
      </c>
      <c r="D3707" t="s">
        <v>586</v>
      </c>
      <c r="E3707" t="s">
        <v>587</v>
      </c>
      <c r="F3707" t="s">
        <v>588</v>
      </c>
      <c r="G3707" t="s">
        <v>191</v>
      </c>
      <c r="H3707" t="s">
        <v>589</v>
      </c>
      <c r="I3707" t="s">
        <v>28</v>
      </c>
      <c r="J3707" t="s">
        <v>20</v>
      </c>
      <c r="K3707" t="s">
        <v>21</v>
      </c>
      <c r="L3707" t="s">
        <v>333</v>
      </c>
      <c r="N3707" t="s">
        <v>46</v>
      </c>
      <c r="O3707" t="s">
        <v>590</v>
      </c>
    </row>
    <row r="3708" spans="1:15" x14ac:dyDescent="0.25">
      <c r="A3708">
        <v>3707</v>
      </c>
      <c r="B3708" t="str">
        <f>HYPERLINK("https://digitalcommons.unl.edu/cgi/viewcontent.cgi?article=3633&amp;context=tractormuseumlit","Click for test report")</f>
        <v>Click for test report</v>
      </c>
      <c r="C3708">
        <v>2016</v>
      </c>
      <c r="D3708" t="s">
        <v>581</v>
      </c>
      <c r="E3708" t="s">
        <v>582</v>
      </c>
      <c r="F3708" t="s">
        <v>577</v>
      </c>
      <c r="G3708" t="s">
        <v>135</v>
      </c>
      <c r="H3708" t="s">
        <v>583</v>
      </c>
      <c r="I3708" t="s">
        <v>28</v>
      </c>
      <c r="J3708" t="s">
        <v>29</v>
      </c>
      <c r="K3708" t="s">
        <v>21</v>
      </c>
      <c r="L3708" t="s">
        <v>187</v>
      </c>
      <c r="N3708" t="s">
        <v>584</v>
      </c>
      <c r="O3708" t="s">
        <v>585</v>
      </c>
    </row>
    <row r="3709" spans="1:15" x14ac:dyDescent="0.25">
      <c r="A3709">
        <v>3708</v>
      </c>
      <c r="B3709" t="str">
        <f>HYPERLINK("https://digitalcommons.unl.edu/cgi/viewcontent.cgi?article=3636&amp;context=tractormuseumlit","Click for test report")</f>
        <v>Click for test report</v>
      </c>
      <c r="C3709">
        <v>2016</v>
      </c>
      <c r="D3709" t="s">
        <v>575</v>
      </c>
      <c r="E3709" t="s">
        <v>576</v>
      </c>
      <c r="F3709" t="s">
        <v>577</v>
      </c>
      <c r="G3709" t="s">
        <v>135</v>
      </c>
      <c r="H3709" t="s">
        <v>578</v>
      </c>
      <c r="I3709" t="s">
        <v>28</v>
      </c>
      <c r="J3709" t="s">
        <v>29</v>
      </c>
      <c r="K3709" t="s">
        <v>21</v>
      </c>
      <c r="L3709" t="s">
        <v>187</v>
      </c>
      <c r="N3709" t="s">
        <v>579</v>
      </c>
      <c r="O3709" t="s">
        <v>580</v>
      </c>
    </row>
    <row r="3710" spans="1:15" x14ac:dyDescent="0.25">
      <c r="A3710">
        <v>3709</v>
      </c>
      <c r="B3710" t="str">
        <f>HYPERLINK("https://digitalcommons.unl.edu/cgi/viewcontent.cgi?article=4259&amp;context=tractormuseumlit","Click for test report")</f>
        <v>Click for test report</v>
      </c>
      <c r="C3710">
        <v>2017</v>
      </c>
      <c r="E3710" t="s">
        <v>573</v>
      </c>
      <c r="F3710" t="s">
        <v>17</v>
      </c>
      <c r="G3710" t="s">
        <v>17</v>
      </c>
      <c r="H3710" t="s">
        <v>342</v>
      </c>
      <c r="I3710" t="s">
        <v>28</v>
      </c>
      <c r="J3710" t="s">
        <v>20</v>
      </c>
      <c r="K3710" t="s">
        <v>21</v>
      </c>
      <c r="L3710" t="s">
        <v>461</v>
      </c>
      <c r="N3710" t="s">
        <v>574</v>
      </c>
      <c r="O3710" t="s">
        <v>24</v>
      </c>
    </row>
    <row r="3711" spans="1:15" x14ac:dyDescent="0.25">
      <c r="A3711">
        <v>3710</v>
      </c>
      <c r="B3711" t="str">
        <f>HYPERLINK("https://digitalcommons.unl.edu/cgi/viewcontent.cgi?article=4260&amp;context=tractormuseumlit","Click for test report")</f>
        <v>Click for test report</v>
      </c>
      <c r="C3711">
        <v>2017</v>
      </c>
      <c r="E3711" t="s">
        <v>572</v>
      </c>
      <c r="F3711" t="s">
        <v>17</v>
      </c>
      <c r="G3711" t="s">
        <v>17</v>
      </c>
      <c r="H3711" t="s">
        <v>338</v>
      </c>
      <c r="I3711" t="s">
        <v>28</v>
      </c>
      <c r="J3711" t="s">
        <v>20</v>
      </c>
      <c r="K3711" t="s">
        <v>21</v>
      </c>
      <c r="L3711" t="s">
        <v>123</v>
      </c>
      <c r="N3711" t="s">
        <v>457</v>
      </c>
      <c r="O3711" t="s">
        <v>24</v>
      </c>
    </row>
    <row r="3712" spans="1:15" x14ac:dyDescent="0.25">
      <c r="A3712">
        <v>3711</v>
      </c>
      <c r="B3712" t="str">
        <f>HYPERLINK("https://digitalcommons.unl.edu/cgi/viewcontent.cgi?article=4261&amp;context=tractormuseumlit","Click for test report")</f>
        <v>Click for test report</v>
      </c>
      <c r="C3712">
        <v>2017</v>
      </c>
      <c r="E3712" t="s">
        <v>570</v>
      </c>
      <c r="F3712" t="s">
        <v>17</v>
      </c>
      <c r="G3712" t="s">
        <v>17</v>
      </c>
      <c r="H3712" t="s">
        <v>246</v>
      </c>
      <c r="I3712" t="s">
        <v>28</v>
      </c>
      <c r="J3712" t="s">
        <v>20</v>
      </c>
      <c r="K3712" t="s">
        <v>21</v>
      </c>
      <c r="L3712" t="s">
        <v>571</v>
      </c>
      <c r="N3712" t="s">
        <v>51</v>
      </c>
      <c r="O3712" t="s">
        <v>24</v>
      </c>
    </row>
    <row r="3713" spans="1:15" x14ac:dyDescent="0.25">
      <c r="A3713">
        <v>3712</v>
      </c>
      <c r="B3713" t="str">
        <f>HYPERLINK("https://digitalcommons.unl.edu/cgi/viewcontent.cgi?article=4262&amp;context=tractormuseumlit","Click for test report")</f>
        <v>Click for test report</v>
      </c>
      <c r="C3713">
        <v>2017</v>
      </c>
      <c r="E3713" t="s">
        <v>568</v>
      </c>
      <c r="F3713" t="s">
        <v>17</v>
      </c>
      <c r="G3713" t="s">
        <v>17</v>
      </c>
      <c r="H3713" t="s">
        <v>335</v>
      </c>
      <c r="I3713" t="s">
        <v>28</v>
      </c>
      <c r="J3713" t="s">
        <v>20</v>
      </c>
      <c r="K3713" t="s">
        <v>21</v>
      </c>
      <c r="L3713" t="s">
        <v>569</v>
      </c>
      <c r="N3713" t="s">
        <v>374</v>
      </c>
      <c r="O3713" t="s">
        <v>24</v>
      </c>
    </row>
    <row r="3714" spans="1:15" x14ac:dyDescent="0.25">
      <c r="A3714">
        <v>3713</v>
      </c>
      <c r="B3714" t="str">
        <f>HYPERLINK("https://digitalcommons.unl.edu/cgi/viewcontent.cgi?article=4263&amp;context=tractormuseumlit","Click for test report")</f>
        <v>Click for test report</v>
      </c>
      <c r="C3714">
        <v>2017</v>
      </c>
      <c r="E3714" t="s">
        <v>566</v>
      </c>
      <c r="F3714" t="s">
        <v>17</v>
      </c>
      <c r="G3714" t="s">
        <v>17</v>
      </c>
      <c r="H3714" t="s">
        <v>331</v>
      </c>
      <c r="I3714" t="s">
        <v>28</v>
      </c>
      <c r="J3714" t="s">
        <v>20</v>
      </c>
      <c r="K3714" t="s">
        <v>21</v>
      </c>
      <c r="L3714" t="s">
        <v>119</v>
      </c>
      <c r="N3714" t="s">
        <v>567</v>
      </c>
      <c r="O3714" t="s">
        <v>24</v>
      </c>
    </row>
    <row r="3715" spans="1:15" x14ac:dyDescent="0.25">
      <c r="A3715">
        <v>3714</v>
      </c>
      <c r="B3715" t="str">
        <f>HYPERLINK("https://digitalcommons.unl.edu/cgi/viewcontent.cgi?article=4285&amp;context=tractormuseumlit","Click for test report")</f>
        <v>Click for test report</v>
      </c>
      <c r="C3715">
        <v>2017</v>
      </c>
      <c r="E3715" t="s">
        <v>563</v>
      </c>
      <c r="F3715" t="s">
        <v>17</v>
      </c>
      <c r="G3715" t="s">
        <v>17</v>
      </c>
      <c r="H3715" t="s">
        <v>564</v>
      </c>
      <c r="I3715" t="s">
        <v>28</v>
      </c>
      <c r="J3715" t="s">
        <v>20</v>
      </c>
      <c r="K3715" t="s">
        <v>21</v>
      </c>
      <c r="L3715" t="s">
        <v>457</v>
      </c>
      <c r="N3715" t="s">
        <v>565</v>
      </c>
      <c r="O3715" t="s">
        <v>24</v>
      </c>
    </row>
    <row r="3716" spans="1:15" x14ac:dyDescent="0.25">
      <c r="A3716">
        <v>3715</v>
      </c>
      <c r="B3716" t="str">
        <f>HYPERLINK("https://digitalcommons.unl.edu/cgi/viewcontent.cgi?article=4286&amp;context=tractormuseumlit","Click for test report")</f>
        <v>Click for test report</v>
      </c>
      <c r="C3716">
        <v>2017</v>
      </c>
      <c r="E3716" t="s">
        <v>559</v>
      </c>
      <c r="F3716" t="s">
        <v>17</v>
      </c>
      <c r="G3716" t="s">
        <v>17</v>
      </c>
      <c r="H3716" t="s">
        <v>560</v>
      </c>
      <c r="I3716" t="s">
        <v>28</v>
      </c>
      <c r="J3716" t="s">
        <v>20</v>
      </c>
      <c r="K3716" t="s">
        <v>21</v>
      </c>
      <c r="L3716" t="s">
        <v>561</v>
      </c>
      <c r="N3716" t="s">
        <v>562</v>
      </c>
      <c r="O3716" t="s">
        <v>24</v>
      </c>
    </row>
    <row r="3717" spans="1:15" x14ac:dyDescent="0.25">
      <c r="A3717">
        <v>3716</v>
      </c>
      <c r="B3717" t="str">
        <f>HYPERLINK("https://digitalcommons.unl.edu/cgi/viewcontent.cgi?article=4287&amp;context=tractormuseumlit","Click for test report")</f>
        <v>Click for test report</v>
      </c>
      <c r="C3717">
        <v>2017</v>
      </c>
      <c r="E3717" t="s">
        <v>556</v>
      </c>
      <c r="F3717" t="s">
        <v>17</v>
      </c>
      <c r="G3717" t="s">
        <v>17</v>
      </c>
      <c r="H3717" t="s">
        <v>557</v>
      </c>
      <c r="I3717" t="s">
        <v>28</v>
      </c>
      <c r="J3717" t="s">
        <v>20</v>
      </c>
      <c r="K3717" t="s">
        <v>21</v>
      </c>
      <c r="L3717" t="s">
        <v>558</v>
      </c>
      <c r="N3717" t="s">
        <v>368</v>
      </c>
      <c r="O3717" t="s">
        <v>24</v>
      </c>
    </row>
    <row r="3718" spans="1:15" x14ac:dyDescent="0.25">
      <c r="A3718">
        <v>3717</v>
      </c>
      <c r="B3718" t="str">
        <f>HYPERLINK("https://digitalcommons.unl.edu/cgi/viewcontent.cgi?article=4288&amp;context=tractormuseumlit","Click for test report")</f>
        <v>Click for test report</v>
      </c>
      <c r="C3718">
        <v>2017</v>
      </c>
      <c r="E3718" t="s">
        <v>555</v>
      </c>
      <c r="F3718" t="s">
        <v>111</v>
      </c>
      <c r="G3718" t="s">
        <v>414</v>
      </c>
      <c r="H3718" t="s">
        <v>259</v>
      </c>
      <c r="I3718" t="s">
        <v>64</v>
      </c>
      <c r="J3718" t="s">
        <v>20</v>
      </c>
      <c r="K3718" t="s">
        <v>21</v>
      </c>
      <c r="L3718" t="s">
        <v>260</v>
      </c>
      <c r="N3718" t="s">
        <v>261</v>
      </c>
      <c r="O3718" t="s">
        <v>24</v>
      </c>
    </row>
    <row r="3719" spans="1:15" x14ac:dyDescent="0.25">
      <c r="A3719">
        <v>3718</v>
      </c>
      <c r="B3719" t="str">
        <f>HYPERLINK("https://digitalcommons.unl.edu/cgi/viewcontent.cgi?article=4289&amp;context=tractormuseumlit","Click for test report")</f>
        <v>Click for test report</v>
      </c>
      <c r="C3719">
        <v>2017</v>
      </c>
      <c r="E3719" t="s">
        <v>554</v>
      </c>
      <c r="F3719" t="s">
        <v>111</v>
      </c>
      <c r="G3719" t="s">
        <v>414</v>
      </c>
      <c r="H3719" t="s">
        <v>256</v>
      </c>
      <c r="I3719" t="s">
        <v>64</v>
      </c>
      <c r="J3719" t="s">
        <v>20</v>
      </c>
      <c r="K3719" t="s">
        <v>21</v>
      </c>
      <c r="L3719" t="s">
        <v>88</v>
      </c>
      <c r="N3719" t="s">
        <v>257</v>
      </c>
      <c r="O3719" t="s">
        <v>24</v>
      </c>
    </row>
    <row r="3720" spans="1:15" x14ac:dyDescent="0.25">
      <c r="A3720">
        <v>3719</v>
      </c>
      <c r="B3720" t="str">
        <f>HYPERLINK("https://digitalcommons.unl.edu/cgi/viewcontent.cgi?article=4290&amp;context=tractormuseumlit","Click for test report")</f>
        <v>Click for test report</v>
      </c>
      <c r="C3720">
        <v>2017</v>
      </c>
      <c r="E3720" t="s">
        <v>553</v>
      </c>
      <c r="F3720" t="s">
        <v>111</v>
      </c>
      <c r="G3720" t="s">
        <v>414</v>
      </c>
      <c r="H3720" t="s">
        <v>254</v>
      </c>
      <c r="I3720" t="s">
        <v>64</v>
      </c>
      <c r="J3720" t="s">
        <v>20</v>
      </c>
      <c r="K3720" t="s">
        <v>21</v>
      </c>
      <c r="L3720" t="s">
        <v>98</v>
      </c>
      <c r="N3720" t="s">
        <v>31</v>
      </c>
      <c r="O3720" t="s">
        <v>24</v>
      </c>
    </row>
    <row r="3721" spans="1:15" x14ac:dyDescent="0.25">
      <c r="A3721">
        <v>3720</v>
      </c>
      <c r="B3721" t="str">
        <f>HYPERLINK("https://digitalcommons.unl.edu/cgi/viewcontent.cgi?article=4350&amp;context=tractormuseumlit","Click for test report")</f>
        <v>Click for test report</v>
      </c>
      <c r="C3721">
        <v>2017</v>
      </c>
      <c r="E3721" t="s">
        <v>550</v>
      </c>
      <c r="F3721" t="s">
        <v>17</v>
      </c>
      <c r="G3721" t="s">
        <v>17</v>
      </c>
      <c r="H3721" t="s">
        <v>551</v>
      </c>
      <c r="I3721" t="s">
        <v>64</v>
      </c>
      <c r="J3721" t="s">
        <v>20</v>
      </c>
      <c r="K3721" t="s">
        <v>21</v>
      </c>
      <c r="L3721" t="s">
        <v>552</v>
      </c>
      <c r="N3721" t="s">
        <v>66</v>
      </c>
      <c r="O3721" t="s">
        <v>24</v>
      </c>
    </row>
    <row r="3722" spans="1:15" x14ac:dyDescent="0.25">
      <c r="A3722">
        <v>3721</v>
      </c>
      <c r="B3722" t="str">
        <f>HYPERLINK("https://digitalcommons.unl.edu/cgi/viewcontent.cgi?article=3320&amp;context=tractormuseumlit","Click for test report")</f>
        <v>Click for test report</v>
      </c>
      <c r="C3722">
        <v>2017</v>
      </c>
      <c r="D3722" t="s">
        <v>547</v>
      </c>
      <c r="E3722" t="s">
        <v>548</v>
      </c>
      <c r="F3722" t="s">
        <v>17</v>
      </c>
      <c r="G3722" t="s">
        <v>17</v>
      </c>
      <c r="H3722" t="s">
        <v>549</v>
      </c>
      <c r="I3722" t="s">
        <v>28</v>
      </c>
      <c r="J3722" t="s">
        <v>20</v>
      </c>
      <c r="K3722" t="s">
        <v>21</v>
      </c>
      <c r="L3722" t="s">
        <v>265</v>
      </c>
      <c r="N3722" t="s">
        <v>81</v>
      </c>
      <c r="O3722" t="s">
        <v>32</v>
      </c>
    </row>
    <row r="3723" spans="1:15" x14ac:dyDescent="0.25">
      <c r="A3723">
        <v>3722</v>
      </c>
      <c r="B3723" t="str">
        <f>HYPERLINK("https://digitalcommons.unl.edu/cgi/viewcontent.cgi?article=3321&amp;context=tractormuseumlit","Click for test report")</f>
        <v>Click for test report</v>
      </c>
      <c r="C3723">
        <v>2017</v>
      </c>
      <c r="D3723" t="s">
        <v>543</v>
      </c>
      <c r="E3723" t="s">
        <v>544</v>
      </c>
      <c r="F3723" t="s">
        <v>17</v>
      </c>
      <c r="G3723" t="s">
        <v>17</v>
      </c>
      <c r="H3723" t="s">
        <v>545</v>
      </c>
      <c r="I3723" t="s">
        <v>28</v>
      </c>
      <c r="J3723" t="s">
        <v>80</v>
      </c>
      <c r="K3723" t="s">
        <v>21</v>
      </c>
      <c r="L3723" t="s">
        <v>81</v>
      </c>
      <c r="N3723" t="s">
        <v>546</v>
      </c>
      <c r="O3723" t="s">
        <v>430</v>
      </c>
    </row>
    <row r="3724" spans="1:15" x14ac:dyDescent="0.25">
      <c r="A3724">
        <v>3723</v>
      </c>
      <c r="B3724" t="str">
        <f>HYPERLINK("https://digitalcommons.unl.edu/cgi/viewcontent.cgi?article=3318&amp;context=tractormuseumlit","Click for test report")</f>
        <v>Click for test report</v>
      </c>
      <c r="C3724">
        <v>2017</v>
      </c>
      <c r="D3724" t="s">
        <v>538</v>
      </c>
      <c r="E3724" t="s">
        <v>539</v>
      </c>
      <c r="F3724" t="s">
        <v>17</v>
      </c>
      <c r="G3724" t="s">
        <v>17</v>
      </c>
      <c r="H3724" t="s">
        <v>540</v>
      </c>
      <c r="I3724" t="s">
        <v>28</v>
      </c>
      <c r="J3724" t="s">
        <v>80</v>
      </c>
      <c r="K3724" t="s">
        <v>21</v>
      </c>
      <c r="L3724" t="s">
        <v>541</v>
      </c>
      <c r="N3724" t="s">
        <v>542</v>
      </c>
      <c r="O3724" t="s">
        <v>430</v>
      </c>
    </row>
    <row r="3725" spans="1:15" x14ac:dyDescent="0.25">
      <c r="A3725">
        <v>3724</v>
      </c>
      <c r="B3725" t="str">
        <f>HYPERLINK("https://digitalcommons.unl.edu/cgi/viewcontent.cgi?article=3319&amp;context=tractormuseumlit","Click for test report")</f>
        <v>Click for test report</v>
      </c>
      <c r="C3725">
        <v>2017</v>
      </c>
      <c r="D3725" t="s">
        <v>533</v>
      </c>
      <c r="E3725" t="s">
        <v>534</v>
      </c>
      <c r="F3725" t="s">
        <v>241</v>
      </c>
      <c r="G3725" t="s">
        <v>242</v>
      </c>
      <c r="H3725" t="s">
        <v>535</v>
      </c>
      <c r="I3725" t="s">
        <v>64</v>
      </c>
      <c r="J3725" t="s">
        <v>29</v>
      </c>
      <c r="K3725" t="s">
        <v>21</v>
      </c>
      <c r="L3725" t="s">
        <v>536</v>
      </c>
      <c r="N3725" t="s">
        <v>537</v>
      </c>
      <c r="O3725" t="s">
        <v>24</v>
      </c>
    </row>
    <row r="3726" spans="1:15" x14ac:dyDescent="0.25">
      <c r="A3726">
        <v>3725</v>
      </c>
      <c r="B3726" t="str">
        <f>HYPERLINK("https://digitalcommons.unl.edu/cgi/viewcontent.cgi?article=3644&amp;context=tractormuseumlit","Click for test report")</f>
        <v>Click for test report</v>
      </c>
      <c r="C3726">
        <v>2017</v>
      </c>
      <c r="D3726" t="s">
        <v>530</v>
      </c>
      <c r="E3726" t="s">
        <v>531</v>
      </c>
      <c r="F3726" t="s">
        <v>357</v>
      </c>
      <c r="G3726" t="s">
        <v>62</v>
      </c>
      <c r="H3726" t="s">
        <v>532</v>
      </c>
      <c r="I3726" t="s">
        <v>28</v>
      </c>
      <c r="J3726" t="s">
        <v>20</v>
      </c>
      <c r="K3726" t="s">
        <v>21</v>
      </c>
      <c r="L3726" t="s">
        <v>359</v>
      </c>
      <c r="N3726" t="s">
        <v>127</v>
      </c>
      <c r="O3726" t="s">
        <v>24</v>
      </c>
    </row>
    <row r="3727" spans="1:15" x14ac:dyDescent="0.25">
      <c r="A3727">
        <v>3726</v>
      </c>
      <c r="B3727" t="str">
        <f>HYPERLINK("https://digitalcommons.unl.edu/cgi/viewcontent.cgi?article=3688&amp;context=tractormuseumlit","Click for test report")</f>
        <v>Click for test report</v>
      </c>
      <c r="C3727">
        <v>2017</v>
      </c>
      <c r="D3727" t="s">
        <v>529</v>
      </c>
      <c r="G3727" t="s">
        <v>322</v>
      </c>
      <c r="H3727" t="s">
        <v>24</v>
      </c>
      <c r="I3727" t="s">
        <v>24</v>
      </c>
      <c r="O3727" t="s">
        <v>24</v>
      </c>
    </row>
    <row r="3728" spans="1:15" x14ac:dyDescent="0.25">
      <c r="A3728">
        <v>3727</v>
      </c>
      <c r="B3728" t="str">
        <f>HYPERLINK("https://digitalcommons.unl.edu/cgi/viewcontent.cgi?article=3645&amp;context=tractormuseumlit","Click for test report")</f>
        <v>Click for test report</v>
      </c>
      <c r="C3728">
        <v>2017</v>
      </c>
      <c r="D3728" t="s">
        <v>524</v>
      </c>
      <c r="E3728" t="s">
        <v>525</v>
      </c>
      <c r="F3728" t="s">
        <v>357</v>
      </c>
      <c r="G3728" t="s">
        <v>62</v>
      </c>
      <c r="H3728" t="s">
        <v>526</v>
      </c>
      <c r="I3728" t="s">
        <v>28</v>
      </c>
      <c r="J3728" t="s">
        <v>20</v>
      </c>
      <c r="K3728" t="s">
        <v>21</v>
      </c>
      <c r="L3728" t="s">
        <v>527</v>
      </c>
      <c r="N3728" t="s">
        <v>528</v>
      </c>
      <c r="O3728" t="s">
        <v>24</v>
      </c>
    </row>
    <row r="3729" spans="1:15" x14ac:dyDescent="0.25">
      <c r="A3729">
        <v>3728</v>
      </c>
      <c r="B3729" t="str">
        <f>HYPERLINK("https://digitalcommons.unl.edu/cgi/viewcontent.cgi?article=3646&amp;context=tractormuseumlit","Click for test report")</f>
        <v>Click for test report</v>
      </c>
      <c r="C3729">
        <v>2017</v>
      </c>
      <c r="D3729" t="s">
        <v>521</v>
      </c>
      <c r="E3729" t="s">
        <v>522</v>
      </c>
      <c r="F3729" t="s">
        <v>17</v>
      </c>
      <c r="G3729" t="s">
        <v>17</v>
      </c>
      <c r="H3729" t="s">
        <v>523</v>
      </c>
      <c r="I3729" t="s">
        <v>28</v>
      </c>
      <c r="J3729" t="s">
        <v>20</v>
      </c>
      <c r="K3729" t="s">
        <v>21</v>
      </c>
      <c r="L3729" t="s">
        <v>149</v>
      </c>
      <c r="N3729" t="s">
        <v>150</v>
      </c>
      <c r="O3729" t="s">
        <v>24</v>
      </c>
    </row>
    <row r="3730" spans="1:15" x14ac:dyDescent="0.25">
      <c r="A3730">
        <v>3729</v>
      </c>
      <c r="B3730" t="str">
        <f>HYPERLINK("https://digitalcommons.unl.edu/cgi/viewcontent.cgi?article=3647&amp;context=tractormuseumlit","Click for test report")</f>
        <v>Click for test report</v>
      </c>
      <c r="C3730">
        <v>2017</v>
      </c>
      <c r="D3730" t="s">
        <v>516</v>
      </c>
      <c r="E3730" t="s">
        <v>517</v>
      </c>
      <c r="F3730" t="s">
        <v>502</v>
      </c>
      <c r="G3730" t="s">
        <v>242</v>
      </c>
      <c r="H3730" t="s">
        <v>518</v>
      </c>
      <c r="I3730" t="s">
        <v>64</v>
      </c>
      <c r="J3730" t="s">
        <v>20</v>
      </c>
      <c r="K3730" t="s">
        <v>21</v>
      </c>
      <c r="L3730" t="s">
        <v>519</v>
      </c>
      <c r="N3730" t="s">
        <v>520</v>
      </c>
      <c r="O3730" t="s">
        <v>24</v>
      </c>
    </row>
    <row r="3731" spans="1:15" x14ac:dyDescent="0.25">
      <c r="A3731">
        <v>3730</v>
      </c>
      <c r="B3731" t="str">
        <f>HYPERLINK("https://digitalcommons.unl.edu/cgi/viewcontent.cgi?article=3648&amp;context=tractormuseumlit","Click for test report")</f>
        <v>Click for test report</v>
      </c>
      <c r="C3731">
        <v>2017</v>
      </c>
      <c r="D3731" t="s">
        <v>511</v>
      </c>
      <c r="E3731" t="s">
        <v>512</v>
      </c>
      <c r="F3731" t="s">
        <v>502</v>
      </c>
      <c r="G3731" t="s">
        <v>242</v>
      </c>
      <c r="H3731" t="s">
        <v>513</v>
      </c>
      <c r="I3731" t="s">
        <v>64</v>
      </c>
      <c r="J3731" t="s">
        <v>20</v>
      </c>
      <c r="K3731" t="s">
        <v>21</v>
      </c>
      <c r="L3731" t="s">
        <v>514</v>
      </c>
      <c r="N3731" t="s">
        <v>515</v>
      </c>
      <c r="O3731" t="s">
        <v>24</v>
      </c>
    </row>
    <row r="3732" spans="1:15" x14ac:dyDescent="0.25">
      <c r="A3732">
        <v>3731</v>
      </c>
      <c r="B3732" t="str">
        <f>HYPERLINK("https://digitalcommons.unl.edu/cgi/viewcontent.cgi?article=3649&amp;context=tractormuseumlit","Click for test report")</f>
        <v>Click for test report</v>
      </c>
      <c r="C3732">
        <v>2017</v>
      </c>
      <c r="D3732" t="s">
        <v>506</v>
      </c>
      <c r="E3732" t="s">
        <v>507</v>
      </c>
      <c r="F3732" t="s">
        <v>502</v>
      </c>
      <c r="G3732" t="s">
        <v>242</v>
      </c>
      <c r="H3732" t="s">
        <v>508</v>
      </c>
      <c r="I3732" t="s">
        <v>64</v>
      </c>
      <c r="J3732" t="s">
        <v>20</v>
      </c>
      <c r="K3732" t="s">
        <v>21</v>
      </c>
      <c r="L3732" t="s">
        <v>509</v>
      </c>
      <c r="N3732" t="s">
        <v>510</v>
      </c>
      <c r="O3732" t="s">
        <v>24</v>
      </c>
    </row>
    <row r="3733" spans="1:15" x14ac:dyDescent="0.25">
      <c r="A3733">
        <v>3732</v>
      </c>
      <c r="B3733" t="str">
        <f>HYPERLINK("https://digitalcommons.unl.edu/cgi/viewcontent.cgi?article=3650&amp;context=tractormuseumlit","Click for test report")</f>
        <v>Click for test report</v>
      </c>
      <c r="C3733">
        <v>2017</v>
      </c>
      <c r="D3733" t="s">
        <v>500</v>
      </c>
      <c r="E3733" t="s">
        <v>501</v>
      </c>
      <c r="F3733" t="s">
        <v>502</v>
      </c>
      <c r="G3733" t="s">
        <v>242</v>
      </c>
      <c r="H3733" t="s">
        <v>503</v>
      </c>
      <c r="I3733" t="s">
        <v>64</v>
      </c>
      <c r="J3733" t="s">
        <v>20</v>
      </c>
      <c r="K3733" t="s">
        <v>21</v>
      </c>
      <c r="L3733" t="s">
        <v>504</v>
      </c>
      <c r="N3733" t="s">
        <v>505</v>
      </c>
      <c r="O3733" t="s">
        <v>24</v>
      </c>
    </row>
    <row r="3734" spans="1:15" x14ac:dyDescent="0.25">
      <c r="A3734">
        <v>3733</v>
      </c>
      <c r="B3734" t="str">
        <f>HYPERLINK("https://digitalcommons.unl.edu/cgi/viewcontent.cgi?article=3651&amp;context=tractormuseumlit","Click for test report")</f>
        <v>Click for test report</v>
      </c>
      <c r="C3734">
        <v>2017</v>
      </c>
      <c r="D3734" t="s">
        <v>496</v>
      </c>
      <c r="E3734" t="s">
        <v>497</v>
      </c>
      <c r="F3734" t="s">
        <v>134</v>
      </c>
      <c r="G3734" t="s">
        <v>191</v>
      </c>
      <c r="H3734" t="s">
        <v>498</v>
      </c>
      <c r="I3734" t="s">
        <v>28</v>
      </c>
      <c r="J3734" t="s">
        <v>80</v>
      </c>
      <c r="K3734" t="s">
        <v>21</v>
      </c>
      <c r="L3734" t="s">
        <v>499</v>
      </c>
      <c r="N3734" t="s">
        <v>387</v>
      </c>
      <c r="O3734" t="s">
        <v>24</v>
      </c>
    </row>
    <row r="3735" spans="1:15" x14ac:dyDescent="0.25">
      <c r="A3735">
        <v>3734</v>
      </c>
      <c r="B3735" t="str">
        <f>HYPERLINK("https://digitalcommons.unl.edu/cgi/viewcontent.cgi?article=3652&amp;context=tractormuseumlit","Click for test report")</f>
        <v>Click for test report</v>
      </c>
      <c r="C3735">
        <v>2017</v>
      </c>
      <c r="D3735" t="s">
        <v>491</v>
      </c>
      <c r="E3735" t="s">
        <v>492</v>
      </c>
      <c r="F3735" t="s">
        <v>134</v>
      </c>
      <c r="G3735" t="s">
        <v>191</v>
      </c>
      <c r="H3735" t="s">
        <v>493</v>
      </c>
      <c r="I3735" t="s">
        <v>28</v>
      </c>
      <c r="J3735" t="s">
        <v>80</v>
      </c>
      <c r="K3735" t="s">
        <v>21</v>
      </c>
      <c r="L3735" t="s">
        <v>494</v>
      </c>
      <c r="N3735" t="s">
        <v>495</v>
      </c>
      <c r="O3735" t="s">
        <v>24</v>
      </c>
    </row>
    <row r="3736" spans="1:15" x14ac:dyDescent="0.25">
      <c r="A3736">
        <v>3735</v>
      </c>
      <c r="B3736" t="str">
        <f>HYPERLINK("https://digitalcommons.unl.edu/cgi/viewcontent.cgi?article=3654&amp;context=tractormuseumlit","Click for test report")</f>
        <v>Click for test report</v>
      </c>
      <c r="C3736">
        <v>2017</v>
      </c>
      <c r="D3736" t="s">
        <v>486</v>
      </c>
      <c r="E3736" t="s">
        <v>487</v>
      </c>
      <c r="F3736" t="s">
        <v>478</v>
      </c>
      <c r="G3736" t="s">
        <v>191</v>
      </c>
      <c r="H3736" t="s">
        <v>488</v>
      </c>
      <c r="I3736" t="s">
        <v>28</v>
      </c>
      <c r="J3736" t="s">
        <v>80</v>
      </c>
      <c r="K3736" t="s">
        <v>21</v>
      </c>
      <c r="L3736" t="s">
        <v>489</v>
      </c>
      <c r="N3736" t="s">
        <v>490</v>
      </c>
      <c r="O3736" t="s">
        <v>24</v>
      </c>
    </row>
    <row r="3737" spans="1:15" x14ac:dyDescent="0.25">
      <c r="A3737">
        <v>3736</v>
      </c>
      <c r="B3737" t="str">
        <f>HYPERLINK("https://digitalcommons.unl.edu/cgi/viewcontent.cgi?article=3655&amp;context=tractormuseumlit","Click for test report")</f>
        <v>Click for test report</v>
      </c>
      <c r="C3737">
        <v>2017</v>
      </c>
      <c r="D3737" t="s">
        <v>482</v>
      </c>
      <c r="E3737" t="s">
        <v>483</v>
      </c>
      <c r="F3737" t="s">
        <v>478</v>
      </c>
      <c r="G3737" t="s">
        <v>191</v>
      </c>
      <c r="H3737" t="s">
        <v>484</v>
      </c>
      <c r="I3737" t="s">
        <v>28</v>
      </c>
      <c r="J3737" t="s">
        <v>80</v>
      </c>
      <c r="K3737" t="s">
        <v>21</v>
      </c>
      <c r="L3737" t="s">
        <v>485</v>
      </c>
      <c r="N3737" t="s">
        <v>188</v>
      </c>
      <c r="O3737" t="s">
        <v>24</v>
      </c>
    </row>
    <row r="3738" spans="1:15" x14ac:dyDescent="0.25">
      <c r="A3738">
        <v>3737</v>
      </c>
      <c r="B3738" t="str">
        <f>HYPERLINK("https://digitalcommons.unl.edu/cgi/viewcontent.cgi?article=3656&amp;context=tractormuseumlit","Click for test report")</f>
        <v>Click for test report</v>
      </c>
      <c r="C3738">
        <v>2017</v>
      </c>
      <c r="D3738" t="s">
        <v>476</v>
      </c>
      <c r="E3738" t="s">
        <v>477</v>
      </c>
      <c r="F3738" t="s">
        <v>478</v>
      </c>
      <c r="G3738" t="s">
        <v>191</v>
      </c>
      <c r="H3738" t="s">
        <v>479</v>
      </c>
      <c r="I3738" t="s">
        <v>28</v>
      </c>
      <c r="J3738" t="s">
        <v>80</v>
      </c>
      <c r="K3738" t="s">
        <v>21</v>
      </c>
      <c r="L3738" t="s">
        <v>480</v>
      </c>
      <c r="N3738" t="s">
        <v>481</v>
      </c>
      <c r="O3738" t="s">
        <v>24</v>
      </c>
    </row>
    <row r="3739" spans="1:15" x14ac:dyDescent="0.25">
      <c r="A3739">
        <v>3738</v>
      </c>
      <c r="B3739" t="str">
        <f>HYPERLINK("https://digitalcommons.unl.edu/cgi/viewcontent.cgi?article=3657&amp;context=tractormuseumlit","Click for test report")</f>
        <v>Click for test report</v>
      </c>
      <c r="C3739">
        <v>2017</v>
      </c>
      <c r="D3739" t="s">
        <v>471</v>
      </c>
      <c r="E3739" t="s">
        <v>472</v>
      </c>
      <c r="F3739" t="s">
        <v>357</v>
      </c>
      <c r="G3739" t="s">
        <v>62</v>
      </c>
      <c r="H3739" t="s">
        <v>473</v>
      </c>
      <c r="I3739" t="s">
        <v>28</v>
      </c>
      <c r="J3739" t="s">
        <v>20</v>
      </c>
      <c r="K3739" t="s">
        <v>21</v>
      </c>
      <c r="L3739" t="s">
        <v>474</v>
      </c>
      <c r="N3739" t="s">
        <v>475</v>
      </c>
      <c r="O3739" t="s">
        <v>24</v>
      </c>
    </row>
    <row r="3740" spans="1:15" x14ac:dyDescent="0.25">
      <c r="A3740">
        <v>3739</v>
      </c>
      <c r="B3740" t="str">
        <f>HYPERLINK("https://digitalcommons.unl.edu/cgi/viewcontent.cgi?article=4291&amp;context=tractormuseumlit","Click for test report")</f>
        <v>Click for test report</v>
      </c>
      <c r="C3740">
        <v>2018</v>
      </c>
      <c r="E3740" t="s">
        <v>470</v>
      </c>
      <c r="F3740" t="s">
        <v>111</v>
      </c>
      <c r="G3740" t="s">
        <v>414</v>
      </c>
      <c r="H3740" t="s">
        <v>250</v>
      </c>
      <c r="I3740" t="s">
        <v>64</v>
      </c>
      <c r="J3740" t="s">
        <v>20</v>
      </c>
      <c r="K3740" t="s">
        <v>21</v>
      </c>
      <c r="L3740" t="s">
        <v>251</v>
      </c>
      <c r="N3740" t="s">
        <v>252</v>
      </c>
      <c r="O3740" t="s">
        <v>24</v>
      </c>
    </row>
    <row r="3741" spans="1:15" x14ac:dyDescent="0.25">
      <c r="A3741">
        <v>3740</v>
      </c>
      <c r="B3741" t="str">
        <f>HYPERLINK("https://digitalcommons.unl.edu/cgi/viewcontent.cgi?article=4349&amp;context=tractormuseumlit","Click for test report")</f>
        <v>Click for test report</v>
      </c>
      <c r="C3741">
        <v>2018</v>
      </c>
      <c r="E3741" t="s">
        <v>467</v>
      </c>
      <c r="F3741" t="s">
        <v>17</v>
      </c>
      <c r="G3741" t="s">
        <v>17</v>
      </c>
      <c r="H3741" t="s">
        <v>468</v>
      </c>
      <c r="I3741" t="s">
        <v>64</v>
      </c>
      <c r="J3741" t="s">
        <v>20</v>
      </c>
      <c r="K3741" t="s">
        <v>21</v>
      </c>
      <c r="L3741" t="s">
        <v>161</v>
      </c>
      <c r="N3741" t="s">
        <v>469</v>
      </c>
      <c r="O3741" t="s">
        <v>24</v>
      </c>
    </row>
    <row r="3742" spans="1:15" x14ac:dyDescent="0.25">
      <c r="A3742">
        <v>3741</v>
      </c>
      <c r="B3742" t="str">
        <f>HYPERLINK("https://digitalcommons.unl.edu/cgi/viewcontent.cgi?article=3658&amp;context=tractormuseumlit","Click for test report")</f>
        <v>Click for test report</v>
      </c>
      <c r="C3742">
        <v>2018</v>
      </c>
      <c r="D3742" t="s">
        <v>465</v>
      </c>
      <c r="F3742" t="s">
        <v>346</v>
      </c>
      <c r="G3742" t="s">
        <v>191</v>
      </c>
      <c r="H3742" t="s">
        <v>466</v>
      </c>
      <c r="I3742" t="s">
        <v>50</v>
      </c>
      <c r="J3742" t="s">
        <v>20</v>
      </c>
      <c r="K3742" t="s">
        <v>21</v>
      </c>
      <c r="L3742" t="s">
        <v>410</v>
      </c>
      <c r="O3742" t="s">
        <v>24</v>
      </c>
    </row>
    <row r="3743" spans="1:15" x14ac:dyDescent="0.25">
      <c r="A3743">
        <v>3742</v>
      </c>
      <c r="B3743" t="str">
        <f>HYPERLINK("https://digitalcommons.unl.edu/cgi/viewcontent.cgi?article=3660&amp;context=tractormuseumlit","Click for test report")</f>
        <v>Click for test report</v>
      </c>
      <c r="C3743">
        <v>2018</v>
      </c>
      <c r="D3743" t="s">
        <v>464</v>
      </c>
      <c r="F3743" t="s">
        <v>17</v>
      </c>
      <c r="G3743" t="s">
        <v>17</v>
      </c>
      <c r="H3743" t="s">
        <v>463</v>
      </c>
      <c r="I3743" t="s">
        <v>50</v>
      </c>
      <c r="J3743" t="s">
        <v>20</v>
      </c>
      <c r="K3743" t="s">
        <v>21</v>
      </c>
      <c r="L3743" t="s">
        <v>378</v>
      </c>
      <c r="O3743" t="s">
        <v>450</v>
      </c>
    </row>
    <row r="3744" spans="1:15" x14ac:dyDescent="0.25">
      <c r="A3744">
        <v>3743</v>
      </c>
      <c r="B3744" t="str">
        <f>HYPERLINK("https://digitalcommons.unl.edu/cgi/viewcontent.cgi?article=3661&amp;context=tractormuseumlit","Click for test report")</f>
        <v>Click for test report</v>
      </c>
      <c r="C3744">
        <v>2018</v>
      </c>
      <c r="D3744" t="s">
        <v>462</v>
      </c>
      <c r="F3744" t="s">
        <v>17</v>
      </c>
      <c r="G3744" t="s">
        <v>17</v>
      </c>
      <c r="H3744" t="s">
        <v>463</v>
      </c>
      <c r="I3744" t="s">
        <v>50</v>
      </c>
      <c r="J3744" t="s">
        <v>20</v>
      </c>
      <c r="K3744" t="s">
        <v>21</v>
      </c>
      <c r="L3744" t="s">
        <v>344</v>
      </c>
      <c r="O3744" t="s">
        <v>447</v>
      </c>
    </row>
    <row r="3745" spans="1:15" x14ac:dyDescent="0.25">
      <c r="A3745">
        <v>3744</v>
      </c>
      <c r="B3745" t="str">
        <f>HYPERLINK("https://digitalcommons.unl.edu/cgi/viewcontent.cgi?article=3662&amp;context=tractormuseumlit","Click for test report")</f>
        <v>Click for test report</v>
      </c>
      <c r="C3745">
        <v>2018</v>
      </c>
      <c r="D3745" t="s">
        <v>460</v>
      </c>
      <c r="F3745" t="s">
        <v>17</v>
      </c>
      <c r="G3745" t="s">
        <v>17</v>
      </c>
      <c r="H3745" t="s">
        <v>459</v>
      </c>
      <c r="I3745" t="s">
        <v>50</v>
      </c>
      <c r="J3745" t="s">
        <v>20</v>
      </c>
      <c r="K3745" t="s">
        <v>21</v>
      </c>
      <c r="L3745" t="s">
        <v>461</v>
      </c>
      <c r="O3745" t="s">
        <v>450</v>
      </c>
    </row>
    <row r="3746" spans="1:15" x14ac:dyDescent="0.25">
      <c r="A3746">
        <v>3745</v>
      </c>
      <c r="B3746" t="str">
        <f>HYPERLINK("https://digitalcommons.unl.edu/cgi/viewcontent.cgi?article=3663&amp;context=tractormuseumlit","Click for test report")</f>
        <v>Click for test report</v>
      </c>
      <c r="C3746">
        <v>2018</v>
      </c>
      <c r="D3746" t="s">
        <v>458</v>
      </c>
      <c r="F3746" t="s">
        <v>17</v>
      </c>
      <c r="G3746" t="s">
        <v>17</v>
      </c>
      <c r="H3746" t="s">
        <v>459</v>
      </c>
      <c r="I3746" t="s">
        <v>50</v>
      </c>
      <c r="J3746" t="s">
        <v>20</v>
      </c>
      <c r="K3746" t="s">
        <v>21</v>
      </c>
      <c r="L3746" t="s">
        <v>454</v>
      </c>
      <c r="O3746" t="s">
        <v>447</v>
      </c>
    </row>
    <row r="3747" spans="1:15" x14ac:dyDescent="0.25">
      <c r="A3747">
        <v>3746</v>
      </c>
      <c r="B3747" t="str">
        <f>HYPERLINK("https://digitalcommons.unl.edu/cgi/viewcontent.cgi?article=3664&amp;context=tractormuseumlit","Click for test report")</f>
        <v>Click for test report</v>
      </c>
      <c r="C3747">
        <v>2018</v>
      </c>
      <c r="D3747" t="s">
        <v>455</v>
      </c>
      <c r="E3747" t="s">
        <v>456</v>
      </c>
      <c r="F3747" t="s">
        <v>17</v>
      </c>
      <c r="G3747" t="s">
        <v>17</v>
      </c>
      <c r="H3747" t="s">
        <v>453</v>
      </c>
      <c r="I3747" t="s">
        <v>50</v>
      </c>
      <c r="J3747" t="s">
        <v>20</v>
      </c>
      <c r="K3747" t="s">
        <v>21</v>
      </c>
      <c r="L3747" t="s">
        <v>51</v>
      </c>
      <c r="N3747" t="s">
        <v>457</v>
      </c>
      <c r="O3747" t="s">
        <v>450</v>
      </c>
    </row>
    <row r="3748" spans="1:15" x14ac:dyDescent="0.25">
      <c r="A3748">
        <v>3747</v>
      </c>
      <c r="B3748" t="str">
        <f>HYPERLINK("https://digitalcommons.unl.edu/cgi/viewcontent.cgi?article=3665&amp;context=tractormuseumlit","Click for test report")</f>
        <v>Click for test report</v>
      </c>
      <c r="C3748">
        <v>2018</v>
      </c>
      <c r="D3748" t="s">
        <v>451</v>
      </c>
      <c r="E3748" t="s">
        <v>452</v>
      </c>
      <c r="F3748" t="s">
        <v>17</v>
      </c>
      <c r="G3748" t="s">
        <v>17</v>
      </c>
      <c r="H3748" t="s">
        <v>453</v>
      </c>
      <c r="I3748" t="s">
        <v>50</v>
      </c>
      <c r="J3748" t="s">
        <v>20</v>
      </c>
      <c r="K3748" t="s">
        <v>21</v>
      </c>
      <c r="L3748" t="s">
        <v>127</v>
      </c>
      <c r="N3748" t="s">
        <v>454</v>
      </c>
      <c r="O3748" t="s">
        <v>447</v>
      </c>
    </row>
    <row r="3749" spans="1:15" x14ac:dyDescent="0.25">
      <c r="A3749">
        <v>3748</v>
      </c>
      <c r="B3749" t="str">
        <f>HYPERLINK("https://digitalcommons.unl.edu/cgi/viewcontent.cgi?article=3666&amp;context=tractormuseumlit","Click for test report")</f>
        <v>Click for test report</v>
      </c>
      <c r="C3749">
        <v>2018</v>
      </c>
      <c r="D3749" t="s">
        <v>448</v>
      </c>
      <c r="E3749" t="s">
        <v>449</v>
      </c>
      <c r="F3749" t="s">
        <v>17</v>
      </c>
      <c r="G3749" t="s">
        <v>17</v>
      </c>
      <c r="H3749" t="s">
        <v>445</v>
      </c>
      <c r="I3749" t="s">
        <v>50</v>
      </c>
      <c r="J3749" t="s">
        <v>20</v>
      </c>
      <c r="K3749" t="s">
        <v>21</v>
      </c>
      <c r="L3749" t="s">
        <v>22</v>
      </c>
      <c r="N3749" t="s">
        <v>123</v>
      </c>
      <c r="O3749" t="s">
        <v>450</v>
      </c>
    </row>
    <row r="3750" spans="1:15" x14ac:dyDescent="0.25">
      <c r="A3750">
        <v>3749</v>
      </c>
      <c r="B3750" t="str">
        <f>HYPERLINK("https://digitalcommons.unl.edu/cgi/viewcontent.cgi?article=3667&amp;context=tractormuseumlit","Click for test report")</f>
        <v>Click for test report</v>
      </c>
      <c r="C3750">
        <v>2018</v>
      </c>
      <c r="D3750" t="s">
        <v>443</v>
      </c>
      <c r="E3750" t="s">
        <v>444</v>
      </c>
      <c r="F3750" t="s">
        <v>17</v>
      </c>
      <c r="G3750" t="s">
        <v>17</v>
      </c>
      <c r="H3750" t="s">
        <v>445</v>
      </c>
      <c r="I3750" t="s">
        <v>50</v>
      </c>
      <c r="J3750" t="s">
        <v>20</v>
      </c>
      <c r="K3750" t="s">
        <v>21</v>
      </c>
      <c r="L3750" t="s">
        <v>446</v>
      </c>
      <c r="N3750" t="s">
        <v>51</v>
      </c>
      <c r="O3750" t="s">
        <v>447</v>
      </c>
    </row>
    <row r="3751" spans="1:15" x14ac:dyDescent="0.25">
      <c r="A3751">
        <v>3750</v>
      </c>
      <c r="B3751" t="str">
        <f>HYPERLINK("https://digitalcommons.unl.edu/cgi/viewcontent.cgi?article=3668&amp;context=tractormuseumlit","Click for test report")</f>
        <v>Click for test report</v>
      </c>
      <c r="C3751">
        <v>2018</v>
      </c>
      <c r="D3751" t="s">
        <v>442</v>
      </c>
      <c r="F3751" t="s">
        <v>346</v>
      </c>
      <c r="G3751" t="s">
        <v>191</v>
      </c>
      <c r="H3751" t="s">
        <v>382</v>
      </c>
      <c r="I3751" t="s">
        <v>50</v>
      </c>
      <c r="J3751" t="s">
        <v>20</v>
      </c>
      <c r="K3751" t="s">
        <v>21</v>
      </c>
      <c r="L3751" t="s">
        <v>407</v>
      </c>
      <c r="O3751" t="s">
        <v>24</v>
      </c>
    </row>
    <row r="3752" spans="1:15" x14ac:dyDescent="0.25">
      <c r="A3752">
        <v>3751</v>
      </c>
      <c r="B3752" t="str">
        <f>HYPERLINK("https://digitalcommons.unl.edu/cgi/viewcontent.cgi?article=3670&amp;context=tractormuseumlit","Click for test report")</f>
        <v>Click for test report</v>
      </c>
      <c r="C3752">
        <v>2018</v>
      </c>
      <c r="D3752" t="s">
        <v>441</v>
      </c>
      <c r="F3752" t="s">
        <v>346</v>
      </c>
      <c r="G3752" t="s">
        <v>191</v>
      </c>
      <c r="H3752" t="s">
        <v>380</v>
      </c>
      <c r="I3752" t="s">
        <v>50</v>
      </c>
      <c r="J3752" t="s">
        <v>20</v>
      </c>
      <c r="K3752" t="s">
        <v>21</v>
      </c>
      <c r="L3752" t="s">
        <v>404</v>
      </c>
      <c r="O3752" t="s">
        <v>24</v>
      </c>
    </row>
    <row r="3753" spans="1:15" x14ac:dyDescent="0.25">
      <c r="A3753">
        <v>3752</v>
      </c>
      <c r="B3753" t="str">
        <f>HYPERLINK("https://digitalcommons.unl.edu/cgi/viewcontent.cgi?article=3672&amp;context=tractormuseumlit","Click for test report")</f>
        <v>Click for test report</v>
      </c>
      <c r="C3753">
        <v>2018</v>
      </c>
      <c r="D3753" t="s">
        <v>436</v>
      </c>
      <c r="E3753" t="s">
        <v>437</v>
      </c>
      <c r="F3753" t="s">
        <v>17</v>
      </c>
      <c r="G3753" t="s">
        <v>17</v>
      </c>
      <c r="H3753" t="s">
        <v>438</v>
      </c>
      <c r="I3753" t="s">
        <v>28</v>
      </c>
      <c r="J3753" t="s">
        <v>20</v>
      </c>
      <c r="K3753" t="s">
        <v>21</v>
      </c>
      <c r="L3753" t="s">
        <v>76</v>
      </c>
      <c r="N3753" t="s">
        <v>439</v>
      </c>
      <c r="O3753" t="s">
        <v>440</v>
      </c>
    </row>
    <row r="3754" spans="1:15" x14ac:dyDescent="0.25">
      <c r="A3754">
        <v>3753</v>
      </c>
      <c r="B3754" t="str">
        <f>HYPERLINK("https://digitalcommons.unl.edu/cgi/viewcontent.cgi?article=3673&amp;context=tractormuseumlit","Click for test report")</f>
        <v>Click for test report</v>
      </c>
      <c r="C3754">
        <v>2018</v>
      </c>
      <c r="D3754" t="s">
        <v>431</v>
      </c>
      <c r="E3754" t="s">
        <v>432</v>
      </c>
      <c r="F3754" t="s">
        <v>17</v>
      </c>
      <c r="G3754" t="s">
        <v>17</v>
      </c>
      <c r="H3754" t="s">
        <v>433</v>
      </c>
      <c r="I3754" t="s">
        <v>28</v>
      </c>
      <c r="J3754" t="s">
        <v>20</v>
      </c>
      <c r="K3754" t="s">
        <v>21</v>
      </c>
      <c r="L3754" t="s">
        <v>434</v>
      </c>
      <c r="N3754" t="s">
        <v>76</v>
      </c>
      <c r="O3754" t="s">
        <v>435</v>
      </c>
    </row>
    <row r="3755" spans="1:15" x14ac:dyDescent="0.25">
      <c r="A3755">
        <v>3754</v>
      </c>
      <c r="B3755" t="str">
        <f>HYPERLINK("https://digitalcommons.unl.edu/cgi/viewcontent.cgi?article=3674&amp;context=tractormuseumlit","Click for test report")</f>
        <v>Click for test report</v>
      </c>
      <c r="C3755">
        <v>2018</v>
      </c>
      <c r="D3755" t="s">
        <v>426</v>
      </c>
      <c r="E3755" t="s">
        <v>427</v>
      </c>
      <c r="F3755" t="s">
        <v>17</v>
      </c>
      <c r="G3755" t="s">
        <v>17</v>
      </c>
      <c r="H3755" t="s">
        <v>428</v>
      </c>
      <c r="I3755" t="s">
        <v>28</v>
      </c>
      <c r="J3755" t="s">
        <v>80</v>
      </c>
      <c r="K3755" t="s">
        <v>21</v>
      </c>
      <c r="L3755" t="s">
        <v>87</v>
      </c>
      <c r="N3755" t="s">
        <v>429</v>
      </c>
      <c r="O3755" t="s">
        <v>430</v>
      </c>
    </row>
    <row r="3756" spans="1:15" x14ac:dyDescent="0.25">
      <c r="A3756">
        <v>3755</v>
      </c>
      <c r="B3756" t="str">
        <f>HYPERLINK("https://digitalcommons.unl.edu/cgi/viewcontent.cgi?article=3675&amp;context=tractormuseumlit","Click for test report")</f>
        <v>Click for test report</v>
      </c>
      <c r="C3756">
        <v>2018</v>
      </c>
      <c r="D3756" t="s">
        <v>425</v>
      </c>
      <c r="F3756" t="s">
        <v>17</v>
      </c>
      <c r="G3756" t="s">
        <v>17</v>
      </c>
      <c r="H3756" t="s">
        <v>57</v>
      </c>
      <c r="I3756" t="s">
        <v>50</v>
      </c>
      <c r="J3756" t="s">
        <v>20</v>
      </c>
      <c r="K3756" t="s">
        <v>21</v>
      </c>
      <c r="L3756" t="s">
        <v>58</v>
      </c>
      <c r="O3756" t="s">
        <v>24</v>
      </c>
    </row>
    <row r="3757" spans="1:15" x14ac:dyDescent="0.25">
      <c r="A3757">
        <v>3756</v>
      </c>
      <c r="B3757" t="str">
        <f>HYPERLINK("https://digitalcommons.unl.edu/cgi/viewcontent.cgi?article=3676&amp;context=tractormuseumlit","Click for test report")</f>
        <v>Click for test report</v>
      </c>
      <c r="C3757">
        <v>2018</v>
      </c>
      <c r="D3757" t="s">
        <v>422</v>
      </c>
      <c r="E3757" t="s">
        <v>423</v>
      </c>
      <c r="F3757" t="s">
        <v>111</v>
      </c>
      <c r="G3757" t="s">
        <v>414</v>
      </c>
      <c r="H3757" t="s">
        <v>424</v>
      </c>
      <c r="I3757" t="s">
        <v>64</v>
      </c>
      <c r="J3757" t="s">
        <v>96</v>
      </c>
      <c r="K3757" t="s">
        <v>21</v>
      </c>
      <c r="L3757" t="s">
        <v>280</v>
      </c>
      <c r="N3757" t="s">
        <v>296</v>
      </c>
      <c r="O3757" t="s">
        <v>24</v>
      </c>
    </row>
    <row r="3758" spans="1:15" x14ac:dyDescent="0.25">
      <c r="A3758">
        <v>3757</v>
      </c>
      <c r="B3758" t="str">
        <f>HYPERLINK("https://digitalcommons.unl.edu/cgi/viewcontent.cgi?article=3677&amp;context=tractormuseumlit","Click for test report")</f>
        <v>Click for test report</v>
      </c>
      <c r="C3758">
        <v>2018</v>
      </c>
      <c r="D3758" t="s">
        <v>417</v>
      </c>
      <c r="E3758" t="s">
        <v>418</v>
      </c>
      <c r="F3758" t="s">
        <v>111</v>
      </c>
      <c r="G3758" t="s">
        <v>414</v>
      </c>
      <c r="H3758" t="s">
        <v>419</v>
      </c>
      <c r="I3758" t="s">
        <v>64</v>
      </c>
      <c r="J3758" t="s">
        <v>96</v>
      </c>
      <c r="K3758" t="s">
        <v>21</v>
      </c>
      <c r="L3758" t="s">
        <v>420</v>
      </c>
      <c r="N3758" t="s">
        <v>421</v>
      </c>
      <c r="O3758" t="s">
        <v>24</v>
      </c>
    </row>
    <row r="3759" spans="1:15" x14ac:dyDescent="0.25">
      <c r="A3759">
        <v>3758</v>
      </c>
      <c r="B3759" t="str">
        <f>HYPERLINK("https://digitalcommons.unl.edu/cgi/viewcontent.cgi?article=3678&amp;context=tractormuseumlit","Click for test report")</f>
        <v>Click for test report</v>
      </c>
      <c r="C3759">
        <v>2018</v>
      </c>
      <c r="D3759" t="s">
        <v>412</v>
      </c>
      <c r="E3759" t="s">
        <v>413</v>
      </c>
      <c r="F3759" t="s">
        <v>111</v>
      </c>
      <c r="G3759" t="s">
        <v>414</v>
      </c>
      <c r="H3759" t="s">
        <v>415</v>
      </c>
      <c r="I3759" t="s">
        <v>64</v>
      </c>
      <c r="J3759" t="s">
        <v>96</v>
      </c>
      <c r="K3759" t="s">
        <v>21</v>
      </c>
      <c r="L3759" t="s">
        <v>416</v>
      </c>
      <c r="N3759" t="s">
        <v>97</v>
      </c>
      <c r="O3759" t="s">
        <v>24</v>
      </c>
    </row>
    <row r="3760" spans="1:15" x14ac:dyDescent="0.25">
      <c r="A3760">
        <v>3759</v>
      </c>
      <c r="B3760" t="str">
        <f>HYPERLINK("https://digitalcommons.unl.edu/cgi/viewcontent.cgi?article=3659&amp;context=tractormuseumlit","Click for test report")</f>
        <v>Click for test report</v>
      </c>
      <c r="C3760">
        <v>2018</v>
      </c>
      <c r="D3760" t="s">
        <v>408</v>
      </c>
      <c r="F3760" t="s">
        <v>346</v>
      </c>
      <c r="G3760" t="s">
        <v>135</v>
      </c>
      <c r="H3760" t="s">
        <v>409</v>
      </c>
      <c r="I3760" t="s">
        <v>50</v>
      </c>
      <c r="J3760" t="s">
        <v>20</v>
      </c>
      <c r="K3760" t="s">
        <v>21</v>
      </c>
      <c r="L3760" t="s">
        <v>410</v>
      </c>
      <c r="O3760" t="s">
        <v>411</v>
      </c>
    </row>
    <row r="3761" spans="1:15" x14ac:dyDescent="0.25">
      <c r="A3761">
        <v>3760</v>
      </c>
      <c r="B3761" t="str">
        <f>HYPERLINK("https://digitalcommons.unl.edu/cgi/viewcontent.cgi?article=3669&amp;context=tractormuseumlit","Click for test report")</f>
        <v>Click for test report</v>
      </c>
      <c r="C3761">
        <v>2018</v>
      </c>
      <c r="D3761" t="s">
        <v>406</v>
      </c>
      <c r="F3761" t="s">
        <v>346</v>
      </c>
      <c r="G3761" t="s">
        <v>135</v>
      </c>
      <c r="H3761" t="s">
        <v>352</v>
      </c>
      <c r="I3761" t="s">
        <v>50</v>
      </c>
      <c r="J3761" t="s">
        <v>20</v>
      </c>
      <c r="K3761" t="s">
        <v>21</v>
      </c>
      <c r="L3761" t="s">
        <v>407</v>
      </c>
      <c r="O3761" t="s">
        <v>354</v>
      </c>
    </row>
    <row r="3762" spans="1:15" x14ac:dyDescent="0.25">
      <c r="A3762">
        <v>3761</v>
      </c>
      <c r="B3762" t="str">
        <f>HYPERLINK("https://digitalcommons.unl.edu/cgi/viewcontent.cgi?article=3671&amp;context=tractormuseumlit","Click for test report")</f>
        <v>Click for test report</v>
      </c>
      <c r="C3762">
        <v>2018</v>
      </c>
      <c r="D3762" t="s">
        <v>403</v>
      </c>
      <c r="F3762" t="s">
        <v>346</v>
      </c>
      <c r="G3762" t="s">
        <v>135</v>
      </c>
      <c r="H3762" t="s">
        <v>347</v>
      </c>
      <c r="I3762" t="s">
        <v>50</v>
      </c>
      <c r="J3762" t="s">
        <v>20</v>
      </c>
      <c r="K3762" t="s">
        <v>21</v>
      </c>
      <c r="L3762" t="s">
        <v>404</v>
      </c>
      <c r="O3762" t="s">
        <v>405</v>
      </c>
    </row>
    <row r="3763" spans="1:15" x14ac:dyDescent="0.25">
      <c r="A3763">
        <v>3762</v>
      </c>
      <c r="B3763" t="str">
        <f>HYPERLINK("https://digitalcommons.unl.edu/cgi/viewcontent.cgi?article=4351&amp;context=tractormuseumlit","Click for test report")</f>
        <v>Click for test report</v>
      </c>
      <c r="C3763">
        <v>2019</v>
      </c>
      <c r="E3763" t="s">
        <v>401</v>
      </c>
      <c r="F3763" t="s">
        <v>17</v>
      </c>
      <c r="G3763" t="s">
        <v>17</v>
      </c>
      <c r="H3763" t="s">
        <v>324</v>
      </c>
      <c r="I3763" t="s">
        <v>19</v>
      </c>
      <c r="J3763" t="s">
        <v>20</v>
      </c>
      <c r="K3763" t="s">
        <v>21</v>
      </c>
      <c r="L3763" t="s">
        <v>315</v>
      </c>
      <c r="N3763" t="s">
        <v>402</v>
      </c>
      <c r="O3763" t="s">
        <v>24</v>
      </c>
    </row>
    <row r="3764" spans="1:15" x14ac:dyDescent="0.25">
      <c r="A3764">
        <v>3763</v>
      </c>
      <c r="B3764" t="str">
        <f>HYPERLINK("https://digitalcommons.unl.edu/cgi/viewcontent.cgi?article=4295&amp;context=tractormuseumlit","Click for test report")</f>
        <v>Click for test report</v>
      </c>
      <c r="C3764">
        <v>2019</v>
      </c>
      <c r="E3764" t="s">
        <v>397</v>
      </c>
      <c r="F3764" t="s">
        <v>384</v>
      </c>
      <c r="G3764" t="s">
        <v>112</v>
      </c>
      <c r="H3764" t="s">
        <v>398</v>
      </c>
      <c r="I3764" t="s">
        <v>64</v>
      </c>
      <c r="J3764" t="s">
        <v>20</v>
      </c>
      <c r="K3764" t="s">
        <v>21</v>
      </c>
      <c r="L3764" t="s">
        <v>399</v>
      </c>
      <c r="N3764" t="s">
        <v>400</v>
      </c>
      <c r="O3764" t="s">
        <v>24</v>
      </c>
    </row>
    <row r="3765" spans="1:15" x14ac:dyDescent="0.25">
      <c r="A3765">
        <v>3764</v>
      </c>
      <c r="B3765" t="str">
        <f>HYPERLINK("https://digitalcommons.unl.edu/cgi/viewcontent.cgi?article=4296&amp;context=tractormuseumlit","Click for test report")</f>
        <v>Click for test report</v>
      </c>
      <c r="C3765">
        <v>2019</v>
      </c>
      <c r="E3765" t="s">
        <v>394</v>
      </c>
      <c r="F3765" t="s">
        <v>384</v>
      </c>
      <c r="G3765" t="s">
        <v>112</v>
      </c>
      <c r="H3765" t="s">
        <v>395</v>
      </c>
      <c r="I3765" t="s">
        <v>64</v>
      </c>
      <c r="J3765" t="s">
        <v>20</v>
      </c>
      <c r="K3765" t="s">
        <v>21</v>
      </c>
      <c r="L3765" t="s">
        <v>396</v>
      </c>
      <c r="N3765" t="s">
        <v>216</v>
      </c>
      <c r="O3765" t="s">
        <v>24</v>
      </c>
    </row>
    <row r="3766" spans="1:15" x14ac:dyDescent="0.25">
      <c r="A3766">
        <v>3765</v>
      </c>
      <c r="B3766" t="str">
        <f>HYPERLINK("https://digitalcommons.unl.edu/cgi/viewcontent.cgi?article=4297&amp;context=tractormuseumlit","Click for test report")</f>
        <v>Click for test report</v>
      </c>
      <c r="C3766">
        <v>2019</v>
      </c>
      <c r="E3766" t="s">
        <v>391</v>
      </c>
      <c r="F3766" t="s">
        <v>384</v>
      </c>
      <c r="G3766" t="s">
        <v>112</v>
      </c>
      <c r="H3766" t="s">
        <v>392</v>
      </c>
      <c r="I3766" t="s">
        <v>64</v>
      </c>
      <c r="J3766" t="s">
        <v>20</v>
      </c>
      <c r="K3766" t="s">
        <v>21</v>
      </c>
      <c r="L3766" t="s">
        <v>266</v>
      </c>
      <c r="N3766" t="s">
        <v>393</v>
      </c>
      <c r="O3766" t="s">
        <v>24</v>
      </c>
    </row>
    <row r="3767" spans="1:15" x14ac:dyDescent="0.25">
      <c r="A3767">
        <v>3766</v>
      </c>
      <c r="B3767" t="str">
        <f>HYPERLINK("https://digitalcommons.unl.edu/cgi/viewcontent.cgi?article=4298&amp;context=tractormuseumlit","Click for test report")</f>
        <v>Click for test report</v>
      </c>
      <c r="C3767">
        <v>2019</v>
      </c>
      <c r="E3767" t="s">
        <v>388</v>
      </c>
      <c r="F3767" t="s">
        <v>384</v>
      </c>
      <c r="G3767" t="s">
        <v>112</v>
      </c>
      <c r="H3767" t="s">
        <v>389</v>
      </c>
      <c r="I3767" t="s">
        <v>64</v>
      </c>
      <c r="J3767" t="s">
        <v>20</v>
      </c>
      <c r="K3767" t="s">
        <v>21</v>
      </c>
      <c r="L3767" t="s">
        <v>390</v>
      </c>
      <c r="N3767" t="s">
        <v>41</v>
      </c>
      <c r="O3767" t="s">
        <v>24</v>
      </c>
    </row>
    <row r="3768" spans="1:15" x14ac:dyDescent="0.25">
      <c r="A3768">
        <v>3767</v>
      </c>
      <c r="B3768" t="str">
        <f>HYPERLINK("https://digitalcommons.unl.edu/cgi/viewcontent.cgi?article=4299&amp;context=tractormuseumlit","Click for test report")</f>
        <v>Click for test report</v>
      </c>
      <c r="C3768">
        <v>2019</v>
      </c>
      <c r="E3768" t="s">
        <v>383</v>
      </c>
      <c r="F3768" t="s">
        <v>384</v>
      </c>
      <c r="G3768" t="s">
        <v>112</v>
      </c>
      <c r="H3768" t="s">
        <v>385</v>
      </c>
      <c r="I3768" t="s">
        <v>64</v>
      </c>
      <c r="J3768" t="s">
        <v>20</v>
      </c>
      <c r="K3768" t="s">
        <v>21</v>
      </c>
      <c r="L3768" t="s">
        <v>386</v>
      </c>
      <c r="N3768" t="s">
        <v>387</v>
      </c>
      <c r="O3768" t="s">
        <v>24</v>
      </c>
    </row>
    <row r="3769" spans="1:15" x14ac:dyDescent="0.25">
      <c r="A3769">
        <v>3768</v>
      </c>
      <c r="B3769" t="str">
        <f>HYPERLINK("https://digitalcommons.unl.edu/cgi/viewcontent.cgi?article=3679&amp;context=tractormuseumlit","Click for test report")</f>
        <v>Click for test report</v>
      </c>
      <c r="C3769">
        <v>2019</v>
      </c>
      <c r="D3769" t="s">
        <v>381</v>
      </c>
      <c r="F3769" t="s">
        <v>346</v>
      </c>
      <c r="G3769" t="s">
        <v>191</v>
      </c>
      <c r="H3769" t="s">
        <v>382</v>
      </c>
      <c r="I3769" t="s">
        <v>50</v>
      </c>
      <c r="J3769" t="s">
        <v>348</v>
      </c>
      <c r="K3769" t="s">
        <v>21</v>
      </c>
      <c r="L3769" t="s">
        <v>353</v>
      </c>
      <c r="O3769" t="s">
        <v>24</v>
      </c>
    </row>
    <row r="3770" spans="1:15" x14ac:dyDescent="0.25">
      <c r="A3770">
        <v>3769</v>
      </c>
      <c r="B3770" t="str">
        <f>HYPERLINK("https://digitalcommons.unl.edu/cgi/viewcontent.cgi?article=3681&amp;context=tractormuseumlit","Click for test report")</f>
        <v>Click for test report</v>
      </c>
      <c r="C3770">
        <v>2019</v>
      </c>
      <c r="D3770" t="s">
        <v>379</v>
      </c>
      <c r="F3770" t="s">
        <v>346</v>
      </c>
      <c r="G3770" t="s">
        <v>191</v>
      </c>
      <c r="H3770" t="s">
        <v>380</v>
      </c>
      <c r="I3770" t="s">
        <v>50</v>
      </c>
      <c r="J3770" t="s">
        <v>348</v>
      </c>
      <c r="K3770" t="s">
        <v>21</v>
      </c>
      <c r="L3770" t="s">
        <v>349</v>
      </c>
      <c r="O3770" t="s">
        <v>24</v>
      </c>
    </row>
    <row r="3771" spans="1:15" x14ac:dyDescent="0.25">
      <c r="A3771">
        <v>3770</v>
      </c>
      <c r="B3771" t="str">
        <f>HYPERLINK("https://digitalcommons.unl.edu/cgi/viewcontent.cgi?article=3683&amp;context=tractormuseumlit","Click for test report")</f>
        <v>Click for test report</v>
      </c>
      <c r="C3771">
        <v>2019</v>
      </c>
      <c r="D3771" t="s">
        <v>376</v>
      </c>
      <c r="F3771" t="s">
        <v>17</v>
      </c>
      <c r="G3771" t="s">
        <v>17</v>
      </c>
      <c r="H3771" t="s">
        <v>377</v>
      </c>
      <c r="I3771" t="s">
        <v>50</v>
      </c>
      <c r="J3771" t="s">
        <v>348</v>
      </c>
      <c r="K3771" t="s">
        <v>21</v>
      </c>
      <c r="L3771" t="s">
        <v>378</v>
      </c>
      <c r="O3771" t="s">
        <v>24</v>
      </c>
    </row>
    <row r="3772" spans="1:15" x14ac:dyDescent="0.25">
      <c r="A3772">
        <v>3771</v>
      </c>
      <c r="B3772" t="str">
        <f>HYPERLINK("https://digitalcommons.unl.edu/cgi/viewcontent.cgi?article=3684&amp;context=tractormuseumlit","Click for test report")</f>
        <v>Click for test report</v>
      </c>
      <c r="C3772">
        <v>2019</v>
      </c>
      <c r="D3772" t="s">
        <v>371</v>
      </c>
      <c r="E3772" t="s">
        <v>372</v>
      </c>
      <c r="F3772" t="s">
        <v>17</v>
      </c>
      <c r="G3772" t="s">
        <v>17</v>
      </c>
      <c r="H3772" t="s">
        <v>373</v>
      </c>
      <c r="I3772" t="s">
        <v>19</v>
      </c>
      <c r="J3772" t="s">
        <v>20</v>
      </c>
      <c r="K3772" t="s">
        <v>21</v>
      </c>
      <c r="L3772" t="s">
        <v>374</v>
      </c>
      <c r="N3772" t="s">
        <v>375</v>
      </c>
      <c r="O3772" t="s">
        <v>24</v>
      </c>
    </row>
    <row r="3773" spans="1:15" x14ac:dyDescent="0.25">
      <c r="A3773">
        <v>3772</v>
      </c>
      <c r="B3773" t="str">
        <f>HYPERLINK("https://digitalcommons.unl.edu/cgi/viewcontent.cgi?article=3688&amp;context=tractormuseumlit","Click for test report")</f>
        <v>Click for test report</v>
      </c>
      <c r="C3773">
        <v>2019</v>
      </c>
      <c r="D3773" t="s">
        <v>370</v>
      </c>
      <c r="G3773" t="s">
        <v>322</v>
      </c>
      <c r="H3773" t="s">
        <v>24</v>
      </c>
      <c r="I3773" t="s">
        <v>24</v>
      </c>
      <c r="O3773" t="s">
        <v>24</v>
      </c>
    </row>
    <row r="3774" spans="1:15" x14ac:dyDescent="0.25">
      <c r="A3774">
        <v>3773</v>
      </c>
      <c r="B3774" t="str">
        <f>HYPERLINK("https://digitalcommons.unl.edu/cgi/viewcontent.cgi?article=3688&amp;context=tractormuseumlit","Click for test report")</f>
        <v>Click for test report</v>
      </c>
      <c r="C3774">
        <v>2019</v>
      </c>
      <c r="D3774" t="s">
        <v>369</v>
      </c>
      <c r="G3774" t="s">
        <v>322</v>
      </c>
      <c r="H3774" t="s">
        <v>24</v>
      </c>
      <c r="I3774" t="s">
        <v>24</v>
      </c>
      <c r="O3774" t="s">
        <v>24</v>
      </c>
    </row>
    <row r="3775" spans="1:15" x14ac:dyDescent="0.25">
      <c r="A3775">
        <v>3774</v>
      </c>
      <c r="B3775" t="str">
        <f>HYPERLINK("https://digitalcommons.unl.edu/cgi/viewcontent.cgi?article=3685&amp;context=tractormuseumlit","Click for test report")</f>
        <v>Click for test report</v>
      </c>
      <c r="C3775">
        <v>2019</v>
      </c>
      <c r="D3775" t="s">
        <v>365</v>
      </c>
      <c r="E3775" t="s">
        <v>366</v>
      </c>
      <c r="F3775" t="s">
        <v>357</v>
      </c>
      <c r="G3775" t="s">
        <v>62</v>
      </c>
      <c r="H3775" t="s">
        <v>367</v>
      </c>
      <c r="I3775" t="s">
        <v>28</v>
      </c>
      <c r="J3775" t="s">
        <v>20</v>
      </c>
      <c r="K3775" t="s">
        <v>21</v>
      </c>
      <c r="L3775" t="s">
        <v>368</v>
      </c>
      <c r="N3775" t="s">
        <v>343</v>
      </c>
      <c r="O3775" t="s">
        <v>24</v>
      </c>
    </row>
    <row r="3776" spans="1:15" x14ac:dyDescent="0.25">
      <c r="A3776">
        <v>3775</v>
      </c>
      <c r="B3776" t="str">
        <f>HYPERLINK("https://digitalcommons.unl.edu/cgi/viewcontent.cgi?article=3686&amp;context=tractormuseumlit","Click for test report")</f>
        <v>Click for test report</v>
      </c>
      <c r="C3776">
        <v>2019</v>
      </c>
      <c r="D3776" t="s">
        <v>360</v>
      </c>
      <c r="E3776" t="s">
        <v>361</v>
      </c>
      <c r="F3776" t="s">
        <v>357</v>
      </c>
      <c r="G3776" t="s">
        <v>62</v>
      </c>
      <c r="H3776" t="s">
        <v>362</v>
      </c>
      <c r="I3776" t="s">
        <v>28</v>
      </c>
      <c r="J3776" t="s">
        <v>20</v>
      </c>
      <c r="K3776" t="s">
        <v>21</v>
      </c>
      <c r="L3776" t="s">
        <v>363</v>
      </c>
      <c r="N3776" t="s">
        <v>364</v>
      </c>
      <c r="O3776" t="s">
        <v>24</v>
      </c>
    </row>
    <row r="3777" spans="1:15" x14ac:dyDescent="0.25">
      <c r="A3777">
        <v>3776</v>
      </c>
      <c r="B3777" t="str">
        <f>HYPERLINK("https://digitalcommons.unl.edu/cgi/viewcontent.cgi?article=3687&amp;context=tractormuseumlit","Click for test report")</f>
        <v>Click for test report</v>
      </c>
      <c r="C3777">
        <v>2019</v>
      </c>
      <c r="D3777" t="s">
        <v>355</v>
      </c>
      <c r="E3777" t="s">
        <v>356</v>
      </c>
      <c r="F3777" t="s">
        <v>357</v>
      </c>
      <c r="G3777" t="s">
        <v>62</v>
      </c>
      <c r="H3777" t="s">
        <v>358</v>
      </c>
      <c r="I3777" t="s">
        <v>28</v>
      </c>
      <c r="J3777" t="s">
        <v>20</v>
      </c>
      <c r="K3777" t="s">
        <v>21</v>
      </c>
      <c r="L3777" t="s">
        <v>359</v>
      </c>
      <c r="N3777" t="s">
        <v>333</v>
      </c>
      <c r="O3777" t="s">
        <v>24</v>
      </c>
    </row>
    <row r="3778" spans="1:15" x14ac:dyDescent="0.25">
      <c r="A3778">
        <v>3777</v>
      </c>
      <c r="B3778" t="str">
        <f>HYPERLINK("https://digitalcommons.unl.edu/cgi/viewcontent.cgi?article=3680&amp;context=tractormuseumlit","Click for test report")</f>
        <v>Click for test report</v>
      </c>
      <c r="C3778">
        <v>2019</v>
      </c>
      <c r="D3778" t="s">
        <v>351</v>
      </c>
      <c r="F3778" t="s">
        <v>346</v>
      </c>
      <c r="G3778" t="s">
        <v>135</v>
      </c>
      <c r="H3778" t="s">
        <v>352</v>
      </c>
      <c r="I3778" t="s">
        <v>50</v>
      </c>
      <c r="J3778" t="s">
        <v>348</v>
      </c>
      <c r="K3778" t="s">
        <v>21</v>
      </c>
      <c r="L3778" t="s">
        <v>353</v>
      </c>
      <c r="O3778" t="s">
        <v>354</v>
      </c>
    </row>
    <row r="3779" spans="1:15" x14ac:dyDescent="0.25">
      <c r="A3779">
        <v>3778</v>
      </c>
      <c r="B3779" t="str">
        <f>HYPERLINK("https://digitalcommons.unl.edu/cgi/viewcontent.cgi?article=3682&amp;context=tractormuseumlit","Click for test report")</f>
        <v>Click for test report</v>
      </c>
      <c r="C3779">
        <v>2019</v>
      </c>
      <c r="D3779" t="s">
        <v>345</v>
      </c>
      <c r="F3779" t="s">
        <v>346</v>
      </c>
      <c r="G3779" t="s">
        <v>135</v>
      </c>
      <c r="H3779" t="s">
        <v>347</v>
      </c>
      <c r="I3779" t="s">
        <v>50</v>
      </c>
      <c r="J3779" t="s">
        <v>348</v>
      </c>
      <c r="K3779" t="s">
        <v>21</v>
      </c>
      <c r="L3779" t="s">
        <v>349</v>
      </c>
      <c r="O3779" t="s">
        <v>350</v>
      </c>
    </row>
    <row r="3780" spans="1:15" x14ac:dyDescent="0.25">
      <c r="A3780">
        <v>3779</v>
      </c>
      <c r="B3780" t="str">
        <f>HYPERLINK("https://digitalcommons.unl.edu/cgi/viewcontent.cgi?article=4369&amp;context=tractormuseumlit","Click for test report")</f>
        <v>Click for test report</v>
      </c>
      <c r="C3780">
        <v>2020</v>
      </c>
      <c r="E3780" t="s">
        <v>341</v>
      </c>
      <c r="F3780" t="s">
        <v>17</v>
      </c>
      <c r="G3780" t="s">
        <v>17</v>
      </c>
      <c r="H3780" t="s">
        <v>342</v>
      </c>
      <c r="I3780" t="s">
        <v>19</v>
      </c>
      <c r="J3780" t="s">
        <v>20</v>
      </c>
      <c r="K3780" t="s">
        <v>21</v>
      </c>
      <c r="L3780" t="s">
        <v>343</v>
      </c>
      <c r="N3780" t="s">
        <v>344</v>
      </c>
      <c r="O3780" t="s">
        <v>248</v>
      </c>
    </row>
    <row r="3781" spans="1:15" x14ac:dyDescent="0.25">
      <c r="A3781">
        <v>3780</v>
      </c>
      <c r="B3781" t="str">
        <f>HYPERLINK("https://digitalcommons.unl.edu/cgi/viewcontent.cgi?article=4370&amp;context=tractormuseumlit","Click for test report")</f>
        <v>Click for test report</v>
      </c>
      <c r="C3781">
        <v>2020</v>
      </c>
      <c r="E3781" t="s">
        <v>337</v>
      </c>
      <c r="F3781" t="s">
        <v>17</v>
      </c>
      <c r="G3781" t="s">
        <v>17</v>
      </c>
      <c r="H3781" t="s">
        <v>338</v>
      </c>
      <c r="I3781" t="s">
        <v>19</v>
      </c>
      <c r="J3781" t="s">
        <v>20</v>
      </c>
      <c r="K3781" t="s">
        <v>21</v>
      </c>
      <c r="L3781" t="s">
        <v>339</v>
      </c>
      <c r="N3781" t="s">
        <v>340</v>
      </c>
      <c r="O3781" t="s">
        <v>248</v>
      </c>
    </row>
    <row r="3782" spans="1:15" x14ac:dyDescent="0.25">
      <c r="A3782">
        <v>3781</v>
      </c>
      <c r="B3782" t="str">
        <f>HYPERLINK("https://digitalcommons.unl.edu/cgi/viewcontent.cgi?article=4372&amp;context=tractormuseumlit","Click for test report")</f>
        <v>Click for test report</v>
      </c>
      <c r="C3782">
        <v>2020</v>
      </c>
      <c r="E3782" t="s">
        <v>334</v>
      </c>
      <c r="F3782" t="s">
        <v>17</v>
      </c>
      <c r="G3782" t="s">
        <v>17</v>
      </c>
      <c r="H3782" t="s">
        <v>335</v>
      </c>
      <c r="I3782" t="s">
        <v>19</v>
      </c>
      <c r="J3782" t="s">
        <v>20</v>
      </c>
      <c r="K3782" t="s">
        <v>21</v>
      </c>
      <c r="L3782" t="s">
        <v>336</v>
      </c>
      <c r="N3782" t="s">
        <v>45</v>
      </c>
      <c r="O3782" t="s">
        <v>248</v>
      </c>
    </row>
    <row r="3783" spans="1:15" x14ac:dyDescent="0.25">
      <c r="A3783">
        <v>3782</v>
      </c>
      <c r="B3783" t="str">
        <f>HYPERLINK("https://digitalcommons.unl.edu/cgi/viewcontent.cgi?article=4373&amp;context=tractormuseumlit","Click for test report")</f>
        <v>Click for test report</v>
      </c>
      <c r="C3783">
        <v>2020</v>
      </c>
      <c r="E3783" t="s">
        <v>330</v>
      </c>
      <c r="F3783" t="s">
        <v>17</v>
      </c>
      <c r="G3783" t="s">
        <v>17</v>
      </c>
      <c r="H3783" t="s">
        <v>331</v>
      </c>
      <c r="I3783" t="s">
        <v>19</v>
      </c>
      <c r="J3783" t="s">
        <v>20</v>
      </c>
      <c r="K3783" t="s">
        <v>21</v>
      </c>
      <c r="L3783" t="s">
        <v>332</v>
      </c>
      <c r="N3783" t="s">
        <v>333</v>
      </c>
      <c r="O3783" t="s">
        <v>248</v>
      </c>
    </row>
    <row r="3784" spans="1:15" x14ac:dyDescent="0.25">
      <c r="A3784">
        <v>3783</v>
      </c>
      <c r="B3784" t="str">
        <f>HYPERLINK("https://digitalcommons.unl.edu/cgi/viewcontent.cgi?article=4374&amp;context=tractormuseumlit","Click for test report")</f>
        <v>Click for test report</v>
      </c>
      <c r="C3784">
        <v>2020</v>
      </c>
      <c r="E3784" t="s">
        <v>326</v>
      </c>
      <c r="F3784" t="s">
        <v>17</v>
      </c>
      <c r="G3784" t="s">
        <v>17</v>
      </c>
      <c r="H3784" t="s">
        <v>327</v>
      </c>
      <c r="I3784" t="s">
        <v>19</v>
      </c>
      <c r="J3784" t="s">
        <v>20</v>
      </c>
      <c r="K3784" t="s">
        <v>21</v>
      </c>
      <c r="L3784" t="s">
        <v>328</v>
      </c>
      <c r="N3784" t="s">
        <v>329</v>
      </c>
      <c r="O3784" t="s">
        <v>248</v>
      </c>
    </row>
    <row r="3785" spans="1:15" x14ac:dyDescent="0.25">
      <c r="A3785">
        <v>3784</v>
      </c>
      <c r="B3785" t="str">
        <f>HYPERLINK("https://digitalcommons.unl.edu/cgi/viewcontent.cgi?article=4375&amp;context=tractormuseumlit","Click for test report")</f>
        <v>Click for test report</v>
      </c>
      <c r="C3785">
        <v>2020</v>
      </c>
      <c r="E3785" t="s">
        <v>323</v>
      </c>
      <c r="F3785" t="s">
        <v>17</v>
      </c>
      <c r="G3785" t="s">
        <v>17</v>
      </c>
      <c r="H3785" t="s">
        <v>324</v>
      </c>
      <c r="I3785" t="s">
        <v>19</v>
      </c>
      <c r="J3785" t="s">
        <v>20</v>
      </c>
      <c r="K3785" t="s">
        <v>21</v>
      </c>
      <c r="L3785" t="s">
        <v>315</v>
      </c>
      <c r="N3785" t="s">
        <v>325</v>
      </c>
      <c r="O3785" t="s">
        <v>248</v>
      </c>
    </row>
    <row r="3786" spans="1:15" x14ac:dyDescent="0.25">
      <c r="A3786">
        <v>3785</v>
      </c>
      <c r="B3786" t="str">
        <f>HYPERLINK("https://digitalcommons.unl.edu/cgi/viewcontent.cgi?article=3688&amp;context=tractormuseumlit","Click for test report")</f>
        <v>Click for test report</v>
      </c>
      <c r="C3786">
        <v>2020</v>
      </c>
      <c r="E3786" t="s">
        <v>321</v>
      </c>
      <c r="G3786" t="s">
        <v>322</v>
      </c>
    </row>
    <row r="3787" spans="1:15" x14ac:dyDescent="0.25">
      <c r="A3787">
        <v>3786</v>
      </c>
      <c r="B3787" t="str">
        <f>HYPERLINK("https://digitalcommons.unl.edu/cgi/viewcontent.cgi?article=4293&amp;context=tractormuseumlit","Click for test report")</f>
        <v>Click for test report</v>
      </c>
      <c r="C3787">
        <v>2020</v>
      </c>
      <c r="D3787" t="s">
        <v>316</v>
      </c>
      <c r="E3787" t="s">
        <v>317</v>
      </c>
      <c r="F3787" t="s">
        <v>61</v>
      </c>
      <c r="G3787" t="s">
        <v>62</v>
      </c>
      <c r="H3787" t="s">
        <v>318</v>
      </c>
      <c r="I3787" t="s">
        <v>28</v>
      </c>
      <c r="J3787" t="s">
        <v>20</v>
      </c>
      <c r="K3787" t="s">
        <v>21</v>
      </c>
      <c r="L3787" t="s">
        <v>319</v>
      </c>
      <c r="N3787" t="s">
        <v>320</v>
      </c>
      <c r="O3787" t="s">
        <v>32</v>
      </c>
    </row>
    <row r="3788" spans="1:15" x14ac:dyDescent="0.25">
      <c r="A3788">
        <v>3787</v>
      </c>
      <c r="B3788" t="str">
        <f>HYPERLINK("https://digitalcommons.unl.edu/cgi/viewcontent.cgi?article=4294&amp;context=tractormuseumlit","Click for test report")</f>
        <v>Click for test report</v>
      </c>
      <c r="C3788">
        <v>2020</v>
      </c>
      <c r="D3788" t="s">
        <v>312</v>
      </c>
      <c r="E3788" t="s">
        <v>313</v>
      </c>
      <c r="F3788" t="s">
        <v>61</v>
      </c>
      <c r="G3788" t="s">
        <v>62</v>
      </c>
      <c r="H3788" t="s">
        <v>314</v>
      </c>
      <c r="I3788" t="s">
        <v>28</v>
      </c>
      <c r="J3788" t="s">
        <v>20</v>
      </c>
      <c r="K3788" t="s">
        <v>21</v>
      </c>
      <c r="L3788" t="s">
        <v>155</v>
      </c>
      <c r="N3788" t="s">
        <v>315</v>
      </c>
      <c r="O3788" t="s">
        <v>24</v>
      </c>
    </row>
    <row r="3789" spans="1:15" x14ac:dyDescent="0.25">
      <c r="A3789">
        <v>3788</v>
      </c>
      <c r="B3789" t="str">
        <f>HYPERLINK("https://digitalcommons.unl.edu/cgi/viewcontent.cgi?article=4326&amp;context=tractormuseumlit","Click for test report")</f>
        <v>Click for test report</v>
      </c>
      <c r="C3789">
        <v>2020</v>
      </c>
      <c r="D3789" t="s">
        <v>307</v>
      </c>
      <c r="E3789" t="s">
        <v>308</v>
      </c>
      <c r="F3789" t="s">
        <v>17</v>
      </c>
      <c r="G3789" t="s">
        <v>17</v>
      </c>
      <c r="H3789" t="s">
        <v>309</v>
      </c>
      <c r="I3789" t="s">
        <v>28</v>
      </c>
      <c r="J3789" t="s">
        <v>20</v>
      </c>
      <c r="K3789" t="s">
        <v>21</v>
      </c>
      <c r="L3789" t="s">
        <v>310</v>
      </c>
      <c r="N3789" t="s">
        <v>311</v>
      </c>
      <c r="O3789" t="s">
        <v>297</v>
      </c>
    </row>
    <row r="3790" spans="1:15" x14ac:dyDescent="0.25">
      <c r="A3790">
        <v>3789</v>
      </c>
      <c r="B3790" t="str">
        <f>HYPERLINK("https://digitalcommons.unl.edu/cgi/viewcontent.cgi?article=4327&amp;context=tractormuseumlit","Click for test report")</f>
        <v>Click for test report</v>
      </c>
      <c r="C3790">
        <v>2020</v>
      </c>
      <c r="D3790" t="s">
        <v>302</v>
      </c>
      <c r="E3790" t="s">
        <v>303</v>
      </c>
      <c r="F3790" t="s">
        <v>17</v>
      </c>
      <c r="G3790" t="s">
        <v>17</v>
      </c>
      <c r="H3790" t="s">
        <v>304</v>
      </c>
      <c r="I3790" t="s">
        <v>28</v>
      </c>
      <c r="J3790" t="s">
        <v>20</v>
      </c>
      <c r="K3790" t="s">
        <v>21</v>
      </c>
      <c r="L3790" t="s">
        <v>305</v>
      </c>
      <c r="N3790" t="s">
        <v>306</v>
      </c>
      <c r="O3790" t="s">
        <v>297</v>
      </c>
    </row>
    <row r="3791" spans="1:15" x14ac:dyDescent="0.25">
      <c r="A3791">
        <v>3790</v>
      </c>
      <c r="B3791" t="str">
        <f>HYPERLINK("https://digitalcommons.unl.edu/cgi/viewcontent.cgi?article=4328&amp;context=tractormuseumlit","Click for test report")</f>
        <v>Click for test report</v>
      </c>
      <c r="C3791">
        <v>2020</v>
      </c>
      <c r="D3791" t="s">
        <v>298</v>
      </c>
      <c r="E3791" t="s">
        <v>299</v>
      </c>
      <c r="F3791" t="s">
        <v>17</v>
      </c>
      <c r="G3791" t="s">
        <v>17</v>
      </c>
      <c r="H3791" t="s">
        <v>300</v>
      </c>
      <c r="I3791" t="s">
        <v>28</v>
      </c>
      <c r="J3791" t="s">
        <v>20</v>
      </c>
      <c r="K3791" t="s">
        <v>21</v>
      </c>
      <c r="L3791" t="s">
        <v>199</v>
      </c>
      <c r="N3791" t="s">
        <v>301</v>
      </c>
      <c r="O3791" t="s">
        <v>287</v>
      </c>
    </row>
    <row r="3792" spans="1:15" x14ac:dyDescent="0.25">
      <c r="A3792">
        <v>3791</v>
      </c>
      <c r="B3792" t="str">
        <f>HYPERLINK("https://digitalcommons.unl.edu/cgi/viewcontent.cgi?article=4329&amp;context=tractormuseumlit","Click for test report")</f>
        <v>Click for test report</v>
      </c>
      <c r="C3792">
        <v>2020</v>
      </c>
      <c r="D3792" t="s">
        <v>292</v>
      </c>
      <c r="E3792" t="s">
        <v>293</v>
      </c>
      <c r="F3792" t="s">
        <v>17</v>
      </c>
      <c r="G3792" t="s">
        <v>17</v>
      </c>
      <c r="H3792" t="s">
        <v>294</v>
      </c>
      <c r="I3792" t="s">
        <v>28</v>
      </c>
      <c r="J3792" t="s">
        <v>20</v>
      </c>
      <c r="K3792" t="s">
        <v>21</v>
      </c>
      <c r="L3792" t="s">
        <v>295</v>
      </c>
      <c r="N3792" t="s">
        <v>296</v>
      </c>
      <c r="O3792" t="s">
        <v>297</v>
      </c>
    </row>
    <row r="3793" spans="1:15" x14ac:dyDescent="0.25">
      <c r="A3793">
        <v>3792</v>
      </c>
      <c r="B3793" t="str">
        <f>HYPERLINK("https://digitalcommons.unl.edu/cgi/viewcontent.cgi?article=4330&amp;context=tractormuseumlit","Click for test report")</f>
        <v>Click for test report</v>
      </c>
      <c r="C3793">
        <v>2020</v>
      </c>
      <c r="D3793" t="s">
        <v>288</v>
      </c>
      <c r="E3793" t="s">
        <v>289</v>
      </c>
      <c r="F3793" t="s">
        <v>17</v>
      </c>
      <c r="G3793" t="s">
        <v>17</v>
      </c>
      <c r="H3793" t="s">
        <v>290</v>
      </c>
      <c r="I3793" t="s">
        <v>64</v>
      </c>
      <c r="J3793" t="s">
        <v>20</v>
      </c>
      <c r="K3793" t="s">
        <v>21</v>
      </c>
      <c r="L3793" t="s">
        <v>291</v>
      </c>
      <c r="N3793" t="s">
        <v>211</v>
      </c>
      <c r="O3793" t="s">
        <v>24</v>
      </c>
    </row>
    <row r="3794" spans="1:15" x14ac:dyDescent="0.25">
      <c r="A3794">
        <v>3793</v>
      </c>
      <c r="B3794" t="str">
        <f>HYPERLINK("https://digitalcommons.unl.edu/cgi/viewcontent.cgi?article=4331&amp;context=tractormuseumlit","Click for test report")</f>
        <v>Click for test report</v>
      </c>
      <c r="C3794">
        <v>2020</v>
      </c>
      <c r="D3794" t="s">
        <v>282</v>
      </c>
      <c r="E3794" t="s">
        <v>283</v>
      </c>
      <c r="F3794" t="s">
        <v>17</v>
      </c>
      <c r="G3794" t="s">
        <v>17</v>
      </c>
      <c r="H3794" t="s">
        <v>284</v>
      </c>
      <c r="I3794" t="s">
        <v>28</v>
      </c>
      <c r="J3794" t="s">
        <v>20</v>
      </c>
      <c r="K3794" t="s">
        <v>21</v>
      </c>
      <c r="L3794" t="s">
        <v>285</v>
      </c>
      <c r="N3794" t="s">
        <v>286</v>
      </c>
      <c r="O3794" t="s">
        <v>287</v>
      </c>
    </row>
    <row r="3795" spans="1:15" x14ac:dyDescent="0.25">
      <c r="A3795">
        <v>3794</v>
      </c>
      <c r="B3795" t="str">
        <f>HYPERLINK("https://digitalcommons.unl.edu/cgi/viewcontent.cgi?article=4357&amp;context=tractormuseumlit","Click for test report")</f>
        <v>Click for test report</v>
      </c>
      <c r="C3795">
        <v>2020</v>
      </c>
      <c r="D3795" t="s">
        <v>277</v>
      </c>
      <c r="E3795" t="s">
        <v>278</v>
      </c>
      <c r="F3795" t="s">
        <v>17</v>
      </c>
      <c r="G3795" t="s">
        <v>17</v>
      </c>
      <c r="H3795" t="s">
        <v>279</v>
      </c>
      <c r="I3795" t="s">
        <v>28</v>
      </c>
      <c r="J3795" t="s">
        <v>96</v>
      </c>
      <c r="K3795" t="s">
        <v>21</v>
      </c>
      <c r="L3795" t="s">
        <v>280</v>
      </c>
      <c r="N3795" t="s">
        <v>281</v>
      </c>
      <c r="O3795" t="s">
        <v>217</v>
      </c>
    </row>
    <row r="3796" spans="1:15" x14ac:dyDescent="0.25">
      <c r="A3796">
        <v>3795</v>
      </c>
      <c r="B3796" t="str">
        <f>HYPERLINK("https://digitalcommons.unl.edu/cgi/viewcontent.cgi?article=4356&amp;context=tractormuseumlit","Click for test report")</f>
        <v>Click for test report</v>
      </c>
      <c r="C3796">
        <v>2020</v>
      </c>
      <c r="D3796" t="s">
        <v>272</v>
      </c>
      <c r="E3796" t="s">
        <v>273</v>
      </c>
      <c r="F3796" t="s">
        <v>17</v>
      </c>
      <c r="G3796" t="s">
        <v>17</v>
      </c>
      <c r="H3796" t="s">
        <v>274</v>
      </c>
      <c r="I3796" t="s">
        <v>28</v>
      </c>
      <c r="J3796" t="s">
        <v>96</v>
      </c>
      <c r="K3796" t="s">
        <v>21</v>
      </c>
      <c r="L3796" t="s">
        <v>40</v>
      </c>
      <c r="N3796" t="s">
        <v>275</v>
      </c>
      <c r="O3796" t="s">
        <v>276</v>
      </c>
    </row>
    <row r="3797" spans="1:15" x14ac:dyDescent="0.25">
      <c r="A3797">
        <v>3796</v>
      </c>
      <c r="B3797" t="str">
        <f>HYPERLINK("https://digitalcommons.unl.edu/cgi/viewcontent.cgi?article=4358&amp;context=tractormuseumlit","Click for test report")</f>
        <v>Click for test report</v>
      </c>
      <c r="C3797">
        <v>2020</v>
      </c>
      <c r="D3797" t="s">
        <v>268</v>
      </c>
      <c r="E3797" t="s">
        <v>269</v>
      </c>
      <c r="F3797" t="s">
        <v>17</v>
      </c>
      <c r="G3797" t="s">
        <v>17</v>
      </c>
      <c r="H3797" t="s">
        <v>270</v>
      </c>
      <c r="I3797" t="s">
        <v>28</v>
      </c>
      <c r="J3797" t="s">
        <v>204</v>
      </c>
      <c r="K3797" t="s">
        <v>21</v>
      </c>
      <c r="L3797" t="s">
        <v>271</v>
      </c>
      <c r="N3797" t="s">
        <v>211</v>
      </c>
      <c r="O3797" t="s">
        <v>207</v>
      </c>
    </row>
    <row r="3798" spans="1:15" x14ac:dyDescent="0.25">
      <c r="A3798">
        <v>3797</v>
      </c>
      <c r="B3798" t="str">
        <f>HYPERLINK("https://digitalcommons.unl.edu/cgi/viewcontent.cgi?article=4359&amp;context=tractormuseumlit","Click for test report")</f>
        <v>Click for test report</v>
      </c>
      <c r="C3798">
        <v>2020</v>
      </c>
      <c r="D3798" t="s">
        <v>262</v>
      </c>
      <c r="E3798" t="s">
        <v>263</v>
      </c>
      <c r="F3798" t="s">
        <v>17</v>
      </c>
      <c r="G3798" t="s">
        <v>17</v>
      </c>
      <c r="H3798" t="s">
        <v>264</v>
      </c>
      <c r="I3798" t="s">
        <v>28</v>
      </c>
      <c r="J3798" t="s">
        <v>204</v>
      </c>
      <c r="K3798" t="s">
        <v>21</v>
      </c>
      <c r="L3798" t="s">
        <v>265</v>
      </c>
      <c r="N3798" t="s">
        <v>266</v>
      </c>
      <c r="O3798" t="s">
        <v>267</v>
      </c>
    </row>
    <row r="3799" spans="1:15" x14ac:dyDescent="0.25">
      <c r="A3799">
        <v>3798</v>
      </c>
      <c r="B3799" t="str">
        <f>HYPERLINK("https://digitalcommons.unl.edu/cgi/viewcontent.cgi?article=4352&amp;context=tractormuseumlit","Click for test report")</f>
        <v>Click for test report</v>
      </c>
      <c r="C3799">
        <v>2021</v>
      </c>
      <c r="E3799" t="s">
        <v>258</v>
      </c>
      <c r="F3799" t="s">
        <v>111</v>
      </c>
      <c r="G3799" t="s">
        <v>112</v>
      </c>
      <c r="H3799" t="s">
        <v>259</v>
      </c>
      <c r="I3799" t="s">
        <v>64</v>
      </c>
      <c r="J3799" t="s">
        <v>20</v>
      </c>
      <c r="K3799" t="s">
        <v>21</v>
      </c>
      <c r="L3799" t="s">
        <v>260</v>
      </c>
      <c r="N3799" t="s">
        <v>261</v>
      </c>
      <c r="O3799" t="s">
        <v>24</v>
      </c>
    </row>
    <row r="3800" spans="1:15" x14ac:dyDescent="0.25">
      <c r="A3800">
        <v>3799</v>
      </c>
      <c r="B3800" t="str">
        <f>HYPERLINK("https://digitalcommons.unl.edu/cgi/viewcontent.cgi?article=4353&amp;context=tractormuseumlit","Click for test report")</f>
        <v>Click for test report</v>
      </c>
      <c r="C3800">
        <v>2021</v>
      </c>
      <c r="E3800" t="s">
        <v>255</v>
      </c>
      <c r="F3800" t="s">
        <v>111</v>
      </c>
      <c r="G3800" t="s">
        <v>112</v>
      </c>
      <c r="H3800" t="s">
        <v>256</v>
      </c>
      <c r="I3800" t="s">
        <v>64</v>
      </c>
      <c r="J3800" t="s">
        <v>20</v>
      </c>
      <c r="K3800" t="s">
        <v>21</v>
      </c>
      <c r="L3800" t="s">
        <v>88</v>
      </c>
      <c r="N3800" t="s">
        <v>257</v>
      </c>
      <c r="O3800" t="s">
        <v>24</v>
      </c>
    </row>
    <row r="3801" spans="1:15" x14ac:dyDescent="0.25">
      <c r="A3801">
        <v>3800</v>
      </c>
      <c r="B3801" t="str">
        <f>HYPERLINK("https://digitalcommons.unl.edu/cgi/viewcontent.cgi?article=4354&amp;context=tractormuseumlit","Click for test report")</f>
        <v>Click for test report</v>
      </c>
      <c r="C3801">
        <v>2021</v>
      </c>
      <c r="E3801" t="s">
        <v>253</v>
      </c>
      <c r="F3801" t="s">
        <v>111</v>
      </c>
      <c r="G3801" t="s">
        <v>112</v>
      </c>
      <c r="H3801" t="s">
        <v>254</v>
      </c>
      <c r="I3801" t="s">
        <v>64</v>
      </c>
      <c r="J3801" t="s">
        <v>20</v>
      </c>
      <c r="K3801" t="s">
        <v>21</v>
      </c>
      <c r="L3801" t="s">
        <v>98</v>
      </c>
      <c r="N3801" t="s">
        <v>31</v>
      </c>
      <c r="O3801" t="s">
        <v>24</v>
      </c>
    </row>
    <row r="3802" spans="1:15" x14ac:dyDescent="0.25">
      <c r="A3802">
        <v>3801</v>
      </c>
      <c r="B3802" t="str">
        <f>HYPERLINK("https://digitalcommons.unl.edu/cgi/viewcontent.cgi?article=4355&amp;context=tractormuseumlit","Click for test report")</f>
        <v>Click for test report</v>
      </c>
      <c r="C3802">
        <v>2021</v>
      </c>
      <c r="E3802" t="s">
        <v>249</v>
      </c>
      <c r="F3802" t="s">
        <v>111</v>
      </c>
      <c r="G3802" t="s">
        <v>112</v>
      </c>
      <c r="H3802" t="s">
        <v>250</v>
      </c>
      <c r="I3802" t="s">
        <v>64</v>
      </c>
      <c r="J3802" t="s">
        <v>20</v>
      </c>
      <c r="K3802" t="s">
        <v>21</v>
      </c>
      <c r="L3802" t="s">
        <v>251</v>
      </c>
      <c r="N3802" t="s">
        <v>252</v>
      </c>
      <c r="O3802" t="s">
        <v>24</v>
      </c>
    </row>
    <row r="3803" spans="1:15" x14ac:dyDescent="0.25">
      <c r="A3803">
        <v>3802</v>
      </c>
      <c r="B3803" t="str">
        <f>HYPERLINK("https://digitalcommons.unl.edu/cgi/viewcontent.cgi?article=4371&amp;context=tractormuseumlit","Click for test report")</f>
        <v>Click for test report</v>
      </c>
      <c r="C3803">
        <v>2021</v>
      </c>
      <c r="E3803" t="s">
        <v>245</v>
      </c>
      <c r="F3803" t="s">
        <v>17</v>
      </c>
      <c r="G3803" t="s">
        <v>17</v>
      </c>
      <c r="H3803" t="s">
        <v>246</v>
      </c>
      <c r="I3803" t="s">
        <v>19</v>
      </c>
      <c r="J3803" t="s">
        <v>20</v>
      </c>
      <c r="K3803" t="s">
        <v>21</v>
      </c>
      <c r="L3803" t="s">
        <v>46</v>
      </c>
      <c r="N3803" t="s">
        <v>247</v>
      </c>
      <c r="O3803" t="s">
        <v>248</v>
      </c>
    </row>
    <row r="3804" spans="1:15" x14ac:dyDescent="0.25">
      <c r="A3804">
        <v>3803</v>
      </c>
      <c r="B3804" t="str">
        <f>HYPERLINK("https://digitalcommons.unl.edu/cgi/viewcontent.cgi?article=4380&amp;context=tractormuseumlit","Click for test report")</f>
        <v>Click for test report</v>
      </c>
      <c r="C3804">
        <v>2021</v>
      </c>
      <c r="D3804" t="s">
        <v>239</v>
      </c>
      <c r="E3804" t="s">
        <v>240</v>
      </c>
      <c r="F3804" t="s">
        <v>241</v>
      </c>
      <c r="G3804" t="s">
        <v>242</v>
      </c>
      <c r="H3804" t="s">
        <v>243</v>
      </c>
      <c r="I3804" t="s">
        <v>64</v>
      </c>
      <c r="J3804" t="s">
        <v>29</v>
      </c>
      <c r="K3804" t="s">
        <v>21</v>
      </c>
      <c r="L3804" t="s">
        <v>82</v>
      </c>
      <c r="N3804" t="s">
        <v>88</v>
      </c>
      <c r="O3804" t="s">
        <v>244</v>
      </c>
    </row>
    <row r="3805" spans="1:15" x14ac:dyDescent="0.25">
      <c r="A3805">
        <v>3804</v>
      </c>
      <c r="B3805" t="str">
        <f>HYPERLINK("https://digitalcommons.unl.edu/cgi/viewcontent.cgi?article=4361&amp;context=tractormuseumlit","Click for test report")</f>
        <v>Click for test report</v>
      </c>
      <c r="C3805">
        <v>2021</v>
      </c>
      <c r="D3805" t="s">
        <v>236</v>
      </c>
      <c r="E3805" t="s">
        <v>237</v>
      </c>
      <c r="F3805" t="s">
        <v>17</v>
      </c>
      <c r="G3805" t="s">
        <v>17</v>
      </c>
      <c r="H3805" t="s">
        <v>238</v>
      </c>
      <c r="I3805" t="s">
        <v>28</v>
      </c>
      <c r="J3805" t="s">
        <v>20</v>
      </c>
      <c r="K3805" t="s">
        <v>21</v>
      </c>
      <c r="L3805" t="s">
        <v>167</v>
      </c>
      <c r="N3805" t="s">
        <v>149</v>
      </c>
      <c r="O3805" t="s">
        <v>217</v>
      </c>
    </row>
    <row r="3806" spans="1:15" x14ac:dyDescent="0.25">
      <c r="A3806">
        <v>3805</v>
      </c>
      <c r="B3806" t="str">
        <f>HYPERLINK("https://digitalcommons.unl.edu/cgi/viewcontent.cgi?article=4362&amp;context=tractormuseumlit","Click for test report")</f>
        <v>Click for test report</v>
      </c>
      <c r="C3806">
        <v>2021</v>
      </c>
      <c r="D3806" t="s">
        <v>233</v>
      </c>
      <c r="E3806" t="s">
        <v>234</v>
      </c>
      <c r="F3806" t="s">
        <v>17</v>
      </c>
      <c r="G3806" t="s">
        <v>17</v>
      </c>
      <c r="H3806" t="s">
        <v>235</v>
      </c>
      <c r="I3806" t="s">
        <v>28</v>
      </c>
      <c r="J3806" t="s">
        <v>20</v>
      </c>
      <c r="K3806" t="s">
        <v>21</v>
      </c>
      <c r="L3806" t="s">
        <v>232</v>
      </c>
      <c r="N3806" t="s">
        <v>75</v>
      </c>
      <c r="O3806" t="s">
        <v>217</v>
      </c>
    </row>
    <row r="3807" spans="1:15" x14ac:dyDescent="0.25">
      <c r="A3807">
        <v>3806</v>
      </c>
      <c r="B3807" t="str">
        <f>HYPERLINK("https://digitalcommons.unl.edu/cgi/viewcontent.cgi?article=4363&amp;context=tractormuseumlit","Click for test report")</f>
        <v>Click for test report</v>
      </c>
      <c r="C3807">
        <v>2021</v>
      </c>
      <c r="D3807" t="s">
        <v>228</v>
      </c>
      <c r="E3807" t="s">
        <v>229</v>
      </c>
      <c r="F3807" t="s">
        <v>17</v>
      </c>
      <c r="G3807" t="s">
        <v>17</v>
      </c>
      <c r="H3807" t="s">
        <v>230</v>
      </c>
      <c r="I3807" t="s">
        <v>28</v>
      </c>
      <c r="J3807" t="s">
        <v>20</v>
      </c>
      <c r="K3807" t="s">
        <v>21</v>
      </c>
      <c r="L3807" t="s">
        <v>231</v>
      </c>
      <c r="N3807" t="s">
        <v>232</v>
      </c>
      <c r="O3807" t="s">
        <v>217</v>
      </c>
    </row>
    <row r="3808" spans="1:15" x14ac:dyDescent="0.25">
      <c r="A3808">
        <v>3807</v>
      </c>
      <c r="B3808" t="str">
        <f>HYPERLINK("https://digitalcommons.unl.edu/cgi/viewcontent.cgi?article=4364&amp;context=tractormuseumlit","Click for test report")</f>
        <v>Click for test report</v>
      </c>
      <c r="C3808">
        <v>2021</v>
      </c>
      <c r="D3808" t="s">
        <v>223</v>
      </c>
      <c r="E3808" t="s">
        <v>224</v>
      </c>
      <c r="F3808" t="s">
        <v>17</v>
      </c>
      <c r="G3808" t="s">
        <v>17</v>
      </c>
      <c r="H3808" t="s">
        <v>225</v>
      </c>
      <c r="I3808" t="s">
        <v>28</v>
      </c>
      <c r="J3808" t="s">
        <v>20</v>
      </c>
      <c r="K3808" t="s">
        <v>21</v>
      </c>
      <c r="L3808" t="s">
        <v>226</v>
      </c>
      <c r="N3808" t="s">
        <v>227</v>
      </c>
      <c r="O3808" t="s">
        <v>217</v>
      </c>
    </row>
    <row r="3809" spans="1:15" x14ac:dyDescent="0.25">
      <c r="A3809">
        <v>3808</v>
      </c>
      <c r="B3809" t="str">
        <f>HYPERLINK("https://digitalcommons.unl.edu/cgi/viewcontent.cgi?article=4365&amp;context=tractormuseumlit","Click for test report")</f>
        <v>Click for test report</v>
      </c>
      <c r="C3809">
        <v>2021</v>
      </c>
      <c r="D3809" t="s">
        <v>218</v>
      </c>
      <c r="E3809" t="s">
        <v>219</v>
      </c>
      <c r="F3809" t="s">
        <v>17</v>
      </c>
      <c r="G3809" t="s">
        <v>17</v>
      </c>
      <c r="H3809" t="s">
        <v>220</v>
      </c>
      <c r="I3809" t="s">
        <v>28</v>
      </c>
      <c r="J3809" t="s">
        <v>96</v>
      </c>
      <c r="K3809" t="s">
        <v>21</v>
      </c>
      <c r="L3809" t="s">
        <v>221</v>
      </c>
      <c r="N3809" t="s">
        <v>222</v>
      </c>
      <c r="O3809" t="s">
        <v>217</v>
      </c>
    </row>
    <row r="3810" spans="1:15" x14ac:dyDescent="0.25">
      <c r="A3810">
        <v>3809</v>
      </c>
      <c r="B3810" t="str">
        <f>HYPERLINK("https://digitalcommons.unl.edu/cgi/viewcontent.cgi?article=4366&amp;context=tractormuseumlit","Click for test report")</f>
        <v>Click for test report</v>
      </c>
      <c r="C3810">
        <v>2021</v>
      </c>
      <c r="D3810" t="s">
        <v>213</v>
      </c>
      <c r="E3810" t="s">
        <v>214</v>
      </c>
      <c r="F3810" t="s">
        <v>17</v>
      </c>
      <c r="G3810" t="s">
        <v>17</v>
      </c>
      <c r="H3810" t="s">
        <v>215</v>
      </c>
      <c r="I3810" t="s">
        <v>28</v>
      </c>
      <c r="J3810" t="s">
        <v>96</v>
      </c>
      <c r="K3810" t="s">
        <v>21</v>
      </c>
      <c r="L3810" t="s">
        <v>139</v>
      </c>
      <c r="N3810" t="s">
        <v>216</v>
      </c>
      <c r="O3810" t="s">
        <v>217</v>
      </c>
    </row>
    <row r="3811" spans="1:15" x14ac:dyDescent="0.25">
      <c r="A3811">
        <v>3810</v>
      </c>
      <c r="B3811" t="str">
        <f>HYPERLINK("https://digitalcommons.unl.edu/cgi/viewcontent.cgi?article=4367&amp;context=tractormuseumlit","Click for test report")</f>
        <v>Click for test report</v>
      </c>
      <c r="C3811">
        <v>2021</v>
      </c>
      <c r="D3811" t="s">
        <v>208</v>
      </c>
      <c r="E3811" t="s">
        <v>209</v>
      </c>
      <c r="F3811" t="s">
        <v>17</v>
      </c>
      <c r="G3811" t="s">
        <v>17</v>
      </c>
      <c r="H3811" t="s">
        <v>210</v>
      </c>
      <c r="I3811" t="s">
        <v>28</v>
      </c>
      <c r="J3811" t="s">
        <v>204</v>
      </c>
      <c r="K3811" t="s">
        <v>21</v>
      </c>
      <c r="L3811" t="s">
        <v>211</v>
      </c>
      <c r="N3811" t="s">
        <v>212</v>
      </c>
      <c r="O3811" t="s">
        <v>207</v>
      </c>
    </row>
    <row r="3812" spans="1:15" x14ac:dyDescent="0.25">
      <c r="A3812">
        <v>3811</v>
      </c>
      <c r="B3812" t="str">
        <f>HYPERLINK("https://digitalcommons.unl.edu/cgi/viewcontent.cgi?article=4368&amp;context=tractormuseumlit","Click for test report")</f>
        <v>Click for test report</v>
      </c>
      <c r="C3812">
        <v>2021</v>
      </c>
      <c r="D3812" t="s">
        <v>201</v>
      </c>
      <c r="E3812" t="s">
        <v>202</v>
      </c>
      <c r="F3812" t="s">
        <v>17</v>
      </c>
      <c r="G3812" t="s">
        <v>17</v>
      </c>
      <c r="H3812" t="s">
        <v>203</v>
      </c>
      <c r="I3812" t="s">
        <v>28</v>
      </c>
      <c r="J3812" t="s">
        <v>204</v>
      </c>
      <c r="K3812" t="s">
        <v>21</v>
      </c>
      <c r="L3812" t="s">
        <v>205</v>
      </c>
      <c r="N3812" t="s">
        <v>206</v>
      </c>
      <c r="O3812" t="s">
        <v>207</v>
      </c>
    </row>
    <row r="3813" spans="1:15" x14ac:dyDescent="0.25">
      <c r="A3813">
        <v>3812</v>
      </c>
      <c r="B3813" t="str">
        <f>HYPERLINK("https://digitalcommons.unl.edu/cgi/viewcontent.cgi?article=4360&amp;context=tractormuseumlit","Click for test report")</f>
        <v>Click for test report</v>
      </c>
      <c r="C3813">
        <v>2021</v>
      </c>
      <c r="D3813" t="s">
        <v>196</v>
      </c>
      <c r="E3813" t="s">
        <v>197</v>
      </c>
      <c r="F3813" t="s">
        <v>17</v>
      </c>
      <c r="G3813" t="s">
        <v>17</v>
      </c>
      <c r="H3813" t="s">
        <v>198</v>
      </c>
      <c r="I3813" t="s">
        <v>64</v>
      </c>
      <c r="J3813" t="s">
        <v>20</v>
      </c>
      <c r="K3813" t="s">
        <v>21</v>
      </c>
      <c r="L3813" t="s">
        <v>199</v>
      </c>
      <c r="N3813" t="s">
        <v>200</v>
      </c>
      <c r="O3813" t="s">
        <v>32</v>
      </c>
    </row>
    <row r="3814" spans="1:15" x14ac:dyDescent="0.25">
      <c r="A3814">
        <v>3813</v>
      </c>
      <c r="B3814" t="str">
        <f>HYPERLINK("https://digitalcommons.unl.edu/cgi/viewcontent.cgi?article=4376&amp;context=tractormuseumlit","Click for test report")</f>
        <v>Click for test report</v>
      </c>
      <c r="C3814">
        <v>2021</v>
      </c>
      <c r="D3814" t="s">
        <v>193</v>
      </c>
      <c r="E3814" t="s">
        <v>194</v>
      </c>
      <c r="F3814" t="s">
        <v>134</v>
      </c>
      <c r="G3814" t="s">
        <v>191</v>
      </c>
      <c r="H3814" t="s">
        <v>195</v>
      </c>
      <c r="I3814" t="s">
        <v>28</v>
      </c>
      <c r="J3814" t="s">
        <v>20</v>
      </c>
      <c r="K3814" t="s">
        <v>21</v>
      </c>
      <c r="L3814" t="s">
        <v>138</v>
      </c>
      <c r="N3814" t="s">
        <v>144</v>
      </c>
    </row>
    <row r="3815" spans="1:15" x14ac:dyDescent="0.25">
      <c r="A3815">
        <v>3814</v>
      </c>
      <c r="B3815" t="str">
        <f>HYPERLINK("https://digitalcommons.unl.edu/cgi/viewcontent.cgi?article=4378&amp;context=tractormuseumlit","Click for test report")</f>
        <v>Click for test report</v>
      </c>
      <c r="C3815">
        <v>2021</v>
      </c>
      <c r="D3815" t="s">
        <v>189</v>
      </c>
      <c r="E3815" t="s">
        <v>190</v>
      </c>
      <c r="F3815" t="s">
        <v>134</v>
      </c>
      <c r="G3815" t="s">
        <v>191</v>
      </c>
      <c r="H3815" t="s">
        <v>192</v>
      </c>
      <c r="I3815" t="s">
        <v>28</v>
      </c>
      <c r="J3815" t="s">
        <v>137</v>
      </c>
      <c r="K3815" t="s">
        <v>21</v>
      </c>
      <c r="L3815" t="s">
        <v>138</v>
      </c>
      <c r="N3815" t="s">
        <v>139</v>
      </c>
    </row>
    <row r="3816" spans="1:15" x14ac:dyDescent="0.25">
      <c r="A3816">
        <v>3815</v>
      </c>
      <c r="B3816" t="str">
        <f>HYPERLINK("https://digitalcommons.unl.edu/cgi/viewcontent.cgi?article=4381&amp;context=tractormuseumlit","Click for test report")</f>
        <v>Click for test report</v>
      </c>
      <c r="C3816">
        <v>2021</v>
      </c>
      <c r="D3816" t="s">
        <v>184</v>
      </c>
      <c r="E3816" t="s">
        <v>185</v>
      </c>
      <c r="F3816" t="s">
        <v>111</v>
      </c>
      <c r="G3816" t="s">
        <v>112</v>
      </c>
      <c r="H3816" t="s">
        <v>186</v>
      </c>
      <c r="I3816" t="s">
        <v>64</v>
      </c>
      <c r="J3816" t="s">
        <v>96</v>
      </c>
      <c r="K3816" t="s">
        <v>21</v>
      </c>
      <c r="L3816" t="s">
        <v>187</v>
      </c>
      <c r="N3816" t="s">
        <v>188</v>
      </c>
    </row>
    <row r="3817" spans="1:15" x14ac:dyDescent="0.25">
      <c r="A3817">
        <v>3816</v>
      </c>
      <c r="B3817" t="str">
        <f>HYPERLINK("https://digitalcommons.unl.edu/cgi/viewcontent.cgi?article=4382&amp;context=tractormuseumlit","Click for test report")</f>
        <v>Click for test report</v>
      </c>
      <c r="C3817">
        <v>2021</v>
      </c>
      <c r="D3817" t="s">
        <v>179</v>
      </c>
      <c r="E3817" t="s">
        <v>180</v>
      </c>
      <c r="F3817" t="s">
        <v>111</v>
      </c>
      <c r="G3817" t="s">
        <v>112</v>
      </c>
      <c r="H3817" t="s">
        <v>181</v>
      </c>
      <c r="I3817" t="s">
        <v>64</v>
      </c>
      <c r="J3817" t="s">
        <v>96</v>
      </c>
      <c r="K3817" t="s">
        <v>21</v>
      </c>
      <c r="L3817" t="s">
        <v>182</v>
      </c>
      <c r="N3817" t="s">
        <v>183</v>
      </c>
    </row>
    <row r="3818" spans="1:15" x14ac:dyDescent="0.25">
      <c r="A3818">
        <v>3817</v>
      </c>
      <c r="B3818" t="str">
        <f>HYPERLINK("https://digitalcommons.unl.edu/cgi/viewcontent.cgi?article=4383&amp;context=tractormuseumlit","Click for test report")</f>
        <v>Click for test report</v>
      </c>
      <c r="C3818">
        <v>2021</v>
      </c>
      <c r="D3818" t="s">
        <v>174</v>
      </c>
      <c r="E3818" t="s">
        <v>175</v>
      </c>
      <c r="F3818" t="s">
        <v>111</v>
      </c>
      <c r="G3818" t="s">
        <v>112</v>
      </c>
      <c r="H3818" t="s">
        <v>176</v>
      </c>
      <c r="I3818" t="s">
        <v>64</v>
      </c>
      <c r="J3818" t="s">
        <v>96</v>
      </c>
      <c r="K3818" t="s">
        <v>21</v>
      </c>
      <c r="L3818" t="s">
        <v>177</v>
      </c>
      <c r="N3818" t="s">
        <v>178</v>
      </c>
    </row>
    <row r="3819" spans="1:15" x14ac:dyDescent="0.25">
      <c r="A3819">
        <v>3818</v>
      </c>
      <c r="B3819" t="str">
        <f>HYPERLINK("https://digitalcommons.unl.edu/cgi/viewcontent.cgi?article=4384&amp;context=tractormuseumlit","Click for test report")</f>
        <v>Click for test report</v>
      </c>
      <c r="C3819">
        <v>2021</v>
      </c>
      <c r="D3819" t="s">
        <v>169</v>
      </c>
      <c r="E3819" t="s">
        <v>170</v>
      </c>
      <c r="F3819" t="s">
        <v>111</v>
      </c>
      <c r="G3819" t="s">
        <v>112</v>
      </c>
      <c r="H3819" t="s">
        <v>171</v>
      </c>
      <c r="I3819" t="s">
        <v>64</v>
      </c>
      <c r="J3819" t="s">
        <v>96</v>
      </c>
      <c r="K3819" t="s">
        <v>21</v>
      </c>
      <c r="L3819" t="s">
        <v>172</v>
      </c>
      <c r="N3819" t="s">
        <v>173</v>
      </c>
    </row>
    <row r="3820" spans="1:15" x14ac:dyDescent="0.25">
      <c r="A3820">
        <v>3819</v>
      </c>
      <c r="B3820" t="str">
        <f>HYPERLINK("https://digitalcommons.unl.edu/cgi/viewcontent.cgi?article=4332&amp;context=tractormuseumlit","Click for test report")</f>
        <v>Click for test report</v>
      </c>
      <c r="C3820">
        <v>2021</v>
      </c>
      <c r="D3820" t="s">
        <v>163</v>
      </c>
      <c r="E3820" t="s">
        <v>164</v>
      </c>
      <c r="F3820" t="s">
        <v>17</v>
      </c>
      <c r="G3820" t="s">
        <v>17</v>
      </c>
      <c r="H3820" t="s">
        <v>165</v>
      </c>
      <c r="I3820" t="s">
        <v>28</v>
      </c>
      <c r="J3820" t="s">
        <v>20</v>
      </c>
      <c r="K3820" t="s">
        <v>21</v>
      </c>
      <c r="L3820" t="s">
        <v>166</v>
      </c>
      <c r="N3820" t="s">
        <v>167</v>
      </c>
      <c r="O3820" t="s">
        <v>168</v>
      </c>
    </row>
    <row r="3821" spans="1:15" x14ac:dyDescent="0.25">
      <c r="A3821">
        <v>3820</v>
      </c>
      <c r="B3821" t="str">
        <f>HYPERLINK("https://digitalcommons.unl.edu/cgi/viewcontent.cgi?article=4333&amp;context=tractormuseumlit","Click for test report")</f>
        <v>Click for test report</v>
      </c>
      <c r="C3821">
        <v>2021</v>
      </c>
      <c r="D3821" t="s">
        <v>157</v>
      </c>
      <c r="E3821" t="s">
        <v>158</v>
      </c>
      <c r="F3821" t="s">
        <v>17</v>
      </c>
      <c r="G3821" t="s">
        <v>17</v>
      </c>
      <c r="H3821" t="s">
        <v>159</v>
      </c>
      <c r="I3821" t="s">
        <v>28</v>
      </c>
      <c r="J3821" t="s">
        <v>20</v>
      </c>
      <c r="K3821" t="s">
        <v>21</v>
      </c>
      <c r="L3821" t="s">
        <v>160</v>
      </c>
      <c r="N3821" t="s">
        <v>161</v>
      </c>
      <c r="O3821" t="s">
        <v>162</v>
      </c>
    </row>
    <row r="3822" spans="1:15" x14ac:dyDescent="0.25">
      <c r="A3822">
        <v>3821</v>
      </c>
      <c r="B3822" t="str">
        <f>HYPERLINK("https://digitalcommons.unl.edu/cgi/viewcontent.cgi?article=4334&amp;context=tractormuseumlit","Click for test report")</f>
        <v>Click for test report</v>
      </c>
      <c r="C3822">
        <v>2021</v>
      </c>
      <c r="D3822" t="s">
        <v>152</v>
      </c>
      <c r="E3822" t="s">
        <v>153</v>
      </c>
      <c r="F3822" t="s">
        <v>17</v>
      </c>
      <c r="G3822" t="s">
        <v>17</v>
      </c>
      <c r="H3822" t="s">
        <v>154</v>
      </c>
      <c r="I3822" t="s">
        <v>28</v>
      </c>
      <c r="J3822" t="s">
        <v>20</v>
      </c>
      <c r="K3822" t="s">
        <v>21</v>
      </c>
      <c r="L3822" t="s">
        <v>66</v>
      </c>
      <c r="N3822" t="s">
        <v>155</v>
      </c>
      <c r="O3822" t="s">
        <v>156</v>
      </c>
    </row>
    <row r="3823" spans="1:15" x14ac:dyDescent="0.25">
      <c r="A3823">
        <v>3822</v>
      </c>
      <c r="B3823" t="str">
        <f>HYPERLINK("https://digitalcommons.unl.edu/cgi/viewcontent.cgi?article=4335&amp;context=tractormuseumlit","Click for test report")</f>
        <v>Click for test report</v>
      </c>
      <c r="C3823">
        <v>2021</v>
      </c>
      <c r="D3823" t="s">
        <v>146</v>
      </c>
      <c r="E3823" t="s">
        <v>147</v>
      </c>
      <c r="F3823" t="s">
        <v>17</v>
      </c>
      <c r="G3823" t="s">
        <v>17</v>
      </c>
      <c r="H3823" t="s">
        <v>148</v>
      </c>
      <c r="I3823" t="s">
        <v>28</v>
      </c>
      <c r="J3823" t="s">
        <v>20</v>
      </c>
      <c r="K3823" t="s">
        <v>21</v>
      </c>
      <c r="L3823" t="s">
        <v>149</v>
      </c>
      <c r="N3823" t="s">
        <v>150</v>
      </c>
      <c r="O3823" t="s">
        <v>151</v>
      </c>
    </row>
    <row r="3824" spans="1:15" x14ac:dyDescent="0.25">
      <c r="A3824">
        <v>3823</v>
      </c>
      <c r="B3824" t="str">
        <f>HYPERLINK("https://digitalcommons.unl.edu/cgi/viewcontent.cgi?article=4377&amp;context=tractormuseumlit","Click for test report")</f>
        <v>Click for test report</v>
      </c>
      <c r="C3824">
        <v>2021</v>
      </c>
      <c r="D3824" t="s">
        <v>141</v>
      </c>
      <c r="E3824" t="s">
        <v>142</v>
      </c>
      <c r="F3824" t="s">
        <v>134</v>
      </c>
      <c r="G3824" t="s">
        <v>135</v>
      </c>
      <c r="H3824" t="s">
        <v>143</v>
      </c>
      <c r="I3824" t="s">
        <v>28</v>
      </c>
      <c r="J3824" t="s">
        <v>20</v>
      </c>
      <c r="K3824" t="s">
        <v>21</v>
      </c>
      <c r="L3824" t="s">
        <v>138</v>
      </c>
      <c r="N3824" t="s">
        <v>144</v>
      </c>
      <c r="O3824" t="s">
        <v>145</v>
      </c>
    </row>
    <row r="3825" spans="1:15" x14ac:dyDescent="0.25">
      <c r="A3825">
        <v>3824</v>
      </c>
      <c r="B3825" t="str">
        <f>HYPERLINK("https://digitalcommons.unl.edu/cgi/viewcontent.cgi?article=4379&amp;context=tractormuseumlit","Click for test report")</f>
        <v>Click for test report</v>
      </c>
      <c r="C3825">
        <v>2021</v>
      </c>
      <c r="D3825" t="s">
        <v>132</v>
      </c>
      <c r="E3825" t="s">
        <v>133</v>
      </c>
      <c r="F3825" t="s">
        <v>134</v>
      </c>
      <c r="G3825" t="s">
        <v>135</v>
      </c>
      <c r="H3825" t="s">
        <v>136</v>
      </c>
      <c r="I3825" t="s">
        <v>28</v>
      </c>
      <c r="J3825" t="s">
        <v>137</v>
      </c>
      <c r="K3825" t="s">
        <v>21</v>
      </c>
      <c r="L3825" t="s">
        <v>138</v>
      </c>
      <c r="N3825" t="s">
        <v>139</v>
      </c>
      <c r="O3825" t="s">
        <v>140</v>
      </c>
    </row>
    <row r="3826" spans="1:15" x14ac:dyDescent="0.25">
      <c r="A3826">
        <v>3825</v>
      </c>
      <c r="B3826" t="str">
        <f>HYPERLINK("https://digitalcommons.unl.edu/cgi/viewcontent.cgi?article=4386&amp;context=tractormuseumlit","Click for test report")</f>
        <v>Click for test report</v>
      </c>
      <c r="C3826">
        <v>2021</v>
      </c>
      <c r="D3826" t="s">
        <v>24</v>
      </c>
      <c r="E3826" t="s">
        <v>128</v>
      </c>
      <c r="F3826" t="s">
        <v>111</v>
      </c>
      <c r="G3826" t="s">
        <v>112</v>
      </c>
      <c r="H3826" t="s">
        <v>129</v>
      </c>
      <c r="I3826" t="s">
        <v>64</v>
      </c>
      <c r="J3826" t="s">
        <v>20</v>
      </c>
      <c r="K3826" t="s">
        <v>21</v>
      </c>
      <c r="L3826" t="s">
        <v>130</v>
      </c>
      <c r="N3826" t="s">
        <v>131</v>
      </c>
      <c r="O3826" t="s">
        <v>24</v>
      </c>
    </row>
    <row r="3827" spans="1:15" x14ac:dyDescent="0.25">
      <c r="A3827">
        <v>3826</v>
      </c>
      <c r="B3827" t="str">
        <f>HYPERLINK("https://digitalcommons.unl.edu/cgi/viewcontent.cgi?article=4387&amp;context=tractormuseumlit","Click for test report")</f>
        <v>Click for test report</v>
      </c>
      <c r="C3827">
        <v>2021</v>
      </c>
      <c r="D3827" t="s">
        <v>24</v>
      </c>
      <c r="E3827" t="s">
        <v>124</v>
      </c>
      <c r="F3827" t="s">
        <v>111</v>
      </c>
      <c r="G3827" t="s">
        <v>112</v>
      </c>
      <c r="H3827" t="s">
        <v>125</v>
      </c>
      <c r="I3827" t="s">
        <v>64</v>
      </c>
      <c r="J3827" t="s">
        <v>20</v>
      </c>
      <c r="K3827" t="s">
        <v>21</v>
      </c>
      <c r="L3827" t="s">
        <v>126</v>
      </c>
      <c r="N3827" t="s">
        <v>127</v>
      </c>
      <c r="O3827" t="s">
        <v>24</v>
      </c>
    </row>
    <row r="3828" spans="1:15" x14ac:dyDescent="0.25">
      <c r="A3828">
        <v>3827</v>
      </c>
      <c r="B3828" t="str">
        <f>HYPERLINK("https://digitalcommons.unl.edu/cgi/viewcontent.cgi?article=4388&amp;context=tractormuseumlit","Click for test report")</f>
        <v>Click for test report</v>
      </c>
      <c r="C3828">
        <v>2021</v>
      </c>
      <c r="D3828" t="s">
        <v>24</v>
      </c>
      <c r="E3828" t="s">
        <v>120</v>
      </c>
      <c r="F3828" t="s">
        <v>111</v>
      </c>
      <c r="G3828" t="s">
        <v>112</v>
      </c>
      <c r="H3828" t="s">
        <v>121</v>
      </c>
      <c r="I3828" t="s">
        <v>64</v>
      </c>
      <c r="J3828" t="s">
        <v>20</v>
      </c>
      <c r="K3828" t="s">
        <v>21</v>
      </c>
      <c r="L3828" t="s">
        <v>122</v>
      </c>
      <c r="N3828" t="s">
        <v>123</v>
      </c>
      <c r="O3828" t="s">
        <v>24</v>
      </c>
    </row>
    <row r="3829" spans="1:15" x14ac:dyDescent="0.25">
      <c r="A3829">
        <v>3828</v>
      </c>
      <c r="B3829" t="str">
        <f>HYPERLINK("https://digitalcommons.unl.edu/cgi/viewcontent.cgi?article=4389&amp;context=tractormuseumlit","Click for test report")</f>
        <v>Click for test report</v>
      </c>
      <c r="C3829">
        <v>2021</v>
      </c>
      <c r="D3829" t="s">
        <v>24</v>
      </c>
      <c r="E3829" t="s">
        <v>116</v>
      </c>
      <c r="F3829" t="s">
        <v>111</v>
      </c>
      <c r="G3829" t="s">
        <v>112</v>
      </c>
      <c r="H3829" t="s">
        <v>117</v>
      </c>
      <c r="I3829" t="s">
        <v>64</v>
      </c>
      <c r="J3829" t="s">
        <v>20</v>
      </c>
      <c r="K3829" t="s">
        <v>21</v>
      </c>
      <c r="L3829" t="s">
        <v>118</v>
      </c>
      <c r="N3829" t="s">
        <v>119</v>
      </c>
      <c r="O3829" t="s">
        <v>24</v>
      </c>
    </row>
    <row r="3830" spans="1:15" x14ac:dyDescent="0.25">
      <c r="A3830">
        <v>3829</v>
      </c>
      <c r="B3830" t="str">
        <f>HYPERLINK("https://digitalcommons.unl.edu/cgi/viewcontent.cgi?article=4390&amp;context=tractormuseumlit","Click for test report")</f>
        <v>Click for test report</v>
      </c>
      <c r="C3830">
        <v>2021</v>
      </c>
      <c r="D3830" t="s">
        <v>24</v>
      </c>
      <c r="E3830" t="s">
        <v>110</v>
      </c>
      <c r="F3830" t="s">
        <v>111</v>
      </c>
      <c r="G3830" t="s">
        <v>112</v>
      </c>
      <c r="H3830" t="s">
        <v>113</v>
      </c>
      <c r="I3830" t="s">
        <v>64</v>
      </c>
      <c r="J3830" t="s">
        <v>20</v>
      </c>
      <c r="K3830" t="s">
        <v>21</v>
      </c>
      <c r="L3830" t="s">
        <v>114</v>
      </c>
      <c r="N3830" t="s">
        <v>115</v>
      </c>
      <c r="O3830" t="s">
        <v>24</v>
      </c>
    </row>
    <row r="3831" spans="1:15" x14ac:dyDescent="0.25">
      <c r="A3831">
        <v>3830</v>
      </c>
      <c r="B3831" t="str">
        <f>HYPERLINK("https://digitalcommons.unl.edu/cgi/viewcontent.cgi?article=4391&amp;context=tractormuseumlit","Click for test report")</f>
        <v>Click for test report</v>
      </c>
      <c r="C3831">
        <v>2022</v>
      </c>
      <c r="D3831" t="s">
        <v>105</v>
      </c>
      <c r="E3831" t="s">
        <v>106</v>
      </c>
      <c r="F3831" t="s">
        <v>17</v>
      </c>
      <c r="G3831" t="s">
        <v>17</v>
      </c>
      <c r="H3831" t="s">
        <v>107</v>
      </c>
      <c r="I3831" t="s">
        <v>28</v>
      </c>
      <c r="J3831" t="s">
        <v>96</v>
      </c>
      <c r="K3831" t="s">
        <v>21</v>
      </c>
      <c r="L3831" t="s">
        <v>108</v>
      </c>
      <c r="N3831" t="s">
        <v>109</v>
      </c>
      <c r="O3831" t="s">
        <v>99</v>
      </c>
    </row>
    <row r="3832" spans="1:15" x14ac:dyDescent="0.25">
      <c r="A3832">
        <v>3831</v>
      </c>
      <c r="B3832" t="str">
        <f>HYPERLINK("https://digitalcommons.unl.edu/cgi/viewcontent.cgi?article=4392&amp;context=tractormuseumlit","Click for test report")</f>
        <v>Click for test report</v>
      </c>
      <c r="C3832">
        <v>2022</v>
      </c>
      <c r="D3832" t="s">
        <v>100</v>
      </c>
      <c r="E3832" t="s">
        <v>101</v>
      </c>
      <c r="F3832" t="s">
        <v>17</v>
      </c>
      <c r="G3832" t="s">
        <v>17</v>
      </c>
      <c r="H3832" t="s">
        <v>102</v>
      </c>
      <c r="I3832" t="s">
        <v>28</v>
      </c>
      <c r="J3832" t="s">
        <v>96</v>
      </c>
      <c r="K3832" t="s">
        <v>21</v>
      </c>
      <c r="L3832" t="s">
        <v>103</v>
      </c>
      <c r="N3832" t="s">
        <v>104</v>
      </c>
      <c r="O3832" t="s">
        <v>32</v>
      </c>
    </row>
    <row r="3833" spans="1:15" x14ac:dyDescent="0.25">
      <c r="A3833">
        <v>3832</v>
      </c>
      <c r="B3833" t="str">
        <f>HYPERLINK("https://digitalcommons.unl.edu/cgi/viewcontent.cgi?article=4393&amp;context=tractormuseumlit","Click for test report")</f>
        <v>Click for test report</v>
      </c>
      <c r="C3833">
        <v>2022</v>
      </c>
      <c r="D3833" t="s">
        <v>93</v>
      </c>
      <c r="E3833" t="s">
        <v>94</v>
      </c>
      <c r="F3833" t="s">
        <v>17</v>
      </c>
      <c r="G3833" t="s">
        <v>17</v>
      </c>
      <c r="H3833" t="s">
        <v>95</v>
      </c>
      <c r="I3833" t="s">
        <v>28</v>
      </c>
      <c r="J3833" t="s">
        <v>96</v>
      </c>
      <c r="K3833" t="s">
        <v>21</v>
      </c>
      <c r="L3833" t="s">
        <v>97</v>
      </c>
      <c r="N3833" t="s">
        <v>98</v>
      </c>
      <c r="O3833" t="s">
        <v>99</v>
      </c>
    </row>
    <row r="3834" spans="1:15" x14ac:dyDescent="0.25">
      <c r="A3834">
        <v>3833</v>
      </c>
      <c r="B3834" t="str">
        <f>HYPERLINK("https://digitalcommons.unl.edu/cgi/viewcontent.cgi?article=4394&amp;context=tractormuseumlit","Click for test report")</f>
        <v>Click for test report</v>
      </c>
      <c r="C3834">
        <v>2022</v>
      </c>
      <c r="D3834" t="s">
        <v>89</v>
      </c>
      <c r="E3834" t="s">
        <v>90</v>
      </c>
      <c r="F3834" t="s">
        <v>17</v>
      </c>
      <c r="G3834" t="s">
        <v>17</v>
      </c>
      <c r="H3834" t="s">
        <v>91</v>
      </c>
      <c r="I3834" t="s">
        <v>28</v>
      </c>
      <c r="J3834" t="s">
        <v>80</v>
      </c>
      <c r="K3834" t="s">
        <v>21</v>
      </c>
      <c r="L3834" t="s">
        <v>30</v>
      </c>
      <c r="N3834" t="s">
        <v>92</v>
      </c>
      <c r="O3834" t="s">
        <v>83</v>
      </c>
    </row>
    <row r="3835" spans="1:15" x14ac:dyDescent="0.25">
      <c r="A3835">
        <v>3834</v>
      </c>
      <c r="B3835" t="str">
        <f>HYPERLINK("https://digitalcommons.unl.edu/cgi/viewcontent.cgi?article=4395&amp;context=tractormuseumlit","Click for test report")</f>
        <v>Click for test report</v>
      </c>
      <c r="C3835">
        <v>2022</v>
      </c>
      <c r="D3835" t="s">
        <v>84</v>
      </c>
      <c r="E3835" t="s">
        <v>85</v>
      </c>
      <c r="F3835" t="s">
        <v>17</v>
      </c>
      <c r="G3835" t="s">
        <v>17</v>
      </c>
      <c r="H3835" t="s">
        <v>86</v>
      </c>
      <c r="I3835" t="s">
        <v>28</v>
      </c>
      <c r="J3835" t="s">
        <v>80</v>
      </c>
      <c r="K3835" t="s">
        <v>21</v>
      </c>
      <c r="L3835" t="s">
        <v>87</v>
      </c>
      <c r="N3835" t="s">
        <v>88</v>
      </c>
      <c r="O3835" t="s">
        <v>83</v>
      </c>
    </row>
    <row r="3836" spans="1:15" x14ac:dyDescent="0.25">
      <c r="A3836">
        <v>3835</v>
      </c>
      <c r="B3836" t="str">
        <f>HYPERLINK("https://digitalcommons.unl.edu/cgi/viewcontent.cgi?article=4396&amp;context=tractormuseumlit","Click for test report")</f>
        <v>Click for test report</v>
      </c>
      <c r="C3836">
        <v>2022</v>
      </c>
      <c r="D3836" t="s">
        <v>77</v>
      </c>
      <c r="E3836" t="s">
        <v>78</v>
      </c>
      <c r="F3836" t="s">
        <v>17</v>
      </c>
      <c r="G3836" t="s">
        <v>17</v>
      </c>
      <c r="H3836" t="s">
        <v>79</v>
      </c>
      <c r="I3836" t="s">
        <v>28</v>
      </c>
      <c r="J3836" t="s">
        <v>80</v>
      </c>
      <c r="K3836" t="s">
        <v>21</v>
      </c>
      <c r="L3836" t="s">
        <v>81</v>
      </c>
      <c r="N3836" t="s">
        <v>82</v>
      </c>
      <c r="O3836" t="s">
        <v>83</v>
      </c>
    </row>
    <row r="3837" spans="1:15" x14ac:dyDescent="0.25">
      <c r="A3837">
        <v>3836</v>
      </c>
      <c r="B3837" t="str">
        <f>HYPERLINK("https://digitalcommons.unl.edu/cgi/viewcontent.cgi?article=4397&amp;context=tractormuseumlit","Click for test report")</f>
        <v>Click for test report</v>
      </c>
      <c r="C3837">
        <v>2021</v>
      </c>
      <c r="D3837" t="s">
        <v>72</v>
      </c>
      <c r="E3837" t="s">
        <v>73</v>
      </c>
      <c r="F3837" t="s">
        <v>61</v>
      </c>
      <c r="G3837" t="s">
        <v>62</v>
      </c>
      <c r="H3837" t="s">
        <v>74</v>
      </c>
      <c r="I3837" t="s">
        <v>64</v>
      </c>
      <c r="J3837" t="s">
        <v>20</v>
      </c>
      <c r="K3837" t="s">
        <v>21</v>
      </c>
      <c r="L3837" t="s">
        <v>75</v>
      </c>
      <c r="N3837" t="s">
        <v>76</v>
      </c>
      <c r="O3837" t="s">
        <v>24</v>
      </c>
    </row>
    <row r="3838" spans="1:15" x14ac:dyDescent="0.25">
      <c r="A3838">
        <v>3837</v>
      </c>
      <c r="B3838" t="str">
        <f>HYPERLINK("https://digitalcommons.unl.edu/cgi/viewcontent.cgi?article=4398&amp;context=tractormuseumlit","Click for test report")</f>
        <v>Click for test report</v>
      </c>
      <c r="C3838">
        <v>2021</v>
      </c>
      <c r="D3838" t="s">
        <v>67</v>
      </c>
      <c r="E3838" t="s">
        <v>68</v>
      </c>
      <c r="F3838" t="s">
        <v>61</v>
      </c>
      <c r="G3838" t="s">
        <v>62</v>
      </c>
      <c r="H3838" t="s">
        <v>69</v>
      </c>
      <c r="I3838" t="s">
        <v>64</v>
      </c>
      <c r="J3838" t="s">
        <v>20</v>
      </c>
      <c r="K3838" t="s">
        <v>21</v>
      </c>
      <c r="L3838" t="s">
        <v>70</v>
      </c>
      <c r="N3838" t="s">
        <v>71</v>
      </c>
      <c r="O3838" t="s">
        <v>24</v>
      </c>
    </row>
    <row r="3839" spans="1:15" x14ac:dyDescent="0.25">
      <c r="A3839">
        <v>3838</v>
      </c>
      <c r="B3839" t="str">
        <f>HYPERLINK("https://digitalcommons.unl.edu/cgi/viewcontent.cgi?article=4399&amp;context=tractormuseumlit","Click for test report")</f>
        <v>Click for test report</v>
      </c>
      <c r="C3839">
        <v>2021</v>
      </c>
      <c r="D3839" t="s">
        <v>59</v>
      </c>
      <c r="E3839" t="s">
        <v>60</v>
      </c>
      <c r="F3839" t="s">
        <v>61</v>
      </c>
      <c r="G3839" t="s">
        <v>62</v>
      </c>
      <c r="H3839" t="s">
        <v>63</v>
      </c>
      <c r="I3839" t="s">
        <v>64</v>
      </c>
      <c r="J3839" t="s">
        <v>20</v>
      </c>
      <c r="K3839" t="s">
        <v>21</v>
      </c>
      <c r="L3839" t="s">
        <v>65</v>
      </c>
      <c r="N3839" t="s">
        <v>66</v>
      </c>
      <c r="O3839" t="s">
        <v>24</v>
      </c>
    </row>
    <row r="3840" spans="1:15" x14ac:dyDescent="0.25">
      <c r="A3840">
        <v>3839</v>
      </c>
      <c r="B3840" t="str">
        <f>HYPERLINK("https://digitalcommons.unl.edu/cgi/viewcontent.cgi?article=4400&amp;context=tractormuseumlit","Click for test report")</f>
        <v>Click for test report</v>
      </c>
      <c r="C3840">
        <v>2022</v>
      </c>
      <c r="D3840" t="s">
        <v>56</v>
      </c>
      <c r="E3840" t="s">
        <v>24</v>
      </c>
      <c r="F3840" t="s">
        <v>17</v>
      </c>
      <c r="G3840" t="s">
        <v>17</v>
      </c>
      <c r="H3840" t="s">
        <v>57</v>
      </c>
      <c r="I3840" t="s">
        <v>50</v>
      </c>
      <c r="J3840" t="s">
        <v>20</v>
      </c>
      <c r="K3840" t="s">
        <v>21</v>
      </c>
      <c r="L3840" t="s">
        <v>58</v>
      </c>
      <c r="O3840" t="s">
        <v>24</v>
      </c>
    </row>
    <row r="3841" spans="1:15" x14ac:dyDescent="0.25">
      <c r="A3841">
        <v>3840</v>
      </c>
      <c r="B3841" t="str">
        <f>HYPERLINK("https://digitalcommons.unl.edu/cgi/viewcontent.cgi?article=4401&amp;context=tractormuseumlit","Click for test report")</f>
        <v>Click for test report</v>
      </c>
      <c r="C3841">
        <v>2022</v>
      </c>
      <c r="D3841" t="s">
        <v>53</v>
      </c>
      <c r="E3841" t="s">
        <v>24</v>
      </c>
      <c r="F3841" t="s">
        <v>17</v>
      </c>
      <c r="G3841" t="s">
        <v>17</v>
      </c>
      <c r="H3841" t="s">
        <v>54</v>
      </c>
      <c r="I3841" t="s">
        <v>50</v>
      </c>
      <c r="J3841" t="s">
        <v>20</v>
      </c>
      <c r="K3841" t="s">
        <v>21</v>
      </c>
      <c r="L3841" t="s">
        <v>55</v>
      </c>
      <c r="O3841" t="s">
        <v>24</v>
      </c>
    </row>
    <row r="3842" spans="1:15" x14ac:dyDescent="0.25">
      <c r="A3842">
        <v>3841</v>
      </c>
      <c r="B3842" t="str">
        <f>HYPERLINK("https://digitalcommons.unl.edu/cgi/viewcontent.cgi?article=4402&amp;context=tractormuseumlit","Click for test report")</f>
        <v>Click for test report</v>
      </c>
      <c r="C3842">
        <v>2022</v>
      </c>
      <c r="D3842" t="s">
        <v>47</v>
      </c>
      <c r="E3842" t="s">
        <v>48</v>
      </c>
      <c r="F3842" t="s">
        <v>17</v>
      </c>
      <c r="G3842" t="s">
        <v>17</v>
      </c>
      <c r="H3842" t="s">
        <v>49</v>
      </c>
      <c r="I3842" t="s">
        <v>50</v>
      </c>
      <c r="J3842" t="s">
        <v>20</v>
      </c>
      <c r="K3842" t="s">
        <v>21</v>
      </c>
      <c r="L3842" t="s">
        <v>51</v>
      </c>
      <c r="N3842" t="s">
        <v>52</v>
      </c>
      <c r="O3842" t="s">
        <v>24</v>
      </c>
    </row>
    <row r="3843" spans="1:15" x14ac:dyDescent="0.25">
      <c r="A3843">
        <v>3842</v>
      </c>
      <c r="B3843" t="str">
        <f>HYPERLINK("https://digitalcommons.unl.edu/cgi/viewcontent.cgi?article=4403&amp;context=tractormuseumlit","Click for test report")</f>
        <v>Click for test report</v>
      </c>
      <c r="C3843">
        <v>2022</v>
      </c>
      <c r="D3843" t="s">
        <v>42</v>
      </c>
      <c r="E3843" t="s">
        <v>43</v>
      </c>
      <c r="F3843" t="s">
        <v>17</v>
      </c>
      <c r="G3843" t="s">
        <v>17</v>
      </c>
      <c r="H3843" t="s">
        <v>44</v>
      </c>
      <c r="I3843" t="s">
        <v>19</v>
      </c>
      <c r="J3843" t="s">
        <v>20</v>
      </c>
      <c r="K3843" t="s">
        <v>21</v>
      </c>
      <c r="L3843" t="s">
        <v>45</v>
      </c>
      <c r="N3843" t="s">
        <v>46</v>
      </c>
      <c r="O3843" t="s">
        <v>24</v>
      </c>
    </row>
    <row r="3844" spans="1:15" x14ac:dyDescent="0.25">
      <c r="A3844">
        <v>3843</v>
      </c>
      <c r="B3844" t="str">
        <f>HYPERLINK("https://digitalcommons.unl.edu/cgi/viewcontent.cgi?article=4404&amp;context=tractormuseumlit","Click for test report")</f>
        <v>Click for test report</v>
      </c>
      <c r="C3844">
        <v>2022</v>
      </c>
      <c r="D3844" t="s">
        <v>37</v>
      </c>
      <c r="E3844" t="s">
        <v>38</v>
      </c>
      <c r="F3844" t="s">
        <v>17</v>
      </c>
      <c r="G3844" t="s">
        <v>17</v>
      </c>
      <c r="H3844" t="s">
        <v>39</v>
      </c>
      <c r="I3844" t="s">
        <v>28</v>
      </c>
      <c r="J3844" t="s">
        <v>29</v>
      </c>
      <c r="K3844" t="s">
        <v>21</v>
      </c>
      <c r="L3844" t="s">
        <v>40</v>
      </c>
      <c r="N3844" t="s">
        <v>41</v>
      </c>
      <c r="O3844" t="s">
        <v>24</v>
      </c>
    </row>
    <row r="3845" spans="1:15" x14ac:dyDescent="0.25">
      <c r="A3845">
        <v>3844</v>
      </c>
      <c r="B3845" t="str">
        <f>HYPERLINK("https://digitalcommons.unl.edu/cgi/viewcontent.cgi?article=4405&amp;context=tractormuseumlit","Click for test report")</f>
        <v>Click for test report</v>
      </c>
      <c r="C3845">
        <v>2022</v>
      </c>
      <c r="D3845" t="s">
        <v>33</v>
      </c>
      <c r="E3845" t="s">
        <v>34</v>
      </c>
      <c r="F3845" t="s">
        <v>17</v>
      </c>
      <c r="G3845" t="s">
        <v>17</v>
      </c>
      <c r="H3845" t="s">
        <v>35</v>
      </c>
      <c r="I3845" t="s">
        <v>28</v>
      </c>
      <c r="J3845" t="s">
        <v>29</v>
      </c>
      <c r="K3845" t="s">
        <v>21</v>
      </c>
      <c r="L3845" t="s">
        <v>30</v>
      </c>
      <c r="N3845" t="s">
        <v>36</v>
      </c>
      <c r="O3845" t="s">
        <v>32</v>
      </c>
    </row>
    <row r="3846" spans="1:15" x14ac:dyDescent="0.25">
      <c r="A3846">
        <v>3845</v>
      </c>
      <c r="B3846" t="str">
        <f>HYPERLINK("https://digitalcommons.unl.edu/cgi/viewcontent.cgi?article=4406&amp;context=tractormuseumlit","Click for test report")</f>
        <v>Click for test report</v>
      </c>
      <c r="C3846">
        <v>2022</v>
      </c>
      <c r="D3846" t="s">
        <v>25</v>
      </c>
      <c r="E3846" t="s">
        <v>26</v>
      </c>
      <c r="F3846" t="s">
        <v>17</v>
      </c>
      <c r="G3846" t="s">
        <v>17</v>
      </c>
      <c r="H3846" t="s">
        <v>27</v>
      </c>
      <c r="I3846" t="s">
        <v>28</v>
      </c>
      <c r="J3846" t="s">
        <v>29</v>
      </c>
      <c r="K3846" t="s">
        <v>21</v>
      </c>
      <c r="L3846" t="s">
        <v>30</v>
      </c>
      <c r="N3846" t="s">
        <v>31</v>
      </c>
      <c r="O3846" t="s">
        <v>32</v>
      </c>
    </row>
    <row r="3847" spans="1:15" x14ac:dyDescent="0.25">
      <c r="A3847">
        <v>3846</v>
      </c>
      <c r="B3847" t="str">
        <f>HYPERLINK("https://digitalcommons.unl.edu/cgi/viewcontent.cgi?article=4407&amp;context=tractormuseumlit","Click for test report")</f>
        <v>Click for test report</v>
      </c>
      <c r="C3847">
        <v>2022</v>
      </c>
      <c r="D3847" t="s">
        <v>15</v>
      </c>
      <c r="E3847" t="s">
        <v>16</v>
      </c>
      <c r="F3847" t="s">
        <v>17</v>
      </c>
      <c r="G3847" t="s">
        <v>17</v>
      </c>
      <c r="H3847" t="s">
        <v>18</v>
      </c>
      <c r="I3847" t="s">
        <v>19</v>
      </c>
      <c r="J3847" t="s">
        <v>20</v>
      </c>
      <c r="K3847" t="s">
        <v>21</v>
      </c>
      <c r="L3847" t="s">
        <v>22</v>
      </c>
      <c r="N3847" t="s">
        <v>23</v>
      </c>
      <c r="O3847" t="s">
        <v>24</v>
      </c>
    </row>
  </sheetData>
  <autoFilter ref="A1:O1" xr:uid="{00000000-0001-0000-0000-000000000000}">
    <sortState xmlns:xlrd2="http://schemas.microsoft.com/office/spreadsheetml/2017/richdata2" ref="A2:O3847">
      <sortCondition ref="A1"/>
    </sortState>
  </autoFilter>
  <pageMargins left="0.7" right="0.7" top="0.75" bottom="0.75" header="0.3" footer="0.3"/>
  <ignoredErrors>
    <ignoredError sqref="A1:O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Stwalley</dc:creator>
  <cp:lastModifiedBy>Grace L Baldwin</cp:lastModifiedBy>
  <dcterms:created xsi:type="dcterms:W3CDTF">2023-09-04T15:55:35Z</dcterms:created>
  <dcterms:modified xsi:type="dcterms:W3CDTF">2023-09-06T20:16:41Z</dcterms:modified>
</cp:coreProperties>
</file>