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tienpd3.github.io\website\file\"/>
    </mc:Choice>
  </mc:AlternateContent>
  <bookViews>
    <workbookView xWindow="0" yWindow="0" windowWidth="17256" windowHeight="5688"/>
  </bookViews>
  <sheets>
    <sheet name="HƯỚNG DẪN" sheetId="8" r:id="rId1"/>
    <sheet name="ĐỊNH GIÁ" sheetId="9" r:id="rId2"/>
    <sheet name="DANH MỤC" sheetId="4" r:id="rId3"/>
    <sheet name="LSK-Vốn Gốc" sheetId="6" r:id="rId4"/>
    <sheet name="LSK-Tiền Đều" sheetId="7" r:id="rId5"/>
    <sheet name="Hidden" sheetId="2" state="hidden" r:id="rId6"/>
  </sheets>
  <calcPr calcId="162913" concurrentCalc="0"/>
</workbook>
</file>

<file path=xl/calcChain.xml><?xml version="1.0" encoding="utf-8"?>
<calcChain xmlns="http://schemas.openxmlformats.org/spreadsheetml/2006/main">
  <c r="C20" i="9" l="1"/>
  <c r="C15" i="9"/>
  <c r="E2" i="9"/>
  <c r="B2" i="9"/>
  <c r="C4" i="2"/>
  <c r="C5" i="2"/>
  <c r="C8" i="2"/>
  <c r="C195" i="2"/>
  <c r="C10" i="2"/>
  <c r="C191" i="2"/>
  <c r="C9" i="2"/>
  <c r="C192" i="2"/>
  <c r="C193" i="2"/>
  <c r="C196" i="2"/>
  <c r="C197" i="2"/>
  <c r="C202" i="2"/>
  <c r="C204" i="2"/>
  <c r="D202" i="2"/>
  <c r="D204" i="2"/>
  <c r="E202" i="2"/>
  <c r="E204" i="2"/>
  <c r="F202" i="2"/>
  <c r="F204" i="2"/>
  <c r="G202" i="2"/>
  <c r="G204" i="2"/>
  <c r="H202" i="2"/>
  <c r="H204" i="2"/>
  <c r="I202" i="2"/>
  <c r="I204" i="2"/>
  <c r="J202" i="2"/>
  <c r="J204" i="2"/>
  <c r="K202" i="2"/>
  <c r="K204" i="2"/>
  <c r="L202" i="2"/>
  <c r="L204" i="2"/>
  <c r="C194" i="2"/>
  <c r="C205" i="2"/>
  <c r="C207" i="2"/>
  <c r="C206" i="2"/>
  <c r="C208" i="2"/>
  <c r="C7" i="2"/>
  <c r="D5" i="2"/>
  <c r="D7" i="2"/>
  <c r="E5" i="2"/>
  <c r="E7" i="2"/>
  <c r="F5" i="2"/>
  <c r="F7" i="2"/>
  <c r="G5" i="2"/>
  <c r="G7" i="2"/>
  <c r="H5" i="2"/>
  <c r="H7" i="2"/>
  <c r="I5" i="2"/>
  <c r="I7" i="2"/>
  <c r="J5" i="2"/>
  <c r="J7" i="2"/>
  <c r="K5" i="2"/>
  <c r="K7" i="2"/>
  <c r="L5" i="2"/>
  <c r="L7" i="2"/>
  <c r="C12" i="2"/>
  <c r="C13" i="2"/>
  <c r="C11" i="2"/>
  <c r="C16" i="2"/>
  <c r="C17" i="2"/>
  <c r="C14" i="2"/>
  <c r="C18" i="2"/>
  <c r="C19" i="2"/>
  <c r="C5" i="7"/>
  <c r="E2" i="7"/>
  <c r="C5" i="6"/>
  <c r="E2" i="6"/>
  <c r="I6" i="4"/>
  <c r="I7" i="4"/>
  <c r="I8" i="4"/>
  <c r="I9" i="4"/>
  <c r="I10" i="4"/>
  <c r="H10" i="4"/>
  <c r="G10" i="4"/>
  <c r="F10" i="4"/>
  <c r="E10" i="4"/>
  <c r="D10" i="4"/>
  <c r="C10" i="4"/>
  <c r="B189" i="9"/>
  <c r="B185" i="9"/>
  <c r="B186" i="9"/>
  <c r="B187" i="9"/>
  <c r="B190" i="9"/>
  <c r="B191" i="9"/>
  <c r="B196" i="9"/>
  <c r="B198" i="9"/>
  <c r="C196" i="9"/>
  <c r="C198" i="9"/>
  <c r="D196" i="9"/>
  <c r="D198" i="9"/>
  <c r="E196" i="9"/>
  <c r="E198" i="9"/>
  <c r="F196" i="9"/>
  <c r="F198" i="9"/>
  <c r="G196" i="9"/>
  <c r="G198" i="9"/>
  <c r="H196" i="9"/>
  <c r="H198" i="9"/>
  <c r="I196" i="9"/>
  <c r="I198" i="9"/>
  <c r="J196" i="9"/>
  <c r="J198" i="9"/>
  <c r="K196" i="9"/>
  <c r="K198" i="9"/>
  <c r="B188" i="9"/>
  <c r="B199" i="9"/>
  <c r="B201" i="9"/>
  <c r="B200" i="9"/>
  <c r="B202" i="9"/>
  <c r="C28" i="9"/>
  <c r="C27" i="9"/>
  <c r="C26" i="9"/>
  <c r="C25" i="9"/>
  <c r="C24" i="9"/>
  <c r="C23" i="9"/>
  <c r="C22" i="9"/>
  <c r="C21" i="9"/>
  <c r="C19" i="9"/>
  <c r="C18" i="9"/>
  <c r="C17" i="9"/>
  <c r="C16" i="9"/>
  <c r="B12" i="9"/>
  <c r="B11" i="9"/>
  <c r="B10" i="9"/>
  <c r="B9" i="9"/>
  <c r="B7" i="9"/>
</calcChain>
</file>

<file path=xl/sharedStrings.xml><?xml version="1.0" encoding="utf-8"?>
<sst xmlns="http://schemas.openxmlformats.org/spreadsheetml/2006/main" count="126" uniqueCount="96">
  <si>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</si>
  <si>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</si>
  <si>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</si>
  <si>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</si>
  <si>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</si>
  <si>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</si>
  <si>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</si>
  <si>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</si>
  <si>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"Bí Mật Định Giá Cổ Phiếu Trong 01 Phút"</t>
  </si>
  <si>
    <t>VỐN CHỦ SỞ HỮU HIỆN TẠI (tỷ đồng)</t>
  </si>
  <si>
    <t>*** Anh/Chị lưu ý kỹ phần đơn vị tính: Tỷ đồng, đồng,triệu cp….</t>
  </si>
  <si>
    <t>TỶ LỆ CỔ TỨC (tính theo mệnh giá)</t>
  </si>
  <si>
    <t>THỊ GIÁ CỔ PHIẾU (đồng/cp)</t>
  </si>
  <si>
    <t>TỔNG SỐ LƯỢNG CỔ PHIẾU (triệu cp)</t>
  </si>
  <si>
    <t>GIÁ TRỊ THỰC CỔ PHIẾU</t>
  </si>
  <si>
    <t>LÃI VỐN (mua rẻ tài sản)</t>
  </si>
  <si>
    <t xml:space="preserve"> </t>
  </si>
  <si>
    <t>DÒNG TIỀN THỰC (cổ tức)</t>
  </si>
  <si>
    <t>TĂNG GIÁ TRỊ</t>
  </si>
  <si>
    <t>TỔNG LỢI ÍCH</t>
  </si>
  <si>
    <t>GOOD</t>
  </si>
  <si>
    <t>NHỮNG TIÊU CHUẨN ĐỂ
 ĐỊNH GIÁ MỘT DOANH NGHIỆP TÔT</t>
  </si>
  <si>
    <t>CHỈ SỐ</t>
  </si>
  <si>
    <t>YES/NO</t>
  </si>
  <si>
    <t>Tỷ lệ lãi gộp lớn hơn hoặc bằng 15%</t>
  </si>
  <si>
    <t>Tỷ lệ lãi ròng lớn hơn hoặc bằng 5</t>
  </si>
  <si>
    <t>ROA lớn hơn hoặc bằng 5%</t>
  </si>
  <si>
    <t>ROE lớn hơn hoặc bằng 15%</t>
  </si>
  <si>
    <t>ROIC lớn hơn hoặc bằng 10%</t>
  </si>
  <si>
    <t>Nợ/VCSH nhỏ hơn hoặc =1</t>
  </si>
  <si>
    <t>P/E &lt;15(có thể 20) nhỏ hơn hoặc bằng 15</t>
  </si>
  <si>
    <t>B/P&lt;2(nhỏ hơn hoặc bằng 2)</t>
  </si>
  <si>
    <r>
      <rPr>
        <sz val="11"/>
        <color theme="1"/>
        <rFont val="Times New Roman"/>
        <charset val="134"/>
      </rPr>
      <t xml:space="preserve">Mô hình đơn giản tập chung    </t>
    </r>
    <r>
      <rPr>
        <sz val="11"/>
        <color rgb="FF00B050"/>
        <rFont val="Times New Roman"/>
        <charset val="134"/>
      </rPr>
      <t>(cột chỉ số nếu :đạt=1,không đạt =0)</t>
    </r>
  </si>
  <si>
    <t>Nợ dài hạn/LNST (quý hiện tại) nhỏ hơn  hoặc bằng 5</t>
  </si>
  <si>
    <t>Tỷ lệ cổ tức</t>
  </si>
  <si>
    <t>Số tiền chi cổ tức (tỷ đồng)</t>
  </si>
  <si>
    <t>Số tiền tăng vốn chủ sở hữu</t>
  </si>
  <si>
    <t>Vốn chủ sở hữu sau 1 năm</t>
  </si>
  <si>
    <t>ROE</t>
  </si>
  <si>
    <t>Tiền tăng lợi nhuận</t>
  </si>
  <si>
    <t>Lợi nhuận mới</t>
  </si>
  <si>
    <t>vnm</t>
  </si>
  <si>
    <t>Năm</t>
  </si>
  <si>
    <t>Lợi nhuận (tỷ đồng)</t>
  </si>
  <si>
    <t>Lạm phát (%)</t>
  </si>
  <si>
    <t>Lợi nhuận quy hồi về hiện tại (tỷ đồng)</t>
  </si>
  <si>
    <t>Vốn chủ sở hữu hiện tại (tỷ đồng)</t>
  </si>
  <si>
    <t>Tổng số lượng cổ phiếu (triệu cp)</t>
  </si>
  <si>
    <t>Tổng giá trị thực doanh nghiệp (tỷ đồng)</t>
  </si>
  <si>
    <t>Giá trị thực cổ phiếu</t>
  </si>
  <si>
    <t>Tiêu chí/Cổ phiếu</t>
  </si>
  <si>
    <t>HPG</t>
  </si>
  <si>
    <t>VNM</t>
  </si>
  <si>
    <t>MWG</t>
  </si>
  <si>
    <t>DHG</t>
  </si>
  <si>
    <t>SSI</t>
  </si>
  <si>
    <t>VIC</t>
  </si>
  <si>
    <t>Lãi vốn</t>
  </si>
  <si>
    <t>Dòng tiền</t>
  </si>
  <si>
    <t>Tăng giá trị</t>
  </si>
  <si>
    <t>Lướng sóng dự kiến</t>
  </si>
  <si>
    <t>* Các con số trên chỉ mang giá trị tham khảo</t>
  </si>
  <si>
    <t>Nhà đầu tư cần tự Tìm Cổ Phiếu Tốt, Định Giá &amp; Thiết Lập Danh Mục)</t>
  </si>
  <si>
    <t>P</t>
  </si>
  <si>
    <t>Lãi suất tháng</t>
  </si>
  <si>
    <t>Số kỳ (tháng)</t>
  </si>
  <si>
    <t>Lãi suất năm</t>
  </si>
  <si>
    <t>Mục tiêu đủ lớn</t>
  </si>
  <si>
    <t>Có kế hoạch, chọn cp</t>
  </si>
  <si>
    <t>Phản biện chính mình, Lôi các thầy ra phản biện</t>
  </si>
  <si>
    <t>LỢI NHUẬN TRUNG BÌNH MỖI NĂM TRONG 10 NĂM TỚI</t>
  </si>
  <si>
    <t>Lợi nhuận đưa vào công thức (tỷ đồng)</t>
  </si>
  <si>
    <t>Giá thị trường cổ phiếu (đồng/cp)</t>
  </si>
  <si>
    <t>Giá trị thực cổ phiếu hiện tại</t>
  </si>
  <si>
    <t>Giá trị thực sau 1 năm</t>
  </si>
  <si>
    <t>Lãi vốn (mua rẻ tài sản)</t>
  </si>
  <si>
    <t>Dòng tiền (tỷ lệ cổ tức)</t>
  </si>
  <si>
    <r>
      <t>Ban  lãnh đạo mua bán cố phần</t>
    </r>
    <r>
      <rPr>
        <sz val="11"/>
        <color rgb="FF00B050"/>
        <rFont val="Times New Roman"/>
        <charset val="134"/>
      </rPr>
      <t>(cột chỉ số nếu :đạt=1,không đạt =0)</t>
    </r>
  </si>
  <si>
    <r>
      <t>Dòng tiền từ hoạt động Kinh doanh dương</t>
    </r>
    <r>
      <rPr>
        <sz val="11"/>
        <color rgb="FF00B050"/>
        <rFont val="Times New Roman"/>
        <charset val="134"/>
      </rPr>
      <t>( nếu:đạt=1 không đạt =0)</t>
    </r>
  </si>
  <si>
    <r>
      <t>Lợi nhuận gộp tăng đều theo biểu đồ</t>
    </r>
    <r>
      <rPr>
        <sz val="11"/>
        <color rgb="FF00B050"/>
        <rFont val="Times New Roman"/>
        <charset val="134"/>
      </rPr>
      <t xml:space="preserve">(cột chỉ số:đạt=1,không đạt =0)  </t>
    </r>
  </si>
  <si>
    <r>
      <t>Doanh thu tăng đều theo biểu đồ</t>
    </r>
    <r>
      <rPr>
        <sz val="11"/>
        <color rgb="FF00B050"/>
        <rFont val="Times New Roman"/>
        <charset val="134"/>
      </rPr>
      <t>(cột chỉ số nếu:đạt=1,không đạt =0)</t>
    </r>
  </si>
  <si>
    <t>THÀNH CÔNG</t>
  </si>
  <si>
    <t>LNST 4 qúy gần nhất</t>
  </si>
  <si>
    <r>
      <rPr>
        <b/>
        <sz val="12"/>
        <rFont val="Times New Roman"/>
        <family val="1"/>
      </rPr>
      <t>LỢI NHUẬN SAU THUẾ 4 QUÝ GẦN NHẤT</t>
    </r>
    <r>
      <rPr>
        <b/>
        <sz val="14"/>
        <rFont val="Times New Roman"/>
        <charset val="134"/>
      </rPr>
      <t xml:space="preserve"> (tỷ đồng)</t>
    </r>
  </si>
  <si>
    <t>cpc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</si>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</sst>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  <numFmt numFmtId="167" formatCode="0.0_ "/>
  </numFmts>
  <fonts count="4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FF00"/>
      <name val="Calibri"/>
      <charset val="134"/>
      <scheme val="minor"/>
    </font>
    <font>
      <sz val="28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63"/>
      <scheme val="minor"/>
    </font>
    <font>
      <b/>
      <sz val="16"/>
      <color theme="1"/>
      <name val="Calibri"/>
      <charset val="134"/>
      <scheme val="minor"/>
    </font>
    <font>
      <b/>
      <sz val="11"/>
      <color rgb="FFFFFF00"/>
      <name val="Calibri"/>
      <charset val="134"/>
      <scheme val="minor"/>
    </font>
    <font>
      <sz val="52"/>
      <color rgb="FFFFFF00"/>
      <name val="Calibri"/>
      <charset val="134"/>
      <scheme val="minor"/>
    </font>
    <font>
      <b/>
      <sz val="52"/>
      <color rgb="FFFFFF00"/>
      <name val="Calibri"/>
      <charset val="134"/>
      <scheme val="minor"/>
    </font>
    <font>
      <sz val="11"/>
      <color theme="3" tint="0.39994506668294322"/>
      <name val="Calibri"/>
      <charset val="134"/>
      <scheme val="minor"/>
    </font>
    <font>
      <b/>
      <sz val="20"/>
      <color rgb="FF00B050"/>
      <name val="Calibri"/>
      <charset val="134"/>
      <scheme val="minor"/>
    </font>
    <font>
      <sz val="11"/>
      <color rgb="FF00B050"/>
      <name val="Calibri"/>
      <charset val="134"/>
      <scheme val="minor"/>
    </font>
    <font>
      <b/>
      <sz val="11"/>
      <color rgb="FF002060"/>
      <name val="Calibri"/>
      <charset val="134"/>
      <scheme val="minor"/>
    </font>
    <font>
      <sz val="14"/>
      <color theme="1"/>
      <name val="Times New Roman"/>
      <charset val="134"/>
    </font>
    <font>
      <b/>
      <sz val="16"/>
      <name val="Times New Roman"/>
      <charset val="134"/>
    </font>
    <font>
      <b/>
      <sz val="11"/>
      <name val="Times New Roman"/>
      <charset val="134"/>
    </font>
    <font>
      <b/>
      <sz val="14"/>
      <name val="Times New Roman"/>
      <charset val="134"/>
    </font>
    <font>
      <b/>
      <sz val="18"/>
      <name val="Times New Roman"/>
      <charset val="134"/>
    </font>
    <font>
      <b/>
      <sz val="14"/>
      <color theme="1"/>
      <name val="Times New Roman"/>
      <charset val="134"/>
    </font>
    <font>
      <sz val="14"/>
      <name val="Times New Roman"/>
      <charset val="134"/>
    </font>
    <font>
      <sz val="12"/>
      <name val="Times New Roman"/>
      <charset val="134"/>
    </font>
    <font>
      <sz val="11"/>
      <name val="Times New Roman"/>
      <charset val="134"/>
    </font>
    <font>
      <b/>
      <sz val="12"/>
      <color rgb="FF0070C0"/>
      <name val="Times New Roman"/>
      <charset val="134"/>
    </font>
    <font>
      <b/>
      <sz val="22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sz val="14"/>
      <color rgb="FFFFFF00"/>
      <name val="Times New Roman"/>
      <charset val="134"/>
    </font>
    <font>
      <b/>
      <sz val="14"/>
      <color rgb="FFFFFF00"/>
      <name val="Times New Roman"/>
      <charset val="134"/>
    </font>
    <font>
      <u/>
      <sz val="11"/>
      <color theme="10"/>
      <name val="Calibri"/>
      <charset val="134"/>
      <scheme val="minor"/>
    </font>
    <font>
      <sz val="11"/>
      <color rgb="FF00B050"/>
      <name val="Times New Roman"/>
      <charset val="134"/>
    </font>
    <font>
      <sz val="11"/>
      <color theme="1"/>
      <name val="Calibri"/>
      <charset val="134"/>
      <scheme val="minor"/>
    </font>
    <font>
      <b/>
      <sz val="20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4"/>
      <color rgb="FFBC32E4"/>
      <name val="Times New Roman"/>
      <family val="1"/>
    </font>
    <font>
      <sz val="11"/>
      <color theme="1"/>
      <name val="Times New Roman"/>
      <family val="1"/>
      <charset val="163"/>
    </font>
    <font>
      <sz val="14"/>
      <name val="Times New Roman"/>
      <family val="1"/>
      <charset val="163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43" fontId="3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9" fontId="33" fillId="0" borderId="0" applyFont="0" applyFill="0" applyBorder="0" applyAlignment="0" applyProtection="0"/>
  </cellStyleXfs>
  <cellXfs count="113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2" fillId="4" borderId="0" xfId="0" applyFont="1" applyFill="1" applyBorder="1"/>
    <xf numFmtId="0" fontId="0" fillId="2" borderId="0" xfId="0" applyFont="1" applyFill="1" applyBorder="1"/>
    <xf numFmtId="0" fontId="0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0" fontId="1" fillId="0" borderId="0" xfId="3" applyNumberFormat="1" applyFont="1"/>
    <xf numFmtId="0" fontId="5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0" fontId="6" fillId="0" borderId="0" xfId="0" applyFont="1"/>
    <xf numFmtId="164" fontId="6" fillId="0" borderId="0" xfId="1" applyNumberFormat="1" applyFont="1"/>
    <xf numFmtId="0" fontId="6" fillId="3" borderId="0" xfId="0" applyFont="1" applyFill="1"/>
    <xf numFmtId="164" fontId="6" fillId="3" borderId="0" xfId="1" applyNumberFormat="1" applyFont="1" applyFill="1"/>
    <xf numFmtId="0" fontId="1" fillId="3" borderId="0" xfId="0" applyFont="1" applyFill="1"/>
    <xf numFmtId="0" fontId="7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8" fillId="4" borderId="0" xfId="0" applyFont="1" applyFill="1" applyBorder="1"/>
    <xf numFmtId="165" fontId="2" fillId="4" borderId="0" xfId="3" applyNumberFormat="1" applyFont="1" applyFill="1" applyBorder="1"/>
    <xf numFmtId="2" fontId="2" fillId="4" borderId="0" xfId="0" applyNumberFormat="1" applyFont="1" applyFill="1" applyBorder="1"/>
    <xf numFmtId="2" fontId="8" fillId="4" borderId="0" xfId="0" applyNumberFormat="1" applyFont="1" applyFill="1" applyBorder="1"/>
    <xf numFmtId="10" fontId="2" fillId="4" borderId="0" xfId="3" applyNumberFormat="1" applyFont="1" applyFill="1" applyBorder="1"/>
    <xf numFmtId="43" fontId="9" fillId="4" borderId="0" xfId="1" applyFont="1" applyFill="1" applyBorder="1"/>
    <xf numFmtId="164" fontId="10" fillId="4" borderId="0" xfId="1" applyNumberFormat="1" applyFont="1" applyFill="1" applyBorder="1"/>
    <xf numFmtId="164" fontId="0" fillId="0" borderId="0" xfId="1" applyNumberFormat="1" applyFont="1"/>
    <xf numFmtId="10" fontId="0" fillId="0" borderId="0" xfId="1" applyNumberFormat="1" applyFont="1"/>
    <xf numFmtId="10" fontId="0" fillId="0" borderId="0" xfId="3" applyNumberFormat="1" applyFont="1"/>
    <xf numFmtId="164" fontId="11" fillId="0" borderId="0" xfId="1" applyNumberFormat="1" applyFont="1"/>
    <xf numFmtId="6" fontId="12" fillId="0" borderId="0" xfId="0" applyNumberFormat="1" applyFont="1"/>
    <xf numFmtId="0" fontId="5" fillId="0" borderId="0" xfId="0" applyFont="1" applyAlignment="1">
      <alignment horizontal="center"/>
    </xf>
    <xf numFmtId="9" fontId="0" fillId="0" borderId="0" xfId="3" applyFont="1"/>
    <xf numFmtId="9" fontId="13" fillId="0" borderId="0" xfId="3" applyFont="1"/>
    <xf numFmtId="165" fontId="14" fillId="0" borderId="0" xfId="0" applyNumberFormat="1" applyFont="1"/>
    <xf numFmtId="0" fontId="0" fillId="0" borderId="0" xfId="0" applyFill="1"/>
    <xf numFmtId="0" fontId="15" fillId="0" borderId="0" xfId="0" applyFont="1"/>
    <xf numFmtId="0" fontId="15" fillId="0" borderId="2" xfId="0" applyFont="1" applyBorder="1"/>
    <xf numFmtId="0" fontId="1" fillId="0" borderId="0" xfId="0" applyFont="1" applyBorder="1"/>
    <xf numFmtId="166" fontId="16" fillId="7" borderId="4" xfId="0" applyNumberFormat="1" applyFont="1" applyFill="1" applyBorder="1"/>
    <xf numFmtId="0" fontId="5" fillId="0" borderId="0" xfId="0" applyFont="1" applyBorder="1"/>
    <xf numFmtId="0" fontId="19" fillId="7" borderId="0" xfId="0" applyFont="1" applyFill="1" applyAlignment="1">
      <alignment horizontal="center"/>
    </xf>
    <xf numFmtId="0" fontId="20" fillId="0" borderId="0" xfId="0" applyFont="1"/>
    <xf numFmtId="0" fontId="21" fillId="0" borderId="5" xfId="0" applyFont="1" applyBorder="1"/>
    <xf numFmtId="0" fontId="23" fillId="0" borderId="0" xfId="0" applyFont="1"/>
    <xf numFmtId="0" fontId="18" fillId="7" borderId="5" xfId="0" applyFont="1" applyFill="1" applyBorder="1"/>
    <xf numFmtId="164" fontId="16" fillId="7" borderId="6" xfId="1" applyNumberFormat="1" applyFont="1" applyFill="1" applyBorder="1"/>
    <xf numFmtId="0" fontId="21" fillId="8" borderId="5" xfId="0" applyFont="1" applyFill="1" applyBorder="1"/>
    <xf numFmtId="164" fontId="24" fillId="0" borderId="6" xfId="1" applyNumberFormat="1" applyFont="1" applyFill="1" applyBorder="1"/>
    <xf numFmtId="10" fontId="22" fillId="0" borderId="6" xfId="3" applyNumberFormat="1" applyFont="1" applyFill="1" applyBorder="1"/>
    <xf numFmtId="9" fontId="1" fillId="0" borderId="0" xfId="3" applyFont="1"/>
    <xf numFmtId="0" fontId="18" fillId="7" borderId="7" xfId="0" applyFont="1" applyFill="1" applyBorder="1"/>
    <xf numFmtId="10" fontId="25" fillId="7" borderId="8" xfId="3" applyNumberFormat="1" applyFont="1" applyFill="1" applyBorder="1"/>
    <xf numFmtId="0" fontId="17" fillId="7" borderId="9" xfId="0" applyFont="1" applyFill="1" applyBorder="1" applyAlignment="1"/>
    <xf numFmtId="0" fontId="5" fillId="0" borderId="0" xfId="0" applyFont="1" applyFill="1" applyAlignment="1"/>
    <xf numFmtId="10" fontId="25" fillId="0" borderId="11" xfId="3" applyNumberFormat="1" applyFont="1" applyFill="1" applyBorder="1"/>
    <xf numFmtId="0" fontId="1" fillId="0" borderId="0" xfId="0" applyFont="1" applyFill="1" applyBorder="1"/>
    <xf numFmtId="0" fontId="1" fillId="0" borderId="0" xfId="0" applyFont="1" applyFill="1"/>
    <xf numFmtId="0" fontId="26" fillId="7" borderId="3" xfId="0" applyFont="1" applyFill="1" applyBorder="1" applyAlignment="1">
      <alignment vertical="center" wrapText="1"/>
    </xf>
    <xf numFmtId="0" fontId="26" fillId="7" borderId="12" xfId="0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vertical="center"/>
    </xf>
    <xf numFmtId="0" fontId="23" fillId="0" borderId="0" xfId="0" applyFont="1" applyFill="1"/>
    <xf numFmtId="0" fontId="27" fillId="0" borderId="5" xfId="0" applyFont="1" applyFill="1" applyBorder="1" applyAlignment="1">
      <alignment horizontal="left"/>
    </xf>
    <xf numFmtId="0" fontId="23" fillId="0" borderId="6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8" fillId="0" borderId="0" xfId="0" applyFont="1" applyFill="1"/>
    <xf numFmtId="0" fontId="27" fillId="0" borderId="7" xfId="0" applyFont="1" applyFill="1" applyBorder="1" applyAlignment="1">
      <alignment horizontal="left"/>
    </xf>
    <xf numFmtId="0" fontId="23" fillId="0" borderId="14" xfId="0" applyFont="1" applyBorder="1" applyAlignment="1">
      <alignment horizontal="center"/>
    </xf>
    <xf numFmtId="0" fontId="27" fillId="0" borderId="0" xfId="0" applyFont="1" applyFill="1"/>
    <xf numFmtId="0" fontId="29" fillId="4" borderId="0" xfId="0" applyFont="1" applyFill="1"/>
    <xf numFmtId="0" fontId="29" fillId="4" borderId="0" xfId="0" applyFont="1" applyFill="1" applyBorder="1"/>
    <xf numFmtId="9" fontId="29" fillId="4" borderId="0" xfId="3" applyFont="1" applyFill="1" applyBorder="1"/>
    <xf numFmtId="0" fontId="30" fillId="4" borderId="0" xfId="0" applyFont="1" applyFill="1" applyBorder="1"/>
    <xf numFmtId="165" fontId="29" fillId="4" borderId="0" xfId="3" applyNumberFormat="1" applyFont="1" applyFill="1" applyBorder="1"/>
    <xf numFmtId="2" fontId="29" fillId="4" borderId="0" xfId="0" applyNumberFormat="1" applyFont="1" applyFill="1" applyBorder="1"/>
    <xf numFmtId="2" fontId="30" fillId="4" borderId="0" xfId="0" applyNumberFormat="1" applyFont="1" applyFill="1" applyBorder="1"/>
    <xf numFmtId="10" fontId="29" fillId="4" borderId="0" xfId="3" applyNumberFormat="1" applyFont="1" applyFill="1" applyBorder="1"/>
    <xf numFmtId="43" fontId="29" fillId="4" borderId="0" xfId="1" applyFont="1" applyFill="1" applyBorder="1"/>
    <xf numFmtId="164" fontId="30" fillId="4" borderId="0" xfId="1" applyNumberFormat="1" applyFont="1" applyFill="1" applyBorder="1"/>
    <xf numFmtId="0" fontId="15" fillId="2" borderId="0" xfId="0" applyFont="1" applyFill="1" applyBorder="1"/>
    <xf numFmtId="0" fontId="31" fillId="0" borderId="0" xfId="2"/>
    <xf numFmtId="6" fontId="34" fillId="0" borderId="0" xfId="0" applyNumberFormat="1" applyFont="1"/>
    <xf numFmtId="0" fontId="35" fillId="0" borderId="0" xfId="0" applyFont="1"/>
    <xf numFmtId="0" fontId="36" fillId="0" borderId="0" xfId="0" applyFont="1"/>
    <xf numFmtId="164" fontId="37" fillId="0" borderId="0" xfId="1" applyNumberFormat="1" applyFont="1"/>
    <xf numFmtId="9" fontId="36" fillId="0" borderId="0" xfId="3" applyFont="1"/>
    <xf numFmtId="164" fontId="38" fillId="0" borderId="0" xfId="1" applyNumberFormat="1" applyFont="1"/>
    <xf numFmtId="0" fontId="39" fillId="5" borderId="0" xfId="0" applyFont="1" applyFill="1"/>
    <xf numFmtId="10" fontId="37" fillId="5" borderId="0" xfId="3" applyNumberFormat="1" applyFont="1" applyFill="1"/>
    <xf numFmtId="10" fontId="40" fillId="5" borderId="0" xfId="3" applyNumberFormat="1" applyFont="1" applyFill="1"/>
    <xf numFmtId="0" fontId="41" fillId="0" borderId="0" xfId="0" applyFont="1"/>
    <xf numFmtId="9" fontId="35" fillId="0" borderId="0" xfId="3" applyFont="1"/>
    <xf numFmtId="9" fontId="41" fillId="0" borderId="0" xfId="3" applyFont="1"/>
    <xf numFmtId="9" fontId="42" fillId="0" borderId="0" xfId="3" applyFont="1"/>
    <xf numFmtId="0" fontId="35" fillId="0" borderId="0" xfId="0" applyFont="1" applyAlignment="1">
      <alignment horizontal="center"/>
    </xf>
    <xf numFmtId="0" fontId="44" fillId="7" borderId="3" xfId="0" applyFont="1" applyFill="1" applyBorder="1"/>
    <xf numFmtId="0" fontId="45" fillId="6" borderId="1" xfId="0" applyFont="1" applyFill="1" applyBorder="1" applyAlignment="1">
      <alignment horizontal="center"/>
    </xf>
    <xf numFmtId="0" fontId="45" fillId="6" borderId="10" xfId="0" applyFont="1" applyFill="1" applyBorder="1" applyAlignment="1">
      <alignment horizontal="center"/>
    </xf>
    <xf numFmtId="164" fontId="22" fillId="0" borderId="6" xfId="1" applyNumberFormat="1" applyFont="1" applyBorder="1" applyAlignment="1">
      <alignment horizontal="right"/>
    </xf>
    <xf numFmtId="166" fontId="22" fillId="0" borderId="6" xfId="0" applyNumberFormat="1" applyFont="1" applyBorder="1" applyAlignment="1">
      <alignment horizontal="right"/>
    </xf>
    <xf numFmtId="9" fontId="22" fillId="0" borderId="6" xfId="3" applyNumberFormat="1" applyFont="1" applyBorder="1" applyAlignment="1">
      <alignment horizontal="right"/>
    </xf>
    <xf numFmtId="167" fontId="18" fillId="0" borderId="0" xfId="0" applyNumberFormat="1" applyFont="1" applyAlignment="1">
      <alignment horizontal="right"/>
    </xf>
    <xf numFmtId="0" fontId="47" fillId="0" borderId="9" xfId="0" applyFont="1" applyFill="1" applyBorder="1" applyAlignment="1">
      <alignment horizontal="center" vertical="center"/>
    </xf>
    <xf numFmtId="0" fontId="48" fillId="0" borderId="5" xfId="0" applyFont="1" applyBorder="1"/>
    <xf numFmtId="2" fontId="27" fillId="0" borderId="9" xfId="0" applyNumberFormat="1" applyFont="1" applyBorder="1" applyAlignment="1">
      <alignment horizontal="center"/>
    </xf>
    <xf numFmtId="2" fontId="47" fillId="0" borderId="9" xfId="0" applyNumberFormat="1" applyFont="1" applyBorder="1" applyAlignment="1">
      <alignment horizontal="center"/>
    </xf>
    <xf numFmtId="2" fontId="27" fillId="0" borderId="13" xfId="0" applyNumberFormat="1" applyFont="1" applyBorder="1" applyAlignment="1">
      <alignment horizontal="center"/>
    </xf>
    <xf numFmtId="0" fontId="46" fillId="0" borderId="0" xfId="0" applyFont="1" applyAlignment="1">
      <alignment horizontal="center"/>
    </xf>
    <xf numFmtId="0" fontId="17" fillId="0" borderId="0" xfId="0" applyFont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8">
    <dxf>
      <fill>
        <patternFill patternType="solid">
          <bgColor rgb="FF00B05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0000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3"/>
  <sheetViews>
    <sheetView showGridLines="0" showRowColHeaders="0" tabSelected="1" zoomScale="75" zoomScaleNormal="75" workbookViewId="0"/>
  </sheetViews>
  <sheetFormatPr defaultColWidth="9" defaultRowHeight="14.4"/>
  <cols>
    <col min="3" max="3" width="58" customWidth="1"/>
  </cols>
  <sheetData>
    <row r="3" spans="3:3">
      <c r="C3" t="s">
        <v>0</v>
      </c>
    </row>
    <row r="4" spans="3:3">
      <c r="C4" t="s">
        <v>1</v>
      </c>
    </row>
    <row r="5" spans="3:3">
      <c r="C5" t="s">
        <v>2</v>
      </c>
    </row>
    <row r="6" spans="3:3">
      <c r="C6" t="s">
        <v>3</v>
      </c>
    </row>
    <row r="7" spans="3:3">
      <c r="C7" t="s">
        <v>4</v>
      </c>
    </row>
    <row r="8" spans="3:3">
      <c r="C8" t="s">
        <v>5</v>
      </c>
    </row>
    <row r="9" spans="3:3">
      <c r="C9" t="s">
        <v>6</v>
      </c>
    </row>
    <row r="10" spans="3:3">
      <c r="C10" t="s">
        <v>7</v>
      </c>
    </row>
    <row r="13" spans="3:3">
      <c r="C13" s="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showGridLines="0" showRowColHeaders="0" zoomScale="80" zoomScaleNormal="80" workbookViewId="0">
      <selection activeCell="A15" sqref="A15"/>
    </sheetView>
  </sheetViews>
  <sheetFormatPr defaultColWidth="9" defaultRowHeight="18"/>
  <cols>
    <col min="1" max="1" width="57.33203125" style="40" customWidth="1"/>
    <col min="2" max="2" width="17.109375" style="40" customWidth="1"/>
    <col min="3" max="3" width="8.44140625" style="7" customWidth="1"/>
    <col min="4" max="4" width="13.6640625" style="7"/>
    <col min="5" max="5" width="15.33203125" style="7" customWidth="1"/>
    <col min="6" max="6" width="8.88671875" style="7"/>
    <col min="7" max="11" width="8.88671875" style="7" hidden="1" customWidth="1"/>
    <col min="12" max="12" width="13.6640625" hidden="1" customWidth="1"/>
    <col min="13" max="13" width="4.5546875" customWidth="1"/>
  </cols>
  <sheetData>
    <row r="1" spans="1:14" ht="24.9" customHeight="1">
      <c r="A1" s="100" t="s">
        <v>84</v>
      </c>
      <c r="B1" s="41"/>
      <c r="C1" s="42"/>
      <c r="D1" s="111" t="s">
        <v>82</v>
      </c>
      <c r="E1" s="112"/>
      <c r="F1"/>
      <c r="H1"/>
      <c r="J1"/>
      <c r="L1" s="7"/>
    </row>
    <row r="2" spans="1:14" ht="22.8">
      <c r="A2" s="99" t="s">
        <v>83</v>
      </c>
      <c r="B2" s="43" t="e">
        <f>E2</f>
        <v>#VALUE!</v>
      </c>
      <c r="C2" s="44"/>
      <c r="D2" s="105" t="s">
        <v>85</v>
      </c>
      <c r="E2" s="45" t="e">
        <f>D2+D3+D5+D4</f>
        <v>#VALUE!</v>
      </c>
      <c r="F2" s="10"/>
      <c r="G2" s="46" t="s">
        <v>8</v>
      </c>
      <c r="H2" s="10"/>
      <c r="I2" s="10"/>
      <c r="J2" s="10"/>
      <c r="K2" s="10"/>
      <c r="L2" s="7"/>
    </row>
    <row r="3" spans="1:14" ht="23.1" customHeight="1">
      <c r="A3" s="107" t="s">
        <v>9</v>
      </c>
      <c r="B3" s="103" t="s">
        <v>89</v>
      </c>
      <c r="C3" s="42"/>
      <c r="D3" s="105" t="s">
        <v>86</v>
      </c>
      <c r="E3" s="48"/>
      <c r="G3" s="40" t="s">
        <v>10</v>
      </c>
    </row>
    <row r="4" spans="1:14" ht="23.1" customHeight="1">
      <c r="A4" s="47" t="s">
        <v>11</v>
      </c>
      <c r="B4" s="104" t="s">
        <v>90</v>
      </c>
      <c r="C4" s="42"/>
      <c r="D4" s="105" t="s">
        <v>87</v>
      </c>
      <c r="E4" s="48"/>
    </row>
    <row r="5" spans="1:14" ht="23.1" customHeight="1">
      <c r="A5" s="47" t="s">
        <v>12</v>
      </c>
      <c r="B5" s="102" t="s">
        <v>91</v>
      </c>
      <c r="C5" s="42"/>
      <c r="D5" s="105" t="s">
        <v>88</v>
      </c>
      <c r="E5" s="48"/>
    </row>
    <row r="6" spans="1:14" ht="23.1" customHeight="1">
      <c r="A6" s="47" t="s">
        <v>13</v>
      </c>
      <c r="B6" s="103" t="s">
        <v>92</v>
      </c>
      <c r="C6" s="42"/>
    </row>
    <row r="7" spans="1:14" ht="23.1" customHeight="1">
      <c r="A7" s="49" t="s">
        <v>14</v>
      </c>
      <c r="B7" s="50" t="e">
        <f>Hidden!C13</f>
        <v>#VALUE!</v>
      </c>
      <c r="C7" s="42"/>
    </row>
    <row r="8" spans="1:14" ht="23.1" customHeight="1">
      <c r="A8" s="51"/>
      <c r="B8" s="52"/>
      <c r="C8" s="42"/>
    </row>
    <row r="9" spans="1:14" ht="23.1" customHeight="1">
      <c r="A9" s="51" t="s">
        <v>15</v>
      </c>
      <c r="B9" s="53" t="e">
        <f>Hidden!C16</f>
        <v>#VALUE!</v>
      </c>
      <c r="C9" s="42"/>
      <c r="D9" s="54"/>
      <c r="G9" s="7" t="s">
        <v>16</v>
      </c>
    </row>
    <row r="10" spans="1:14" ht="23.1" customHeight="1">
      <c r="A10" s="51" t="s">
        <v>17</v>
      </c>
      <c r="B10" s="53" t="e">
        <f>Hidden!C17</f>
        <v>#VALUE!</v>
      </c>
      <c r="C10" s="42"/>
    </row>
    <row r="11" spans="1:14" ht="23.1" customHeight="1">
      <c r="A11" s="51" t="s">
        <v>18</v>
      </c>
      <c r="B11" s="53" t="e">
        <f>Hidden!C18</f>
        <v>#VALUE!</v>
      </c>
      <c r="C11" s="42"/>
    </row>
    <row r="12" spans="1:14" ht="23.1" customHeight="1">
      <c r="A12" s="55" t="s">
        <v>19</v>
      </c>
      <c r="B12" s="56" t="e">
        <f>Hidden!C19</f>
        <v>#VALUE!</v>
      </c>
      <c r="C12" s="57" t="s">
        <v>20</v>
      </c>
      <c r="D12" s="58"/>
      <c r="F12"/>
    </row>
    <row r="13" spans="1:14" s="39" customFormat="1" ht="30" customHeight="1">
      <c r="A13" s="101" t="s">
        <v>81</v>
      </c>
      <c r="B13" s="59"/>
      <c r="C13" s="60"/>
      <c r="D13" s="61"/>
      <c r="E13" s="61"/>
      <c r="F13" s="61"/>
      <c r="G13" s="61"/>
      <c r="H13" s="61"/>
      <c r="I13" s="61"/>
      <c r="J13" s="61"/>
      <c r="K13" s="61"/>
    </row>
    <row r="14" spans="1:14" s="39" customFormat="1" ht="29.1" customHeight="1">
      <c r="A14" s="62" t="s">
        <v>21</v>
      </c>
      <c r="B14" s="63" t="s">
        <v>22</v>
      </c>
      <c r="C14" s="64" t="s">
        <v>23</v>
      </c>
      <c r="D14" s="61"/>
      <c r="E14" s="65"/>
      <c r="F14" s="65"/>
      <c r="G14" s="65"/>
      <c r="H14" s="65"/>
      <c r="I14" s="65"/>
      <c r="J14" s="65"/>
      <c r="K14" s="65"/>
      <c r="L14" s="72"/>
      <c r="M14" s="72"/>
      <c r="N14" s="72"/>
    </row>
    <row r="15" spans="1:14" ht="18.899999999999999" customHeight="1">
      <c r="A15" s="66" t="s">
        <v>80</v>
      </c>
      <c r="B15" s="106">
        <v>0</v>
      </c>
      <c r="C15" s="67" t="e">
        <f ca="1">_xlfn.IFS(B15=1,"YES",B15=0,"NO")</f>
        <v>#NAME?</v>
      </c>
    </row>
    <row r="16" spans="1:14" ht="18.899999999999999" customHeight="1">
      <c r="A16" s="66" t="s">
        <v>79</v>
      </c>
      <c r="B16" s="68">
        <v>0</v>
      </c>
      <c r="C16" s="67" t="e">
        <f ca="1">_xlfn.IFS(B16=1,"YES",B16=0,"NO")</f>
        <v>#NAME?</v>
      </c>
      <c r="I16"/>
      <c r="J16"/>
      <c r="K16"/>
    </row>
    <row r="17" spans="1:11" ht="18.899999999999999" customHeight="1">
      <c r="A17" s="66" t="s">
        <v>24</v>
      </c>
      <c r="B17" s="108">
        <v>57.34</v>
      </c>
      <c r="C17" s="67" t="e">
        <f ca="1">_xlfn.IFS(B17&gt;=15,"YES",B17&lt;15,"NO")</f>
        <v>#NAME?</v>
      </c>
      <c r="I17"/>
      <c r="J17"/>
      <c r="K17"/>
    </row>
    <row r="18" spans="1:11" ht="18.899999999999999" customHeight="1">
      <c r="A18" s="66" t="s">
        <v>25</v>
      </c>
      <c r="B18" s="108">
        <v>491.69</v>
      </c>
      <c r="C18" s="67" t="e">
        <f ca="1">_xlfn.IFS(B18&gt;=5,"YES",B18&lt;5,"NO")</f>
        <v>#NAME?</v>
      </c>
      <c r="I18"/>
      <c r="J18"/>
      <c r="K18"/>
    </row>
    <row r="19" spans="1:11" ht="18.899999999999999" customHeight="1">
      <c r="A19" s="66" t="s">
        <v>26</v>
      </c>
      <c r="B19" s="109" t="s">
        <v>93</v>
      </c>
      <c r="C19" s="67" t="e">
        <f ca="1">_xlfn.IFS(B19&gt;=5,"YES",B19&lt;5,"NO")</f>
        <v>#NAME?</v>
      </c>
      <c r="I19"/>
      <c r="J19"/>
      <c r="K19"/>
    </row>
    <row r="20" spans="1:11" ht="18.899999999999999" customHeight="1">
      <c r="A20" s="66" t="s">
        <v>27</v>
      </c>
      <c r="B20" s="109" t="s">
        <v>94</v>
      </c>
      <c r="C20" s="67" t="e">
        <f ca="1">_xlfn.IFS(B20&gt;=15,"YES",B20&lt;15,"NO")</f>
        <v>#NAME?</v>
      </c>
      <c r="I20"/>
      <c r="J20"/>
      <c r="K20"/>
    </row>
    <row r="21" spans="1:11" ht="18.899999999999999" customHeight="1">
      <c r="A21" s="66" t="s">
        <v>28</v>
      </c>
      <c r="B21" s="108">
        <v>44.83</v>
      </c>
      <c r="C21" s="67" t="e">
        <f ca="1">_xlfn.IFS(B21&gt;=10,"YES",B21&lt;10,"NO")</f>
        <v>#NAME?</v>
      </c>
      <c r="I21"/>
      <c r="J21"/>
      <c r="K21"/>
    </row>
    <row r="22" spans="1:11" ht="18.899999999999999" customHeight="1">
      <c r="A22" s="66" t="s">
        <v>29</v>
      </c>
      <c r="B22" s="108">
        <v>0.81</v>
      </c>
      <c r="C22" s="67" t="e">
        <f ca="1">_xlfn.IFS(B22&lt;=1,"YES",B22&gt;1,"NO")</f>
        <v>#NAME?</v>
      </c>
      <c r="I22"/>
      <c r="J22"/>
      <c r="K22"/>
    </row>
    <row r="23" spans="1:11" ht="18.899999999999999" customHeight="1">
      <c r="A23" s="66" t="s">
        <v>30</v>
      </c>
      <c r="B23" s="109" t="s">
        <v>95</v>
      </c>
      <c r="C23" s="67" t="e">
        <f ca="1">_xlfn.IFS(B23&lt;=15,"YES",B23&gt;15,"NO")</f>
        <v>#NAME?</v>
      </c>
      <c r="I23"/>
      <c r="J23"/>
      <c r="K23"/>
    </row>
    <row r="24" spans="1:11" ht="18.899999999999999" customHeight="1">
      <c r="A24" s="66" t="s">
        <v>31</v>
      </c>
      <c r="B24" s="108">
        <v>2.0099999999999998</v>
      </c>
      <c r="C24" s="67" t="e">
        <f ca="1">_xlfn.IFS(B24&lt;=2,"YES",B24&gt;2,"NO")</f>
        <v>#NAME?</v>
      </c>
      <c r="D24" s="69"/>
      <c r="E24" s="69"/>
      <c r="I24"/>
      <c r="J24"/>
      <c r="K24"/>
    </row>
    <row r="25" spans="1:11" ht="18.899999999999999" customHeight="1">
      <c r="A25" s="66" t="s">
        <v>32</v>
      </c>
      <c r="B25" s="68">
        <v>1</v>
      </c>
      <c r="C25" s="67" t="e">
        <f t="shared" ref="C25:C27" ca="1" si="0">_xlfn.IFS(B25=1,"YES",B25=0,"NO")</f>
        <v>#NAME?</v>
      </c>
      <c r="I25"/>
      <c r="J25"/>
      <c r="K25"/>
    </row>
    <row r="26" spans="1:11" ht="18.899999999999999" customHeight="1">
      <c r="A26" s="66" t="s">
        <v>77</v>
      </c>
      <c r="B26" s="68">
        <v>0</v>
      </c>
      <c r="C26" s="67" t="e">
        <f t="shared" ca="1" si="0"/>
        <v>#NAME?</v>
      </c>
      <c r="I26"/>
      <c r="J26"/>
      <c r="K26"/>
    </row>
    <row r="27" spans="1:11" ht="18.899999999999999" customHeight="1">
      <c r="A27" s="66" t="s">
        <v>78</v>
      </c>
      <c r="B27" s="68">
        <v>1</v>
      </c>
      <c r="C27" s="67" t="e">
        <f t="shared" ca="1" si="0"/>
        <v>#NAME?</v>
      </c>
      <c r="I27"/>
      <c r="J27"/>
      <c r="K27"/>
    </row>
    <row r="28" spans="1:11" ht="18.899999999999999" customHeight="1">
      <c r="A28" s="70" t="s">
        <v>33</v>
      </c>
      <c r="B28" s="110">
        <v>1.59</v>
      </c>
      <c r="C28" s="71" t="e">
        <f ca="1">_xlfn.IFS(B28&lt;=5,"YES",B28&gt;5,"NO")</f>
        <v>#NAME?</v>
      </c>
      <c r="I28"/>
      <c r="J28"/>
      <c r="K28"/>
    </row>
    <row r="29" spans="1:11" ht="14.4">
      <c r="A29" s="48"/>
      <c r="B29" s="48"/>
      <c r="I29"/>
      <c r="J29"/>
      <c r="K29"/>
    </row>
    <row r="30" spans="1:11" ht="14.4">
      <c r="A30" s="48"/>
      <c r="B30" s="48"/>
      <c r="I30"/>
      <c r="J30"/>
      <c r="K30"/>
    </row>
    <row r="31" spans="1:11" ht="14.4">
      <c r="A31" s="48"/>
      <c r="B31" s="48"/>
      <c r="I31"/>
      <c r="J31"/>
      <c r="K31"/>
    </row>
    <row r="183" spans="1:3" s="3" customFormat="1">
      <c r="A183" s="73"/>
      <c r="B183" s="73"/>
    </row>
    <row r="184" spans="1:3" s="4" customFormat="1">
      <c r="A184" s="74"/>
      <c r="B184" s="74"/>
    </row>
    <row r="185" spans="1:3" s="4" customFormat="1">
      <c r="A185" s="74" t="s">
        <v>34</v>
      </c>
      <c r="B185" s="75" t="str">
        <f>B4</f>
        <v>#TLCT</v>
      </c>
    </row>
    <row r="186" spans="1:3" s="4" customFormat="1">
      <c r="A186" s="74" t="s">
        <v>35</v>
      </c>
      <c r="B186" s="74" t="e">
        <f>B185*10*B6</f>
        <v>#VALUE!</v>
      </c>
      <c r="C186" s="22"/>
    </row>
    <row r="187" spans="1:3" s="4" customFormat="1">
      <c r="A187" s="74" t="s">
        <v>36</v>
      </c>
      <c r="B187" s="74" t="e">
        <f>#REF!-B186</f>
        <v>#REF!</v>
      </c>
    </row>
    <row r="188" spans="1:3" s="4" customFormat="1" ht="17.399999999999999">
      <c r="A188" s="76" t="s">
        <v>37</v>
      </c>
      <c r="B188" s="76" t="e">
        <f>B187+B3</f>
        <v>#REF!</v>
      </c>
    </row>
    <row r="189" spans="1:3" s="4" customFormat="1">
      <c r="A189" s="74" t="s">
        <v>38</v>
      </c>
      <c r="B189" s="77" t="e">
        <f>#REF!/B3</f>
        <v>#REF!</v>
      </c>
    </row>
    <row r="190" spans="1:3" s="4" customFormat="1">
      <c r="A190" s="74" t="s">
        <v>39</v>
      </c>
      <c r="B190" s="78" t="e">
        <f>B189*B187</f>
        <v>#REF!</v>
      </c>
    </row>
    <row r="191" spans="1:3" s="4" customFormat="1" ht="17.399999999999999">
      <c r="A191" s="76" t="s">
        <v>40</v>
      </c>
      <c r="B191" s="79" t="e">
        <f>B190+#REF!</f>
        <v>#REF!</v>
      </c>
    </row>
    <row r="192" spans="1:3" s="4" customFormat="1">
      <c r="A192" s="74"/>
      <c r="B192" s="74"/>
    </row>
    <row r="193" spans="1:12" s="4" customFormat="1">
      <c r="A193" s="74"/>
      <c r="B193" s="74"/>
    </row>
    <row r="194" spans="1:12" s="4" customFormat="1">
      <c r="A194" s="74" t="s">
        <v>41</v>
      </c>
      <c r="B194" s="74">
        <v>2017</v>
      </c>
      <c r="C194" s="4">
        <v>2018</v>
      </c>
      <c r="D194" s="4">
        <v>2019</v>
      </c>
      <c r="E194" s="4">
        <v>2020</v>
      </c>
      <c r="F194" s="4">
        <v>2021</v>
      </c>
      <c r="G194" s="4">
        <v>2022</v>
      </c>
      <c r="H194" s="4">
        <v>2023</v>
      </c>
      <c r="I194" s="4">
        <v>2024</v>
      </c>
      <c r="J194" s="4">
        <v>2025</v>
      </c>
      <c r="K194" s="4">
        <v>2026</v>
      </c>
    </row>
    <row r="195" spans="1:12" s="4" customFormat="1" ht="17.399999999999999">
      <c r="A195" s="76" t="s">
        <v>42</v>
      </c>
      <c r="B195" s="76">
        <v>1</v>
      </c>
      <c r="C195" s="23">
        <v>2</v>
      </c>
      <c r="D195" s="23">
        <v>3</v>
      </c>
      <c r="E195" s="23">
        <v>4</v>
      </c>
      <c r="F195" s="23">
        <v>5</v>
      </c>
      <c r="G195" s="23">
        <v>6</v>
      </c>
      <c r="H195" s="23">
        <v>7</v>
      </c>
      <c r="I195" s="23">
        <v>8</v>
      </c>
      <c r="J195" s="23">
        <v>9</v>
      </c>
      <c r="K195" s="23">
        <v>10</v>
      </c>
    </row>
    <row r="196" spans="1:12" s="4" customFormat="1">
      <c r="A196" s="76" t="s">
        <v>43</v>
      </c>
      <c r="B196" s="78" t="e">
        <f>B191</f>
        <v>#REF!</v>
      </c>
      <c r="C196" s="4" t="e">
        <f>B196</f>
        <v>#REF!</v>
      </c>
      <c r="D196" s="4" t="e">
        <f>C196</f>
        <v>#REF!</v>
      </c>
      <c r="E196" s="4" t="e">
        <f t="shared" ref="E196:K196" si="1">D196</f>
        <v>#REF!</v>
      </c>
      <c r="F196" s="4" t="e">
        <f t="shared" si="1"/>
        <v>#REF!</v>
      </c>
      <c r="G196" s="4" t="e">
        <f t="shared" si="1"/>
        <v>#REF!</v>
      </c>
      <c r="H196" s="4" t="e">
        <f t="shared" si="1"/>
        <v>#REF!</v>
      </c>
      <c r="I196" s="4" t="e">
        <f t="shared" si="1"/>
        <v>#REF!</v>
      </c>
      <c r="J196" s="4" t="e">
        <f t="shared" si="1"/>
        <v>#REF!</v>
      </c>
      <c r="K196" s="4" t="e">
        <f t="shared" si="1"/>
        <v>#REF!</v>
      </c>
    </row>
    <row r="197" spans="1:12" s="4" customFormat="1">
      <c r="A197" s="76" t="s">
        <v>44</v>
      </c>
      <c r="B197" s="80">
        <v>7.0000000000000007E-2</v>
      </c>
    </row>
    <row r="198" spans="1:12" s="4" customFormat="1">
      <c r="A198" s="76" t="s">
        <v>45</v>
      </c>
      <c r="B198" s="78" t="e">
        <f>B196/(1+#REF!)^B195</f>
        <v>#REF!</v>
      </c>
      <c r="C198" s="25" t="e">
        <f>C196/(1+#REF!)^C195</f>
        <v>#REF!</v>
      </c>
      <c r="D198" s="25" t="e">
        <f>D196/(1+#REF!)^D195</f>
        <v>#REF!</v>
      </c>
      <c r="E198" s="25" t="e">
        <f>E196/(1+#REF!)^E195</f>
        <v>#REF!</v>
      </c>
      <c r="F198" s="25" t="e">
        <f>F196/(1+#REF!)^F195</f>
        <v>#REF!</v>
      </c>
      <c r="G198" s="25" t="e">
        <f>G196/(1+#REF!)^G195</f>
        <v>#REF!</v>
      </c>
      <c r="H198" s="25" t="e">
        <f>H196/(1+#REF!)^H195</f>
        <v>#REF!</v>
      </c>
      <c r="I198" s="25" t="e">
        <f>I196/(1+#REF!)^I195</f>
        <v>#REF!</v>
      </c>
      <c r="J198" s="25" t="e">
        <f>J196/(1+#REF!)^J195</f>
        <v>#REF!</v>
      </c>
      <c r="K198" s="25" t="e">
        <f>K196/(1+#REF!)^K195</f>
        <v>#REF!</v>
      </c>
      <c r="L198" s="25"/>
    </row>
    <row r="199" spans="1:12" s="4" customFormat="1" ht="17.399999999999999">
      <c r="A199" s="76" t="s">
        <v>46</v>
      </c>
      <c r="B199" s="76" t="e">
        <f>B188</f>
        <v>#REF!</v>
      </c>
    </row>
    <row r="200" spans="1:12" s="4" customFormat="1">
      <c r="A200" s="76" t="s">
        <v>47</v>
      </c>
      <c r="B200" s="74" t="str">
        <f>B6</f>
        <v>#TSLCP</v>
      </c>
    </row>
    <row r="201" spans="1:12" s="4" customFormat="1">
      <c r="A201" s="76" t="s">
        <v>48</v>
      </c>
      <c r="B201" s="81" t="e">
        <f>((B198+C198+D198+E198+F198+G198+H198+I198+J198+K198)+B199)*(1-0.1*3.14)</f>
        <v>#REF!</v>
      </c>
    </row>
    <row r="202" spans="1:12" s="4" customFormat="1" ht="17.399999999999999">
      <c r="A202" s="76" t="s">
        <v>49</v>
      </c>
      <c r="B202" s="82" t="e">
        <f>(B201*1000000000)/(B200*1000000)</f>
        <v>#REF!</v>
      </c>
    </row>
    <row r="203" spans="1:12" s="5" customFormat="1">
      <c r="A203" s="83"/>
      <c r="B203" s="83"/>
    </row>
    <row r="204" spans="1:12" s="5" customFormat="1">
      <c r="A204" s="83"/>
      <c r="B204" s="83"/>
    </row>
    <row r="205" spans="1:12" s="5" customFormat="1">
      <c r="A205" s="83"/>
      <c r="B205" s="83"/>
    </row>
    <row r="206" spans="1:12" s="5" customFormat="1">
      <c r="A206" s="83"/>
      <c r="B206" s="83"/>
    </row>
    <row r="207" spans="1:12" s="5" customFormat="1">
      <c r="A207" s="83"/>
      <c r="B207" s="83"/>
    </row>
    <row r="208" spans="1:12" s="5" customFormat="1">
      <c r="A208" s="83"/>
      <c r="B208" s="83"/>
    </row>
    <row r="209" spans="1:2" s="6" customFormat="1">
      <c r="A209" s="40"/>
      <c r="B209" s="40"/>
    </row>
    <row r="210" spans="1:2" s="6" customFormat="1">
      <c r="A210" s="40"/>
      <c r="B210" s="40"/>
    </row>
  </sheetData>
  <mergeCells count="1">
    <mergeCell ref="D1:E1"/>
  </mergeCells>
  <conditionalFormatting sqref="B8:B13">
    <cfRule type="cellIs" dxfId="7" priority="17" operator="lessThan">
      <formula>0</formula>
    </cfRule>
  </conditionalFormatting>
  <conditionalFormatting sqref="B12:B13">
    <cfRule type="cellIs" dxfId="6" priority="18" operator="lessThan">
      <formula>0</formula>
    </cfRule>
  </conditionalFormatting>
  <conditionalFormatting sqref="C15:C28">
    <cfRule type="containsText" dxfId="5" priority="12" operator="containsText" text="NO">
      <formula>NOT(ISERROR(SEARCH("NO",C15)))</formula>
    </cfRule>
    <cfRule type="containsText" dxfId="4" priority="11" operator="containsText" text="NO">
      <formula>NOT(ISERROR(SEARCH("NO",C15)))</formula>
    </cfRule>
    <cfRule type="containsText" dxfId="3" priority="10" operator="containsText" text="NO">
      <formula>NOT(ISERROR(SEARCH("NO",C15)))</formula>
    </cfRule>
    <cfRule type="containsText" dxfId="2" priority="9" operator="containsText" text="NO">
      <formula>NOT(ISERROR(SEARCH("NO",C15)))</formula>
    </cfRule>
    <cfRule type="containsText" dxfId="1" priority="8" operator="containsText" text="NO">
      <formula>NOT(ISERROR(SEARCH("NO",C15)))</formula>
    </cfRule>
    <cfRule type="containsText" dxfId="0" priority="7" operator="containsText" text="YES">
      <formula>NOT(ISERROR(SEARCH("YES",C15)))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6"/>
  <sheetViews>
    <sheetView showGridLines="0" showRowColHeaders="0" zoomScale="80" zoomScaleNormal="80" workbookViewId="0">
      <selection activeCell="D6" sqref="D6"/>
    </sheetView>
  </sheetViews>
  <sheetFormatPr defaultColWidth="9" defaultRowHeight="14.4"/>
  <cols>
    <col min="2" max="2" width="24" style="9" customWidth="1"/>
  </cols>
  <sheetData>
    <row r="4" spans="2:9">
      <c r="C4">
        <v>1</v>
      </c>
      <c r="D4">
        <v>2</v>
      </c>
      <c r="E4">
        <v>3</v>
      </c>
      <c r="F4">
        <v>4</v>
      </c>
      <c r="G4">
        <v>5</v>
      </c>
      <c r="H4">
        <v>6</v>
      </c>
    </row>
    <row r="5" spans="2:9" s="10" customFormat="1">
      <c r="B5" s="86" t="s">
        <v>50</v>
      </c>
      <c r="C5" s="98" t="s">
        <v>51</v>
      </c>
      <c r="D5" s="98" t="s">
        <v>52</v>
      </c>
      <c r="E5" s="98" t="s">
        <v>53</v>
      </c>
      <c r="F5" s="98" t="s">
        <v>54</v>
      </c>
      <c r="G5" s="98" t="s">
        <v>55</v>
      </c>
      <c r="H5" s="98" t="s">
        <v>56</v>
      </c>
      <c r="I5" s="35"/>
    </row>
    <row r="6" spans="2:9">
      <c r="B6" s="9" t="s">
        <v>57</v>
      </c>
      <c r="C6" s="36">
        <v>0.17499999999999999</v>
      </c>
      <c r="D6" s="36">
        <v>0.19</v>
      </c>
      <c r="E6" s="36">
        <v>0.05</v>
      </c>
      <c r="F6" s="36">
        <v>0.19</v>
      </c>
      <c r="G6" s="36">
        <v>0.3</v>
      </c>
      <c r="H6" s="36">
        <v>0.45</v>
      </c>
      <c r="I6" s="38">
        <f>AVERAGE(C6:H6)</f>
        <v>0.22583333333333333</v>
      </c>
    </row>
    <row r="7" spans="2:9">
      <c r="B7" s="94" t="s">
        <v>58</v>
      </c>
      <c r="C7" s="96">
        <v>0.05</v>
      </c>
      <c r="D7" s="96">
        <v>0.05</v>
      </c>
      <c r="E7" s="96">
        <v>0.1</v>
      </c>
      <c r="F7" s="96">
        <v>0.11</v>
      </c>
      <c r="G7" s="96">
        <v>0.05</v>
      </c>
      <c r="H7" s="96">
        <v>0.06</v>
      </c>
      <c r="I7" s="38">
        <f>AVERAGE(C7:H7)</f>
        <v>6.9999999999999993E-2</v>
      </c>
    </row>
    <row r="8" spans="2:9">
      <c r="B8" s="9" t="s">
        <v>59</v>
      </c>
      <c r="C8" s="36">
        <v>7.0000000000000007E-2</v>
      </c>
      <c r="D8" s="36">
        <v>0.05</v>
      </c>
      <c r="E8" s="36">
        <v>0.1</v>
      </c>
      <c r="F8" s="36">
        <v>0.15</v>
      </c>
      <c r="G8" s="36">
        <v>0.12</v>
      </c>
      <c r="H8" s="36">
        <v>0.09</v>
      </c>
      <c r="I8" s="38">
        <f>AVERAGE(C8:H8)</f>
        <v>9.6666666666666665E-2</v>
      </c>
    </row>
    <row r="9" spans="2:9">
      <c r="B9" s="86" t="s">
        <v>60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8">
        <f>AVERAGE(C9:H9)</f>
        <v>0</v>
      </c>
    </row>
    <row r="10" spans="2:9" ht="28.8">
      <c r="C10" s="95">
        <f>SUM(C6:C9)</f>
        <v>0.29499999999999998</v>
      </c>
      <c r="D10" s="95">
        <f t="shared" ref="D10:I10" si="0">SUM(D6:D9)</f>
        <v>0.28999999999999998</v>
      </c>
      <c r="E10" s="95">
        <f t="shared" si="0"/>
        <v>0.25</v>
      </c>
      <c r="F10" s="95">
        <f t="shared" si="0"/>
        <v>0.44999999999999996</v>
      </c>
      <c r="G10" s="95">
        <f t="shared" si="0"/>
        <v>0.47</v>
      </c>
      <c r="H10" s="95">
        <f t="shared" si="0"/>
        <v>0.6</v>
      </c>
      <c r="I10" s="97">
        <f t="shared" si="0"/>
        <v>0.39250000000000002</v>
      </c>
    </row>
    <row r="11" spans="2:9">
      <c r="C11" s="36"/>
      <c r="D11" s="36"/>
      <c r="E11" s="36"/>
      <c r="F11" s="36"/>
      <c r="G11" s="36"/>
      <c r="H11" s="36"/>
    </row>
    <row r="12" spans="2:9">
      <c r="C12" s="37" t="s">
        <v>61</v>
      </c>
      <c r="D12" s="36"/>
      <c r="E12" s="36"/>
      <c r="F12" s="36"/>
      <c r="G12" s="36"/>
      <c r="H12" s="36"/>
    </row>
    <row r="13" spans="2:9">
      <c r="C13" s="37" t="s">
        <v>62</v>
      </c>
      <c r="D13" s="36"/>
      <c r="E13" s="36"/>
      <c r="F13" s="36"/>
      <c r="G13" s="36"/>
      <c r="H13" s="36"/>
    </row>
    <row r="14" spans="2:9">
      <c r="C14" s="36"/>
      <c r="D14" s="36"/>
      <c r="E14" s="36"/>
      <c r="F14" s="36"/>
      <c r="G14" s="36"/>
      <c r="H14" s="36"/>
    </row>
    <row r="15" spans="2:9">
      <c r="C15" s="36"/>
      <c r="D15" s="36"/>
      <c r="E15" s="36"/>
      <c r="F15" s="36"/>
      <c r="G15" s="36"/>
      <c r="H15" s="36"/>
    </row>
    <row r="16" spans="2:9">
      <c r="C16" s="36"/>
      <c r="D16" s="36"/>
      <c r="E16" s="36"/>
      <c r="F16" s="36"/>
      <c r="G16" s="36"/>
      <c r="H16" s="3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showGridLines="0" showRowColHeaders="0" topLeftCell="A2" zoomScale="80" zoomScaleNormal="80" workbookViewId="0">
      <selection activeCell="E41" sqref="E41"/>
    </sheetView>
  </sheetViews>
  <sheetFormatPr defaultColWidth="9" defaultRowHeight="14.4"/>
  <cols>
    <col min="2" max="2" width="14.44140625" customWidth="1"/>
    <col min="3" max="3" width="18.109375" customWidth="1"/>
    <col min="4" max="4" width="2.6640625" customWidth="1"/>
    <col min="5" max="5" width="37" customWidth="1"/>
  </cols>
  <sheetData>
    <row r="2" spans="2:5" ht="25.8">
      <c r="B2" t="s">
        <v>63</v>
      </c>
      <c r="C2" s="33">
        <v>100000000</v>
      </c>
      <c r="E2" s="34">
        <f>C2*(1+C3)^C4</f>
        <v>102000000</v>
      </c>
    </row>
    <row r="3" spans="2:5">
      <c r="B3" t="s">
        <v>64</v>
      </c>
      <c r="C3" s="32">
        <v>0.02</v>
      </c>
    </row>
    <row r="4" spans="2:5">
      <c r="B4" t="s">
        <v>65</v>
      </c>
      <c r="C4" s="30">
        <v>1</v>
      </c>
    </row>
    <row r="5" spans="2:5">
      <c r="B5" t="s">
        <v>66</v>
      </c>
      <c r="C5" s="32">
        <f>(1+C3)^12-1</f>
        <v>0.26824179456254527</v>
      </c>
    </row>
    <row r="38" spans="4:4">
      <c r="D38" t="s">
        <v>67</v>
      </c>
    </row>
    <row r="39" spans="4:4">
      <c r="D39" t="s">
        <v>68</v>
      </c>
    </row>
    <row r="40" spans="4:4">
      <c r="D40" t="s">
        <v>69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zoomScale="80" zoomScaleNormal="80" workbookViewId="0">
      <selection activeCell="E4" sqref="E4"/>
    </sheetView>
  </sheetViews>
  <sheetFormatPr defaultColWidth="9" defaultRowHeight="14.4"/>
  <cols>
    <col min="2" max="2" width="13.109375" customWidth="1"/>
    <col min="3" max="3" width="11.6640625" customWidth="1"/>
    <col min="5" max="5" width="32.109375" customWidth="1"/>
  </cols>
  <sheetData>
    <row r="2" spans="2:5" ht="25.8">
      <c r="B2" t="s">
        <v>63</v>
      </c>
      <c r="C2" s="30">
        <v>1000000</v>
      </c>
      <c r="E2" s="85">
        <f>FV(C3,C4,C2)*(-1)</f>
        <v>1000000.0000000009</v>
      </c>
    </row>
    <row r="3" spans="2:5">
      <c r="B3" t="s">
        <v>64</v>
      </c>
      <c r="C3" s="31">
        <v>0.02</v>
      </c>
    </row>
    <row r="4" spans="2:5">
      <c r="B4" t="s">
        <v>65</v>
      </c>
      <c r="C4">
        <v>1</v>
      </c>
    </row>
    <row r="5" spans="2:5">
      <c r="B5" t="s">
        <v>66</v>
      </c>
      <c r="C5" s="32">
        <f>(1+C3)^12-1</f>
        <v>0.26824179456254527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6"/>
  <sheetViews>
    <sheetView topLeftCell="A145" workbookViewId="0">
      <selection activeCell="D5" sqref="D5"/>
    </sheetView>
  </sheetViews>
  <sheetFormatPr defaultColWidth="9" defaultRowHeight="14.4"/>
  <cols>
    <col min="2" max="2" width="37.33203125" customWidth="1"/>
    <col min="3" max="3" width="50.109375" customWidth="1"/>
    <col min="4" max="4" width="8.5546875" style="7" customWidth="1"/>
    <col min="5" max="12" width="8.88671875" style="7"/>
    <col min="13" max="13" width="13.6640625" customWidth="1"/>
  </cols>
  <sheetData>
    <row r="2" spans="2:13" ht="36.6">
      <c r="B2" s="8"/>
      <c r="C2">
        <v>2017</v>
      </c>
      <c r="D2" s="7">
        <v>2018</v>
      </c>
      <c r="E2">
        <v>2019</v>
      </c>
      <c r="F2" s="7">
        <v>2020</v>
      </c>
      <c r="G2">
        <v>2021</v>
      </c>
      <c r="H2" s="7">
        <v>2022</v>
      </c>
      <c r="I2">
        <v>2023</v>
      </c>
      <c r="J2" s="7">
        <v>2024</v>
      </c>
      <c r="K2">
        <v>2025</v>
      </c>
      <c r="L2" s="7">
        <v>2026</v>
      </c>
      <c r="M2" s="7"/>
    </row>
    <row r="3" spans="2:13">
      <c r="B3" s="9" t="s">
        <v>42</v>
      </c>
      <c r="C3" s="9">
        <v>1</v>
      </c>
      <c r="D3" s="10">
        <v>2</v>
      </c>
      <c r="E3" s="10">
        <v>3</v>
      </c>
      <c r="F3" s="10">
        <v>4</v>
      </c>
      <c r="G3" s="10">
        <v>5</v>
      </c>
      <c r="H3" s="10">
        <v>6</v>
      </c>
      <c r="I3" s="10">
        <v>7</v>
      </c>
      <c r="J3" s="10">
        <v>8</v>
      </c>
      <c r="K3" s="10">
        <v>9</v>
      </c>
      <c r="L3" s="10">
        <v>10</v>
      </c>
      <c r="M3" s="7"/>
    </row>
    <row r="4" spans="2:13">
      <c r="B4" s="86" t="s">
        <v>70</v>
      </c>
      <c r="C4" s="87" t="e">
        <f>'ĐỊNH GIÁ'!B2</f>
        <v>#VALUE!</v>
      </c>
      <c r="D4" s="10"/>
      <c r="E4" s="10"/>
      <c r="F4" s="10"/>
      <c r="G4" s="10"/>
      <c r="H4" s="10"/>
      <c r="I4" s="10"/>
      <c r="J4" s="10"/>
      <c r="K4" s="10"/>
      <c r="L4" s="10"/>
      <c r="M4" s="7"/>
    </row>
    <row r="5" spans="2:13">
      <c r="B5" s="9" t="s">
        <v>71</v>
      </c>
      <c r="C5" s="6" t="e">
        <f>C4</f>
        <v>#VALUE!</v>
      </c>
      <c r="D5" s="7" t="e">
        <f>C5</f>
        <v>#VALUE!</v>
      </c>
      <c r="E5" s="7" t="e">
        <f>D5</f>
        <v>#VALUE!</v>
      </c>
      <c r="F5" s="7" t="e">
        <f t="shared" ref="F5:L5" si="0">E5</f>
        <v>#VALUE!</v>
      </c>
      <c r="G5" s="7" t="e">
        <f t="shared" si="0"/>
        <v>#VALUE!</v>
      </c>
      <c r="H5" s="7" t="e">
        <f t="shared" si="0"/>
        <v>#VALUE!</v>
      </c>
      <c r="I5" s="7" t="e">
        <f t="shared" si="0"/>
        <v>#VALUE!</v>
      </c>
      <c r="J5" s="7" t="e">
        <f t="shared" si="0"/>
        <v>#VALUE!</v>
      </c>
      <c r="K5" s="7" t="e">
        <f t="shared" si="0"/>
        <v>#VALUE!</v>
      </c>
      <c r="L5" s="7" t="e">
        <f t="shared" si="0"/>
        <v>#VALUE!</v>
      </c>
    </row>
    <row r="6" spans="2:13">
      <c r="B6" s="9" t="s">
        <v>44</v>
      </c>
      <c r="C6" s="11">
        <v>7.0000000000000007E-2</v>
      </c>
    </row>
    <row r="7" spans="2:13" s="1" customFormat="1">
      <c r="B7" s="12" t="s">
        <v>45</v>
      </c>
      <c r="C7" s="13" t="e">
        <f>C5/(1+$C$6)^C3</f>
        <v>#VALUE!</v>
      </c>
      <c r="D7" s="13" t="e">
        <f>D5/(1+$C$6)^D3</f>
        <v>#VALUE!</v>
      </c>
      <c r="E7" s="13" t="e">
        <f t="shared" ref="E7:L7" si="1">E5/(1+$C$6)^E3</f>
        <v>#VALUE!</v>
      </c>
      <c r="F7" s="13" t="e">
        <f t="shared" si="1"/>
        <v>#VALUE!</v>
      </c>
      <c r="G7" s="13" t="e">
        <f t="shared" si="1"/>
        <v>#VALUE!</v>
      </c>
      <c r="H7" s="13" t="e">
        <f t="shared" si="1"/>
        <v>#VALUE!</v>
      </c>
      <c r="I7" s="13" t="e">
        <f t="shared" si="1"/>
        <v>#VALUE!</v>
      </c>
      <c r="J7" s="13" t="e">
        <f t="shared" si="1"/>
        <v>#VALUE!</v>
      </c>
      <c r="K7" s="13" t="e">
        <f t="shared" si="1"/>
        <v>#VALUE!</v>
      </c>
      <c r="L7" s="13" t="e">
        <f t="shared" si="1"/>
        <v>#VALUE!</v>
      </c>
      <c r="M7" s="13"/>
    </row>
    <row r="8" spans="2:13">
      <c r="B8" s="86" t="s">
        <v>46</v>
      </c>
      <c r="C8" s="86" t="str">
        <f>'ĐỊNH GIÁ'!B3</f>
        <v>#VCSH</v>
      </c>
    </row>
    <row r="9" spans="2:13">
      <c r="B9" s="86" t="s">
        <v>47</v>
      </c>
      <c r="C9" s="87" t="str">
        <f>'ĐỊNH GIÁ'!B6</f>
        <v>#TSLCP</v>
      </c>
    </row>
    <row r="10" spans="2:13">
      <c r="B10" s="86" t="s">
        <v>34</v>
      </c>
      <c r="C10" s="89" t="str">
        <f>'ĐỊNH GIÁ'!B4</f>
        <v>#TLCT</v>
      </c>
    </row>
    <row r="11" spans="2:13" ht="49.8">
      <c r="B11" s="86" t="s">
        <v>72</v>
      </c>
      <c r="C11" s="88" t="str">
        <f>'ĐỊNH GIÁ'!B5</f>
        <v>#TGCP</v>
      </c>
    </row>
    <row r="12" spans="2:13">
      <c r="B12" s="10" t="s">
        <v>48</v>
      </c>
      <c r="C12" s="14" t="e">
        <f>((C7+D7+E7+F7+G7+H7+I7+J7+K7+L7)+C8)*(1-0.1*3.14)</f>
        <v>#VALUE!</v>
      </c>
    </row>
    <row r="13" spans="2:13" ht="49.8">
      <c r="B13" s="10" t="s">
        <v>73</v>
      </c>
      <c r="C13" s="90" t="e">
        <f>(C12*1000000000)/(C9*1000000)</f>
        <v>#VALUE!</v>
      </c>
    </row>
    <row r="14" spans="2:13">
      <c r="B14" s="15" t="s">
        <v>74</v>
      </c>
      <c r="C14" s="16" t="e">
        <f>C208</f>
        <v>#VALUE!</v>
      </c>
    </row>
    <row r="15" spans="2:13" s="2" customFormat="1">
      <c r="B15" s="17"/>
      <c r="C15" s="18"/>
      <c r="D15" s="19"/>
      <c r="E15" s="19"/>
      <c r="F15" s="19"/>
      <c r="G15" s="19"/>
      <c r="H15" s="19"/>
      <c r="I15" s="19"/>
      <c r="J15" s="19"/>
      <c r="K15" s="19"/>
      <c r="L15" s="19"/>
    </row>
    <row r="16" spans="2:13" ht="49.8">
      <c r="B16" s="20" t="s">
        <v>75</v>
      </c>
      <c r="C16" s="93" t="e">
        <f>C13/C11-1</f>
        <v>#VALUE!</v>
      </c>
      <c r="H16" s="7" t="s">
        <v>16</v>
      </c>
    </row>
    <row r="17" spans="2:3" ht="49.8">
      <c r="B17" s="20" t="s">
        <v>76</v>
      </c>
      <c r="C17" s="93" t="e">
        <f>0.95*C10*10000/C11</f>
        <v>#VALUE!</v>
      </c>
    </row>
    <row r="18" spans="2:3" ht="49.8">
      <c r="B18" s="20" t="s">
        <v>59</v>
      </c>
      <c r="C18" s="93" t="e">
        <f>C14/C13-1</f>
        <v>#VALUE!</v>
      </c>
    </row>
    <row r="19" spans="2:3" ht="49.8">
      <c r="B19" s="91" t="s">
        <v>19</v>
      </c>
      <c r="C19" s="92" t="e">
        <f>C16+C17+C18</f>
        <v>#VALUE!</v>
      </c>
    </row>
    <row r="189" spans="2:4" s="3" customFormat="1"/>
    <row r="190" spans="2:4" s="4" customFormat="1"/>
    <row r="191" spans="2:4" s="4" customFormat="1">
      <c r="B191" s="4" t="s">
        <v>34</v>
      </c>
      <c r="C191" s="21" t="str">
        <f>C10</f>
        <v>#TLCT</v>
      </c>
    </row>
    <row r="192" spans="2:4" s="4" customFormat="1">
      <c r="B192" s="4" t="s">
        <v>35</v>
      </c>
      <c r="C192" s="4" t="e">
        <f>C191*10*C9</f>
        <v>#VALUE!</v>
      </c>
      <c r="D192" s="22"/>
    </row>
    <row r="193" spans="2:13" s="4" customFormat="1">
      <c r="B193" s="4" t="s">
        <v>36</v>
      </c>
      <c r="C193" s="4" t="e">
        <f>C5-C192</f>
        <v>#VALUE!</v>
      </c>
    </row>
    <row r="194" spans="2:13" s="4" customFormat="1">
      <c r="B194" s="23" t="s">
        <v>37</v>
      </c>
      <c r="C194" s="23" t="e">
        <f>C193+C8</f>
        <v>#VALUE!</v>
      </c>
    </row>
    <row r="195" spans="2:13" s="4" customFormat="1">
      <c r="B195" s="4" t="s">
        <v>38</v>
      </c>
      <c r="C195" s="24" t="e">
        <f>C5/C8</f>
        <v>#VALUE!</v>
      </c>
    </row>
    <row r="196" spans="2:13" s="4" customFormat="1">
      <c r="B196" s="4" t="s">
        <v>39</v>
      </c>
      <c r="C196" s="25" t="e">
        <f>C195*C193</f>
        <v>#VALUE!</v>
      </c>
    </row>
    <row r="197" spans="2:13" s="4" customFormat="1">
      <c r="B197" s="23" t="s">
        <v>40</v>
      </c>
      <c r="C197" s="26" t="e">
        <f>C196+C5</f>
        <v>#VALUE!</v>
      </c>
    </row>
    <row r="198" spans="2:13" s="4" customFormat="1"/>
    <row r="199" spans="2:13" s="4" customFormat="1"/>
    <row r="200" spans="2:13" s="4" customFormat="1">
      <c r="B200" s="4" t="s">
        <v>41</v>
      </c>
      <c r="C200" s="4">
        <v>2017</v>
      </c>
      <c r="D200" s="4">
        <v>2018</v>
      </c>
      <c r="E200" s="4">
        <v>2019</v>
      </c>
      <c r="F200" s="4">
        <v>2020</v>
      </c>
      <c r="G200" s="4">
        <v>2021</v>
      </c>
      <c r="H200" s="4">
        <v>2022</v>
      </c>
      <c r="I200" s="4">
        <v>2023</v>
      </c>
      <c r="J200" s="4">
        <v>2024</v>
      </c>
      <c r="K200" s="4">
        <v>2025</v>
      </c>
      <c r="L200" s="4">
        <v>2026</v>
      </c>
    </row>
    <row r="201" spans="2:13" s="4" customFormat="1">
      <c r="B201" s="23" t="s">
        <v>42</v>
      </c>
      <c r="C201" s="23">
        <v>1</v>
      </c>
      <c r="D201" s="23">
        <v>2</v>
      </c>
      <c r="E201" s="23">
        <v>3</v>
      </c>
      <c r="F201" s="23">
        <v>4</v>
      </c>
      <c r="G201" s="23">
        <v>5</v>
      </c>
      <c r="H201" s="23">
        <v>6</v>
      </c>
      <c r="I201" s="23">
        <v>7</v>
      </c>
      <c r="J201" s="23">
        <v>8</v>
      </c>
      <c r="K201" s="23">
        <v>9</v>
      </c>
      <c r="L201" s="23">
        <v>10</v>
      </c>
    </row>
    <row r="202" spans="2:13" s="4" customFormat="1">
      <c r="B202" s="23" t="s">
        <v>43</v>
      </c>
      <c r="C202" s="25" t="e">
        <f>C197</f>
        <v>#VALUE!</v>
      </c>
      <c r="D202" s="4" t="e">
        <f>C202</f>
        <v>#VALUE!</v>
      </c>
      <c r="E202" s="4" t="e">
        <f>D202</f>
        <v>#VALUE!</v>
      </c>
      <c r="F202" s="4" t="e">
        <f t="shared" ref="F202:L202" si="2">E202</f>
        <v>#VALUE!</v>
      </c>
      <c r="G202" s="4" t="e">
        <f t="shared" si="2"/>
        <v>#VALUE!</v>
      </c>
      <c r="H202" s="4" t="e">
        <f t="shared" si="2"/>
        <v>#VALUE!</v>
      </c>
      <c r="I202" s="4" t="e">
        <f t="shared" si="2"/>
        <v>#VALUE!</v>
      </c>
      <c r="J202" s="4" t="e">
        <f t="shared" si="2"/>
        <v>#VALUE!</v>
      </c>
      <c r="K202" s="4" t="e">
        <f t="shared" si="2"/>
        <v>#VALUE!</v>
      </c>
      <c r="L202" s="4" t="e">
        <f t="shared" si="2"/>
        <v>#VALUE!</v>
      </c>
    </row>
    <row r="203" spans="2:13" s="4" customFormat="1">
      <c r="B203" s="23" t="s">
        <v>44</v>
      </c>
      <c r="C203" s="27">
        <v>7.0000000000000007E-2</v>
      </c>
    </row>
    <row r="204" spans="2:13" s="4" customFormat="1">
      <c r="B204" s="23" t="s">
        <v>45</v>
      </c>
      <c r="C204" s="25" t="e">
        <f>C202/(1+$C$6)^C201</f>
        <v>#VALUE!</v>
      </c>
      <c r="D204" s="25" t="e">
        <f>D202/(1+$C$6)^D201</f>
        <v>#VALUE!</v>
      </c>
      <c r="E204" s="25" t="e">
        <f t="shared" ref="E204:L204" si="3">E202/(1+$C$6)^E201</f>
        <v>#VALUE!</v>
      </c>
      <c r="F204" s="25" t="e">
        <f t="shared" si="3"/>
        <v>#VALUE!</v>
      </c>
      <c r="G204" s="25" t="e">
        <f t="shared" si="3"/>
        <v>#VALUE!</v>
      </c>
      <c r="H204" s="25" t="e">
        <f t="shared" si="3"/>
        <v>#VALUE!</v>
      </c>
      <c r="I204" s="25" t="e">
        <f t="shared" si="3"/>
        <v>#VALUE!</v>
      </c>
      <c r="J204" s="25" t="e">
        <f t="shared" si="3"/>
        <v>#VALUE!</v>
      </c>
      <c r="K204" s="25" t="e">
        <f t="shared" si="3"/>
        <v>#VALUE!</v>
      </c>
      <c r="L204" s="25" t="e">
        <f t="shared" si="3"/>
        <v>#VALUE!</v>
      </c>
      <c r="M204" s="25"/>
    </row>
    <row r="205" spans="2:13" s="4" customFormat="1">
      <c r="B205" s="23" t="s">
        <v>46</v>
      </c>
      <c r="C205" s="23" t="e">
        <f>C194</f>
        <v>#VALUE!</v>
      </c>
    </row>
    <row r="206" spans="2:13" s="4" customFormat="1">
      <c r="B206" s="23" t="s">
        <v>47</v>
      </c>
      <c r="C206" s="4" t="str">
        <f>C9</f>
        <v>#TSLCP</v>
      </c>
    </row>
    <row r="207" spans="2:13" s="4" customFormat="1" ht="66.599999999999994">
      <c r="B207" s="23" t="s">
        <v>48</v>
      </c>
      <c r="C207" s="28" t="e">
        <f>((C204+D204+E204+F204+G204+H204+I204+J204+K204+L204)+C205)*(1-0.1*3.14)</f>
        <v>#VALUE!</v>
      </c>
    </row>
    <row r="208" spans="2:13" s="4" customFormat="1" ht="66.599999999999994">
      <c r="B208" s="23" t="s">
        <v>49</v>
      </c>
      <c r="C208" s="29" t="e">
        <f>(C207*1000000000)/(C206*1000000)</f>
        <v>#VALUE!</v>
      </c>
    </row>
    <row r="209" s="5" customFormat="1"/>
    <row r="210" s="5" customFormat="1"/>
    <row r="211" s="5" customFormat="1"/>
    <row r="212" s="5" customFormat="1"/>
    <row r="213" s="5" customFormat="1"/>
    <row r="214" s="5" customFormat="1"/>
    <row r="215" s="6" customFormat="1"/>
    <row r="216" s="6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HƯỚNG DẪN</vt:lpstr>
      <vt:lpstr>ĐỊNH GIÁ</vt:lpstr>
      <vt:lpstr>DANH MỤC</vt:lpstr>
      <vt:lpstr>LSK-Vốn Gốc</vt:lpstr>
      <vt:lpstr>LSK-Tiền Đều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tienpd3@icloud.com</cp:lastModifiedBy>
  <dcterms:created xsi:type="dcterms:W3CDTF">2006-09-16T00:00:00Z</dcterms:created>
  <dcterms:modified xsi:type="dcterms:W3CDTF">2023-01-19T10:49:27Z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