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DANH MỤC" sheetId="4" state="hidden" r:id="rId3"/>
    <sheet name="LSK-Vốn Gốc" sheetId="6" state="hidden" r:id="rId4"/>
    <sheet name="LSK-Tiền Đều" sheetId="7" state="hidden" r:id="rId5"/>
    <sheet name="Hidden" sheetId="2" state="hidden" r:id="rId6"/>
  </sheets>
  <calcPr calcId="162913" concurrentCalc="0"/>
</workbook>
</file>

<file path=xl/calcChain.xml><?xml version="1.0" encoding="utf-8"?>
<calcChain xmlns="http://schemas.openxmlformats.org/spreadsheetml/2006/main">
  <c r="C11" i="9" l="1"/>
  <c r="C19" i="9"/>
  <c r="C14" i="9"/>
  <c r="E2" i="9"/>
  <c r="B2" i="9"/>
  <c r="C4" i="2"/>
  <c r="C5" i="2"/>
  <c r="C8" i="2"/>
  <c r="C195" i="2"/>
  <c r="C10" i="2"/>
  <c r="C191" i="2"/>
  <c r="C9" i="2"/>
  <c r="C192" i="2"/>
  <c r="C193" i="2"/>
  <c r="C196" i="2"/>
  <c r="C197" i="2"/>
  <c r="C202" i="2"/>
  <c r="C204" i="2"/>
  <c r="D202" i="2"/>
  <c r="D204" i="2"/>
  <c r="E202" i="2"/>
  <c r="E204" i="2"/>
  <c r="F202" i="2"/>
  <c r="F204" i="2"/>
  <c r="G202" i="2"/>
  <c r="G204" i="2"/>
  <c r="H202" i="2"/>
  <c r="H204" i="2"/>
  <c r="I202" i="2"/>
  <c r="I204" i="2"/>
  <c r="J202" i="2"/>
  <c r="J204" i="2"/>
  <c r="K202" i="2"/>
  <c r="K204" i="2"/>
  <c r="L202" i="2"/>
  <c r="L204" i="2"/>
  <c r="C194" i="2"/>
  <c r="C205" i="2"/>
  <c r="C207" i="2"/>
  <c r="C206" i="2"/>
  <c r="C208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12" i="2"/>
  <c r="C13" i="2"/>
  <c r="C11" i="2"/>
  <c r="C16" i="2"/>
  <c r="C17" i="2"/>
  <c r="C14" i="2"/>
  <c r="C18" i="2"/>
  <c r="C19" i="2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8" i="9"/>
  <c r="B184" i="9"/>
  <c r="B185" i="9"/>
  <c r="B186" i="9"/>
  <c r="B189" i="9"/>
  <c r="B190" i="9"/>
  <c r="B195" i="9"/>
  <c r="B197" i="9"/>
  <c r="C195" i="9"/>
  <c r="C197" i="9"/>
  <c r="D195" i="9"/>
  <c r="D197" i="9"/>
  <c r="E195" i="9"/>
  <c r="E197" i="9"/>
  <c r="F195" i="9"/>
  <c r="F197" i="9"/>
  <c r="G195" i="9"/>
  <c r="G197" i="9"/>
  <c r="H195" i="9"/>
  <c r="H197" i="9"/>
  <c r="I195" i="9"/>
  <c r="I197" i="9"/>
  <c r="J195" i="9"/>
  <c r="J197" i="9"/>
  <c r="K195" i="9"/>
  <c r="K197" i="9"/>
  <c r="B187" i="9"/>
  <c r="B198" i="9"/>
  <c r="B200" i="9"/>
  <c r="B199" i="9"/>
  <c r="B201" i="9"/>
  <c r="C27" i="9"/>
  <c r="C26" i="9"/>
  <c r="C25" i="9"/>
  <c r="C24" i="9"/>
  <c r="C23" i="9"/>
  <c r="C22" i="9"/>
  <c r="C21" i="9"/>
  <c r="C20" i="9"/>
  <c r="C18" i="9"/>
  <c r="C17" i="9"/>
  <c r="C16" i="9"/>
  <c r="C15" i="9"/>
  <c r="B11" i="9"/>
  <c r="B10" i="9"/>
  <c r="B9" i="9"/>
  <c r="B8" i="9"/>
  <c r="B7" i="9"/>
</calcChain>
</file>

<file path=xl/sharedStrings.xml><?xml version="1.0" encoding="utf-8"?>
<sst xmlns="http://schemas.openxmlformats.org/spreadsheetml/2006/main" count="136" uniqueCount="106">
  <si>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</si>
  <si>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</si>
  <si>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</si>
  <si>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</si>
  <si>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</si>
  <si>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</si>
  <si>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</si>
  <si>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</si>
  <si>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</si>
  <si>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VỐN CHỦ SỞ HỮU HIỆN TẠI (tỷ đồng)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</si>
  <si>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</si>
  <si>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</si>
  <si>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</si>
  <si>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</si>
  <si>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</si>
  <si>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</si>
  <si>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</si>
  <si>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</si>
  <si>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</si>
  <si>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</si>
  <si>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</si>
  <si>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</si>
  <si>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</si>
  <si>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</si>
  <si>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</si>
  <si>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</si>
  <si>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</si>
  <si>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</si>
  <si>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</si>
  <si>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</si>
  <si>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</si>
  <si>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</si>
  <si>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</si>
  <si>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</si>
  <si>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</si>
  <si>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</si>
  <si>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</si>
  <si>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</si>
  <si>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</si>
  <si>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</si>
  <si>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</si>
  <si>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</si>
  <si>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</si>
  <si>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</si>
  <si>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</si>
  <si>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</si>
  <si>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</si>
  <si>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</si>
  <si>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</si>
  <si>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</si>
  <si>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</si>
  <si>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</si>
  <si>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</si>
  <si>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</si>
  <si>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</si>
  <si>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</si>
  <si>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</si>
  <si>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</si>
  <si>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</si>
  <si>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</si>
  <si>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</si>
  <si>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</si>
  <si>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</si>
  <si>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</si>
  <si>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</si>
  <si>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LNST 4 qúy gần nhất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</si>
  <si>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</si>
  <si>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</si>
  <si>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</si>
  <si>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</si>
  <si>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</si>
  <si>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</si>
  <si>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</si>
  <si>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</si>
  <si>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</si>
  <si>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</si>
  <si>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</si>
  <si>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</si>
  <si>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</si>
  <si>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</si>
  <si>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</si>
  <si>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</si>
  <si>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</si>
  <si>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</si>
  <si>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</si>
  <si>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</si>
  <si>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</si>
  <si>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</si>
  <si>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</si>
  <si>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</si>
  <si>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</si>
  <si>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</si>
  <si>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</si>
  <si>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Nợ dài hạn/LNST (quý hiện tại) &lt;= 5</t>
  </si>
  <si>
    <t>P/B&lt;2(&lt;= 2)</t>
  </si>
  <si>
    <t>P/E &lt;15(có thể 20) &lt;=15</t>
  </si>
  <si>
    <t>Tỷ lệ lãi gộp (&gt;=15%)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</si>
  <si>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</si>
  <si>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</si>
  <si>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</si>
  <si>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</si>
  <si>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</si>
  <si>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</si>
  <si>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</si>
  <si>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t>LNST 4 QUÝ GẦN NHẤT (tỷ đồng)</t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</si>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</sst>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2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63"/>
      <scheme val="minor"/>
    </font>
    <font>
      <b/>
      <sz val="16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sz val="52"/>
      <color rgb="FFFFFF00"/>
      <name val="Calibri"/>
      <charset val="134"/>
      <scheme val="minor"/>
    </font>
    <font>
      <b/>
      <sz val="52"/>
      <color rgb="FFFFFF00"/>
      <name val="Calibri"/>
      <charset val="134"/>
      <scheme val="minor"/>
    </font>
    <font>
      <sz val="11"/>
      <color theme="3" tint="0.39994506668294322"/>
      <name val="Calibri"/>
      <charset val="134"/>
      <scheme val="minor"/>
    </font>
    <font>
      <b/>
      <sz val="20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FF00"/>
      <name val="Times New Roman"/>
      <family val="1"/>
      <charset val="163"/>
    </font>
    <font>
      <b/>
      <sz val="11"/>
      <color rgb="FFFFFF00"/>
      <name val="Times New Roman"/>
      <family val="1"/>
      <charset val="163"/>
    </font>
    <font>
      <b/>
      <sz val="11"/>
      <color rgb="FFBC32E4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3" applyNumberFormat="1" applyFont="1"/>
    <xf numFmtId="0" fontId="5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6" fillId="0" borderId="0" xfId="0" applyFont="1"/>
    <xf numFmtId="164" fontId="6" fillId="0" borderId="0" xfId="1" applyNumberFormat="1" applyFont="1"/>
    <xf numFmtId="0" fontId="6" fillId="3" borderId="0" xfId="0" applyFont="1" applyFill="1"/>
    <xf numFmtId="164" fontId="6" fillId="3" borderId="0" xfId="1" applyNumberFormat="1" applyFont="1" applyFill="1"/>
    <xf numFmtId="0" fontId="1" fillId="3" borderId="0" xfId="0" applyFont="1" applyFill="1"/>
    <xf numFmtId="0" fontId="7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8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8" fillId="4" borderId="0" xfId="0" applyNumberFormat="1" applyFont="1" applyFill="1" applyBorder="1"/>
    <xf numFmtId="10" fontId="2" fillId="4" borderId="0" xfId="3" applyNumberFormat="1" applyFont="1" applyFill="1" applyBorder="1"/>
    <xf numFmtId="43" fontId="9" fillId="4" borderId="0" xfId="1" applyFont="1" applyFill="1" applyBorder="1"/>
    <xf numFmtId="164" fontId="10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1" fillId="0" borderId="0" xfId="1" applyNumberFormat="1" applyFont="1"/>
    <xf numFmtId="6" fontId="12" fillId="0" borderId="0" xfId="0" applyNumberFormat="1" applyFont="1"/>
    <xf numFmtId="0" fontId="5" fillId="0" borderId="0" xfId="0" applyFont="1" applyAlignment="1">
      <alignment horizontal="center"/>
    </xf>
    <xf numFmtId="9" fontId="0" fillId="0" borderId="0" xfId="3" applyFont="1"/>
    <xf numFmtId="9" fontId="13" fillId="0" borderId="0" xfId="3" applyFont="1"/>
    <xf numFmtId="165" fontId="14" fillId="0" borderId="0" xfId="0" applyNumberFormat="1" applyFont="1"/>
    <xf numFmtId="0" fontId="15" fillId="0" borderId="0" xfId="2"/>
    <xf numFmtId="6" fontId="17" fillId="0" borderId="0" xfId="0" applyNumberFormat="1" applyFont="1"/>
    <xf numFmtId="0" fontId="18" fillId="0" borderId="0" xfId="0" applyFont="1"/>
    <xf numFmtId="0" fontId="19" fillId="0" borderId="0" xfId="0" applyFont="1"/>
    <xf numFmtId="164" fontId="20" fillId="0" borderId="0" xfId="1" applyNumberFormat="1" applyFont="1"/>
    <xf numFmtId="9" fontId="19" fillId="0" borderId="0" xfId="3" applyFont="1"/>
    <xf numFmtId="164" fontId="21" fillId="0" borderId="0" xfId="1" applyNumberFormat="1" applyFont="1"/>
    <xf numFmtId="0" fontId="22" fillId="5" borderId="0" xfId="0" applyFont="1" applyFill="1"/>
    <xf numFmtId="10" fontId="20" fillId="5" borderId="0" xfId="3" applyNumberFormat="1" applyFont="1" applyFill="1"/>
    <xf numFmtId="10" fontId="23" fillId="5" borderId="0" xfId="3" applyNumberFormat="1" applyFont="1" applyFill="1"/>
    <xf numFmtId="0" fontId="24" fillId="0" borderId="0" xfId="0" applyFont="1"/>
    <xf numFmtId="9" fontId="18" fillId="0" borderId="0" xfId="3" applyFont="1"/>
    <xf numFmtId="9" fontId="24" fillId="0" borderId="0" xfId="3" applyFont="1"/>
    <xf numFmtId="9" fontId="25" fillId="0" borderId="0" xfId="3" applyFont="1"/>
    <xf numFmtId="0" fontId="18" fillId="0" borderId="0" xfId="0" applyFont="1" applyAlignment="1">
      <alignment horizontal="center"/>
    </xf>
    <xf numFmtId="0" fontId="26" fillId="0" borderId="8" xfId="0" applyFont="1" applyFill="1" applyBorder="1" applyAlignment="1">
      <alignment horizontal="center" vertical="center"/>
    </xf>
    <xf numFmtId="2" fontId="26" fillId="0" borderId="8" xfId="0" applyNumberFormat="1" applyFont="1" applyBorder="1" applyAlignment="1">
      <alignment horizontal="center"/>
    </xf>
    <xf numFmtId="0" fontId="27" fillId="0" borderId="0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9" fontId="27" fillId="0" borderId="0" xfId="3" applyFont="1"/>
    <xf numFmtId="0" fontId="28" fillId="7" borderId="8" xfId="0" applyFont="1" applyFill="1" applyBorder="1" applyAlignment="1"/>
    <xf numFmtId="0" fontId="28" fillId="0" borderId="0" xfId="0" applyFont="1" applyFill="1" applyAlignment="1"/>
    <xf numFmtId="0" fontId="27" fillId="0" borderId="0" xfId="0" applyFont="1" applyFill="1" applyBorder="1"/>
    <xf numFmtId="0" fontId="27" fillId="0" borderId="0" xfId="0" applyFont="1" applyFill="1"/>
    <xf numFmtId="0" fontId="26" fillId="0" borderId="0" xfId="0" applyFont="1" applyFill="1"/>
    <xf numFmtId="0" fontId="29" fillId="7" borderId="2" xfId="0" applyFont="1" applyFill="1" applyBorder="1" applyAlignment="1">
      <alignment vertical="center" wrapText="1"/>
    </xf>
    <xf numFmtId="0" fontId="29" fillId="7" borderId="11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26" fillId="0" borderId="4" xfId="0" applyFont="1" applyFill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31" fillId="0" borderId="0" xfId="0" applyFont="1" applyFill="1"/>
    <xf numFmtId="0" fontId="26" fillId="0" borderId="6" xfId="0" applyFont="1" applyFill="1" applyBorder="1" applyAlignment="1">
      <alignment horizontal="left"/>
    </xf>
    <xf numFmtId="2" fontId="26" fillId="0" borderId="12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2" fillId="4" borderId="0" xfId="0" applyFont="1" applyFill="1"/>
    <xf numFmtId="0" fontId="32" fillId="4" borderId="0" xfId="0" applyFont="1" applyFill="1" applyBorder="1"/>
    <xf numFmtId="43" fontId="32" fillId="4" borderId="0" xfId="1" applyFont="1" applyFill="1" applyBorder="1"/>
    <xf numFmtId="0" fontId="33" fillId="4" borderId="0" xfId="0" applyFont="1" applyFill="1" applyBorder="1"/>
    <xf numFmtId="2" fontId="32" fillId="4" borderId="0" xfId="0" applyNumberFormat="1" applyFont="1" applyFill="1" applyBorder="1"/>
    <xf numFmtId="0" fontId="26" fillId="2" borderId="0" xfId="0" applyFont="1" applyFill="1" applyBorder="1"/>
    <xf numFmtId="0" fontId="26" fillId="0" borderId="1" xfId="0" applyFont="1" applyBorder="1"/>
    <xf numFmtId="0" fontId="28" fillId="7" borderId="2" xfId="0" applyFont="1" applyFill="1" applyBorder="1"/>
    <xf numFmtId="166" fontId="28" fillId="7" borderId="3" xfId="0" applyNumberFormat="1" applyFont="1" applyFill="1" applyBorder="1"/>
    <xf numFmtId="167" fontId="28" fillId="0" borderId="0" xfId="0" applyNumberFormat="1" applyFont="1" applyAlignment="1">
      <alignment horizontal="right"/>
    </xf>
    <xf numFmtId="0" fontId="28" fillId="7" borderId="0" xfId="0" applyFont="1" applyFill="1" applyAlignment="1">
      <alignment horizontal="center"/>
    </xf>
    <xf numFmtId="0" fontId="29" fillId="0" borderId="0" xfId="0" applyFont="1"/>
    <xf numFmtId="0" fontId="27" fillId="0" borderId="4" xfId="0" applyFont="1" applyBorder="1"/>
    <xf numFmtId="166" fontId="27" fillId="0" borderId="5" xfId="0" applyNumberFormat="1" applyFont="1" applyBorder="1" applyAlignment="1">
      <alignment horizontal="right"/>
    </xf>
    <xf numFmtId="9" fontId="27" fillId="0" borderId="5" xfId="3" applyNumberFormat="1" applyFont="1" applyBorder="1" applyAlignment="1">
      <alignment horizontal="right"/>
    </xf>
    <xf numFmtId="164" fontId="27" fillId="0" borderId="5" xfId="1" applyNumberFormat="1" applyFont="1" applyBorder="1" applyAlignment="1">
      <alignment horizontal="right"/>
    </xf>
    <xf numFmtId="0" fontId="28" fillId="7" borderId="4" xfId="0" applyFont="1" applyFill="1" applyBorder="1"/>
    <xf numFmtId="164" fontId="28" fillId="7" borderId="5" xfId="1" applyNumberFormat="1" applyFont="1" applyFill="1" applyBorder="1"/>
    <xf numFmtId="0" fontId="27" fillId="8" borderId="4" xfId="0" applyFont="1" applyFill="1" applyBorder="1"/>
    <xf numFmtId="10" fontId="27" fillId="0" borderId="5" xfId="3" applyNumberFormat="1" applyFont="1" applyFill="1" applyBorder="1"/>
    <xf numFmtId="0" fontId="28" fillId="7" borderId="6" xfId="0" applyFont="1" applyFill="1" applyBorder="1"/>
    <xf numFmtId="10" fontId="28" fillId="7" borderId="7" xfId="3" applyNumberFormat="1" applyFont="1" applyFill="1" applyBorder="1"/>
    <xf numFmtId="0" fontId="28" fillId="6" borderId="9" xfId="0" applyFont="1" applyFill="1" applyBorder="1" applyAlignment="1">
      <alignment horizontal="center"/>
    </xf>
    <xf numFmtId="10" fontId="28" fillId="0" borderId="10" xfId="3" applyNumberFormat="1" applyFont="1" applyFill="1" applyBorder="1"/>
    <xf numFmtId="9" fontId="32" fillId="4" borderId="0" xfId="3" applyFont="1" applyFill="1" applyBorder="1"/>
    <xf numFmtId="165" fontId="32" fillId="4" borderId="0" xfId="3" applyNumberFormat="1" applyFont="1" applyFill="1" applyBorder="1"/>
    <xf numFmtId="2" fontId="33" fillId="4" borderId="0" xfId="0" applyNumberFormat="1" applyFont="1" applyFill="1" applyBorder="1"/>
    <xf numFmtId="10" fontId="32" fillId="4" borderId="0" xfId="3" applyNumberFormat="1" applyFont="1" applyFill="1" applyBorder="1"/>
    <xf numFmtId="164" fontId="33" fillId="4" borderId="0" xfId="1" applyNumberFormat="1" applyFont="1" applyFill="1" applyBorder="1"/>
    <xf numFmtId="0" fontId="28" fillId="6" borderId="14" xfId="0" applyFont="1" applyFill="1" applyBorder="1" applyAlignment="1">
      <alignment horizontal="center"/>
    </xf>
    <xf numFmtId="0" fontId="34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8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/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showGridLines="0" showRowColHeaders="0" tabSelected="1" zoomScale="80" zoomScaleNormal="80" workbookViewId="0">
      <selection activeCell="C11" sqref="C11"/>
    </sheetView>
  </sheetViews>
  <sheetFormatPr defaultColWidth="9" defaultRowHeight="13.8"/>
  <cols>
    <col min="1" max="1" width="48.44140625" style="57" bestFit="1" customWidth="1"/>
    <col min="2" max="2" width="11.6640625" style="57" customWidth="1"/>
    <col min="3" max="3" width="10" style="58" bestFit="1" customWidth="1"/>
    <col min="4" max="4" width="10" style="58" customWidth="1"/>
    <col min="5" max="5" width="11.77734375" style="58" customWidth="1"/>
    <col min="6" max="6" width="8.88671875" style="58"/>
    <col min="7" max="11" width="8.88671875" style="58" hidden="1" customWidth="1"/>
    <col min="12" max="12" width="13.6640625" style="57" hidden="1" customWidth="1"/>
    <col min="13" max="13" width="4.5546875" style="57" customWidth="1"/>
    <col min="14" max="16384" width="9" style="57"/>
  </cols>
  <sheetData>
    <row r="1" spans="1:12" ht="14.4" thickBot="1">
      <c r="A1" s="106" t="s">
        <v>89</v>
      </c>
      <c r="B1" s="83"/>
      <c r="C1" s="56"/>
      <c r="D1" s="107" t="s">
        <v>65</v>
      </c>
      <c r="E1" s="107"/>
      <c r="F1" s="57"/>
      <c r="H1" s="57"/>
      <c r="J1" s="57"/>
      <c r="L1" s="58"/>
    </row>
    <row r="2" spans="1:12">
      <c r="A2" s="84" t="s">
        <v>104</v>
      </c>
      <c r="B2" s="85" t="e">
        <f>E2</f>
        <v>#VALUE!</v>
      </c>
      <c r="C2" s="59"/>
      <c r="D2" s="86" t="s">
        <v>66</v>
      </c>
      <c r="E2" s="87" t="e">
        <f>D2+D3+D5+D4</f>
        <v>#VALUE!</v>
      </c>
      <c r="F2" s="60"/>
      <c r="G2" s="88" t="s">
        <v>8</v>
      </c>
      <c r="H2" s="60"/>
      <c r="I2" s="60"/>
      <c r="J2" s="60"/>
      <c r="K2" s="60"/>
      <c r="L2" s="58"/>
    </row>
    <row r="3" spans="1:12">
      <c r="A3" s="89" t="s">
        <v>9</v>
      </c>
      <c r="B3" s="90" t="s">
        <v>70</v>
      </c>
      <c r="C3" s="56"/>
      <c r="D3" s="86" t="s">
        <v>67</v>
      </c>
      <c r="G3" s="57" t="s">
        <v>10</v>
      </c>
    </row>
    <row r="4" spans="1:12">
      <c r="A4" s="89" t="s">
        <v>11</v>
      </c>
      <c r="B4" s="91" t="s">
        <v>71</v>
      </c>
      <c r="C4" s="56"/>
      <c r="D4" s="86" t="s">
        <v>68</v>
      </c>
    </row>
    <row r="5" spans="1:12">
      <c r="A5" s="89" t="s">
        <v>12</v>
      </c>
      <c r="B5" s="92" t="s">
        <v>72</v>
      </c>
      <c r="C5" s="56"/>
      <c r="D5" s="86" t="s">
        <v>69</v>
      </c>
    </row>
    <row r="6" spans="1:12">
      <c r="A6" s="89" t="s">
        <v>13</v>
      </c>
      <c r="B6" s="90" t="s">
        <v>73</v>
      </c>
      <c r="C6" s="56"/>
    </row>
    <row r="7" spans="1:12">
      <c r="A7" s="93" t="s">
        <v>14</v>
      </c>
      <c r="B7" s="94" t="e">
        <f>Hidden!C13</f>
        <v>#VALUE!</v>
      </c>
      <c r="C7" s="56"/>
    </row>
    <row r="8" spans="1:12">
      <c r="A8" s="95" t="s">
        <v>91</v>
      </c>
      <c r="B8" s="96" t="e">
        <f>Hidden!C16</f>
        <v>#VALUE!</v>
      </c>
      <c r="C8" s="56"/>
      <c r="D8" s="61"/>
      <c r="G8" s="58" t="s">
        <v>15</v>
      </c>
    </row>
    <row r="9" spans="1:12">
      <c r="A9" s="95" t="s">
        <v>90</v>
      </c>
      <c r="B9" s="96" t="e">
        <f>Hidden!C17</f>
        <v>#VALUE!</v>
      </c>
      <c r="C9" s="56"/>
    </row>
    <row r="10" spans="1:12">
      <c r="A10" s="95" t="s">
        <v>16</v>
      </c>
      <c r="B10" s="96" t="e">
        <f>Hidden!C18</f>
        <v>#VALUE!</v>
      </c>
      <c r="C10" s="56"/>
    </row>
    <row r="11" spans="1:12">
      <c r="A11" s="97" t="s">
        <v>17</v>
      </c>
      <c r="B11" s="98" t="e">
        <f>Hidden!C19</f>
        <v>#VALUE!</v>
      </c>
      <c r="C11" s="62" t="e">
        <f>IF(B11 &gt;= 20, "OK", "NG")</f>
        <v>#VALUE!</v>
      </c>
      <c r="D11" s="63"/>
      <c r="F11" s="57"/>
    </row>
    <row r="12" spans="1:12" s="66" customFormat="1">
      <c r="A12" s="99" t="s">
        <v>64</v>
      </c>
      <c r="B12" s="100"/>
      <c r="C12" s="64"/>
      <c r="D12" s="65"/>
      <c r="E12" s="65"/>
      <c r="F12" s="65"/>
      <c r="G12" s="65"/>
      <c r="H12" s="65"/>
      <c r="I12" s="65"/>
      <c r="J12" s="65"/>
      <c r="K12" s="65"/>
    </row>
    <row r="13" spans="1:12" s="66" customFormat="1" ht="27.6">
      <c r="A13" s="67" t="s">
        <v>18</v>
      </c>
      <c r="B13" s="68" t="s">
        <v>19</v>
      </c>
      <c r="C13" s="69" t="s">
        <v>20</v>
      </c>
      <c r="D13" s="65"/>
      <c r="E13" s="65"/>
      <c r="F13" s="65"/>
      <c r="G13" s="65"/>
      <c r="H13" s="65"/>
      <c r="I13" s="65"/>
      <c r="J13" s="65"/>
      <c r="K13" s="65"/>
    </row>
    <row r="14" spans="1:12">
      <c r="A14" s="70" t="s">
        <v>103</v>
      </c>
      <c r="B14" s="54" t="s">
        <v>77</v>
      </c>
      <c r="C14" s="71" t="e">
        <f ca="1">_xlfn.IFS(B14=1,"YES",B14=0,"NO")</f>
        <v>#NAME?</v>
      </c>
    </row>
    <row r="15" spans="1:12">
      <c r="A15" s="70" t="s">
        <v>102</v>
      </c>
      <c r="B15" s="72" t="s">
        <v>78</v>
      </c>
      <c r="C15" s="71" t="e">
        <f ca="1">_xlfn.IFS(B15=1,"YES",B15=0,"NO")</f>
        <v>#NAME?</v>
      </c>
      <c r="I15" s="57"/>
      <c r="J15" s="57"/>
      <c r="K15" s="57"/>
    </row>
    <row r="16" spans="1:12">
      <c r="A16" s="70" t="s">
        <v>96</v>
      </c>
      <c r="B16" s="55" t="s">
        <v>79</v>
      </c>
      <c r="C16" s="71" t="e">
        <f ca="1">_xlfn.IFS(B16&gt;=15,"YES",B16&lt;15,"NO")</f>
        <v>#NAME?</v>
      </c>
      <c r="I16" s="57"/>
      <c r="J16" s="57"/>
      <c r="K16" s="57"/>
    </row>
    <row r="17" spans="1:11">
      <c r="A17" s="70" t="s">
        <v>97</v>
      </c>
      <c r="B17" s="55" t="s">
        <v>80</v>
      </c>
      <c r="C17" s="71" t="e">
        <f ca="1">_xlfn.IFS(B17&gt;=5,"YES",B17&lt;5,"NO")</f>
        <v>#NAME?</v>
      </c>
      <c r="I17" s="57"/>
      <c r="J17" s="57"/>
      <c r="K17" s="57"/>
    </row>
    <row r="18" spans="1:11">
      <c r="A18" s="70" t="s">
        <v>98</v>
      </c>
      <c r="B18" s="55" t="s">
        <v>74</v>
      </c>
      <c r="C18" s="71" t="e">
        <f ca="1">_xlfn.IFS(B18&gt;=5,"YES",B18&lt;5,"NO")</f>
        <v>#NAME?</v>
      </c>
      <c r="I18" s="57"/>
      <c r="J18" s="57"/>
      <c r="K18" s="57"/>
    </row>
    <row r="19" spans="1:11">
      <c r="A19" s="70" t="s">
        <v>99</v>
      </c>
      <c r="B19" s="55" t="s">
        <v>75</v>
      </c>
      <c r="C19" s="71" t="e">
        <f ca="1">_xlfn.IFS(B19&gt;=15,"YES",B19&lt;15,"NO")</f>
        <v>#NAME?</v>
      </c>
      <c r="I19" s="57"/>
      <c r="J19" s="57"/>
      <c r="K19" s="57"/>
    </row>
    <row r="20" spans="1:11">
      <c r="A20" s="70" t="s">
        <v>100</v>
      </c>
      <c r="B20" s="55" t="s">
        <v>81</v>
      </c>
      <c r="C20" s="71" t="e">
        <f ca="1">_xlfn.IFS(B20&gt;=10,"YES",B20&lt;10,"NO")</f>
        <v>#NAME?</v>
      </c>
      <c r="I20" s="57"/>
      <c r="J20" s="57"/>
      <c r="K20" s="57"/>
    </row>
    <row r="21" spans="1:11">
      <c r="A21" s="70" t="s">
        <v>101</v>
      </c>
      <c r="B21" s="55" t="s">
        <v>82</v>
      </c>
      <c r="C21" s="71" t="e">
        <f ca="1">_xlfn.IFS(B21&lt;=1,"YES",B21&gt;1,"NO")</f>
        <v>#NAME?</v>
      </c>
      <c r="I21" s="57"/>
      <c r="J21" s="57"/>
      <c r="K21" s="57"/>
    </row>
    <row r="22" spans="1:11">
      <c r="A22" s="70" t="s">
        <v>95</v>
      </c>
      <c r="B22" s="55" t="s">
        <v>76</v>
      </c>
      <c r="C22" s="71" t="e">
        <f ca="1">_xlfn.IFS(B22&lt;=15,"YES",B22&gt;15,"NO")</f>
        <v>#NAME?</v>
      </c>
      <c r="I22" s="57"/>
      <c r="J22" s="57"/>
      <c r="K22" s="57"/>
    </row>
    <row r="23" spans="1:11">
      <c r="A23" s="70" t="s">
        <v>94</v>
      </c>
      <c r="B23" s="55" t="s">
        <v>83</v>
      </c>
      <c r="C23" s="71" t="e">
        <f ca="1">_xlfn.IFS(B23&lt;=2,"YES",B23&gt;2,"NO")</f>
        <v>#NAME?</v>
      </c>
      <c r="D23" s="73"/>
      <c r="E23" s="73"/>
      <c r="I23" s="57"/>
      <c r="J23" s="57"/>
      <c r="K23" s="57"/>
    </row>
    <row r="24" spans="1:11">
      <c r="A24" s="70" t="s">
        <v>84</v>
      </c>
      <c r="B24" s="72" t="s">
        <v>88</v>
      </c>
      <c r="C24" s="71" t="e">
        <f t="shared" ref="C24:C26" ca="1" si="0">_xlfn.IFS(B24=1,"YES",B24=0,"NO")</f>
        <v>#NAME?</v>
      </c>
      <c r="I24" s="57"/>
      <c r="J24" s="57"/>
      <c r="K24" s="57"/>
    </row>
    <row r="25" spans="1:11">
      <c r="A25" s="70" t="s">
        <v>105</v>
      </c>
      <c r="B25" s="72" t="s">
        <v>87</v>
      </c>
      <c r="C25" s="71" t="e">
        <f t="shared" ca="1" si="0"/>
        <v>#NAME?</v>
      </c>
      <c r="I25" s="57"/>
      <c r="J25" s="57"/>
      <c r="K25" s="57"/>
    </row>
    <row r="26" spans="1:11">
      <c r="A26" s="70" t="s">
        <v>92</v>
      </c>
      <c r="B26" s="72" t="s">
        <v>85</v>
      </c>
      <c r="C26" s="71" t="e">
        <f t="shared" ca="1" si="0"/>
        <v>#NAME?</v>
      </c>
      <c r="I26" s="57"/>
      <c r="J26" s="57"/>
      <c r="K26" s="57"/>
    </row>
    <row r="27" spans="1:11">
      <c r="A27" s="74" t="s">
        <v>93</v>
      </c>
      <c r="B27" s="75" t="s">
        <v>86</v>
      </c>
      <c r="C27" s="76" t="e">
        <f ca="1">_xlfn.IFS(B27&lt;=5,"YES",B27&gt;5,"NO")</f>
        <v>#NAME?</v>
      </c>
      <c r="I27" s="57"/>
      <c r="J27" s="57"/>
      <c r="K27" s="57"/>
    </row>
    <row r="28" spans="1:11">
      <c r="A28" s="58"/>
      <c r="B28" s="58"/>
      <c r="I28" s="57"/>
      <c r="J28" s="57"/>
      <c r="K28" s="57"/>
    </row>
    <row r="29" spans="1:11">
      <c r="A29" s="58"/>
      <c r="B29" s="58"/>
      <c r="I29" s="57"/>
      <c r="J29" s="57"/>
      <c r="K29" s="57"/>
    </row>
    <row r="30" spans="1:11">
      <c r="A30" s="58"/>
      <c r="B30" s="58"/>
      <c r="I30" s="57"/>
      <c r="J30" s="57"/>
      <c r="K30" s="57"/>
    </row>
    <row r="182" spans="1:3" s="77" customFormat="1"/>
    <row r="183" spans="1:3" s="78" customFormat="1"/>
    <row r="184" spans="1:3" s="78" customFormat="1">
      <c r="A184" s="78" t="s">
        <v>21</v>
      </c>
      <c r="B184" s="101" t="str">
        <f>B4</f>
        <v>#TLCT</v>
      </c>
    </row>
    <row r="185" spans="1:3" s="78" customFormat="1">
      <c r="A185" s="78" t="s">
        <v>22</v>
      </c>
      <c r="B185" s="78" t="e">
        <f>B184*10*B6</f>
        <v>#VALUE!</v>
      </c>
      <c r="C185" s="79"/>
    </row>
    <row r="186" spans="1:3" s="78" customFormat="1">
      <c r="A186" s="78" t="s">
        <v>23</v>
      </c>
      <c r="B186" s="78" t="e">
        <f>#REF!-B185</f>
        <v>#REF!</v>
      </c>
    </row>
    <row r="187" spans="1:3" s="78" customFormat="1">
      <c r="A187" s="80" t="s">
        <v>24</v>
      </c>
      <c r="B187" s="80" t="e">
        <f>B186+B3</f>
        <v>#REF!</v>
      </c>
    </row>
    <row r="188" spans="1:3" s="78" customFormat="1">
      <c r="A188" s="78" t="s">
        <v>25</v>
      </c>
      <c r="B188" s="102" t="e">
        <f>#REF!/B3</f>
        <v>#REF!</v>
      </c>
    </row>
    <row r="189" spans="1:3" s="78" customFormat="1">
      <c r="A189" s="78" t="s">
        <v>26</v>
      </c>
      <c r="B189" s="81" t="e">
        <f>B188*B186</f>
        <v>#REF!</v>
      </c>
    </row>
    <row r="190" spans="1:3" s="78" customFormat="1">
      <c r="A190" s="80" t="s">
        <v>27</v>
      </c>
      <c r="B190" s="103" t="e">
        <f>B189+#REF!</f>
        <v>#REF!</v>
      </c>
    </row>
    <row r="191" spans="1:3" s="78" customFormat="1"/>
    <row r="192" spans="1:3" s="78" customFormat="1"/>
    <row r="193" spans="1:12" s="78" customFormat="1">
      <c r="A193" s="78" t="s">
        <v>28</v>
      </c>
      <c r="B193" s="78">
        <v>2017</v>
      </c>
      <c r="C193" s="78">
        <v>2018</v>
      </c>
      <c r="D193" s="78">
        <v>2019</v>
      </c>
      <c r="E193" s="78">
        <v>2020</v>
      </c>
      <c r="F193" s="78">
        <v>2021</v>
      </c>
      <c r="G193" s="78">
        <v>2022</v>
      </c>
      <c r="H193" s="78">
        <v>2023</v>
      </c>
      <c r="I193" s="78">
        <v>2024</v>
      </c>
      <c r="J193" s="78">
        <v>2025</v>
      </c>
      <c r="K193" s="78">
        <v>2026</v>
      </c>
    </row>
    <row r="194" spans="1:12" s="78" customFormat="1">
      <c r="A194" s="80" t="s">
        <v>29</v>
      </c>
      <c r="B194" s="80">
        <v>1</v>
      </c>
      <c r="C194" s="80">
        <v>2</v>
      </c>
      <c r="D194" s="80">
        <v>3</v>
      </c>
      <c r="E194" s="80">
        <v>4</v>
      </c>
      <c r="F194" s="80">
        <v>5</v>
      </c>
      <c r="G194" s="80">
        <v>6</v>
      </c>
      <c r="H194" s="80">
        <v>7</v>
      </c>
      <c r="I194" s="80">
        <v>8</v>
      </c>
      <c r="J194" s="80">
        <v>9</v>
      </c>
      <c r="K194" s="80">
        <v>10</v>
      </c>
    </row>
    <row r="195" spans="1:12" s="78" customFormat="1">
      <c r="A195" s="80" t="s">
        <v>30</v>
      </c>
      <c r="B195" s="81" t="e">
        <f>B190</f>
        <v>#REF!</v>
      </c>
      <c r="C195" s="78" t="e">
        <f>B195</f>
        <v>#REF!</v>
      </c>
      <c r="D195" s="78" t="e">
        <f>C195</f>
        <v>#REF!</v>
      </c>
      <c r="E195" s="78" t="e">
        <f t="shared" ref="E195:K195" si="1">D195</f>
        <v>#REF!</v>
      </c>
      <c r="F195" s="78" t="e">
        <f t="shared" si="1"/>
        <v>#REF!</v>
      </c>
      <c r="G195" s="78" t="e">
        <f t="shared" si="1"/>
        <v>#REF!</v>
      </c>
      <c r="H195" s="78" t="e">
        <f t="shared" si="1"/>
        <v>#REF!</v>
      </c>
      <c r="I195" s="78" t="e">
        <f t="shared" si="1"/>
        <v>#REF!</v>
      </c>
      <c r="J195" s="78" t="e">
        <f t="shared" si="1"/>
        <v>#REF!</v>
      </c>
      <c r="K195" s="78" t="e">
        <f t="shared" si="1"/>
        <v>#REF!</v>
      </c>
    </row>
    <row r="196" spans="1:12" s="78" customFormat="1">
      <c r="A196" s="80" t="s">
        <v>31</v>
      </c>
      <c r="B196" s="104">
        <v>7.0000000000000007E-2</v>
      </c>
    </row>
    <row r="197" spans="1:12" s="78" customFormat="1">
      <c r="A197" s="80" t="s">
        <v>32</v>
      </c>
      <c r="B197" s="81" t="e">
        <f>B195/(1+#REF!)^B194</f>
        <v>#REF!</v>
      </c>
      <c r="C197" s="81" t="e">
        <f>C195/(1+#REF!)^C194</f>
        <v>#REF!</v>
      </c>
      <c r="D197" s="81" t="e">
        <f>D195/(1+#REF!)^D194</f>
        <v>#REF!</v>
      </c>
      <c r="E197" s="81" t="e">
        <f>E195/(1+#REF!)^E194</f>
        <v>#REF!</v>
      </c>
      <c r="F197" s="81" t="e">
        <f>F195/(1+#REF!)^F194</f>
        <v>#REF!</v>
      </c>
      <c r="G197" s="81" t="e">
        <f>G195/(1+#REF!)^G194</f>
        <v>#REF!</v>
      </c>
      <c r="H197" s="81" t="e">
        <f>H195/(1+#REF!)^H194</f>
        <v>#REF!</v>
      </c>
      <c r="I197" s="81" t="e">
        <f>I195/(1+#REF!)^I194</f>
        <v>#REF!</v>
      </c>
      <c r="J197" s="81" t="e">
        <f>J195/(1+#REF!)^J194</f>
        <v>#REF!</v>
      </c>
      <c r="K197" s="81" t="e">
        <f>K195/(1+#REF!)^K194</f>
        <v>#REF!</v>
      </c>
      <c r="L197" s="81"/>
    </row>
    <row r="198" spans="1:12" s="78" customFormat="1">
      <c r="A198" s="80" t="s">
        <v>33</v>
      </c>
      <c r="B198" s="80" t="e">
        <f>B187</f>
        <v>#REF!</v>
      </c>
    </row>
    <row r="199" spans="1:12" s="78" customFormat="1">
      <c r="A199" s="80" t="s">
        <v>34</v>
      </c>
      <c r="B199" s="78" t="str">
        <f>B6</f>
        <v>#TSLCP</v>
      </c>
    </row>
    <row r="200" spans="1:12" s="78" customFormat="1">
      <c r="A200" s="80" t="s">
        <v>35</v>
      </c>
      <c r="B200" s="79" t="e">
        <f>((B197+C197+D197+E197+F197+G197+H197+I197+J197+K197)+B198)*(1-0.1*3.14)</f>
        <v>#REF!</v>
      </c>
    </row>
    <row r="201" spans="1:12" s="78" customFormat="1">
      <c r="A201" s="80" t="s">
        <v>36</v>
      </c>
      <c r="B201" s="105" t="e">
        <f>(B200*1000000000)/(B199*1000000)</f>
        <v>#REF!</v>
      </c>
    </row>
    <row r="202" spans="1:12" s="82" customFormat="1"/>
    <row r="203" spans="1:12" s="82" customFormat="1"/>
    <row r="204" spans="1:12" s="82" customFormat="1"/>
    <row r="205" spans="1:12" s="82" customFormat="1"/>
    <row r="206" spans="1:12" s="82" customFormat="1"/>
    <row r="207" spans="1:12" s="82" customFormat="1"/>
    <row r="208" spans="1:12">
      <c r="C208" s="57"/>
      <c r="D208" s="57"/>
      <c r="E208" s="57"/>
      <c r="F208" s="57"/>
      <c r="G208" s="57"/>
      <c r="H208" s="57"/>
      <c r="I208" s="57"/>
      <c r="J208" s="57"/>
      <c r="K208" s="57"/>
    </row>
    <row r="209" spans="3:11">
      <c r="C209" s="57"/>
      <c r="D209" s="57"/>
      <c r="E209" s="57"/>
      <c r="F209" s="57"/>
      <c r="G209" s="57"/>
      <c r="H209" s="57"/>
      <c r="I209" s="57"/>
      <c r="J209" s="57"/>
      <c r="K209" s="57"/>
    </row>
  </sheetData>
  <mergeCells count="1">
    <mergeCell ref="D1:E1"/>
  </mergeCells>
  <conditionalFormatting sqref="B8:B12">
    <cfRule type="cellIs" dxfId="7" priority="17" operator="lessThan">
      <formula>0</formula>
    </cfRule>
  </conditionalFormatting>
  <conditionalFormatting sqref="B11:B12">
    <cfRule type="cellIs" dxfId="6" priority="18" operator="lessThan">
      <formula>0</formula>
    </cfRule>
  </conditionalFormatting>
  <conditionalFormatting sqref="C14:C27">
    <cfRule type="containsText" dxfId="5" priority="7" operator="containsText" text="YES">
      <formula>NOT(ISERROR(SEARCH("YES",C14)))</formula>
    </cfRule>
    <cfRule type="containsText" dxfId="4" priority="8" operator="containsText" text="NO">
      <formula>NOT(ISERROR(SEARCH("NO",C14)))</formula>
    </cfRule>
    <cfRule type="containsText" dxfId="3" priority="9" operator="containsText" text="NO">
      <formula>NOT(ISERROR(SEARCH("NO",C14)))</formula>
    </cfRule>
    <cfRule type="containsText" dxfId="2" priority="10" operator="containsText" text="NO">
      <formula>NOT(ISERROR(SEARCH("NO",C14)))</formula>
    </cfRule>
    <cfRule type="containsText" dxfId="1" priority="11" operator="containsText" text="NO">
      <formula>NOT(ISERROR(SEARCH("NO",C14)))</formula>
    </cfRule>
    <cfRule type="containsText" dxfId="0" priority="12" operator="containsText" text="NO">
      <formula>NOT(ISERROR(SEARCH("NO",C14)))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24" style="9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10" customFormat="1">
      <c r="B5" s="41" t="s">
        <v>37</v>
      </c>
      <c r="C5" s="53" t="s">
        <v>38</v>
      </c>
      <c r="D5" s="53" t="s">
        <v>39</v>
      </c>
      <c r="E5" s="53" t="s">
        <v>40</v>
      </c>
      <c r="F5" s="53" t="s">
        <v>41</v>
      </c>
      <c r="G5" s="53" t="s">
        <v>42</v>
      </c>
      <c r="H5" s="53" t="s">
        <v>43</v>
      </c>
      <c r="I5" s="35"/>
    </row>
    <row r="6" spans="2:9">
      <c r="B6" s="9" t="s">
        <v>44</v>
      </c>
      <c r="C6" s="36">
        <v>0.17499999999999999</v>
      </c>
      <c r="D6" s="36">
        <v>0.19</v>
      </c>
      <c r="E6" s="36">
        <v>0.05</v>
      </c>
      <c r="F6" s="36">
        <v>0.19</v>
      </c>
      <c r="G6" s="36">
        <v>0.3</v>
      </c>
      <c r="H6" s="36">
        <v>0.45</v>
      </c>
      <c r="I6" s="38">
        <f>AVERAGE(C6:H6)</f>
        <v>0.22583333333333333</v>
      </c>
    </row>
    <row r="7" spans="2:9">
      <c r="B7" s="49" t="s">
        <v>45</v>
      </c>
      <c r="C7" s="51">
        <v>0.05</v>
      </c>
      <c r="D7" s="51">
        <v>0.05</v>
      </c>
      <c r="E7" s="51">
        <v>0.1</v>
      </c>
      <c r="F7" s="51">
        <v>0.11</v>
      </c>
      <c r="G7" s="51">
        <v>0.05</v>
      </c>
      <c r="H7" s="51">
        <v>0.06</v>
      </c>
      <c r="I7" s="38">
        <f>AVERAGE(C7:H7)</f>
        <v>6.9999999999999993E-2</v>
      </c>
    </row>
    <row r="8" spans="2:9">
      <c r="B8" s="9" t="s">
        <v>46</v>
      </c>
      <c r="C8" s="36">
        <v>7.0000000000000007E-2</v>
      </c>
      <c r="D8" s="36">
        <v>0.05</v>
      </c>
      <c r="E8" s="36">
        <v>0.1</v>
      </c>
      <c r="F8" s="36">
        <v>0.15</v>
      </c>
      <c r="G8" s="36">
        <v>0.12</v>
      </c>
      <c r="H8" s="36">
        <v>0.09</v>
      </c>
      <c r="I8" s="38">
        <f>AVERAGE(C8:H8)</f>
        <v>9.6666666666666665E-2</v>
      </c>
    </row>
    <row r="9" spans="2:9">
      <c r="B9" s="41" t="s">
        <v>47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8">
        <f>AVERAGE(C9:H9)</f>
        <v>0</v>
      </c>
    </row>
    <row r="10" spans="2:9" ht="28.8">
      <c r="C10" s="50">
        <f>SUM(C6:C9)</f>
        <v>0.29499999999999998</v>
      </c>
      <c r="D10" s="50">
        <f t="shared" ref="D10:I10" si="0">SUM(D6:D9)</f>
        <v>0.28999999999999998</v>
      </c>
      <c r="E10" s="50">
        <f t="shared" si="0"/>
        <v>0.25</v>
      </c>
      <c r="F10" s="50">
        <f t="shared" si="0"/>
        <v>0.44999999999999996</v>
      </c>
      <c r="G10" s="50">
        <f t="shared" si="0"/>
        <v>0.47</v>
      </c>
      <c r="H10" s="50">
        <f t="shared" si="0"/>
        <v>0.6</v>
      </c>
      <c r="I10" s="52">
        <f t="shared" si="0"/>
        <v>0.39250000000000002</v>
      </c>
    </row>
    <row r="11" spans="2:9">
      <c r="C11" s="36"/>
      <c r="D11" s="36"/>
      <c r="E11" s="36"/>
      <c r="F11" s="36"/>
      <c r="G11" s="36"/>
      <c r="H11" s="36"/>
    </row>
    <row r="12" spans="2:9">
      <c r="C12" s="37" t="s">
        <v>48</v>
      </c>
      <c r="D12" s="36"/>
      <c r="E12" s="36"/>
      <c r="F12" s="36"/>
      <c r="G12" s="36"/>
      <c r="H12" s="36"/>
    </row>
    <row r="13" spans="2:9">
      <c r="C13" s="37" t="s">
        <v>49</v>
      </c>
      <c r="D13" s="36"/>
      <c r="E13" s="36"/>
      <c r="F13" s="36"/>
      <c r="G13" s="36"/>
      <c r="H13" s="36"/>
    </row>
    <row r="14" spans="2:9">
      <c r="C14" s="36"/>
      <c r="D14" s="36"/>
      <c r="E14" s="36"/>
      <c r="F14" s="36"/>
      <c r="G14" s="36"/>
      <c r="H14" s="36"/>
    </row>
    <row r="15" spans="2:9">
      <c r="C15" s="36"/>
      <c r="D15" s="36"/>
      <c r="E15" s="36"/>
      <c r="F15" s="36"/>
      <c r="G15" s="36"/>
      <c r="H15" s="36"/>
    </row>
    <row r="16" spans="2:9">
      <c r="C16" s="36"/>
      <c r="D16" s="36"/>
      <c r="E16" s="36"/>
      <c r="F16" s="36"/>
      <c r="G16" s="36"/>
      <c r="H16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showRowColHeaders="0" topLeftCell="A2" zoomScale="80" zoomScaleNormal="80" workbookViewId="0">
      <selection activeCell="D6" sqref="D6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50</v>
      </c>
      <c r="C2" s="33">
        <v>100000000</v>
      </c>
      <c r="E2" s="34">
        <f>C2*(1+C3)^C4</f>
        <v>102000000</v>
      </c>
    </row>
    <row r="3" spans="2:5">
      <c r="B3" t="s">
        <v>51</v>
      </c>
      <c r="C3" s="32">
        <v>0.02</v>
      </c>
    </row>
    <row r="4" spans="2:5">
      <c r="B4" t="s">
        <v>52</v>
      </c>
      <c r="C4" s="30">
        <v>1</v>
      </c>
    </row>
    <row r="5" spans="2:5">
      <c r="B5" t="s">
        <v>53</v>
      </c>
      <c r="C5" s="32">
        <f>(1+C3)^12-1</f>
        <v>0.26824179456254527</v>
      </c>
    </row>
    <row r="38" spans="4:4">
      <c r="D38" t="s">
        <v>54</v>
      </c>
    </row>
    <row r="39" spans="4:4">
      <c r="D39" t="s">
        <v>55</v>
      </c>
    </row>
    <row r="40" spans="4:4">
      <c r="D40" t="s">
        <v>56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50</v>
      </c>
      <c r="C2" s="30">
        <v>1000000</v>
      </c>
      <c r="E2" s="40">
        <f>FV(C3,C4,C2)*(-1)</f>
        <v>1000000.0000000009</v>
      </c>
    </row>
    <row r="3" spans="2:5">
      <c r="B3" t="s">
        <v>51</v>
      </c>
      <c r="C3" s="31">
        <v>0.02</v>
      </c>
    </row>
    <row r="4" spans="2:5">
      <c r="B4" t="s">
        <v>52</v>
      </c>
      <c r="C4">
        <v>1</v>
      </c>
    </row>
    <row r="5" spans="2:5">
      <c r="B5" t="s">
        <v>53</v>
      </c>
      <c r="C5" s="32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6"/>
  <sheetViews>
    <sheetView topLeftCell="A145" workbookViewId="0">
      <selection activeCell="D5" sqref="D5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 ht="36.6">
      <c r="B2" s="8"/>
      <c r="C2">
        <v>2017</v>
      </c>
      <c r="D2" s="7">
        <v>2018</v>
      </c>
      <c r="E2">
        <v>2019</v>
      </c>
      <c r="F2" s="7">
        <v>2020</v>
      </c>
      <c r="G2">
        <v>2021</v>
      </c>
      <c r="H2" s="7">
        <v>2022</v>
      </c>
      <c r="I2">
        <v>2023</v>
      </c>
      <c r="J2" s="7">
        <v>2024</v>
      </c>
      <c r="K2">
        <v>2025</v>
      </c>
      <c r="L2" s="7">
        <v>2026</v>
      </c>
      <c r="M2" s="7"/>
    </row>
    <row r="3" spans="2:13">
      <c r="B3" s="9" t="s">
        <v>29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7"/>
    </row>
    <row r="4" spans="2:13">
      <c r="B4" s="41" t="s">
        <v>57</v>
      </c>
      <c r="C4" s="42" t="e">
        <f>'ĐỊNH GIÁ'!B2</f>
        <v>#VALUE!</v>
      </c>
      <c r="D4" s="10"/>
      <c r="E4" s="10"/>
      <c r="F4" s="10"/>
      <c r="G4" s="10"/>
      <c r="H4" s="10"/>
      <c r="I4" s="10"/>
      <c r="J4" s="10"/>
      <c r="K4" s="10"/>
      <c r="L4" s="10"/>
      <c r="M4" s="7"/>
    </row>
    <row r="5" spans="2:13">
      <c r="B5" s="9" t="s">
        <v>58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0">E5</f>
        <v>#VALUE!</v>
      </c>
      <c r="G5" s="7" t="e">
        <f t="shared" si="0"/>
        <v>#VALUE!</v>
      </c>
      <c r="H5" s="7" t="e">
        <f t="shared" si="0"/>
        <v>#VALUE!</v>
      </c>
      <c r="I5" s="7" t="e">
        <f t="shared" si="0"/>
        <v>#VALUE!</v>
      </c>
      <c r="J5" s="7" t="e">
        <f t="shared" si="0"/>
        <v>#VALUE!</v>
      </c>
      <c r="K5" s="7" t="e">
        <f t="shared" si="0"/>
        <v>#VALUE!</v>
      </c>
      <c r="L5" s="7" t="e">
        <f t="shared" si="0"/>
        <v>#VALUE!</v>
      </c>
    </row>
    <row r="6" spans="2:13">
      <c r="B6" s="9" t="s">
        <v>31</v>
      </c>
      <c r="C6" s="11">
        <v>7.0000000000000007E-2</v>
      </c>
    </row>
    <row r="7" spans="2:13" s="1" customFormat="1">
      <c r="B7" s="12" t="s">
        <v>32</v>
      </c>
      <c r="C7" s="13" t="e">
        <f>C5/(1+$C$6)^C3</f>
        <v>#VALUE!</v>
      </c>
      <c r="D7" s="13" t="e">
        <f>D5/(1+$C$6)^D3</f>
        <v>#VALUE!</v>
      </c>
      <c r="E7" s="13" t="e">
        <f t="shared" ref="E7:L7" si="1">E5/(1+$C$6)^E3</f>
        <v>#VALUE!</v>
      </c>
      <c r="F7" s="13" t="e">
        <f t="shared" si="1"/>
        <v>#VALUE!</v>
      </c>
      <c r="G7" s="13" t="e">
        <f t="shared" si="1"/>
        <v>#VALUE!</v>
      </c>
      <c r="H7" s="13" t="e">
        <f t="shared" si="1"/>
        <v>#VALUE!</v>
      </c>
      <c r="I7" s="13" t="e">
        <f t="shared" si="1"/>
        <v>#VALUE!</v>
      </c>
      <c r="J7" s="13" t="e">
        <f t="shared" si="1"/>
        <v>#VALUE!</v>
      </c>
      <c r="K7" s="13" t="e">
        <f t="shared" si="1"/>
        <v>#VALUE!</v>
      </c>
      <c r="L7" s="13" t="e">
        <f t="shared" si="1"/>
        <v>#VALUE!</v>
      </c>
      <c r="M7" s="13"/>
    </row>
    <row r="8" spans="2:13">
      <c r="B8" s="41" t="s">
        <v>33</v>
      </c>
      <c r="C8" s="41" t="str">
        <f>'ĐỊNH GIÁ'!B3</f>
        <v>#VCSH</v>
      </c>
    </row>
    <row r="9" spans="2:13">
      <c r="B9" s="41" t="s">
        <v>34</v>
      </c>
      <c r="C9" s="42" t="str">
        <f>'ĐỊNH GIÁ'!B6</f>
        <v>#TSLCP</v>
      </c>
    </row>
    <row r="10" spans="2:13">
      <c r="B10" s="41" t="s">
        <v>21</v>
      </c>
      <c r="C10" s="44" t="str">
        <f>'ĐỊNH GIÁ'!B4</f>
        <v>#TLCT</v>
      </c>
    </row>
    <row r="11" spans="2:13" ht="49.8">
      <c r="B11" s="41" t="s">
        <v>59</v>
      </c>
      <c r="C11" s="43" t="str">
        <f>'ĐỊNH GIÁ'!B5</f>
        <v>#TGCP</v>
      </c>
    </row>
    <row r="12" spans="2:13">
      <c r="B12" s="10" t="s">
        <v>35</v>
      </c>
      <c r="C12" s="14" t="e">
        <f>((C7+D7+E7+F7+G7+H7+I7+J7+K7+L7)+C8)*(1-0.1*3.14)</f>
        <v>#VALUE!</v>
      </c>
    </row>
    <row r="13" spans="2:13" ht="49.8">
      <c r="B13" s="10" t="s">
        <v>60</v>
      </c>
      <c r="C13" s="45" t="e">
        <f>(C12*1000000000)/(C9*1000000)</f>
        <v>#VALUE!</v>
      </c>
    </row>
    <row r="14" spans="2:13">
      <c r="B14" s="15" t="s">
        <v>61</v>
      </c>
      <c r="C14" s="16" t="e">
        <f>C208</f>
        <v>#VALUE!</v>
      </c>
    </row>
    <row r="15" spans="2:13" s="2" customFormat="1"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</row>
    <row r="16" spans="2:13" ht="49.8">
      <c r="B16" s="20" t="s">
        <v>62</v>
      </c>
      <c r="C16" s="48" t="e">
        <f>C13/C11-1</f>
        <v>#VALUE!</v>
      </c>
      <c r="H16" s="7" t="s">
        <v>15</v>
      </c>
    </row>
    <row r="17" spans="2:3" ht="49.8">
      <c r="B17" s="20" t="s">
        <v>63</v>
      </c>
      <c r="C17" s="48" t="e">
        <f>0.95*C10*10000/C11</f>
        <v>#VALUE!</v>
      </c>
    </row>
    <row r="18" spans="2:3" ht="49.8">
      <c r="B18" s="20" t="s">
        <v>46</v>
      </c>
      <c r="C18" s="48" t="e">
        <f>C14/C13-1</f>
        <v>#VALUE!</v>
      </c>
    </row>
    <row r="19" spans="2:3" ht="49.8">
      <c r="B19" s="46" t="s">
        <v>17</v>
      </c>
      <c r="C19" s="47" t="e">
        <f>C16+C17+C18</f>
        <v>#VALUE!</v>
      </c>
    </row>
    <row r="189" spans="2:4" s="3" customFormat="1"/>
    <row r="190" spans="2:4" s="4" customFormat="1"/>
    <row r="191" spans="2:4" s="4" customFormat="1">
      <c r="B191" s="4" t="s">
        <v>21</v>
      </c>
      <c r="C191" s="21" t="str">
        <f>C10</f>
        <v>#TLCT</v>
      </c>
    </row>
    <row r="192" spans="2:4" s="4" customFormat="1">
      <c r="B192" s="4" t="s">
        <v>22</v>
      </c>
      <c r="C192" s="4" t="e">
        <f>C191*10*C9</f>
        <v>#VALUE!</v>
      </c>
      <c r="D192" s="22"/>
    </row>
    <row r="193" spans="2:13" s="4" customFormat="1">
      <c r="B193" s="4" t="s">
        <v>23</v>
      </c>
      <c r="C193" s="4" t="e">
        <f>C5-C192</f>
        <v>#VALUE!</v>
      </c>
    </row>
    <row r="194" spans="2:13" s="4" customFormat="1">
      <c r="B194" s="23" t="s">
        <v>24</v>
      </c>
      <c r="C194" s="23" t="e">
        <f>C193+C8</f>
        <v>#VALUE!</v>
      </c>
    </row>
    <row r="195" spans="2:13" s="4" customFormat="1">
      <c r="B195" s="4" t="s">
        <v>25</v>
      </c>
      <c r="C195" s="24" t="e">
        <f>C5/C8</f>
        <v>#VALUE!</v>
      </c>
    </row>
    <row r="196" spans="2:13" s="4" customFormat="1">
      <c r="B196" s="4" t="s">
        <v>26</v>
      </c>
      <c r="C196" s="25" t="e">
        <f>C195*C193</f>
        <v>#VALUE!</v>
      </c>
    </row>
    <row r="197" spans="2:13" s="4" customFormat="1">
      <c r="B197" s="23" t="s">
        <v>27</v>
      </c>
      <c r="C197" s="26" t="e">
        <f>C196+C5</f>
        <v>#VALUE!</v>
      </c>
    </row>
    <row r="198" spans="2:13" s="4" customFormat="1"/>
    <row r="199" spans="2:13" s="4" customFormat="1"/>
    <row r="200" spans="2:13" s="4" customFormat="1">
      <c r="B200" s="4" t="s">
        <v>28</v>
      </c>
      <c r="C200" s="4">
        <v>2017</v>
      </c>
      <c r="D200" s="4">
        <v>2018</v>
      </c>
      <c r="E200" s="4">
        <v>2019</v>
      </c>
      <c r="F200" s="4">
        <v>2020</v>
      </c>
      <c r="G200" s="4">
        <v>2021</v>
      </c>
      <c r="H200" s="4">
        <v>2022</v>
      </c>
      <c r="I200" s="4">
        <v>2023</v>
      </c>
      <c r="J200" s="4">
        <v>2024</v>
      </c>
      <c r="K200" s="4">
        <v>2025</v>
      </c>
      <c r="L200" s="4">
        <v>2026</v>
      </c>
    </row>
    <row r="201" spans="2:13" s="4" customFormat="1">
      <c r="B201" s="23" t="s">
        <v>29</v>
      </c>
      <c r="C201" s="23">
        <v>1</v>
      </c>
      <c r="D201" s="23">
        <v>2</v>
      </c>
      <c r="E201" s="23">
        <v>3</v>
      </c>
      <c r="F201" s="23">
        <v>4</v>
      </c>
      <c r="G201" s="23">
        <v>5</v>
      </c>
      <c r="H201" s="23">
        <v>6</v>
      </c>
      <c r="I201" s="23">
        <v>7</v>
      </c>
      <c r="J201" s="23">
        <v>8</v>
      </c>
      <c r="K201" s="23">
        <v>9</v>
      </c>
      <c r="L201" s="23">
        <v>10</v>
      </c>
    </row>
    <row r="202" spans="2:13" s="4" customFormat="1">
      <c r="B202" s="23" t="s">
        <v>30</v>
      </c>
      <c r="C202" s="25" t="e">
        <f>C197</f>
        <v>#VALUE!</v>
      </c>
      <c r="D202" s="4" t="e">
        <f>C202</f>
        <v>#VALUE!</v>
      </c>
      <c r="E202" s="4" t="e">
        <f>D202</f>
        <v>#VALUE!</v>
      </c>
      <c r="F202" s="4" t="e">
        <f t="shared" ref="F202:L202" si="2">E202</f>
        <v>#VALUE!</v>
      </c>
      <c r="G202" s="4" t="e">
        <f t="shared" si="2"/>
        <v>#VALUE!</v>
      </c>
      <c r="H202" s="4" t="e">
        <f t="shared" si="2"/>
        <v>#VALUE!</v>
      </c>
      <c r="I202" s="4" t="e">
        <f t="shared" si="2"/>
        <v>#VALUE!</v>
      </c>
      <c r="J202" s="4" t="e">
        <f t="shared" si="2"/>
        <v>#VALUE!</v>
      </c>
      <c r="K202" s="4" t="e">
        <f t="shared" si="2"/>
        <v>#VALUE!</v>
      </c>
      <c r="L202" s="4" t="e">
        <f t="shared" si="2"/>
        <v>#VALUE!</v>
      </c>
    </row>
    <row r="203" spans="2:13" s="4" customFormat="1">
      <c r="B203" s="23" t="s">
        <v>31</v>
      </c>
      <c r="C203" s="27">
        <v>7.0000000000000007E-2</v>
      </c>
    </row>
    <row r="204" spans="2:13" s="4" customFormat="1">
      <c r="B204" s="23" t="s">
        <v>32</v>
      </c>
      <c r="C204" s="25" t="e">
        <f>C202/(1+$C$6)^C201</f>
        <v>#VALUE!</v>
      </c>
      <c r="D204" s="25" t="e">
        <f>D202/(1+$C$6)^D201</f>
        <v>#VALUE!</v>
      </c>
      <c r="E204" s="25" t="e">
        <f t="shared" ref="E204:L204" si="3">E202/(1+$C$6)^E201</f>
        <v>#VALUE!</v>
      </c>
      <c r="F204" s="25" t="e">
        <f t="shared" si="3"/>
        <v>#VALUE!</v>
      </c>
      <c r="G204" s="25" t="e">
        <f t="shared" si="3"/>
        <v>#VALUE!</v>
      </c>
      <c r="H204" s="25" t="e">
        <f t="shared" si="3"/>
        <v>#VALUE!</v>
      </c>
      <c r="I204" s="25" t="e">
        <f t="shared" si="3"/>
        <v>#VALUE!</v>
      </c>
      <c r="J204" s="25" t="e">
        <f t="shared" si="3"/>
        <v>#VALUE!</v>
      </c>
      <c r="K204" s="25" t="e">
        <f t="shared" si="3"/>
        <v>#VALUE!</v>
      </c>
      <c r="L204" s="25" t="e">
        <f t="shared" si="3"/>
        <v>#VALUE!</v>
      </c>
      <c r="M204" s="25"/>
    </row>
    <row r="205" spans="2:13" s="4" customFormat="1">
      <c r="B205" s="23" t="s">
        <v>33</v>
      </c>
      <c r="C205" s="23" t="e">
        <f>C194</f>
        <v>#VALUE!</v>
      </c>
    </row>
    <row r="206" spans="2:13" s="4" customFormat="1">
      <c r="B206" s="23" t="s">
        <v>34</v>
      </c>
      <c r="C206" s="4" t="str">
        <f>C9</f>
        <v>#TSLCP</v>
      </c>
    </row>
    <row r="207" spans="2:13" s="4" customFormat="1" ht="66.599999999999994">
      <c r="B207" s="23" t="s">
        <v>35</v>
      </c>
      <c r="C207" s="28" t="e">
        <f>((C204+D204+E204+F204+G204+H204+I204+J204+K204+L204)+C205)*(1-0.1*3.14)</f>
        <v>#VALUE!</v>
      </c>
    </row>
    <row r="208" spans="2:13" s="4" customFormat="1" ht="66.599999999999994">
      <c r="B208" s="23" t="s">
        <v>36</v>
      </c>
      <c r="C208" s="29" t="e">
        <f>(C207*1000000000)/(C206*1000000)</f>
        <v>#VALUE!</v>
      </c>
    </row>
    <row r="209" s="5" customFormat="1"/>
    <row r="210" s="5" customFormat="1"/>
    <row r="211" s="5" customFormat="1"/>
    <row r="212" s="5" customFormat="1"/>
    <row r="213" s="5" customFormat="1"/>
    <row r="214" s="5" customFormat="1"/>
    <row r="215" s="6" customFormat="1"/>
    <row r="216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</vt:lpstr>
      <vt:lpstr>DANH MỤC</vt:lpstr>
      <vt:lpstr>LSK-Vốn Gốc</vt:lpstr>
      <vt:lpstr>LSK-Tiền Đều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2023-01-21T11:39:49Z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