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H:\cursussen\TICT-V1GP-15\"/>
    </mc:Choice>
  </mc:AlternateContent>
  <bookViews>
    <workbookView xWindow="-12" yWindow="48" windowWidth="20736" windowHeight="9156" activeTab="3"/>
  </bookViews>
  <sheets>
    <sheet name="Cursusinfo (leerplanschema)" sheetId="5" r:id="rId1"/>
    <sheet name="Leerdoelen,Kennisbasis,Toetsing" sheetId="3" r:id="rId2"/>
    <sheet name="Toetsmatrijs" sheetId="1" r:id="rId3"/>
    <sheet name="Beoordelingsformulier" sheetId="11" r:id="rId4"/>
    <sheet name="Constanten" sheetId="12" state="hidden" r:id="rId5"/>
    <sheet name="Oordelen" sheetId="8" state="hidden" r:id="rId6"/>
  </sheets>
  <calcPr calcId="162913"/>
</workbook>
</file>

<file path=xl/calcChain.xml><?xml version="1.0" encoding="utf-8"?>
<calcChain xmlns="http://schemas.openxmlformats.org/spreadsheetml/2006/main">
  <c r="A13" i="11" l="1"/>
  <c r="B13" i="11" s="1"/>
  <c r="C13" i="11"/>
  <c r="D13" i="11"/>
  <c r="E13" i="11"/>
  <c r="F13" i="11"/>
  <c r="G13" i="11"/>
  <c r="H13" i="11"/>
  <c r="I13" i="11"/>
  <c r="J13" i="11"/>
  <c r="L13" i="11"/>
  <c r="N13" i="11"/>
  <c r="G18" i="1"/>
  <c r="O13" i="11" l="1"/>
  <c r="M13" i="11"/>
  <c r="M8" i="1" l="1"/>
  <c r="M10" i="1"/>
  <c r="DW4" i="1" l="1"/>
  <c r="AG4" i="1"/>
  <c r="T4" i="1"/>
  <c r="IC13" i="1" a="1"/>
  <c r="IC13" i="1" s="1"/>
  <c r="IC14" i="1" a="1"/>
  <c r="IC14" i="1" s="1"/>
  <c r="IC15" i="1" a="1"/>
  <c r="IC15" i="1" s="1"/>
  <c r="IC16" i="1" a="1"/>
  <c r="IC16" i="1" s="1"/>
  <c r="IC17" i="1" a="1"/>
  <c r="IC17" i="1" s="1"/>
  <c r="IC18" i="1" a="1"/>
  <c r="IC19" i="1" a="1"/>
  <c r="IC21" i="1" a="1"/>
  <c r="IC21" i="1" s="1"/>
  <c r="IC22" i="1" a="1"/>
  <c r="IC23" i="1" a="1"/>
  <c r="IC24" i="1" a="1"/>
  <c r="IC25" i="1" a="1"/>
  <c r="IC25" i="1" s="1"/>
  <c r="IC26" i="1" a="1"/>
  <c r="IC18" i="1"/>
  <c r="IC19" i="1"/>
  <c r="IC22" i="1"/>
  <c r="IC23" i="1"/>
  <c r="IC24" i="1"/>
  <c r="IC26" i="1"/>
  <c r="IC12" i="1" a="1"/>
  <c r="IC12" i="1" s="1"/>
  <c r="IE13" i="1" a="1"/>
  <c r="IE13" i="1" s="1"/>
  <c r="IE14" i="1" a="1"/>
  <c r="IE14" i="1" s="1"/>
  <c r="IE15" i="1" a="1"/>
  <c r="IE15" i="1" s="1"/>
  <c r="IE16" i="1" a="1"/>
  <c r="IE16" i="1" s="1"/>
  <c r="IE17" i="1" a="1"/>
  <c r="IE17" i="1" s="1"/>
  <c r="IE18" i="1" a="1"/>
  <c r="IE18" i="1" s="1"/>
  <c r="IE19" i="1" a="1"/>
  <c r="IE19" i="1" s="1"/>
  <c r="IE21" i="1" a="1"/>
  <c r="IE21" i="1" s="1"/>
  <c r="IE22" i="1" a="1"/>
  <c r="IE22" i="1" s="1"/>
  <c r="IE23" i="1" a="1"/>
  <c r="IE23" i="1" s="1"/>
  <c r="IE24" i="1" a="1"/>
  <c r="IE25" i="1" a="1"/>
  <c r="IE25" i="1" s="1"/>
  <c r="IE26" i="1" a="1"/>
  <c r="IE26" i="1" s="1"/>
  <c r="IE24" i="1"/>
  <c r="IE12" i="1" a="1"/>
  <c r="IE12" i="1" s="1"/>
  <c r="IG12" i="1" a="1"/>
  <c r="IG12" i="1" s="1"/>
  <c r="IG13" i="1" a="1"/>
  <c r="IG13" i="1" s="1"/>
  <c r="IG14" i="1" a="1"/>
  <c r="IG14" i="1" s="1"/>
  <c r="IG15" i="1" a="1"/>
  <c r="IG15" i="1" s="1"/>
  <c r="IG16" i="1" a="1"/>
  <c r="IG16" i="1" s="1"/>
  <c r="IG17" i="1" a="1"/>
  <c r="IG17" i="1" s="1"/>
  <c r="IG18" i="1" a="1"/>
  <c r="IG18" i="1" s="1"/>
  <c r="IG19" i="1" a="1"/>
  <c r="IG19" i="1" s="1"/>
  <c r="IG21" i="1" a="1"/>
  <c r="IG21" i="1" s="1"/>
  <c r="IG22" i="1" a="1"/>
  <c r="IG22" i="1" s="1"/>
  <c r="IG23" i="1" a="1"/>
  <c r="IG23" i="1" s="1"/>
  <c r="IG24" i="1" a="1"/>
  <c r="IG24" i="1" s="1"/>
  <c r="IG25" i="1" a="1"/>
  <c r="IG25" i="1" s="1"/>
  <c r="IG26" i="1" a="1"/>
  <c r="IG26" i="1" s="1"/>
  <c r="AE12" i="1"/>
  <c r="AD12" i="1" s="1"/>
  <c r="AE13" i="1"/>
  <c r="AD13" i="1" s="1"/>
  <c r="AE14" i="1"/>
  <c r="AD14" i="1"/>
  <c r="HM14" i="1" s="1" a="1"/>
  <c r="HM14" i="1" s="1"/>
  <c r="AE15" i="1"/>
  <c r="AD15" i="1" s="1"/>
  <c r="AE16" i="1"/>
  <c r="AD16" i="1" s="1"/>
  <c r="AE17" i="1"/>
  <c r="AB17" i="1" s="1"/>
  <c r="AE18" i="1"/>
  <c r="AD18" i="1" s="1"/>
  <c r="AE19" i="1"/>
  <c r="AE21" i="1"/>
  <c r="AD21" i="1" s="1"/>
  <c r="AE22" i="1"/>
  <c r="AD22" i="1" s="1"/>
  <c r="AE23" i="1"/>
  <c r="AE24" i="1"/>
  <c r="AD24" i="1" s="1"/>
  <c r="HH24" i="1" s="1" a="1"/>
  <c r="HH24" i="1" s="1"/>
  <c r="AE25" i="1"/>
  <c r="AD25" i="1" s="1"/>
  <c r="AE26" i="1"/>
  <c r="AD26" i="1" s="1"/>
  <c r="HI26" i="1" s="1" a="1"/>
  <c r="HI26" i="1" s="1"/>
  <c r="IF26" i="1" a="1"/>
  <c r="IF26" i="1" s="1"/>
  <c r="ID26" i="1" a="1"/>
  <c r="ID26" i="1" s="1"/>
  <c r="IA26" i="1" a="1"/>
  <c r="IA26" i="1" s="1"/>
  <c r="HZ26" i="1" a="1"/>
  <c r="HZ26" i="1" s="1"/>
  <c r="HY26" i="1" a="1"/>
  <c r="HY26" i="1" s="1"/>
  <c r="HX26" i="1" a="1"/>
  <c r="HX26" i="1" s="1"/>
  <c r="HW26" i="1" a="1"/>
  <c r="HW26" i="1" s="1"/>
  <c r="HV26" i="1" a="1"/>
  <c r="HV26" i="1" s="1"/>
  <c r="AC26" i="1"/>
  <c r="H26" i="1"/>
  <c r="G26" i="1"/>
  <c r="F26" i="1"/>
  <c r="E26" i="1"/>
  <c r="D26" i="1"/>
  <c r="C26" i="1"/>
  <c r="B26" i="1"/>
  <c r="B23" i="3"/>
  <c r="A26" i="1" s="1"/>
  <c r="IF25" i="1" a="1"/>
  <c r="IF25" i="1" s="1"/>
  <c r="ID25" i="1" a="1"/>
  <c r="ID25" i="1" s="1"/>
  <c r="IA25" i="1" a="1"/>
  <c r="IA25" i="1" s="1"/>
  <c r="HZ25" i="1" a="1"/>
  <c r="HZ25" i="1" s="1"/>
  <c r="HY25" i="1" a="1"/>
  <c r="HY25" i="1" s="1"/>
  <c r="HX25" i="1" a="1"/>
  <c r="HX25" i="1" s="1"/>
  <c r="HW25" i="1" a="1"/>
  <c r="HW25" i="1"/>
  <c r="HV25" i="1" a="1"/>
  <c r="HV25" i="1" s="1"/>
  <c r="AC25" i="1"/>
  <c r="H25" i="1"/>
  <c r="G25" i="1"/>
  <c r="F25" i="1"/>
  <c r="E25" i="1"/>
  <c r="D25" i="1"/>
  <c r="C25" i="1"/>
  <c r="B25" i="1"/>
  <c r="B22" i="3"/>
  <c r="A25" i="1" s="1"/>
  <c r="IF24" i="1" a="1"/>
  <c r="IF24" i="1" s="1"/>
  <c r="ID24" i="1" a="1"/>
  <c r="ID24" i="1" s="1"/>
  <c r="IA24" i="1" a="1"/>
  <c r="IA24" i="1" s="1"/>
  <c r="HZ24" i="1" a="1"/>
  <c r="HZ24" i="1" s="1"/>
  <c r="HY24" i="1" a="1"/>
  <c r="HY24" i="1" s="1"/>
  <c r="HX24" i="1" a="1"/>
  <c r="HX24" i="1" s="1"/>
  <c r="HW24" i="1" a="1"/>
  <c r="HW24" i="1" s="1"/>
  <c r="HV24" i="1" a="1"/>
  <c r="HV24" i="1" s="1"/>
  <c r="AC24" i="1"/>
  <c r="H24" i="1"/>
  <c r="G24" i="1"/>
  <c r="F24" i="1"/>
  <c r="E24" i="1"/>
  <c r="D24" i="1"/>
  <c r="C24" i="1"/>
  <c r="B24" i="1"/>
  <c r="B21" i="3"/>
  <c r="A24" i="1"/>
  <c r="IF23" i="1" a="1"/>
  <c r="IF23" i="1" s="1"/>
  <c r="ID23" i="1" a="1"/>
  <c r="ID23" i="1" s="1"/>
  <c r="IA23" i="1" a="1"/>
  <c r="IA23" i="1" s="1"/>
  <c r="HZ23" i="1" a="1"/>
  <c r="HZ23" i="1" s="1"/>
  <c r="HY23" i="1" a="1"/>
  <c r="HY23" i="1" s="1"/>
  <c r="HX23" i="1" a="1"/>
  <c r="HX23" i="1" s="1"/>
  <c r="HW23" i="1" a="1"/>
  <c r="HW23" i="1" s="1"/>
  <c r="HV23" i="1" a="1"/>
  <c r="HV23" i="1" s="1"/>
  <c r="AC23" i="1"/>
  <c r="H23" i="1"/>
  <c r="G23" i="1"/>
  <c r="F23" i="1"/>
  <c r="E23" i="1"/>
  <c r="D23" i="1"/>
  <c r="C23" i="1"/>
  <c r="B23" i="1"/>
  <c r="B20" i="3"/>
  <c r="A23" i="1" s="1"/>
  <c r="IF22" i="1" a="1"/>
  <c r="IF22" i="1" s="1"/>
  <c r="ID22" i="1" a="1"/>
  <c r="ID22" i="1" s="1"/>
  <c r="IA22" i="1" a="1"/>
  <c r="IA22" i="1" s="1"/>
  <c r="HZ22" i="1" a="1"/>
  <c r="HZ22" i="1" s="1"/>
  <c r="HY22" i="1" a="1"/>
  <c r="HY22" i="1" s="1"/>
  <c r="HX22" i="1" a="1"/>
  <c r="HX22" i="1" s="1"/>
  <c r="HW22" i="1" a="1"/>
  <c r="HW22" i="1" s="1"/>
  <c r="HV22" i="1" a="1"/>
  <c r="HV22" i="1" s="1"/>
  <c r="AC22" i="1"/>
  <c r="H22" i="1"/>
  <c r="G22" i="1"/>
  <c r="F22" i="1"/>
  <c r="E22" i="1"/>
  <c r="D22" i="1"/>
  <c r="C22" i="1"/>
  <c r="B22" i="1"/>
  <c r="B19" i="3"/>
  <c r="A22" i="1"/>
  <c r="IF21" i="1" a="1"/>
  <c r="IF21" i="1" s="1"/>
  <c r="ID21" i="1" a="1"/>
  <c r="ID21" i="1" s="1"/>
  <c r="IA21" i="1" a="1"/>
  <c r="IA21" i="1" s="1"/>
  <c r="HZ21" i="1" a="1"/>
  <c r="HZ21" i="1" s="1"/>
  <c r="HY21" i="1" a="1"/>
  <c r="HY21" i="1" s="1"/>
  <c r="HX21" i="1" a="1"/>
  <c r="HX21" i="1" s="1"/>
  <c r="HW21" i="1" a="1"/>
  <c r="HW21" i="1" s="1"/>
  <c r="HV21" i="1" a="1"/>
  <c r="HV21" i="1" s="1"/>
  <c r="HI21" i="1" a="1"/>
  <c r="HI21" i="1" s="1"/>
  <c r="HH21" i="1" a="1"/>
  <c r="HH21" i="1" s="1"/>
  <c r="AC21" i="1"/>
  <c r="AB21" i="1"/>
  <c r="H21" i="1"/>
  <c r="G21" i="1"/>
  <c r="F21" i="1"/>
  <c r="E21" i="1"/>
  <c r="D21" i="1"/>
  <c r="C21" i="1"/>
  <c r="B21" i="1"/>
  <c r="B18" i="3"/>
  <c r="A21" i="1" s="1"/>
  <c r="B17" i="3"/>
  <c r="IF19" i="1" a="1"/>
  <c r="IF19" i="1" s="1"/>
  <c r="ID19" i="1" a="1"/>
  <c r="ID19" i="1" s="1"/>
  <c r="IA19" i="1" a="1"/>
  <c r="IA19" i="1" s="1"/>
  <c r="HZ19" i="1" a="1"/>
  <c r="HZ19" i="1" s="1"/>
  <c r="HY19" i="1" a="1"/>
  <c r="HY19" i="1" s="1"/>
  <c r="HX19" i="1" a="1"/>
  <c r="HX19" i="1" s="1"/>
  <c r="HW19" i="1" a="1"/>
  <c r="HW19" i="1" s="1"/>
  <c r="HV19" i="1" a="1"/>
  <c r="HV19" i="1" s="1"/>
  <c r="AC19" i="1"/>
  <c r="G19" i="1"/>
  <c r="E19" i="1"/>
  <c r="D19" i="1"/>
  <c r="B19" i="1"/>
  <c r="B16" i="3"/>
  <c r="A19" i="1" s="1"/>
  <c r="IF18" i="1" a="1"/>
  <c r="IF18" i="1" s="1"/>
  <c r="ID18" i="1" a="1"/>
  <c r="ID18" i="1" s="1"/>
  <c r="IA18" i="1" a="1"/>
  <c r="IA18" i="1" s="1"/>
  <c r="HZ18" i="1" a="1"/>
  <c r="HZ18" i="1" s="1"/>
  <c r="HY18" i="1" a="1"/>
  <c r="HY18" i="1" s="1"/>
  <c r="HX18" i="1" a="1"/>
  <c r="HX18" i="1" s="1"/>
  <c r="HW18" i="1" a="1"/>
  <c r="HW18" i="1" s="1"/>
  <c r="HV18" i="1" a="1"/>
  <c r="HV18" i="1" s="1"/>
  <c r="AC18" i="1"/>
  <c r="H18" i="1"/>
  <c r="E18" i="1"/>
  <c r="D18" i="1"/>
  <c r="B18" i="1"/>
  <c r="B15" i="3"/>
  <c r="A18" i="1" s="1"/>
  <c r="IF17" i="1" a="1"/>
  <c r="IF17" i="1" s="1"/>
  <c r="ID17" i="1" a="1"/>
  <c r="ID17" i="1" s="1"/>
  <c r="IA17" i="1" a="1"/>
  <c r="IA17" i="1" s="1"/>
  <c r="HZ17" i="1" a="1"/>
  <c r="HZ17" i="1" s="1"/>
  <c r="HY17" i="1" a="1"/>
  <c r="HY17" i="1" s="1"/>
  <c r="HX17" i="1" a="1"/>
  <c r="HX17" i="1" s="1"/>
  <c r="HW17" i="1" a="1"/>
  <c r="HW17" i="1" s="1"/>
  <c r="HV17" i="1" a="1"/>
  <c r="HV17" i="1" s="1"/>
  <c r="AC17" i="1"/>
  <c r="H17" i="1"/>
  <c r="E17" i="1"/>
  <c r="B14" i="3"/>
  <c r="A17" i="1" s="1"/>
  <c r="IF16" i="1" a="1"/>
  <c r="IF16" i="1" s="1"/>
  <c r="ID16" i="1" a="1"/>
  <c r="ID16" i="1" s="1"/>
  <c r="IA16" i="1" a="1"/>
  <c r="IA16" i="1" s="1"/>
  <c r="HZ16" i="1" a="1"/>
  <c r="HZ16" i="1" s="1"/>
  <c r="HY16" i="1" a="1"/>
  <c r="HY16" i="1" s="1"/>
  <c r="HX16" i="1" a="1"/>
  <c r="HX16" i="1" s="1"/>
  <c r="HW16" i="1" a="1"/>
  <c r="HW16" i="1" s="1"/>
  <c r="HV16" i="1" a="1"/>
  <c r="HV16" i="1" s="1"/>
  <c r="AC16" i="1"/>
  <c r="H16" i="1"/>
  <c r="G16" i="1"/>
  <c r="E16" i="1"/>
  <c r="C16" i="1"/>
  <c r="B16" i="1"/>
  <c r="B13" i="3"/>
  <c r="A16" i="1" s="1"/>
  <c r="IF15" i="1" a="1"/>
  <c r="IF15" i="1" s="1"/>
  <c r="ID15" i="1" a="1"/>
  <c r="ID15" i="1" s="1"/>
  <c r="IA15" i="1" a="1"/>
  <c r="IA15" i="1" s="1"/>
  <c r="HZ15" i="1" a="1"/>
  <c r="HZ15" i="1" s="1"/>
  <c r="HY15" i="1" a="1"/>
  <c r="HY15" i="1" s="1"/>
  <c r="HX15" i="1" a="1"/>
  <c r="HX15" i="1" s="1"/>
  <c r="HW15" i="1" a="1"/>
  <c r="HW15" i="1" s="1"/>
  <c r="HV15" i="1" a="1"/>
  <c r="HV15" i="1" s="1"/>
  <c r="HR15" i="1" a="1"/>
  <c r="HR15" i="1" s="1"/>
  <c r="HP15" i="1" a="1"/>
  <c r="HP15" i="1" s="1"/>
  <c r="HM15" i="1" a="1"/>
  <c r="HM15" i="1" s="1"/>
  <c r="HK15" i="1" a="1"/>
  <c r="HK15" i="1" s="1"/>
  <c r="HJ15" i="1" a="1"/>
  <c r="HJ15" i="1" s="1"/>
  <c r="HH15" i="1" a="1"/>
  <c r="HH15" i="1" s="1"/>
  <c r="AC15" i="1"/>
  <c r="H15" i="1"/>
  <c r="G15" i="1"/>
  <c r="E15" i="1"/>
  <c r="C15" i="1"/>
  <c r="B15" i="1"/>
  <c r="B12" i="3"/>
  <c r="A15" i="1" s="1"/>
  <c r="IF14" i="1" a="1"/>
  <c r="IF14" i="1" s="1"/>
  <c r="ID14" i="1" a="1"/>
  <c r="ID14" i="1" s="1"/>
  <c r="IA14" i="1" a="1"/>
  <c r="IA14" i="1" s="1"/>
  <c r="HZ14" i="1" a="1"/>
  <c r="HZ14" i="1" s="1"/>
  <c r="HY14" i="1" a="1"/>
  <c r="HY14" i="1" s="1"/>
  <c r="HX14" i="1" a="1"/>
  <c r="HX14" i="1" s="1"/>
  <c r="HW14" i="1" a="1"/>
  <c r="HW14" i="1" s="1"/>
  <c r="HV14" i="1" a="1"/>
  <c r="HV14" i="1" s="1"/>
  <c r="HS14" i="1" a="1"/>
  <c r="HS14" i="1" s="1"/>
  <c r="HL14" i="1" a="1"/>
  <c r="HL14" i="1" s="1"/>
  <c r="HI14" i="1" a="1"/>
  <c r="HI14" i="1" s="1"/>
  <c r="AC14" i="1"/>
  <c r="AB14" i="1"/>
  <c r="H14" i="1"/>
  <c r="G14" i="1"/>
  <c r="F14" i="1"/>
  <c r="E14" i="1"/>
  <c r="C14" i="1"/>
  <c r="B14" i="1"/>
  <c r="B11" i="3"/>
  <c r="A14" i="1"/>
  <c r="IF13" i="1" a="1"/>
  <c r="IF13" i="1" s="1"/>
  <c r="ID13" i="1" a="1"/>
  <c r="ID13" i="1" s="1"/>
  <c r="IA13" i="1" a="1"/>
  <c r="IA13" i="1" s="1"/>
  <c r="HZ13" i="1" a="1"/>
  <c r="HZ13" i="1" s="1"/>
  <c r="HY13" i="1" a="1"/>
  <c r="HY13" i="1" s="1"/>
  <c r="HX13" i="1" a="1"/>
  <c r="HX13" i="1" s="1"/>
  <c r="HW13" i="1" a="1"/>
  <c r="HW13" i="1" s="1"/>
  <c r="HV13" i="1" a="1"/>
  <c r="HV13" i="1" s="1"/>
  <c r="AC13" i="1"/>
  <c r="AB13" i="1"/>
  <c r="H13" i="1"/>
  <c r="G13" i="1"/>
  <c r="F13" i="1"/>
  <c r="E13" i="1"/>
  <c r="C13" i="1"/>
  <c r="B13" i="1"/>
  <c r="B10" i="3"/>
  <c r="A13" i="1" s="1"/>
  <c r="A23" i="3"/>
  <c r="AA1" i="11"/>
  <c r="R4" i="1"/>
  <c r="Q1" i="3"/>
  <c r="L25" i="11"/>
  <c r="M25" i="11"/>
  <c r="L26" i="11"/>
  <c r="M26" i="11" s="1"/>
  <c r="L27" i="11"/>
  <c r="M27" i="11"/>
  <c r="L28" i="11"/>
  <c r="M28" i="11" s="1"/>
  <c r="L29" i="11"/>
  <c r="M29" i="11" s="1"/>
  <c r="L30" i="11"/>
  <c r="M30" i="11" s="1"/>
  <c r="L31" i="11"/>
  <c r="M31" i="11" s="1"/>
  <c r="L32" i="11"/>
  <c r="M32" i="11" s="1"/>
  <c r="L33" i="11"/>
  <c r="M33" i="11" s="1"/>
  <c r="L34" i="11"/>
  <c r="M34" i="11" s="1"/>
  <c r="L35" i="11"/>
  <c r="M35" i="11" s="1"/>
  <c r="L11" i="11"/>
  <c r="M11" i="11" s="1"/>
  <c r="L12" i="11"/>
  <c r="M12" i="11" s="1"/>
  <c r="L14" i="11"/>
  <c r="M14" i="11" s="1"/>
  <c r="L15" i="11"/>
  <c r="M15" i="11" s="1"/>
  <c r="L16" i="11"/>
  <c r="M16" i="11" s="1"/>
  <c r="L17" i="11"/>
  <c r="M17" i="11" s="1"/>
  <c r="L18" i="11"/>
  <c r="M18" i="11" s="1"/>
  <c r="L19" i="11"/>
  <c r="M19" i="11" s="1"/>
  <c r="L20" i="11"/>
  <c r="M20" i="11" s="1"/>
  <c r="L21" i="11"/>
  <c r="M21" i="11" s="1"/>
  <c r="L22" i="11"/>
  <c r="M22" i="11" s="1"/>
  <c r="L23" i="11"/>
  <c r="M23" i="11" s="1"/>
  <c r="L24" i="11"/>
  <c r="M24" i="11" s="1"/>
  <c r="N25" i="11"/>
  <c r="O25" i="11" s="1"/>
  <c r="N26" i="11"/>
  <c r="N27" i="11"/>
  <c r="N28" i="11"/>
  <c r="N29" i="11"/>
  <c r="O29" i="11" s="1"/>
  <c r="N30" i="11"/>
  <c r="O30" i="11" s="1"/>
  <c r="N31" i="11"/>
  <c r="N32" i="11"/>
  <c r="N33" i="11"/>
  <c r="O33" i="11" s="1"/>
  <c r="N34" i="11"/>
  <c r="N35" i="11"/>
  <c r="N11" i="11"/>
  <c r="N12" i="11"/>
  <c r="N14" i="11"/>
  <c r="N15" i="11"/>
  <c r="N16" i="11"/>
  <c r="N17" i="11"/>
  <c r="N18" i="11"/>
  <c r="N19" i="11"/>
  <c r="N20" i="11"/>
  <c r="N21" i="11"/>
  <c r="O21" i="11" s="1"/>
  <c r="N22" i="11"/>
  <c r="N23" i="11"/>
  <c r="O23" i="11" s="1"/>
  <c r="N24" i="11"/>
  <c r="A35" i="11"/>
  <c r="B35" i="11" s="1"/>
  <c r="A34" i="11"/>
  <c r="B34" i="11" s="1"/>
  <c r="A33" i="11"/>
  <c r="B33" i="11" s="1"/>
  <c r="A32" i="11"/>
  <c r="B32" i="11" s="1"/>
  <c r="A31" i="11"/>
  <c r="B31" i="11" s="1"/>
  <c r="A30" i="11"/>
  <c r="B30" i="11" s="1"/>
  <c r="A29" i="11"/>
  <c r="B29" i="11" s="1"/>
  <c r="A28" i="11"/>
  <c r="B28" i="11" s="1"/>
  <c r="A27" i="11"/>
  <c r="B27" i="11" s="1"/>
  <c r="A26" i="11"/>
  <c r="B26" i="11" s="1"/>
  <c r="A9" i="3"/>
  <c r="A14" i="11" s="1"/>
  <c r="B14" i="11" s="1"/>
  <c r="A10" i="3"/>
  <c r="A11" i="3"/>
  <c r="A12" i="3"/>
  <c r="B9" i="3"/>
  <c r="A12" i="1" s="1"/>
  <c r="A13" i="3"/>
  <c r="A14" i="3"/>
  <c r="A15" i="3"/>
  <c r="A16" i="3"/>
  <c r="A17" i="3"/>
  <c r="A18" i="3"/>
  <c r="A19" i="3"/>
  <c r="A20" i="3"/>
  <c r="A21" i="3"/>
  <c r="A22" i="3"/>
  <c r="A24" i="11"/>
  <c r="B24" i="11" s="1"/>
  <c r="A23" i="11"/>
  <c r="B23" i="11" s="1"/>
  <c r="A22" i="11"/>
  <c r="B22" i="11" s="1"/>
  <c r="A17" i="11"/>
  <c r="B17" i="11" s="1"/>
  <c r="A25" i="11"/>
  <c r="B25" i="11" s="1"/>
  <c r="J34" i="11"/>
  <c r="I34" i="11"/>
  <c r="H34" i="11"/>
  <c r="G34" i="11"/>
  <c r="F34" i="11"/>
  <c r="E34" i="11"/>
  <c r="D34" i="11"/>
  <c r="C34" i="11"/>
  <c r="J33" i="11"/>
  <c r="I33" i="11"/>
  <c r="H33" i="11"/>
  <c r="G33" i="11"/>
  <c r="F33" i="11"/>
  <c r="E33" i="11"/>
  <c r="D33" i="11"/>
  <c r="C33" i="11"/>
  <c r="J32" i="11"/>
  <c r="I32" i="11"/>
  <c r="H32" i="11"/>
  <c r="G32" i="11"/>
  <c r="F32" i="11"/>
  <c r="E32" i="11"/>
  <c r="D32" i="11"/>
  <c r="C32" i="11"/>
  <c r="J31" i="11"/>
  <c r="I31" i="11"/>
  <c r="H31" i="11"/>
  <c r="G31" i="11"/>
  <c r="F31" i="11"/>
  <c r="E31" i="11"/>
  <c r="D31" i="11"/>
  <c r="C31" i="11"/>
  <c r="J30" i="11"/>
  <c r="I30" i="11"/>
  <c r="H30" i="11"/>
  <c r="G30" i="11"/>
  <c r="F30" i="11"/>
  <c r="E30" i="11"/>
  <c r="D30" i="11"/>
  <c r="C30" i="11"/>
  <c r="J29" i="11"/>
  <c r="I29" i="11"/>
  <c r="H29" i="11"/>
  <c r="G29" i="11"/>
  <c r="F29" i="11"/>
  <c r="E29" i="11"/>
  <c r="D29" i="11"/>
  <c r="C29" i="11"/>
  <c r="J28" i="11"/>
  <c r="I28" i="11"/>
  <c r="H28" i="11"/>
  <c r="G28" i="11"/>
  <c r="F28" i="11"/>
  <c r="E28" i="11"/>
  <c r="D28" i="11"/>
  <c r="C28" i="11"/>
  <c r="J27" i="11"/>
  <c r="I27" i="11"/>
  <c r="H27" i="11"/>
  <c r="G27" i="11"/>
  <c r="F27" i="11"/>
  <c r="E27" i="11"/>
  <c r="D27" i="11"/>
  <c r="C27" i="11"/>
  <c r="J26" i="11"/>
  <c r="I26" i="11"/>
  <c r="H26" i="11"/>
  <c r="G26" i="11"/>
  <c r="F26" i="11"/>
  <c r="E26" i="11"/>
  <c r="D26" i="11"/>
  <c r="C26" i="11"/>
  <c r="J25" i="11"/>
  <c r="I25" i="11"/>
  <c r="H25" i="11"/>
  <c r="G25" i="11"/>
  <c r="F25" i="11"/>
  <c r="E25" i="11"/>
  <c r="D25" i="11"/>
  <c r="C25" i="11"/>
  <c r="J24" i="11"/>
  <c r="I24" i="11"/>
  <c r="H24" i="11"/>
  <c r="G24" i="11"/>
  <c r="F24" i="11"/>
  <c r="E24" i="11"/>
  <c r="D24" i="11"/>
  <c r="C24" i="11"/>
  <c r="J35" i="11"/>
  <c r="I35" i="11"/>
  <c r="H35" i="11"/>
  <c r="G35" i="11"/>
  <c r="F35" i="11"/>
  <c r="E35" i="11"/>
  <c r="D35" i="11"/>
  <c r="C35" i="11"/>
  <c r="B101"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L2" i="1" a="1"/>
  <c r="AL2" i="1" s="1"/>
  <c r="AL3" i="1" a="1"/>
  <c r="AL3" i="1" s="1"/>
  <c r="AO2" i="1" a="1"/>
  <c r="AO2" i="1" s="1"/>
  <c r="AO3" i="1" a="1"/>
  <c r="AO3" i="1" s="1"/>
  <c r="AR2" i="1" a="1"/>
  <c r="AR2" i="1" s="1"/>
  <c r="AR3" i="1" a="1"/>
  <c r="AR3" i="1" s="1"/>
  <c r="AU2" i="1" a="1"/>
  <c r="AU2" i="1" s="1"/>
  <c r="AU3" i="1" a="1"/>
  <c r="AU3" i="1" s="1"/>
  <c r="AX2" i="1" a="1"/>
  <c r="AX2" i="1" s="1"/>
  <c r="AX3" i="1" a="1"/>
  <c r="AX3" i="1" s="1"/>
  <c r="BA2" i="1" a="1"/>
  <c r="BA2" i="1" s="1"/>
  <c r="BA3" i="1" a="1"/>
  <c r="BA3" i="1" s="1"/>
  <c r="BD2" i="1" a="1"/>
  <c r="BD2" i="1" s="1"/>
  <c r="BD3" i="1" a="1"/>
  <c r="BD3" i="1" s="1"/>
  <c r="BG2" i="1" a="1"/>
  <c r="BG2" i="1" s="1"/>
  <c r="BG3" i="1" a="1"/>
  <c r="BG3" i="1" s="1"/>
  <c r="BJ2" i="1" a="1"/>
  <c r="BJ2" i="1" s="1"/>
  <c r="BJ3" i="1" a="1"/>
  <c r="BJ3" i="1" s="1"/>
  <c r="BM2" i="1" a="1"/>
  <c r="BM2" i="1" s="1"/>
  <c r="BM3" i="1" a="1"/>
  <c r="BM3" i="1" s="1"/>
  <c r="BP2" i="1" a="1"/>
  <c r="BP2" i="1" s="1"/>
  <c r="BP3" i="1" a="1"/>
  <c r="BP3" i="1" s="1"/>
  <c r="BS2" i="1" a="1"/>
  <c r="BS2" i="1" s="1"/>
  <c r="BS3" i="1" a="1"/>
  <c r="BS3" i="1" s="1"/>
  <c r="BV2" i="1" a="1"/>
  <c r="BV2" i="1" s="1"/>
  <c r="BV3" i="1" a="1"/>
  <c r="BV3" i="1" s="1"/>
  <c r="BY2" i="1" a="1"/>
  <c r="BY2" i="1" s="1"/>
  <c r="BY3" i="1" a="1"/>
  <c r="BY3" i="1" s="1"/>
  <c r="CB2" i="1" a="1"/>
  <c r="CB2" i="1" s="1"/>
  <c r="CB3" i="1" a="1"/>
  <c r="CB3" i="1" s="1"/>
  <c r="CE2" i="1" a="1"/>
  <c r="CE2" i="1" s="1"/>
  <c r="CE3" i="1" a="1"/>
  <c r="CE3" i="1" s="1"/>
  <c r="CH2" i="1" a="1"/>
  <c r="CH2" i="1" s="1"/>
  <c r="CH3" i="1" a="1"/>
  <c r="CH3" i="1" s="1"/>
  <c r="CK2" i="1" a="1"/>
  <c r="CK2" i="1" s="1"/>
  <c r="CK3" i="1" a="1"/>
  <c r="CK3" i="1" s="1"/>
  <c r="CN2" i="1" a="1"/>
  <c r="CN2" i="1" s="1"/>
  <c r="CN3" i="1" a="1"/>
  <c r="CN3" i="1" s="1"/>
  <c r="CQ2" i="1" a="1"/>
  <c r="CQ2" i="1" s="1"/>
  <c r="CQ3" i="1" a="1"/>
  <c r="CQ3" i="1" s="1"/>
  <c r="CT2" i="1" a="1"/>
  <c r="CT2" i="1" s="1"/>
  <c r="CT3" i="1" a="1"/>
  <c r="CT3" i="1" s="1"/>
  <c r="CW2" i="1" a="1"/>
  <c r="CW2" i="1" s="1"/>
  <c r="CW3" i="1" a="1"/>
  <c r="CW3" i="1" s="1"/>
  <c r="CZ2" i="1" a="1"/>
  <c r="CZ2" i="1" s="1"/>
  <c r="CZ3" i="1" a="1"/>
  <c r="CZ3" i="1" s="1"/>
  <c r="DC2" i="1" a="1"/>
  <c r="DC2" i="1" s="1"/>
  <c r="DC3" i="1" a="1"/>
  <c r="DC3" i="1" s="1"/>
  <c r="DF2" i="1" a="1"/>
  <c r="DF2" i="1" s="1"/>
  <c r="DF3" i="1" a="1"/>
  <c r="DF3" i="1" s="1"/>
  <c r="DI2" i="1" a="1"/>
  <c r="DI2" i="1" s="1"/>
  <c r="DI3" i="1" a="1"/>
  <c r="DI3" i="1" s="1"/>
  <c r="DL2" i="1" a="1"/>
  <c r="DL2" i="1" s="1"/>
  <c r="DL3" i="1" a="1"/>
  <c r="DL3" i="1" s="1"/>
  <c r="DO2" i="1" a="1"/>
  <c r="DO2" i="1" s="1"/>
  <c r="DO3" i="1" a="1"/>
  <c r="DO3" i="1" s="1"/>
  <c r="DR2" i="1" a="1"/>
  <c r="DR2" i="1" s="1"/>
  <c r="DR3" i="1" a="1"/>
  <c r="DR3" i="1" s="1"/>
  <c r="H61" i="12"/>
  <c r="I61" i="12"/>
  <c r="G62" i="12"/>
  <c r="H62" i="12"/>
  <c r="I62" i="12"/>
  <c r="J11" i="11" s="1"/>
  <c r="F63" i="12"/>
  <c r="G21" i="11" s="1"/>
  <c r="G63" i="12"/>
  <c r="H63" i="12"/>
  <c r="I63" i="12"/>
  <c r="J21" i="11" s="1"/>
  <c r="H64" i="12"/>
  <c r="I15" i="11" s="1"/>
  <c r="I64" i="12"/>
  <c r="J23" i="11"/>
  <c r="I23" i="11"/>
  <c r="H23" i="11"/>
  <c r="G23" i="11"/>
  <c r="F23" i="11"/>
  <c r="E23" i="11"/>
  <c r="D23" i="11"/>
  <c r="C23" i="11"/>
  <c r="J22" i="11"/>
  <c r="I22" i="11"/>
  <c r="H22" i="11"/>
  <c r="G22" i="11"/>
  <c r="F22" i="11"/>
  <c r="E22" i="11"/>
  <c r="D22" i="11"/>
  <c r="C22" i="11"/>
  <c r="I21" i="11"/>
  <c r="H21" i="11"/>
  <c r="F21" i="11"/>
  <c r="E21" i="11"/>
  <c r="D21" i="11"/>
  <c r="C21" i="11"/>
  <c r="I20" i="11"/>
  <c r="H20" i="11"/>
  <c r="F20" i="11"/>
  <c r="E20" i="11"/>
  <c r="D20" i="11"/>
  <c r="C20" i="11"/>
  <c r="I19" i="11"/>
  <c r="H19" i="11"/>
  <c r="F19" i="11"/>
  <c r="E19" i="11"/>
  <c r="D19" i="11"/>
  <c r="C19" i="11"/>
  <c r="I18" i="11"/>
  <c r="H18" i="11"/>
  <c r="F18" i="11"/>
  <c r="E18" i="11"/>
  <c r="D18" i="11"/>
  <c r="C18" i="11"/>
  <c r="I17" i="11"/>
  <c r="H17" i="11"/>
  <c r="F17" i="11"/>
  <c r="E17" i="11"/>
  <c r="D17" i="11"/>
  <c r="C17" i="11"/>
  <c r="I16" i="11"/>
  <c r="H16" i="11"/>
  <c r="G16" i="11"/>
  <c r="F16" i="11"/>
  <c r="E16" i="11"/>
  <c r="D16" i="11"/>
  <c r="C16" i="11"/>
  <c r="H15" i="11"/>
  <c r="G15" i="11"/>
  <c r="F15" i="11"/>
  <c r="E15" i="11"/>
  <c r="D15" i="11"/>
  <c r="C15" i="11"/>
  <c r="I14" i="11"/>
  <c r="H14" i="11"/>
  <c r="G14" i="11"/>
  <c r="F14" i="11"/>
  <c r="E14" i="11"/>
  <c r="D14" i="11"/>
  <c r="C14" i="11"/>
  <c r="I12" i="11"/>
  <c r="H12" i="11"/>
  <c r="G12" i="11"/>
  <c r="F12" i="11"/>
  <c r="E12" i="11"/>
  <c r="D12" i="11"/>
  <c r="C12" i="11"/>
  <c r="C11" i="11"/>
  <c r="D58" i="12"/>
  <c r="D57" i="12"/>
  <c r="D56" i="12"/>
  <c r="D55" i="12"/>
  <c r="D54" i="12"/>
  <c r="D53" i="12"/>
  <c r="I11" i="11"/>
  <c r="H11" i="11"/>
  <c r="G11" i="11"/>
  <c r="F11" i="11"/>
  <c r="E11" i="11"/>
  <c r="D11" i="11"/>
  <c r="T36" i="11"/>
  <c r="R4" i="11"/>
  <c r="R3" i="11"/>
  <c r="Q10" i="3"/>
  <c r="P10" i="1" s="1"/>
  <c r="G12" i="1"/>
  <c r="D6" i="1"/>
  <c r="E3" i="3"/>
  <c r="D7" i="1"/>
  <c r="B12" i="1"/>
  <c r="C12" i="1"/>
  <c r="E12" i="1"/>
  <c r="F12" i="1"/>
  <c r="E4" i="3"/>
  <c r="H12" i="1"/>
  <c r="P8" i="1"/>
  <c r="IF12" i="1" a="1"/>
  <c r="IF12" i="1" s="1"/>
  <c r="ID12" i="1" a="1"/>
  <c r="ID12" i="1" s="1"/>
  <c r="IA12" i="1" a="1"/>
  <c r="IA12" i="1" s="1"/>
  <c r="HZ12" i="1" a="1"/>
  <c r="HZ12" i="1" s="1"/>
  <c r="HY12" i="1" a="1"/>
  <c r="HY12" i="1" s="1"/>
  <c r="HX12" i="1" a="1"/>
  <c r="HX12" i="1" s="1"/>
  <c r="HW12" i="1" a="1"/>
  <c r="HW12" i="1" s="1"/>
  <c r="HV12" i="1" a="1"/>
  <c r="HV12" i="1" s="1"/>
  <c r="AA27" i="1"/>
  <c r="Z27" i="1"/>
  <c r="Y27" i="1"/>
  <c r="X27" i="1"/>
  <c r="W27" i="1"/>
  <c r="V27" i="1"/>
  <c r="U27" i="1"/>
  <c r="T27" i="1"/>
  <c r="AC12" i="1"/>
  <c r="AM6" i="1"/>
  <c r="HB3" i="1" a="1"/>
  <c r="HB3" i="1" s="1"/>
  <c r="GY3" i="1" a="1"/>
  <c r="GY3" i="1" s="1"/>
  <c r="GV3" i="1" a="1"/>
  <c r="GV3" i="1" s="1"/>
  <c r="GS3" i="1" a="1"/>
  <c r="GS3" i="1" s="1"/>
  <c r="GP3" i="1" a="1"/>
  <c r="GP3" i="1" s="1"/>
  <c r="GM3" i="1" a="1"/>
  <c r="GM3" i="1" s="1"/>
  <c r="GJ3" i="1" a="1"/>
  <c r="GJ3" i="1" s="1"/>
  <c r="GG3" i="1" a="1"/>
  <c r="GG3" i="1" s="1"/>
  <c r="GD3" i="1" a="1"/>
  <c r="GD3" i="1"/>
  <c r="GA3" i="1" a="1"/>
  <c r="GA3" i="1" s="1"/>
  <c r="FX3" i="1" a="1"/>
  <c r="FX3" i="1" s="1"/>
  <c r="FU3" i="1" a="1"/>
  <c r="FU3" i="1" s="1"/>
  <c r="FR3" i="1" a="1"/>
  <c r="FR3" i="1" s="1"/>
  <c r="FO3" i="1" a="1"/>
  <c r="FO3" i="1" s="1"/>
  <c r="FL3" i="1" a="1"/>
  <c r="FL3" i="1" s="1"/>
  <c r="FI3" i="1" a="1"/>
  <c r="FI3" i="1" s="1"/>
  <c r="FF3" i="1" a="1"/>
  <c r="FF3" i="1" s="1"/>
  <c r="FC3" i="1" a="1"/>
  <c r="FC3" i="1" s="1"/>
  <c r="EZ3" i="1" a="1"/>
  <c r="EZ3" i="1" s="1"/>
  <c r="EW3" i="1" a="1"/>
  <c r="EW3" i="1" s="1"/>
  <c r="ET3" i="1" a="1"/>
  <c r="ET3" i="1" s="1"/>
  <c r="EQ3" i="1" a="1"/>
  <c r="EQ3" i="1" s="1"/>
  <c r="EN3" i="1" a="1"/>
  <c r="EN3" i="1" s="1"/>
  <c r="EK3" i="1" a="1"/>
  <c r="EK3" i="1" s="1"/>
  <c r="EH3" i="1" a="1"/>
  <c r="EH3" i="1" s="1"/>
  <c r="EE3" i="1" a="1"/>
  <c r="EE3" i="1" s="1"/>
  <c r="EB3" i="1" a="1"/>
  <c r="EB3" i="1" s="1"/>
  <c r="DY3" i="1" a="1"/>
  <c r="DY3" i="1" s="1"/>
  <c r="AI3" i="1" a="1"/>
  <c r="AI3" i="1" s="1"/>
  <c r="HB2" i="1" a="1"/>
  <c r="HB2" i="1" s="1"/>
  <c r="GY2" i="1" a="1"/>
  <c r="GY2" i="1" s="1"/>
  <c r="GV2" i="1" a="1"/>
  <c r="GV2" i="1" s="1"/>
  <c r="GS2" i="1" a="1"/>
  <c r="GS2" i="1" s="1"/>
  <c r="GP2" i="1" a="1"/>
  <c r="GP2" i="1" s="1"/>
  <c r="GM2" i="1" a="1"/>
  <c r="GM2" i="1" s="1"/>
  <c r="GJ2" i="1" a="1"/>
  <c r="GJ2" i="1"/>
  <c r="GG2" i="1" a="1"/>
  <c r="GG2" i="1" s="1"/>
  <c r="GD2" i="1" a="1"/>
  <c r="GD2" i="1" s="1"/>
  <c r="GA2" i="1" a="1"/>
  <c r="GA2" i="1" s="1"/>
  <c r="FX2" i="1" a="1"/>
  <c r="FX2" i="1" s="1"/>
  <c r="FU2" i="1" a="1"/>
  <c r="FU2" i="1" s="1"/>
  <c r="FR2" i="1" a="1"/>
  <c r="FR2" i="1" s="1"/>
  <c r="FO2" i="1" a="1"/>
  <c r="FO2" i="1" s="1"/>
  <c r="FL2" i="1" a="1"/>
  <c r="FL2" i="1" s="1"/>
  <c r="FI2" i="1" a="1"/>
  <c r="FI2" i="1" s="1"/>
  <c r="FF2" i="1" a="1"/>
  <c r="FF2" i="1" s="1"/>
  <c r="FC2" i="1" a="1"/>
  <c r="FC2" i="1" s="1"/>
  <c r="EZ2" i="1" a="1"/>
  <c r="EZ2" i="1" s="1"/>
  <c r="EW2" i="1" a="1"/>
  <c r="EW2" i="1" s="1"/>
  <c r="ET2" i="1" a="1"/>
  <c r="ET2" i="1" s="1"/>
  <c r="ET27" i="1" s="1"/>
  <c r="EQ2" i="1" a="1"/>
  <c r="EQ2" i="1" s="1"/>
  <c r="EN2" i="1" a="1"/>
  <c r="EN2" i="1" s="1"/>
  <c r="EK2" i="1" a="1"/>
  <c r="EK2" i="1" s="1"/>
  <c r="EH2" i="1" a="1"/>
  <c r="EH2" i="1" s="1"/>
  <c r="EE2" i="1" a="1"/>
  <c r="EE2" i="1" s="1"/>
  <c r="EB2" i="1" a="1"/>
  <c r="EB2" i="1" s="1"/>
  <c r="DY2" i="1" a="1"/>
  <c r="DY2" i="1" s="1"/>
  <c r="AI2" i="1" a="1"/>
  <c r="AI2" i="1" s="1"/>
  <c r="AB12" i="1"/>
  <c r="O17" i="11" l="1"/>
  <c r="O12" i="11"/>
  <c r="O11" i="11"/>
  <c r="A18" i="11"/>
  <c r="B18" i="11" s="1"/>
  <c r="A20" i="11"/>
  <c r="B20" i="11" s="1"/>
  <c r="A19" i="11"/>
  <c r="B19" i="11" s="1"/>
  <c r="A21" i="11"/>
  <c r="B21" i="11" s="1"/>
  <c r="AB24" i="1"/>
  <c r="FL27" i="1"/>
  <c r="AB16" i="1"/>
  <c r="HP12" i="1" a="1"/>
  <c r="HP12" i="1" s="1"/>
  <c r="HK12" i="1" a="1"/>
  <c r="HK12" i="1" s="1"/>
  <c r="HJ12" i="1" a="1"/>
  <c r="HJ12" i="1" s="1"/>
  <c r="HR12" i="1" a="1"/>
  <c r="HR12" i="1" s="1"/>
  <c r="HM12" i="1" a="1"/>
  <c r="HM12" i="1" s="1"/>
  <c r="AI27" i="1"/>
  <c r="GG27" i="1"/>
  <c r="GM27" i="1"/>
  <c r="HI25" i="1" a="1"/>
  <c r="HI25" i="1" s="1"/>
  <c r="HS25" i="1" a="1"/>
  <c r="HS25" i="1" s="1"/>
  <c r="HL25" i="1" a="1"/>
  <c r="HL25" i="1" s="1"/>
  <c r="HH25" i="1" a="1"/>
  <c r="HH25" i="1" s="1"/>
  <c r="HM13" i="1" a="1"/>
  <c r="HM13" i="1" s="1"/>
  <c r="HQ13" i="1" a="1"/>
  <c r="HQ13" i="1" s="1"/>
  <c r="HJ13" i="1" a="1"/>
  <c r="HJ13" i="1" s="1"/>
  <c r="HR13" i="1" a="1"/>
  <c r="HR13" i="1" s="1"/>
  <c r="HH13" i="1" a="1"/>
  <c r="HH13" i="1" s="1"/>
  <c r="DO27" i="1"/>
  <c r="CW27" i="1"/>
  <c r="CQ27" i="1"/>
  <c r="CN27" i="1"/>
  <c r="BY27" i="1"/>
  <c r="BS27" i="1"/>
  <c r="BP27" i="1"/>
  <c r="BA27" i="1"/>
  <c r="AU27" i="1"/>
  <c r="AR27" i="1"/>
  <c r="A15" i="11"/>
  <c r="B15" i="11" s="1"/>
  <c r="O16" i="11"/>
  <c r="O34" i="11"/>
  <c r="O24" i="11"/>
  <c r="GV27" i="1"/>
  <c r="EZ27" i="1"/>
  <c r="DL27" i="1"/>
  <c r="EB27" i="1"/>
  <c r="J12" i="11"/>
  <c r="J14" i="11"/>
  <c r="J15" i="11"/>
  <c r="J16" i="11"/>
  <c r="J17" i="11"/>
  <c r="J18" i="11"/>
  <c r="J19" i="11"/>
  <c r="J20" i="11"/>
  <c r="A11" i="11"/>
  <c r="B11" i="11" s="1"/>
  <c r="A16" i="11"/>
  <c r="B16" i="11" s="1"/>
  <c r="O20" i="11"/>
  <c r="O14" i="11"/>
  <c r="O28" i="11"/>
  <c r="O19" i="11"/>
  <c r="O15" i="11"/>
  <c r="O35" i="11"/>
  <c r="O31" i="11"/>
  <c r="O27" i="11"/>
  <c r="AB22" i="1"/>
  <c r="GD27" i="1"/>
  <c r="FI27" i="1"/>
  <c r="FR27" i="1"/>
  <c r="G17" i="11"/>
  <c r="G18" i="11"/>
  <c r="G19" i="11"/>
  <c r="G20" i="11"/>
  <c r="A12" i="11"/>
  <c r="B12" i="11" s="1"/>
  <c r="O22" i="11"/>
  <c r="O18" i="11"/>
  <c r="O32" i="11"/>
  <c r="O26" i="11"/>
  <c r="N36" i="11"/>
  <c r="AB25" i="1"/>
  <c r="M36" i="11"/>
  <c r="EK27" i="1"/>
  <c r="DY27" i="1"/>
  <c r="HS16" i="1" a="1"/>
  <c r="HS16" i="1" s="1"/>
  <c r="HL16" i="1" a="1"/>
  <c r="HL16" i="1" s="1"/>
  <c r="HJ16" i="1" a="1"/>
  <c r="HJ16" i="1" s="1"/>
  <c r="HR16" i="1" a="1"/>
  <c r="HR16" i="1" s="1"/>
  <c r="HP16" i="1" a="1"/>
  <c r="HP16" i="1" s="1"/>
  <c r="HO22" i="1" a="1"/>
  <c r="HO22" i="1" s="1"/>
  <c r="HR22" i="1" a="1"/>
  <c r="HR22" i="1" s="1"/>
  <c r="HK22" i="1" a="1"/>
  <c r="HK22" i="1" s="1"/>
  <c r="HM22" i="1" a="1"/>
  <c r="HM22" i="1" s="1"/>
  <c r="HI22" i="1" a="1"/>
  <c r="HI22" i="1" s="1"/>
  <c r="FF27" i="1"/>
  <c r="FX27" i="1"/>
  <c r="GJ27" i="1"/>
  <c r="EE27" i="1"/>
  <c r="EQ27" i="1"/>
  <c r="HP24" i="1" a="1"/>
  <c r="HP24" i="1" s="1"/>
  <c r="HP13" i="1" a="1"/>
  <c r="HP13" i="1" s="1"/>
  <c r="HI13" i="1" a="1"/>
  <c r="HI13" i="1" s="1"/>
  <c r="HH14" i="1" a="1"/>
  <c r="HH14" i="1" s="1"/>
  <c r="HL24" i="1" a="1"/>
  <c r="HL24" i="1" s="1"/>
  <c r="HE26" i="1"/>
  <c r="R26" i="1" s="1"/>
  <c r="AD17" i="1"/>
  <c r="HP17" i="1" s="1" a="1"/>
  <c r="HP17" i="1" s="1"/>
  <c r="HO15" i="1" a="1"/>
  <c r="HO15" i="1" s="1"/>
  <c r="GY27" i="1"/>
  <c r="HX3" i="1"/>
  <c r="HS24" i="1" a="1"/>
  <c r="HS24" i="1" s="1"/>
  <c r="HQ25" i="1" a="1"/>
  <c r="HQ25" i="1" s="1"/>
  <c r="HP14" i="1" a="1"/>
  <c r="HP14" i="1" s="1"/>
  <c r="HL12" i="1" a="1"/>
  <c r="HL12" i="1" s="1"/>
  <c r="GA27" i="1"/>
  <c r="GS27" i="1"/>
  <c r="HH12" i="1" a="1"/>
  <c r="HH12" i="1" s="1"/>
  <c r="HS12" i="1" a="1"/>
  <c r="HS12" i="1" s="1"/>
  <c r="HL13" i="1" a="1"/>
  <c r="HL13" i="1" s="1"/>
  <c r="HS13" i="1" a="1"/>
  <c r="HS13" i="1" s="1"/>
  <c r="HJ14" i="1" a="1"/>
  <c r="HJ14" i="1" s="1"/>
  <c r="HR14" i="1" a="1"/>
  <c r="HR14" i="1" s="1"/>
  <c r="HL18" i="1" a="1"/>
  <c r="HL18" i="1" s="1"/>
  <c r="HM25" i="1" a="1"/>
  <c r="HM25" i="1" s="1"/>
  <c r="HP18" i="1" a="1"/>
  <c r="HP18" i="1" s="1"/>
  <c r="HK18" i="1" a="1"/>
  <c r="HK18" i="1" s="1"/>
  <c r="HH18" i="1" a="1"/>
  <c r="HH18" i="1" s="1"/>
  <c r="HQ18" i="1" a="1"/>
  <c r="HQ18" i="1" s="1"/>
  <c r="HS18" i="1" a="1"/>
  <c r="HS18" i="1" s="1"/>
  <c r="HJ18" i="1" a="1"/>
  <c r="HJ18" i="1" s="1"/>
  <c r="HO18" i="1" a="1"/>
  <c r="HO18" i="1" s="1"/>
  <c r="HV3" i="1"/>
  <c r="IB15" i="1"/>
  <c r="HC15" i="1" s="1"/>
  <c r="P15" i="1" s="1"/>
  <c r="HM18" i="1" a="1"/>
  <c r="HM18" i="1" s="1"/>
  <c r="IB22" i="1"/>
  <c r="HR26" i="1" a="1"/>
  <c r="HR26" i="1" s="1"/>
  <c r="HJ26" i="1" a="1"/>
  <c r="HJ26" i="1" s="1"/>
  <c r="HO26" i="1" a="1"/>
  <c r="HO26" i="1" s="1"/>
  <c r="HL26" i="1" a="1"/>
  <c r="HL26" i="1" s="1"/>
  <c r="DT26" i="1" s="1"/>
  <c r="N26" i="1" s="1"/>
  <c r="HP26" i="1" a="1"/>
  <c r="HP26" i="1" s="1"/>
  <c r="HK26" i="1" a="1"/>
  <c r="HK26" i="1" s="1"/>
  <c r="HQ26" i="1" a="1"/>
  <c r="HQ26" i="1" s="1"/>
  <c r="HS26" i="1" a="1"/>
  <c r="HS26" i="1" s="1"/>
  <c r="HM26" i="1" a="1"/>
  <c r="HM26" i="1" s="1"/>
  <c r="HH26" i="1" a="1"/>
  <c r="HH26" i="1" s="1"/>
  <c r="HQ21" i="1" a="1"/>
  <c r="HQ21" i="1" s="1"/>
  <c r="HR21" i="1" a="1"/>
  <c r="HR21" i="1" s="1"/>
  <c r="HM21" i="1" a="1"/>
  <c r="HM21" i="1" s="1"/>
  <c r="HK21" i="1" a="1"/>
  <c r="HK21" i="1" s="1"/>
  <c r="HO21" i="1" a="1"/>
  <c r="HO21" i="1" s="1"/>
  <c r="HS21" i="1" a="1"/>
  <c r="HS21" i="1" s="1"/>
  <c r="HP21" i="1" a="1"/>
  <c r="HP21" i="1" s="1"/>
  <c r="HL21" i="1" a="1"/>
  <c r="HL21" i="1" s="1"/>
  <c r="HJ21" i="1" a="1"/>
  <c r="HJ21" i="1" s="1"/>
  <c r="GP27" i="1"/>
  <c r="HI18" i="1" a="1"/>
  <c r="HI18" i="1" s="1"/>
  <c r="HR18" i="1" a="1"/>
  <c r="HR18" i="1" s="1"/>
  <c r="EN27" i="1"/>
  <c r="HY3" i="1"/>
  <c r="DI27" i="1"/>
  <c r="DC27" i="1"/>
  <c r="CZ27" i="1"/>
  <c r="CK27" i="1"/>
  <c r="CE27" i="1"/>
  <c r="CB27" i="1"/>
  <c r="BM27" i="1"/>
  <c r="BG27" i="1"/>
  <c r="BD27" i="1"/>
  <c r="AO27" i="1"/>
  <c r="FU27" i="1"/>
  <c r="EH27" i="1"/>
  <c r="EW27" i="1"/>
  <c r="HC21" i="1"/>
  <c r="P21" i="1" s="1"/>
  <c r="HC22" i="1"/>
  <c r="P22" i="1" s="1"/>
  <c r="HQ14" i="1" a="1"/>
  <c r="HQ14" i="1" s="1"/>
  <c r="HQ12" i="1" a="1"/>
  <c r="HQ12" i="1" s="1"/>
  <c r="IE3" i="1"/>
  <c r="HZ3" i="1"/>
  <c r="HH16" i="1" a="1"/>
  <c r="HH16" i="1" s="1"/>
  <c r="HK16" i="1" a="1"/>
  <c r="HK16" i="1" s="1"/>
  <c r="HD16" i="1"/>
  <c r="Q16" i="1" s="1"/>
  <c r="AB18" i="1"/>
  <c r="IB18" i="1"/>
  <c r="HC18" i="1" s="1"/>
  <c r="P18" i="1" s="1"/>
  <c r="HJ24" i="1" a="1"/>
  <c r="HJ24" i="1" s="1"/>
  <c r="HD24" i="1"/>
  <c r="Q24" i="1" s="1"/>
  <c r="HK25" i="1" a="1"/>
  <c r="HK25" i="1" s="1"/>
  <c r="HP25" i="1" a="1"/>
  <c r="HP25" i="1" s="1"/>
  <c r="HD25" i="1"/>
  <c r="Q25" i="1" s="1"/>
  <c r="AB26" i="1"/>
  <c r="HQ22" i="1" a="1"/>
  <c r="HQ22" i="1" s="1"/>
  <c r="HO25" i="1" a="1"/>
  <c r="HO25" i="1" s="1"/>
  <c r="HO14" i="1" a="1"/>
  <c r="HO14" i="1" s="1"/>
  <c r="HO13" i="1" a="1"/>
  <c r="HO13" i="1" s="1"/>
  <c r="HO12" i="1" a="1"/>
  <c r="HO12" i="1" s="1"/>
  <c r="HB27" i="1"/>
  <c r="HI12" i="1" a="1"/>
  <c r="HI12" i="1" s="1"/>
  <c r="HK13" i="1" a="1"/>
  <c r="HK13" i="1" s="1"/>
  <c r="HK14" i="1" a="1"/>
  <c r="HK14" i="1" s="1"/>
  <c r="AB15" i="1"/>
  <c r="HI15" i="1" a="1"/>
  <c r="HI15" i="1" s="1"/>
  <c r="HL15" i="1" a="1"/>
  <c r="HL15" i="1" s="1"/>
  <c r="DU15" i="1" s="1"/>
  <c r="O15" i="1" s="1"/>
  <c r="HS15" i="1" a="1"/>
  <c r="HS15" i="1" s="1"/>
  <c r="HD15" i="1"/>
  <c r="Q15" i="1" s="1"/>
  <c r="HI16" i="1" a="1"/>
  <c r="HI16" i="1" s="1"/>
  <c r="HM16" i="1" a="1"/>
  <c r="HM16" i="1" s="1"/>
  <c r="HH22" i="1" a="1"/>
  <c r="HH22" i="1" s="1"/>
  <c r="HJ22" i="1" a="1"/>
  <c r="HJ22" i="1" s="1"/>
  <c r="HL22" i="1" a="1"/>
  <c r="HL22" i="1" s="1"/>
  <c r="HP22" i="1" a="1"/>
  <c r="HP22" i="1" s="1"/>
  <c r="HS22" i="1" a="1"/>
  <c r="HS22" i="1" s="1"/>
  <c r="HJ25" i="1" a="1"/>
  <c r="HJ25" i="1" s="1"/>
  <c r="HR25" i="1" a="1"/>
  <c r="HR25" i="1" s="1"/>
  <c r="HQ15" i="1" a="1"/>
  <c r="HQ15" i="1" s="1"/>
  <c r="HD12" i="1"/>
  <c r="Q12" i="1" s="1"/>
  <c r="IF3" i="1"/>
  <c r="IB13" i="1"/>
  <c r="HC13" i="1" s="1"/>
  <c r="P13" i="1" s="1"/>
  <c r="IB14" i="1"/>
  <c r="HC14" i="1" s="1"/>
  <c r="P14" i="1" s="1"/>
  <c r="HD17" i="1"/>
  <c r="Q17" i="1" s="1"/>
  <c r="HD18" i="1"/>
  <c r="Q18" i="1" s="1"/>
  <c r="FC27" i="1"/>
  <c r="IB12" i="1"/>
  <c r="HC12" i="1" s="1"/>
  <c r="P12" i="1" s="1"/>
  <c r="IA3" i="1"/>
  <c r="IB17" i="1"/>
  <c r="HC17" i="1" s="1"/>
  <c r="P17" i="1" s="1"/>
  <c r="HD14" i="1"/>
  <c r="Q14" i="1" s="1"/>
  <c r="HD13" i="1"/>
  <c r="Q13" i="1" s="1"/>
  <c r="ID3" i="1"/>
  <c r="FO27" i="1"/>
  <c r="HW3" i="1"/>
  <c r="DR27" i="1"/>
  <c r="DF27" i="1"/>
  <c r="CT27" i="1"/>
  <c r="CH27" i="1"/>
  <c r="BV27" i="1"/>
  <c r="BJ27" i="1"/>
  <c r="AX27" i="1"/>
  <c r="AL27" i="1"/>
  <c r="IB16" i="1"/>
  <c r="HC16" i="1" s="1"/>
  <c r="P16" i="1" s="1"/>
  <c r="HD19" i="1"/>
  <c r="Q19" i="1" s="1"/>
  <c r="HD23" i="1"/>
  <c r="Q23" i="1" s="1"/>
  <c r="AD19" i="1"/>
  <c r="AE27" i="1"/>
  <c r="AB19" i="1"/>
  <c r="IG3" i="1"/>
  <c r="IB19" i="1"/>
  <c r="HC19" i="1" s="1"/>
  <c r="P19" i="1" s="1"/>
  <c r="HE21" i="1"/>
  <c r="R21" i="1" s="1"/>
  <c r="HD21" i="1"/>
  <c r="Q21" i="1" s="1"/>
  <c r="HE22" i="1"/>
  <c r="R22" i="1" s="1"/>
  <c r="HD22" i="1"/>
  <c r="Q22" i="1" s="1"/>
  <c r="IB23" i="1"/>
  <c r="HC24" i="1"/>
  <c r="P24" i="1" s="1"/>
  <c r="HE24" i="1"/>
  <c r="R24" i="1" s="1"/>
  <c r="HC25" i="1"/>
  <c r="P25" i="1" s="1"/>
  <c r="HE25" i="1"/>
  <c r="R25" i="1" s="1"/>
  <c r="HO24" i="1" a="1"/>
  <c r="HO24" i="1" s="1"/>
  <c r="HQ24" i="1" a="1"/>
  <c r="HQ24" i="1" s="1"/>
  <c r="HR24" i="1" a="1"/>
  <c r="HR24" i="1" s="1"/>
  <c r="HM24" i="1" a="1"/>
  <c r="HM24" i="1" s="1"/>
  <c r="HK24" i="1" a="1"/>
  <c r="HK24" i="1" s="1"/>
  <c r="HI24" i="1" a="1"/>
  <c r="HI24" i="1" s="1"/>
  <c r="IB21" i="1"/>
  <c r="IB26" i="1"/>
  <c r="HD26" i="1"/>
  <c r="Q26" i="1" s="1"/>
  <c r="HC26" i="1"/>
  <c r="P26" i="1" s="1"/>
  <c r="IC3" i="1"/>
  <c r="HC23" i="1"/>
  <c r="P23" i="1" s="1"/>
  <c r="HE23" i="1"/>
  <c r="R23" i="1" s="1"/>
  <c r="IB24" i="1"/>
  <c r="IB25" i="1"/>
  <c r="AD23" i="1"/>
  <c r="AB23" i="1"/>
  <c r="HO16" i="1" a="1"/>
  <c r="HO16" i="1" s="1"/>
  <c r="HQ16" i="1" a="1"/>
  <c r="HQ16" i="1" s="1"/>
  <c r="O36" i="11" l="1"/>
  <c r="O37" i="11" s="1"/>
  <c r="Z36" i="11" s="1"/>
  <c r="Z38" i="11" s="1"/>
  <c r="DU12" i="1"/>
  <c r="O12" i="1" s="1"/>
  <c r="DS13" i="1"/>
  <c r="M13" i="1" s="1"/>
  <c r="DS12" i="1"/>
  <c r="M12" i="1" s="1"/>
  <c r="DT21" i="1"/>
  <c r="N21" i="1" s="1"/>
  <c r="DU26" i="1"/>
  <c r="DS18" i="1"/>
  <c r="HN12" i="1"/>
  <c r="DU13" i="1"/>
  <c r="O13" i="1" s="1"/>
  <c r="HN21" i="1"/>
  <c r="HN15" i="1"/>
  <c r="DT22" i="1"/>
  <c r="N22" i="1" s="1"/>
  <c r="DT12" i="1"/>
  <c r="N12" i="1" s="1"/>
  <c r="K12" i="1" s="1"/>
  <c r="DU18" i="1"/>
  <c r="O18" i="1" s="1"/>
  <c r="DU25" i="1"/>
  <c r="O25" i="1" s="1"/>
  <c r="DS14" i="1"/>
  <c r="M14" i="1" s="1"/>
  <c r="DU21" i="1"/>
  <c r="O21" i="1" s="1"/>
  <c r="DS21" i="1"/>
  <c r="HQ17" i="1" a="1"/>
  <c r="HQ17" i="1" s="1"/>
  <c r="HR17" i="1" a="1"/>
  <c r="HR17" i="1" s="1"/>
  <c r="HJ17" i="1" a="1"/>
  <c r="HJ17" i="1" s="1"/>
  <c r="HI17" i="1" a="1"/>
  <c r="HI17" i="1" s="1"/>
  <c r="HM17" i="1" a="1"/>
  <c r="HM17" i="1" s="1"/>
  <c r="HH17" i="1" a="1"/>
  <c r="HH17" i="1" s="1"/>
  <c r="HS17" i="1" a="1"/>
  <c r="HS17" i="1" s="1"/>
  <c r="HL17" i="1" a="1"/>
  <c r="HL17" i="1" s="1"/>
  <c r="DS25" i="1"/>
  <c r="M25" i="1" s="1"/>
  <c r="J25" i="1" s="1"/>
  <c r="DT18" i="1"/>
  <c r="DT13" i="1"/>
  <c r="N13" i="1" s="1"/>
  <c r="K13" i="1" s="1"/>
  <c r="HO17" i="1" a="1"/>
  <c r="HO17" i="1" s="1"/>
  <c r="DT15" i="1"/>
  <c r="HN26" i="1"/>
  <c r="AB27" i="1"/>
  <c r="J12" i="1"/>
  <c r="HN25" i="1"/>
  <c r="HN24" i="1"/>
  <c r="DT25" i="1"/>
  <c r="J18" i="1"/>
  <c r="DS22" i="1"/>
  <c r="M18" i="1"/>
  <c r="O26" i="1"/>
  <c r="L26" i="1" s="1"/>
  <c r="HN13" i="1"/>
  <c r="HN22" i="1"/>
  <c r="HK17" i="1" a="1"/>
  <c r="HK17" i="1" s="1"/>
  <c r="HN14" i="1"/>
  <c r="HN16" i="1"/>
  <c r="K22" i="1"/>
  <c r="DU14" i="1"/>
  <c r="O14" i="1" s="1"/>
  <c r="K26" i="1"/>
  <c r="DU22" i="1"/>
  <c r="O22" i="1" s="1"/>
  <c r="DT14" i="1"/>
  <c r="DS26" i="1"/>
  <c r="DS15" i="1"/>
  <c r="M15" i="1" s="1"/>
  <c r="J15" i="1" s="1"/>
  <c r="HN18" i="1"/>
  <c r="L25" i="1"/>
  <c r="J13" i="1"/>
  <c r="J14" i="1"/>
  <c r="DU16" i="1"/>
  <c r="DT16" i="1"/>
  <c r="DS16" i="1"/>
  <c r="K21" i="1"/>
  <c r="L22" i="1"/>
  <c r="HO23" i="1" a="1"/>
  <c r="HO23" i="1" s="1"/>
  <c r="HR23" i="1" a="1"/>
  <c r="HR23" i="1" s="1"/>
  <c r="HM23" i="1" a="1"/>
  <c r="HM23" i="1" s="1"/>
  <c r="HK23" i="1" a="1"/>
  <c r="HK23" i="1" s="1"/>
  <c r="HI23" i="1" a="1"/>
  <c r="HI23" i="1" s="1"/>
  <c r="HS23" i="1" a="1"/>
  <c r="HS23" i="1" s="1"/>
  <c r="HH23" i="1" a="1"/>
  <c r="HH23" i="1" s="1"/>
  <c r="HP23" i="1" a="1"/>
  <c r="HP23" i="1" s="1"/>
  <c r="HQ23" i="1" a="1"/>
  <c r="HQ23" i="1" s="1"/>
  <c r="HL23" i="1" a="1"/>
  <c r="HL23" i="1" s="1"/>
  <c r="HJ23" i="1" a="1"/>
  <c r="HJ23" i="1" s="1"/>
  <c r="IH25" i="1"/>
  <c r="IH24" i="1"/>
  <c r="IH23" i="1"/>
  <c r="IH26" i="1"/>
  <c r="IH19" i="1"/>
  <c r="HE19" i="1" s="1"/>
  <c r="R19" i="1" s="1"/>
  <c r="IH22" i="1"/>
  <c r="IH18" i="1"/>
  <c r="HE18" i="1" s="1"/>
  <c r="R18" i="1" s="1"/>
  <c r="IH17" i="1"/>
  <c r="HE17" i="1" s="1"/>
  <c r="R17" i="1" s="1"/>
  <c r="IH16" i="1"/>
  <c r="HE16" i="1" s="1"/>
  <c r="R16" i="1" s="1"/>
  <c r="IH15" i="1"/>
  <c r="HE15" i="1" s="1"/>
  <c r="R15" i="1" s="1"/>
  <c r="L15" i="1" s="1"/>
  <c r="IH21" i="1"/>
  <c r="IH14" i="1"/>
  <c r="HE14" i="1" s="1"/>
  <c r="R14" i="1" s="1"/>
  <c r="L14" i="1" s="1"/>
  <c r="IH13" i="1"/>
  <c r="HE13" i="1" s="1"/>
  <c r="R13" i="1" s="1"/>
  <c r="L13" i="1" s="1"/>
  <c r="IH12" i="1"/>
  <c r="HE12" i="1" s="1"/>
  <c r="R12" i="1" s="1"/>
  <c r="DU24" i="1"/>
  <c r="DT24" i="1"/>
  <c r="DS24" i="1"/>
  <c r="L21" i="1"/>
  <c r="HO19" i="1" a="1"/>
  <c r="HO19" i="1" s="1"/>
  <c r="HQ19" i="1" a="1"/>
  <c r="HQ19" i="1" s="1"/>
  <c r="HP19" i="1" a="1"/>
  <c r="HP19" i="1" s="1"/>
  <c r="HP3" i="1" s="1"/>
  <c r="HI19" i="1" a="1"/>
  <c r="HI19" i="1" s="1"/>
  <c r="HS19" i="1" a="1"/>
  <c r="HS19" i="1" s="1"/>
  <c r="HK19" i="1" a="1"/>
  <c r="HK19" i="1" s="1"/>
  <c r="HK3" i="1" s="1"/>
  <c r="HH19" i="1" a="1"/>
  <c r="HH19" i="1" s="1"/>
  <c r="HR19" i="1" a="1"/>
  <c r="HR19" i="1" s="1"/>
  <c r="HM19" i="1" a="1"/>
  <c r="HM19" i="1" s="1"/>
  <c r="HL19" i="1" a="1"/>
  <c r="HL19" i="1" s="1"/>
  <c r="HJ19" i="1" a="1"/>
  <c r="HJ19" i="1" s="1"/>
  <c r="L12" i="1" l="1"/>
  <c r="HI3" i="1"/>
  <c r="HQ3" i="1"/>
  <c r="DS17" i="1"/>
  <c r="DT17" i="1"/>
  <c r="N17" i="1" s="1"/>
  <c r="K17" i="1" s="1"/>
  <c r="L18" i="1"/>
  <c r="M17" i="1"/>
  <c r="J17" i="1" s="1"/>
  <c r="M24" i="1"/>
  <c r="J24" i="1" s="1"/>
  <c r="O16" i="1"/>
  <c r="L16" i="1" s="1"/>
  <c r="N14" i="1"/>
  <c r="K14" i="1" s="1"/>
  <c r="N25" i="1"/>
  <c r="K25" i="1" s="1"/>
  <c r="DU17" i="1"/>
  <c r="O17" i="1" s="1"/>
  <c r="L17" i="1" s="1"/>
  <c r="M21" i="1"/>
  <c r="J21" i="1" s="1"/>
  <c r="HO3" i="1"/>
  <c r="N24" i="1"/>
  <c r="K24" i="1" s="1"/>
  <c r="M22" i="1"/>
  <c r="J22" i="1" s="1"/>
  <c r="O24" i="1"/>
  <c r="L24" i="1" s="1"/>
  <c r="M16" i="1"/>
  <c r="J16" i="1" s="1"/>
  <c r="HJ3" i="1"/>
  <c r="HH3" i="1"/>
  <c r="N16" i="1"/>
  <c r="K16" i="1" s="1"/>
  <c r="M26" i="1"/>
  <c r="J26" i="1" s="1"/>
  <c r="HN17" i="1"/>
  <c r="N15" i="1"/>
  <c r="K15" i="1" s="1"/>
  <c r="N18" i="1"/>
  <c r="K18" i="1" s="1"/>
  <c r="HS3" i="1"/>
  <c r="HL3" i="1"/>
  <c r="HR3" i="1"/>
  <c r="HT22" i="1"/>
  <c r="HT21" i="1"/>
  <c r="HT19" i="1"/>
  <c r="HT24" i="1"/>
  <c r="HT17" i="1"/>
  <c r="HT26" i="1"/>
  <c r="HT18" i="1"/>
  <c r="HT15" i="1"/>
  <c r="HT13" i="1"/>
  <c r="HT16" i="1"/>
  <c r="HN23" i="1"/>
  <c r="HN19" i="1"/>
  <c r="HM3" i="1"/>
  <c r="DT19" i="1"/>
  <c r="DS19" i="1"/>
  <c r="DU19" i="1"/>
  <c r="DU23" i="1"/>
  <c r="DT23" i="1"/>
  <c r="DS23" i="1"/>
  <c r="HT25" i="1" l="1"/>
  <c r="M23" i="1"/>
  <c r="J23" i="1" s="1"/>
  <c r="N23" i="1"/>
  <c r="K23" i="1" s="1"/>
  <c r="N19" i="1"/>
  <c r="K19" i="1" s="1"/>
  <c r="HT12" i="1"/>
  <c r="HT14" i="1"/>
  <c r="HT23" i="1"/>
  <c r="O19" i="1"/>
  <c r="L19" i="1" s="1"/>
  <c r="M19" i="1"/>
  <c r="J19" i="1" s="1"/>
  <c r="O23" i="1"/>
  <c r="L23" i="1" s="1"/>
</calcChain>
</file>

<file path=xl/comments1.xml><?xml version="1.0" encoding="utf-8"?>
<comments xmlns="http://schemas.openxmlformats.org/spreadsheetml/2006/main">
  <authors>
    <author>Dan.Greve@hu.nl</author>
    <author>Dan Greve</author>
  </authors>
  <commentList>
    <comment ref="D3" authorId="0" shapeId="0">
      <text>
        <r>
          <rPr>
            <b/>
            <sz val="9"/>
            <color indexed="81"/>
            <rFont val="Tahoma"/>
            <family val="2"/>
          </rPr>
          <t xml:space="preserve">Invoeren op tabbald Competentie en leerplanschema
</t>
        </r>
      </text>
    </comment>
    <comment ref="E5" authorId="1" shapeId="0">
      <text>
        <r>
          <rPr>
            <b/>
            <sz val="9"/>
            <color indexed="81"/>
            <rFont val="Tahoma"/>
            <family val="2"/>
          </rPr>
          <t xml:space="preserve">ICT beroepstaak op basis van HBO-I versie 2014
 </t>
        </r>
      </text>
    </comment>
    <comment ref="I5" authorId="0" shapeId="0">
      <text>
        <r>
          <rPr>
            <b/>
            <sz val="9"/>
            <color indexed="81"/>
            <rFont val="Tahoma"/>
            <family val="2"/>
          </rPr>
          <t>Bloom niveaus:
K</t>
        </r>
        <r>
          <rPr>
            <sz val="9"/>
            <color indexed="81"/>
            <rFont val="Tahoma"/>
            <family val="2"/>
          </rPr>
          <t xml:space="preserve"> = Kennis</t>
        </r>
        <r>
          <rPr>
            <b/>
            <sz val="9"/>
            <color indexed="81"/>
            <rFont val="Tahoma"/>
            <family val="2"/>
          </rPr>
          <t xml:space="preserve">
B</t>
        </r>
        <r>
          <rPr>
            <sz val="9"/>
            <color indexed="81"/>
            <rFont val="Tahoma"/>
            <family val="2"/>
          </rPr>
          <t xml:space="preserve"> = Begrip</t>
        </r>
        <r>
          <rPr>
            <b/>
            <sz val="9"/>
            <color indexed="81"/>
            <rFont val="Tahoma"/>
            <family val="2"/>
          </rPr>
          <t xml:space="preserve">
T</t>
        </r>
        <r>
          <rPr>
            <sz val="9"/>
            <color indexed="81"/>
            <rFont val="Tahoma"/>
            <family val="2"/>
          </rPr>
          <t xml:space="preserve"> = Toepassen</t>
        </r>
        <r>
          <rPr>
            <b/>
            <sz val="9"/>
            <color indexed="81"/>
            <rFont val="Tahoma"/>
            <family val="2"/>
          </rPr>
          <t xml:space="preserve">
A </t>
        </r>
        <r>
          <rPr>
            <sz val="9"/>
            <color indexed="81"/>
            <rFont val="Tahoma"/>
            <family val="2"/>
          </rPr>
          <t>= Analyseren</t>
        </r>
        <r>
          <rPr>
            <b/>
            <sz val="9"/>
            <color indexed="81"/>
            <rFont val="Tahoma"/>
            <family val="2"/>
          </rPr>
          <t xml:space="preserve">
E</t>
        </r>
        <r>
          <rPr>
            <sz val="9"/>
            <color indexed="81"/>
            <rFont val="Tahoma"/>
            <family val="2"/>
          </rPr>
          <t xml:space="preserve"> = Evalueren</t>
        </r>
        <r>
          <rPr>
            <b/>
            <sz val="9"/>
            <color indexed="81"/>
            <rFont val="Tahoma"/>
            <family val="2"/>
          </rPr>
          <t xml:space="preserve">
C</t>
        </r>
        <r>
          <rPr>
            <sz val="9"/>
            <color indexed="81"/>
            <rFont val="Tahoma"/>
            <family val="2"/>
          </rPr>
          <t xml:space="preserve"> = Creëren
</t>
        </r>
      </text>
    </comment>
    <comment ref="K5" authorId="0" shapeId="0">
      <text>
        <r>
          <rPr>
            <b/>
            <sz val="9"/>
            <color indexed="81"/>
            <rFont val="Tahoma"/>
            <family val="2"/>
          </rPr>
          <t xml:space="preserve">Kennisbasis:
</t>
        </r>
        <r>
          <rPr>
            <sz val="9"/>
            <color indexed="81"/>
            <rFont val="Tahoma"/>
            <family val="2"/>
          </rPr>
          <t>Trefwoorden die de kennisbasis van de cursus weergeven. 
Vaak zelfstandignaamwoorden uit leerdoelen.</t>
        </r>
      </text>
    </comment>
    <comment ref="C8" authorId="0" shapeId="0">
      <text>
        <r>
          <rPr>
            <b/>
            <sz val="9"/>
            <color indexed="81"/>
            <rFont val="Tahoma"/>
            <family val="2"/>
          </rPr>
          <t>Professionals skill
CPO</t>
        </r>
        <r>
          <rPr>
            <sz val="9"/>
            <color indexed="81"/>
            <rFont val="Tahoma"/>
            <family val="2"/>
          </rPr>
          <t xml:space="preserve">   = Creatief Probleem oplossen
</t>
        </r>
        <r>
          <rPr>
            <b/>
            <sz val="9"/>
            <color indexed="81"/>
            <rFont val="Tahoma"/>
            <family val="2"/>
          </rPr>
          <t>OD</t>
        </r>
        <r>
          <rPr>
            <sz val="9"/>
            <color indexed="81"/>
            <rFont val="Tahoma"/>
            <family val="2"/>
          </rPr>
          <t xml:space="preserve">     = Onderzoek doen
</t>
        </r>
        <r>
          <rPr>
            <b/>
            <sz val="9"/>
            <color indexed="81"/>
            <rFont val="Tahoma"/>
            <family val="2"/>
          </rPr>
          <t>LSC</t>
        </r>
        <r>
          <rPr>
            <sz val="9"/>
            <color indexed="81"/>
            <rFont val="Tahoma"/>
            <family val="2"/>
          </rPr>
          <t xml:space="preserve">    = Leiderschap, Samenwerken, Communicatie
</t>
        </r>
        <r>
          <rPr>
            <b/>
            <sz val="9"/>
            <color indexed="81"/>
            <rFont val="Tahoma"/>
            <family val="2"/>
          </rPr>
          <t>POKe</t>
        </r>
        <r>
          <rPr>
            <sz val="9"/>
            <color indexed="81"/>
            <rFont val="Tahoma"/>
            <family val="2"/>
          </rPr>
          <t xml:space="preserve"> = Plannen, Organiseren Kwaliteit en ethiek
</t>
        </r>
        <r>
          <rPr>
            <b/>
            <sz val="9"/>
            <color indexed="81"/>
            <rFont val="Tahoma"/>
            <family val="2"/>
          </rPr>
          <t>LPO</t>
        </r>
        <r>
          <rPr>
            <sz val="9"/>
            <color indexed="81"/>
            <rFont val="Tahoma"/>
            <family val="2"/>
          </rPr>
          <t xml:space="preserve">   = Leren en Persoonlijke Ontwikkeling
</t>
        </r>
      </text>
    </comment>
    <comment ref="D8" authorId="0" shapeId="0">
      <text>
        <r>
          <rPr>
            <b/>
            <sz val="9"/>
            <color indexed="81"/>
            <rFont val="Tahoma"/>
            <family val="2"/>
          </rPr>
          <t xml:space="preserve">Zelstandigheid Professional skill:
T </t>
        </r>
        <r>
          <rPr>
            <sz val="9"/>
            <color indexed="81"/>
            <rFont val="Tahoma"/>
            <family val="2"/>
          </rPr>
          <t>= Taakgericht</t>
        </r>
        <r>
          <rPr>
            <b/>
            <sz val="9"/>
            <color indexed="81"/>
            <rFont val="Tahoma"/>
            <family val="2"/>
          </rPr>
          <t xml:space="preserve">
P </t>
        </r>
        <r>
          <rPr>
            <sz val="9"/>
            <color indexed="81"/>
            <rFont val="Tahoma"/>
            <family val="2"/>
          </rPr>
          <t>= Probleemgericht</t>
        </r>
        <r>
          <rPr>
            <b/>
            <sz val="9"/>
            <color indexed="81"/>
            <rFont val="Tahoma"/>
            <family val="2"/>
          </rPr>
          <t xml:space="preserve">
S </t>
        </r>
        <r>
          <rPr>
            <sz val="9"/>
            <color indexed="81"/>
            <rFont val="Tahoma"/>
            <family val="2"/>
          </rPr>
          <t xml:space="preserve">= Situatiegericht
</t>
        </r>
      </text>
    </comment>
    <comment ref="E8" authorId="0" shapeId="0">
      <text>
        <r>
          <rPr>
            <b/>
            <sz val="9"/>
            <color indexed="81"/>
            <rFont val="Tahoma"/>
            <family val="2"/>
          </rPr>
          <t>ICT Beroepstaak:
BEH</t>
        </r>
        <r>
          <rPr>
            <sz val="9"/>
            <color indexed="81"/>
            <rFont val="Tahoma"/>
            <family val="2"/>
          </rPr>
          <t xml:space="preserve"> = Beheren</t>
        </r>
        <r>
          <rPr>
            <b/>
            <sz val="9"/>
            <color indexed="81"/>
            <rFont val="Tahoma"/>
            <family val="2"/>
          </rPr>
          <t xml:space="preserve">
ANA </t>
        </r>
        <r>
          <rPr>
            <sz val="9"/>
            <color indexed="81"/>
            <rFont val="Tahoma"/>
            <family val="2"/>
          </rPr>
          <t>= Analyseren</t>
        </r>
        <r>
          <rPr>
            <b/>
            <sz val="9"/>
            <color indexed="81"/>
            <rFont val="Tahoma"/>
            <family val="2"/>
          </rPr>
          <t xml:space="preserve">
ADV </t>
        </r>
        <r>
          <rPr>
            <sz val="9"/>
            <color indexed="81"/>
            <rFont val="Tahoma"/>
            <family val="2"/>
          </rPr>
          <t>= Adviseren</t>
        </r>
        <r>
          <rPr>
            <b/>
            <sz val="9"/>
            <color indexed="81"/>
            <rFont val="Tahoma"/>
            <family val="2"/>
          </rPr>
          <t xml:space="preserve">
ONT</t>
        </r>
        <r>
          <rPr>
            <sz val="9"/>
            <color indexed="81"/>
            <rFont val="Tahoma"/>
            <family val="2"/>
          </rPr>
          <t xml:space="preserve"> = Ontwerpen</t>
        </r>
        <r>
          <rPr>
            <b/>
            <sz val="9"/>
            <color indexed="81"/>
            <rFont val="Tahoma"/>
            <family val="2"/>
          </rPr>
          <t xml:space="preserve">
REA</t>
        </r>
        <r>
          <rPr>
            <sz val="9"/>
            <color indexed="81"/>
            <rFont val="Tahoma"/>
            <family val="2"/>
          </rPr>
          <t xml:space="preserve"> = Realiseren</t>
        </r>
      </text>
    </comment>
    <comment ref="F8" authorId="0" shapeId="0">
      <text>
        <r>
          <rPr>
            <b/>
            <sz val="9"/>
            <color indexed="81"/>
            <rFont val="Tahoma"/>
            <family val="2"/>
          </rPr>
          <t>ICT Beroepstaak:
GEBR</t>
        </r>
        <r>
          <rPr>
            <sz val="9"/>
            <color indexed="81"/>
            <rFont val="Tahoma"/>
            <family val="2"/>
          </rPr>
          <t xml:space="preserve">  = Gebruikersinteractie</t>
        </r>
        <r>
          <rPr>
            <b/>
            <sz val="9"/>
            <color indexed="81"/>
            <rFont val="Tahoma"/>
            <family val="2"/>
          </rPr>
          <t xml:space="preserve">
PROC</t>
        </r>
        <r>
          <rPr>
            <sz val="9"/>
            <color indexed="81"/>
            <rFont val="Tahoma"/>
            <family val="2"/>
          </rPr>
          <t xml:space="preserve">  = Bedrijfsprocessen</t>
        </r>
        <r>
          <rPr>
            <b/>
            <sz val="9"/>
            <color indexed="81"/>
            <rFont val="Tahoma"/>
            <family val="2"/>
          </rPr>
          <t xml:space="preserve">
INFRA =</t>
        </r>
        <r>
          <rPr>
            <sz val="9"/>
            <color indexed="81"/>
            <rFont val="Tahoma"/>
            <family val="2"/>
          </rPr>
          <t xml:space="preserve"> Infrastructuur</t>
        </r>
        <r>
          <rPr>
            <b/>
            <sz val="9"/>
            <color indexed="81"/>
            <rFont val="Tahoma"/>
            <family val="2"/>
          </rPr>
          <t xml:space="preserve">
SW</t>
        </r>
        <r>
          <rPr>
            <sz val="9"/>
            <color indexed="81"/>
            <rFont val="Tahoma"/>
            <family val="2"/>
          </rPr>
          <t xml:space="preserve">      = Software</t>
        </r>
        <r>
          <rPr>
            <b/>
            <sz val="9"/>
            <color indexed="81"/>
            <rFont val="Tahoma"/>
            <family val="2"/>
          </rPr>
          <t xml:space="preserve">
HW      </t>
        </r>
        <r>
          <rPr>
            <sz val="9"/>
            <color indexed="81"/>
            <rFont val="Tahoma"/>
            <family val="2"/>
          </rPr>
          <t>= Hardware interfacing</t>
        </r>
      </text>
    </comment>
    <comment ref="G8" authorId="0" shapeId="0">
      <text>
        <r>
          <rPr>
            <b/>
            <sz val="9"/>
            <color indexed="81"/>
            <rFont val="Tahoma"/>
            <family val="2"/>
          </rPr>
          <t xml:space="preserve">Complexiteit ICT beroepstaak:
</t>
        </r>
        <r>
          <rPr>
            <sz val="9"/>
            <color indexed="81"/>
            <rFont val="Tahoma"/>
            <family val="2"/>
          </rPr>
          <t>+, 1, 1+, 2, 2+, 3</t>
        </r>
      </text>
    </comment>
    <comment ref="M8" authorId="0" shapeId="0">
      <text>
        <r>
          <rPr>
            <b/>
            <sz val="9"/>
            <color indexed="81"/>
            <rFont val="Tahoma"/>
            <family val="2"/>
          </rPr>
          <t>Toetsomschrijving is de term die studenten zien in OSIRIS en waar ze op inschrijven, dit geeft specifiek de toetsing weer.</t>
        </r>
        <r>
          <rPr>
            <sz val="9"/>
            <color indexed="81"/>
            <rFont val="Tahoma"/>
            <family val="2"/>
          </rPr>
          <t xml:space="preserve">
</t>
        </r>
      </text>
    </comment>
    <comment ref="N8" authorId="0" shapeId="0">
      <text>
        <r>
          <rPr>
            <b/>
            <sz val="9"/>
            <color indexed="81"/>
            <rFont val="Tahoma"/>
            <family val="2"/>
          </rPr>
          <t xml:space="preserve">Toetsvormen geeft uit een HU breed vastgestelde lijst weer: 
</t>
        </r>
        <r>
          <rPr>
            <sz val="9"/>
            <color indexed="81"/>
            <rFont val="Tahoma"/>
            <family val="2"/>
          </rPr>
          <t>anders, 
assessment, 
computer, 
deelname, 
luister, 
(MC-) tentamen, 
mondeling, 
opdracht, 
praktijk, 
presentatie, 
tentamen, 
verslag.</t>
        </r>
      </text>
    </comment>
    <comment ref="O8" authorId="0" shapeId="0">
      <text>
        <r>
          <rPr>
            <b/>
            <sz val="9"/>
            <color indexed="81"/>
            <rFont val="Tahoma"/>
            <family val="2"/>
          </rPr>
          <t xml:space="preserve">Resultaatschaal:
</t>
        </r>
        <r>
          <rPr>
            <sz val="9"/>
            <color indexed="81"/>
            <rFont val="Tahoma"/>
            <family val="2"/>
          </rPr>
          <t xml:space="preserve">voldaan- niet voldaan, 
tienpuntschaal 1 – 10, 
tienpuntschaal 1,0- 10,0  
</t>
        </r>
      </text>
    </comment>
  </commentList>
</comments>
</file>

<file path=xl/comments2.xml><?xml version="1.0" encoding="utf-8"?>
<comments xmlns="http://schemas.openxmlformats.org/spreadsheetml/2006/main">
  <authors>
    <author>Joost Schalken-Pinkster</author>
    <author>Dan.Greve@hu.nl</author>
  </authors>
  <commentList>
    <comment ref="HC7" authorId="0" shapeId="0">
      <text>
        <r>
          <rPr>
            <b/>
            <sz val="9"/>
            <color indexed="81"/>
            <rFont val="Tahoma"/>
            <family val="2"/>
          </rPr>
          <t>Beoordelingselement:</t>
        </r>
        <r>
          <rPr>
            <sz val="9"/>
            <color indexed="81"/>
            <rFont val="Tahoma"/>
            <family val="2"/>
          </rPr>
          <t xml:space="preserve">
Datgene wat de student (in)levert om een beoordeling te krijgen. Kan een product (rapport, code, configuratiebestanden, etc.) zijn, maar ook een prestatie (presentatie, demo, poc, etc.) of een professionele handeling (interview, etc.).
Let op: beschrijf wat de examinator beoordeelt en niet waarom deze dat beoordeelt (dus wel een evaluatieverslag over de samenwerking, maar niet de samenwerking, tenzij hij/zij deze zelf gaat observeren.....)</t>
        </r>
      </text>
    </comment>
    <comment ref="DS9" authorId="0" shapeId="0">
      <text>
        <r>
          <rPr>
            <b/>
            <sz val="9"/>
            <color indexed="81"/>
            <rFont val="Tahoma"/>
            <family val="2"/>
          </rPr>
          <t>Inclusiekans:</t>
        </r>
        <r>
          <rPr>
            <sz val="9"/>
            <color indexed="81"/>
            <rFont val="Tahoma"/>
            <family val="2"/>
          </rPr>
          <t xml:space="preserve">
Kans dat deze vraagsoort/type voorkomt in een tentamen. (100% =&gt; vraag komt altijd voor in een tentamen).</t>
        </r>
      </text>
    </comment>
    <comment ref="B11" authorId="1" shapeId="0">
      <text>
        <r>
          <rPr>
            <b/>
            <sz val="9"/>
            <color indexed="81"/>
            <rFont val="Tahoma"/>
            <family val="2"/>
          </rPr>
          <t>Professional skill</t>
        </r>
        <r>
          <rPr>
            <sz val="9"/>
            <color indexed="81"/>
            <rFont val="Tahoma"/>
            <family val="2"/>
          </rPr>
          <t xml:space="preserve">
</t>
        </r>
        <r>
          <rPr>
            <b/>
            <sz val="9"/>
            <color indexed="81"/>
            <rFont val="Tahoma"/>
            <family val="2"/>
          </rPr>
          <t>CPO</t>
        </r>
        <r>
          <rPr>
            <sz val="9"/>
            <color indexed="81"/>
            <rFont val="Tahoma"/>
            <family val="2"/>
          </rPr>
          <t xml:space="preserve">   = Creatief Probleem oplossen
</t>
        </r>
        <r>
          <rPr>
            <b/>
            <sz val="9"/>
            <color indexed="81"/>
            <rFont val="Tahoma"/>
            <family val="2"/>
          </rPr>
          <t>OD</t>
        </r>
        <r>
          <rPr>
            <sz val="9"/>
            <color indexed="81"/>
            <rFont val="Tahoma"/>
            <family val="2"/>
          </rPr>
          <t xml:space="preserve">    = Onderzoek doen
</t>
        </r>
        <r>
          <rPr>
            <b/>
            <sz val="9"/>
            <color indexed="81"/>
            <rFont val="Tahoma"/>
            <family val="2"/>
          </rPr>
          <t>LSC</t>
        </r>
        <r>
          <rPr>
            <sz val="9"/>
            <color indexed="81"/>
            <rFont val="Tahoma"/>
            <family val="2"/>
          </rPr>
          <t xml:space="preserve">   = Leiderschap, Samenwerken, Communicatie
</t>
        </r>
        <r>
          <rPr>
            <b/>
            <sz val="9"/>
            <color indexed="81"/>
            <rFont val="Tahoma"/>
            <family val="2"/>
          </rPr>
          <t>POKe</t>
        </r>
        <r>
          <rPr>
            <sz val="9"/>
            <color indexed="81"/>
            <rFont val="Tahoma"/>
            <family val="2"/>
          </rPr>
          <t xml:space="preserve"> = Plannen, Organiseren Kwaliteit en ethiek
</t>
        </r>
        <r>
          <rPr>
            <b/>
            <sz val="9"/>
            <color indexed="81"/>
            <rFont val="Tahoma"/>
            <family val="2"/>
          </rPr>
          <t>LPO</t>
        </r>
        <r>
          <rPr>
            <sz val="9"/>
            <color indexed="81"/>
            <rFont val="Tahoma"/>
            <family val="2"/>
          </rPr>
          <t xml:space="preserve">  = Leren en Persoonlijke Ontwikkeling</t>
        </r>
      </text>
    </comment>
    <comment ref="C11" authorId="1" shapeId="0">
      <text>
        <r>
          <rPr>
            <b/>
            <sz val="9"/>
            <color indexed="81"/>
            <rFont val="Tahoma"/>
            <family val="2"/>
          </rPr>
          <t>Zelstandigheid Professional skill:</t>
        </r>
        <r>
          <rPr>
            <sz val="9"/>
            <color indexed="81"/>
            <rFont val="Tahoma"/>
            <family val="2"/>
          </rPr>
          <t xml:space="preserve">
</t>
        </r>
        <r>
          <rPr>
            <b/>
            <sz val="9"/>
            <color indexed="81"/>
            <rFont val="Tahoma"/>
            <family val="2"/>
          </rPr>
          <t>T</t>
        </r>
        <r>
          <rPr>
            <sz val="9"/>
            <color indexed="81"/>
            <rFont val="Tahoma"/>
            <family val="2"/>
          </rPr>
          <t xml:space="preserve"> = Taakgericht
</t>
        </r>
        <r>
          <rPr>
            <b/>
            <sz val="9"/>
            <color indexed="81"/>
            <rFont val="Tahoma"/>
            <family val="2"/>
          </rPr>
          <t>P</t>
        </r>
        <r>
          <rPr>
            <sz val="9"/>
            <color indexed="81"/>
            <rFont val="Tahoma"/>
            <family val="2"/>
          </rPr>
          <t xml:space="preserve"> = Probleemgericht
</t>
        </r>
        <r>
          <rPr>
            <b/>
            <sz val="9"/>
            <color indexed="81"/>
            <rFont val="Tahoma"/>
            <family val="2"/>
          </rPr>
          <t>S</t>
        </r>
        <r>
          <rPr>
            <sz val="9"/>
            <color indexed="81"/>
            <rFont val="Tahoma"/>
            <family val="2"/>
          </rPr>
          <t xml:space="preserve"> = Situatiegericht</t>
        </r>
      </text>
    </comment>
    <comment ref="D11" authorId="1" shapeId="0">
      <text>
        <r>
          <rPr>
            <b/>
            <sz val="9"/>
            <color indexed="81"/>
            <rFont val="Tahoma"/>
            <family val="2"/>
          </rPr>
          <t xml:space="preserve">CT Beroepstaak:
BEH </t>
        </r>
        <r>
          <rPr>
            <sz val="9"/>
            <color indexed="81"/>
            <rFont val="Tahoma"/>
            <family val="2"/>
          </rPr>
          <t>= Beheren</t>
        </r>
        <r>
          <rPr>
            <b/>
            <sz val="9"/>
            <color indexed="81"/>
            <rFont val="Tahoma"/>
            <family val="2"/>
          </rPr>
          <t xml:space="preserve">
ANA </t>
        </r>
        <r>
          <rPr>
            <sz val="9"/>
            <color indexed="81"/>
            <rFont val="Tahoma"/>
            <family val="2"/>
          </rPr>
          <t>= Analyseren</t>
        </r>
        <r>
          <rPr>
            <b/>
            <sz val="9"/>
            <color indexed="81"/>
            <rFont val="Tahoma"/>
            <family val="2"/>
          </rPr>
          <t xml:space="preserve">
ADV </t>
        </r>
        <r>
          <rPr>
            <sz val="9"/>
            <color indexed="81"/>
            <rFont val="Tahoma"/>
            <family val="2"/>
          </rPr>
          <t>= Adviseren</t>
        </r>
        <r>
          <rPr>
            <b/>
            <sz val="9"/>
            <color indexed="81"/>
            <rFont val="Tahoma"/>
            <family val="2"/>
          </rPr>
          <t xml:space="preserve">
ONT </t>
        </r>
        <r>
          <rPr>
            <sz val="9"/>
            <color indexed="81"/>
            <rFont val="Tahoma"/>
            <family val="2"/>
          </rPr>
          <t>= Ontwerpen</t>
        </r>
        <r>
          <rPr>
            <b/>
            <sz val="9"/>
            <color indexed="81"/>
            <rFont val="Tahoma"/>
            <family val="2"/>
          </rPr>
          <t xml:space="preserve">
REA </t>
        </r>
        <r>
          <rPr>
            <sz val="9"/>
            <color indexed="81"/>
            <rFont val="Tahoma"/>
            <family val="2"/>
          </rPr>
          <t>= Realiseren</t>
        </r>
      </text>
    </comment>
    <comment ref="E11" authorId="1" shapeId="0">
      <text>
        <r>
          <rPr>
            <b/>
            <sz val="9"/>
            <color indexed="81"/>
            <rFont val="Tahoma"/>
            <family val="2"/>
          </rPr>
          <t xml:space="preserve">ICT Beroepstaak:
GEBR  </t>
        </r>
        <r>
          <rPr>
            <sz val="9"/>
            <color indexed="81"/>
            <rFont val="Tahoma"/>
            <family val="2"/>
          </rPr>
          <t>= Gebruikersinteractie</t>
        </r>
        <r>
          <rPr>
            <b/>
            <sz val="9"/>
            <color indexed="81"/>
            <rFont val="Tahoma"/>
            <family val="2"/>
          </rPr>
          <t xml:space="preserve">
PROC  </t>
        </r>
        <r>
          <rPr>
            <sz val="9"/>
            <color indexed="81"/>
            <rFont val="Tahoma"/>
            <family val="2"/>
          </rPr>
          <t>= Bedrijfsprocessen</t>
        </r>
        <r>
          <rPr>
            <b/>
            <sz val="9"/>
            <color indexed="81"/>
            <rFont val="Tahoma"/>
            <family val="2"/>
          </rPr>
          <t xml:space="preserve">
INFRA </t>
        </r>
        <r>
          <rPr>
            <sz val="9"/>
            <color indexed="81"/>
            <rFont val="Tahoma"/>
            <family val="2"/>
          </rPr>
          <t>= Infrastructuur</t>
        </r>
        <r>
          <rPr>
            <b/>
            <sz val="9"/>
            <color indexed="81"/>
            <rFont val="Tahoma"/>
            <family val="2"/>
          </rPr>
          <t xml:space="preserve">
SW     </t>
        </r>
        <r>
          <rPr>
            <sz val="9"/>
            <color indexed="81"/>
            <rFont val="Tahoma"/>
            <family val="2"/>
          </rPr>
          <t xml:space="preserve">= Software
</t>
        </r>
        <r>
          <rPr>
            <b/>
            <sz val="9"/>
            <color indexed="81"/>
            <rFont val="Tahoma"/>
            <family val="2"/>
          </rPr>
          <t xml:space="preserve">HW     </t>
        </r>
        <r>
          <rPr>
            <sz val="9"/>
            <color indexed="81"/>
            <rFont val="Tahoma"/>
            <family val="2"/>
          </rPr>
          <t>= Hardware interfacing</t>
        </r>
      </text>
    </comment>
    <comment ref="F11" authorId="1" shapeId="0">
      <text>
        <r>
          <rPr>
            <b/>
            <sz val="9"/>
            <color indexed="81"/>
            <rFont val="Tahoma"/>
            <family val="2"/>
          </rPr>
          <t xml:space="preserve">Complexiteit ICT beroepstaak:
</t>
        </r>
        <r>
          <rPr>
            <sz val="9"/>
            <color indexed="81"/>
            <rFont val="Tahoma"/>
            <family val="2"/>
          </rPr>
          <t>+, 1, 1+, 2, 2+, 3</t>
        </r>
      </text>
    </comment>
    <comment ref="H11" authorId="1" shapeId="0">
      <text>
        <r>
          <rPr>
            <b/>
            <sz val="9"/>
            <color indexed="81"/>
            <rFont val="Tahoma"/>
            <family val="2"/>
          </rPr>
          <t>Bloom niveaus:
K</t>
        </r>
        <r>
          <rPr>
            <sz val="9"/>
            <color indexed="81"/>
            <rFont val="Tahoma"/>
            <family val="2"/>
          </rPr>
          <t>ennis</t>
        </r>
        <r>
          <rPr>
            <b/>
            <sz val="9"/>
            <color indexed="81"/>
            <rFont val="Tahoma"/>
            <family val="2"/>
          </rPr>
          <t xml:space="preserve">
B</t>
        </r>
        <r>
          <rPr>
            <sz val="9"/>
            <color indexed="81"/>
            <rFont val="Tahoma"/>
            <family val="2"/>
          </rPr>
          <t>egrip</t>
        </r>
        <r>
          <rPr>
            <b/>
            <sz val="9"/>
            <color indexed="81"/>
            <rFont val="Tahoma"/>
            <family val="2"/>
          </rPr>
          <t xml:space="preserve">
T</t>
        </r>
        <r>
          <rPr>
            <sz val="9"/>
            <color indexed="81"/>
            <rFont val="Tahoma"/>
            <family val="2"/>
          </rPr>
          <t>oepassen</t>
        </r>
        <r>
          <rPr>
            <b/>
            <sz val="9"/>
            <color indexed="81"/>
            <rFont val="Tahoma"/>
            <family val="2"/>
          </rPr>
          <t xml:space="preserve">
A</t>
        </r>
        <r>
          <rPr>
            <sz val="9"/>
            <color indexed="81"/>
            <rFont val="Tahoma"/>
            <family val="2"/>
          </rPr>
          <t>nalyseren</t>
        </r>
        <r>
          <rPr>
            <b/>
            <sz val="9"/>
            <color indexed="81"/>
            <rFont val="Tahoma"/>
            <family val="2"/>
          </rPr>
          <t xml:space="preserve">
E</t>
        </r>
        <r>
          <rPr>
            <sz val="9"/>
            <color indexed="81"/>
            <rFont val="Tahoma"/>
            <family val="2"/>
          </rPr>
          <t>valueren</t>
        </r>
        <r>
          <rPr>
            <b/>
            <sz val="9"/>
            <color indexed="81"/>
            <rFont val="Tahoma"/>
            <family val="2"/>
          </rPr>
          <t xml:space="preserve">
C</t>
        </r>
        <r>
          <rPr>
            <sz val="9"/>
            <color indexed="81"/>
            <rFont val="Tahoma"/>
            <family val="2"/>
          </rPr>
          <t>reëren</t>
        </r>
      </text>
    </comment>
  </commentList>
</comments>
</file>

<file path=xl/comments3.xml><?xml version="1.0" encoding="utf-8"?>
<comments xmlns="http://schemas.openxmlformats.org/spreadsheetml/2006/main">
  <authors>
    <author>Joost</author>
    <author>Joost Schalken-Pinkster</author>
  </authors>
  <commentList>
    <comment ref="Z9" authorId="0" shapeId="0">
      <text>
        <r>
          <rPr>
            <b/>
            <sz val="9"/>
            <color indexed="81"/>
            <rFont val="Tahoma"/>
            <family val="2"/>
          </rPr>
          <t>Oordeel:
S</t>
        </r>
        <r>
          <rPr>
            <sz val="9"/>
            <color indexed="81"/>
            <rFont val="Tahoma"/>
            <family val="2"/>
          </rPr>
          <t xml:space="preserve"> = slecht (voldoet op geen enkele manier aan alle eisen, student die voldoende inzet pleegt en rudimentaire kennis van het vak heeft zou dit niet zo slecht uitvoeren; 2)
</t>
        </r>
        <r>
          <rPr>
            <b/>
            <sz val="9"/>
            <color indexed="81"/>
            <rFont val="Tahoma"/>
            <family val="2"/>
          </rPr>
          <t>O</t>
        </r>
        <r>
          <rPr>
            <sz val="9"/>
            <color indexed="81"/>
            <rFont val="Tahoma"/>
            <family val="2"/>
          </rPr>
          <t xml:space="preserve"> = onvoldoende (voldoet niet aan alle eisen, op een wijze die zo storend is dat het afbreuk doet aan het gehele product; 4)
</t>
        </r>
        <r>
          <rPr>
            <b/>
            <sz val="9"/>
            <color indexed="81"/>
            <rFont val="Tahoma"/>
            <family val="2"/>
          </rPr>
          <t>W</t>
        </r>
        <r>
          <rPr>
            <sz val="9"/>
            <color indexed="81"/>
            <rFont val="Tahoma"/>
            <family val="2"/>
          </rPr>
          <t xml:space="preserve"> = werkbaar (voldoet niet aan alle eisen, maar niet zo'n storende wijze dat het afbreuk doet aan het gehele product; 5,5)
</t>
        </r>
        <r>
          <rPr>
            <b/>
            <sz val="9"/>
            <color indexed="81"/>
            <rFont val="Tahoma"/>
            <family val="2"/>
          </rPr>
          <t>V</t>
        </r>
        <r>
          <rPr>
            <sz val="9"/>
            <color indexed="81"/>
            <rFont val="Tahoma"/>
            <family val="2"/>
          </rPr>
          <t xml:space="preserve"> = voldoende (voldoet vrijwel aan alle eisen; 6,5)
</t>
        </r>
        <r>
          <rPr>
            <b/>
            <sz val="9"/>
            <color indexed="81"/>
            <rFont val="Tahoma"/>
            <family val="2"/>
          </rPr>
          <t>G =</t>
        </r>
        <r>
          <rPr>
            <sz val="9"/>
            <color indexed="81"/>
            <rFont val="Tahoma"/>
            <family val="2"/>
          </rPr>
          <t xml:space="preserve"> goed (voldoet aan alle eisen en gaat deze soms te boven; 8)
</t>
        </r>
        <r>
          <rPr>
            <b/>
            <sz val="9"/>
            <color indexed="81"/>
            <rFont val="Tahoma"/>
            <family val="2"/>
          </rPr>
          <t>ZG</t>
        </r>
        <r>
          <rPr>
            <sz val="9"/>
            <color indexed="81"/>
            <rFont val="Tahoma"/>
            <family val="2"/>
          </rPr>
          <t xml:space="preserve"> = zeer goed (voldoet aan alle eisen en overstijgt deze op vele vlakken; 11)</t>
        </r>
      </text>
    </comment>
    <comment ref="Q10" authorId="1" shapeId="0">
      <text>
        <r>
          <rPr>
            <b/>
            <sz val="9"/>
            <color indexed="81"/>
            <rFont val="Tahoma"/>
            <family val="2"/>
          </rPr>
          <t xml:space="preserve">Beoordelingselement:
</t>
        </r>
        <r>
          <rPr>
            <sz val="9"/>
            <color indexed="81"/>
            <rFont val="Tahoma"/>
            <family val="2"/>
          </rPr>
          <t>Datgene wat de student (in)levert om een beoordeling te krijgen. Kan een product (rapport, code, configuratiebestanden, etc.) zijn, maar ook een prestatie (presentatie, demo, poc, etc.) of een professionele handeling (interview, etc.).
Let op: beschrijf wat de examinator beoordeelt en niet waarom deze dat beoordeelt (dus wel een evaluatieverslag over de samenwerking, maar niet de samenwerking, tenzij hij/zij deze zelf gaat observeren.....)</t>
        </r>
      </text>
    </comment>
    <comment ref="R10" authorId="1" shapeId="0">
      <text>
        <r>
          <rPr>
            <b/>
            <sz val="9"/>
            <color indexed="81"/>
            <rFont val="Tahoma"/>
            <family val="2"/>
          </rPr>
          <t xml:space="preserve">Beoordelingsobject:
</t>
        </r>
        <r>
          <rPr>
            <sz val="9"/>
            <color indexed="81"/>
            <rFont val="Tahoma"/>
            <family val="2"/>
          </rPr>
          <t xml:space="preserve">Dat aspect/onderdeel van het beoordelingselement (product, prestatie, professionele handeling) dat daadwerkelijk bekeken wordt om een oordeel te vellen voor dit specifieke criterium.
Bijvoorbeeld een afstudeerverslag bestaat uit veel paragrafen, maar alleen de paragraaf onderzoekmethode wordt bekeken om vast te stellen hoe goed de student in staat was methodisch te werken. De overige onderdelen van het afstudeerverslag worden wel gezamenlijk ingeleverd door de student, maar niet bekeken door de examinator om op dit criterium een oordeel te vellen (maar waarschijnlijk zijn de andere onderdelen wel nodig voor het beoordelen van andere criteria).
</t>
        </r>
      </text>
    </comment>
    <comment ref="U10" authorId="1" shapeId="0">
      <text>
        <r>
          <rPr>
            <b/>
            <sz val="9"/>
            <color indexed="81"/>
            <rFont val="Tahoma"/>
            <family val="2"/>
          </rPr>
          <t>Leerdoel:</t>
        </r>
        <r>
          <rPr>
            <sz val="9"/>
            <color indexed="81"/>
            <rFont val="Tahoma"/>
            <family val="2"/>
          </rPr>
          <t xml:space="preserve">
Het leerdoel waaraan dit criterium gekoppeld is.
</t>
        </r>
      </text>
    </comment>
    <comment ref="V10" authorId="1" shapeId="0">
      <text>
        <r>
          <rPr>
            <b/>
            <sz val="9"/>
            <color indexed="81"/>
            <rFont val="Tahoma"/>
            <family val="2"/>
          </rPr>
          <t>Facet:</t>
        </r>
        <r>
          <rPr>
            <sz val="9"/>
            <color indexed="81"/>
            <rFont val="Tahoma"/>
            <family val="2"/>
          </rPr>
          <t xml:space="preserve">
Bij opdrachten gaat het vaak over:
1) het uitzoeken wat de opdracht is/wat het probleem is (</t>
        </r>
        <r>
          <rPr>
            <b/>
            <sz val="9"/>
            <color indexed="81"/>
            <rFont val="Tahoma"/>
            <family val="2"/>
          </rPr>
          <t>why</t>
        </r>
        <r>
          <rPr>
            <sz val="9"/>
            <color indexed="81"/>
            <rFont val="Tahoma"/>
            <family val="2"/>
          </rPr>
          <t>),
2) het uitzoeken hoe de opdracht aangepakt moet worden of hoe het probleem kan worden opgelost (</t>
        </r>
        <r>
          <rPr>
            <b/>
            <sz val="9"/>
            <color indexed="81"/>
            <rFont val="Tahoma"/>
            <family val="2"/>
          </rPr>
          <t>how/what</t>
        </r>
        <r>
          <rPr>
            <sz val="9"/>
            <color indexed="81"/>
            <rFont val="Tahoma"/>
            <family val="2"/>
          </rPr>
          <t>),
3) het daadwerkelijk uitvoeren van de opdracht/het oplossen van het probleem (</t>
        </r>
        <r>
          <rPr>
            <b/>
            <sz val="9"/>
            <color indexed="81"/>
            <rFont val="Tahoma"/>
            <family val="2"/>
          </rPr>
          <t>do</t>
        </r>
        <r>
          <rPr>
            <sz val="9"/>
            <color indexed="81"/>
            <rFont val="Tahoma"/>
            <family val="2"/>
          </rPr>
          <t>) en tenslotte
4) kijken of de resultaten van de opdracht/het oplossen van het probleem geslaagd is en in welke mate (</t>
        </r>
        <r>
          <rPr>
            <b/>
            <sz val="9"/>
            <color indexed="81"/>
            <rFont val="Tahoma"/>
            <family val="2"/>
          </rPr>
          <t>check</t>
        </r>
        <r>
          <rPr>
            <sz val="9"/>
            <color indexed="81"/>
            <rFont val="Tahoma"/>
            <family val="2"/>
          </rPr>
          <t>).
Bij deze vier facetten van een opdracht horen andere generieke criteria, die aansluiten bij de beoordelingsmethodiek van het afstuderen.</t>
        </r>
      </text>
    </comment>
    <comment ref="W10" authorId="1" shapeId="0">
      <text>
        <r>
          <rPr>
            <b/>
            <sz val="9"/>
            <color indexed="81"/>
            <rFont val="Tahoma"/>
            <family val="2"/>
          </rPr>
          <t xml:space="preserve">Generiek criterium:
</t>
        </r>
        <r>
          <rPr>
            <sz val="9"/>
            <color indexed="81"/>
            <rFont val="Tahoma"/>
            <family val="2"/>
          </rPr>
          <t xml:space="preserve">Uitklaplijst met alle generieke criteria voor het afstuderen, die bij het gekozen </t>
        </r>
        <r>
          <rPr>
            <i/>
            <sz val="9"/>
            <color indexed="81"/>
            <rFont val="Tahoma"/>
            <family val="2"/>
          </rPr>
          <t>facet</t>
        </r>
        <r>
          <rPr>
            <sz val="9"/>
            <color indexed="81"/>
            <rFont val="Tahoma"/>
            <family val="2"/>
          </rPr>
          <t xml:space="preserve"> horen. Op basis van de het generieke criterium (bijv. vakkundig), kan een specifiek criterium worden gedefinieerd dat past binnen de gegeven opdracht.</t>
        </r>
      </text>
    </comment>
    <comment ref="X10" authorId="1" shapeId="0">
      <text>
        <r>
          <rPr>
            <b/>
            <sz val="9"/>
            <color indexed="81"/>
            <rFont val="Tahoma"/>
            <family val="2"/>
          </rPr>
          <t xml:space="preserve">Criterium:
</t>
        </r>
        <r>
          <rPr>
            <sz val="9"/>
            <color indexed="81"/>
            <rFont val="Tahoma"/>
            <family val="2"/>
          </rPr>
          <t xml:space="preserve">Een criterium is een beschrijving van waarop de student beoordeeld is. Over het algemeen worden goede criteria afgeleid van de generieke criteria voor het afstuderen, waarbij naar het leerdoel en de verstrekte opdracht wordt gekeken.
</t>
        </r>
      </text>
    </comment>
    <comment ref="Y10" authorId="1" shapeId="0">
      <text>
        <r>
          <rPr>
            <b/>
            <sz val="9"/>
            <color indexed="81"/>
            <rFont val="Tahoma"/>
            <family val="2"/>
          </rPr>
          <t xml:space="preserve">Indicatoren:
</t>
        </r>
        <r>
          <rPr>
            <sz val="9"/>
            <color indexed="81"/>
            <rFont val="Tahoma"/>
            <family val="2"/>
          </rPr>
          <t xml:space="preserve">Beschrijving van factoren die het oordeel op een criterium (kunnen) beinvloeden.
</t>
        </r>
      </text>
    </comment>
  </commentList>
</comments>
</file>

<file path=xl/comments4.xml><?xml version="1.0" encoding="utf-8"?>
<comments xmlns="http://schemas.openxmlformats.org/spreadsheetml/2006/main">
  <authors>
    <author>Dan.Greve@hu.nl</author>
    <author>Joost Schalken-Pinkster</author>
  </authors>
  <commentList>
    <comment ref="A16" authorId="0" shapeId="0">
      <text>
        <r>
          <rPr>
            <b/>
            <sz val="9"/>
            <color indexed="81"/>
            <rFont val="Tahoma"/>
            <family val="2"/>
          </rPr>
          <t>ICT Beroepstaak:
BEH</t>
        </r>
        <r>
          <rPr>
            <sz val="9"/>
            <color indexed="81"/>
            <rFont val="Tahoma"/>
            <family val="2"/>
          </rPr>
          <t xml:space="preserve"> = Beheren</t>
        </r>
        <r>
          <rPr>
            <b/>
            <sz val="9"/>
            <color indexed="81"/>
            <rFont val="Tahoma"/>
            <family val="2"/>
          </rPr>
          <t xml:space="preserve">
ANA </t>
        </r>
        <r>
          <rPr>
            <sz val="9"/>
            <color indexed="81"/>
            <rFont val="Tahoma"/>
            <family val="2"/>
          </rPr>
          <t>= Analyseren</t>
        </r>
        <r>
          <rPr>
            <b/>
            <sz val="9"/>
            <color indexed="81"/>
            <rFont val="Tahoma"/>
            <family val="2"/>
          </rPr>
          <t xml:space="preserve">
ADV </t>
        </r>
        <r>
          <rPr>
            <sz val="9"/>
            <color indexed="81"/>
            <rFont val="Tahoma"/>
            <family val="2"/>
          </rPr>
          <t>= Adviseren</t>
        </r>
        <r>
          <rPr>
            <b/>
            <sz val="9"/>
            <color indexed="81"/>
            <rFont val="Tahoma"/>
            <family val="2"/>
          </rPr>
          <t xml:space="preserve">
ONT</t>
        </r>
        <r>
          <rPr>
            <sz val="9"/>
            <color indexed="81"/>
            <rFont val="Tahoma"/>
            <family val="2"/>
          </rPr>
          <t xml:space="preserve"> = Ontwerpen</t>
        </r>
        <r>
          <rPr>
            <b/>
            <sz val="9"/>
            <color indexed="81"/>
            <rFont val="Tahoma"/>
            <family val="2"/>
          </rPr>
          <t xml:space="preserve">
REA</t>
        </r>
        <r>
          <rPr>
            <sz val="9"/>
            <color indexed="81"/>
            <rFont val="Tahoma"/>
            <family val="2"/>
          </rPr>
          <t xml:space="preserve"> = Realiseren</t>
        </r>
      </text>
    </comment>
    <comment ref="B16" authorId="0" shapeId="0">
      <text>
        <r>
          <rPr>
            <b/>
            <sz val="9"/>
            <color indexed="81"/>
            <rFont val="Tahoma"/>
            <family val="2"/>
          </rPr>
          <t>ICT Beroepstaak:
GEBR</t>
        </r>
        <r>
          <rPr>
            <sz val="9"/>
            <color indexed="81"/>
            <rFont val="Tahoma"/>
            <family val="2"/>
          </rPr>
          <t xml:space="preserve">  = Gebruikersinteractie</t>
        </r>
        <r>
          <rPr>
            <b/>
            <sz val="9"/>
            <color indexed="81"/>
            <rFont val="Tahoma"/>
            <family val="2"/>
          </rPr>
          <t xml:space="preserve">
PROC</t>
        </r>
        <r>
          <rPr>
            <sz val="9"/>
            <color indexed="81"/>
            <rFont val="Tahoma"/>
            <family val="2"/>
          </rPr>
          <t xml:space="preserve">  = Bedrijfsprocessen</t>
        </r>
        <r>
          <rPr>
            <b/>
            <sz val="9"/>
            <color indexed="81"/>
            <rFont val="Tahoma"/>
            <family val="2"/>
          </rPr>
          <t xml:space="preserve">
INFRA =</t>
        </r>
        <r>
          <rPr>
            <sz val="9"/>
            <color indexed="81"/>
            <rFont val="Tahoma"/>
            <family val="2"/>
          </rPr>
          <t xml:space="preserve"> Infrastructuur</t>
        </r>
        <r>
          <rPr>
            <b/>
            <sz val="9"/>
            <color indexed="81"/>
            <rFont val="Tahoma"/>
            <family val="2"/>
          </rPr>
          <t xml:space="preserve">
SW</t>
        </r>
        <r>
          <rPr>
            <sz val="9"/>
            <color indexed="81"/>
            <rFont val="Tahoma"/>
            <family val="2"/>
          </rPr>
          <t xml:space="preserve">      = Software</t>
        </r>
        <r>
          <rPr>
            <b/>
            <sz val="9"/>
            <color indexed="81"/>
            <rFont val="Tahoma"/>
            <family val="2"/>
          </rPr>
          <t xml:space="preserve">
HW      </t>
        </r>
        <r>
          <rPr>
            <sz val="9"/>
            <color indexed="81"/>
            <rFont val="Tahoma"/>
            <family val="2"/>
          </rPr>
          <t>= Hardware interfacing</t>
        </r>
      </text>
    </comment>
    <comment ref="C16" authorId="0" shapeId="0">
      <text>
        <r>
          <rPr>
            <b/>
            <sz val="9"/>
            <color indexed="81"/>
            <rFont val="Tahoma"/>
            <family val="2"/>
          </rPr>
          <t xml:space="preserve">Complexiteit ICT beroepstaak:
</t>
        </r>
        <r>
          <rPr>
            <sz val="9"/>
            <color indexed="81"/>
            <rFont val="Tahoma"/>
            <family val="2"/>
          </rPr>
          <t>+, 1, 1+, 2, 2+, 3</t>
        </r>
      </text>
    </comment>
    <comment ref="D103" authorId="1" shapeId="0">
      <text>
        <r>
          <rPr>
            <b/>
            <sz val="9"/>
            <color indexed="81"/>
            <rFont val="Tahoma"/>
            <family val="2"/>
          </rPr>
          <t xml:space="preserve">Professionals skill
</t>
        </r>
        <r>
          <rPr>
            <b/>
            <sz val="9"/>
            <color indexed="81"/>
            <rFont val="Tahoma"/>
            <family val="2"/>
          </rPr>
          <t>CPO</t>
        </r>
        <r>
          <rPr>
            <sz val="9"/>
            <color indexed="81"/>
            <rFont val="Tahoma"/>
            <family val="2"/>
          </rPr>
          <t xml:space="preserve">   = Creatief Probleem oplossen
</t>
        </r>
        <r>
          <rPr>
            <b/>
            <sz val="9"/>
            <color indexed="81"/>
            <rFont val="Tahoma"/>
            <family val="2"/>
          </rPr>
          <t>OD</t>
        </r>
        <r>
          <rPr>
            <sz val="9"/>
            <color indexed="81"/>
            <rFont val="Tahoma"/>
            <family val="2"/>
          </rPr>
          <t xml:space="preserve">     = Onderzoek doen
</t>
        </r>
        <r>
          <rPr>
            <b/>
            <sz val="9"/>
            <color indexed="81"/>
            <rFont val="Tahoma"/>
            <family val="2"/>
          </rPr>
          <t>LSC</t>
        </r>
        <r>
          <rPr>
            <sz val="9"/>
            <color indexed="81"/>
            <rFont val="Tahoma"/>
            <family val="2"/>
          </rPr>
          <t xml:space="preserve">    = Leiderschap, Samenwerken, Communicatie
</t>
        </r>
        <r>
          <rPr>
            <b/>
            <sz val="9"/>
            <color indexed="81"/>
            <rFont val="Tahoma"/>
            <family val="2"/>
          </rPr>
          <t>POKe</t>
        </r>
        <r>
          <rPr>
            <sz val="9"/>
            <color indexed="81"/>
            <rFont val="Tahoma"/>
            <family val="2"/>
          </rPr>
          <t xml:space="preserve"> = Plannen, Organiseren Kwaliteit en ethiek
</t>
        </r>
        <r>
          <rPr>
            <b/>
            <sz val="9"/>
            <color indexed="81"/>
            <rFont val="Tahoma"/>
            <family val="2"/>
          </rPr>
          <t>LPO</t>
        </r>
        <r>
          <rPr>
            <sz val="9"/>
            <color indexed="81"/>
            <rFont val="Tahoma"/>
            <family val="2"/>
          </rPr>
          <t xml:space="preserve">   = Leren en Persoonlijke Ontwikkeling</t>
        </r>
      </text>
    </comment>
  </commentList>
</comments>
</file>

<file path=xl/sharedStrings.xml><?xml version="1.0" encoding="utf-8"?>
<sst xmlns="http://schemas.openxmlformats.org/spreadsheetml/2006/main" count="1105" uniqueCount="416">
  <si>
    <t>Moeilijk-heidsgraad*</t>
  </si>
  <si>
    <t xml:space="preserve">Bloom niveau </t>
  </si>
  <si>
    <t>Cursuscode</t>
  </si>
  <si>
    <t>Cursusnaam</t>
  </si>
  <si>
    <t xml:space="preserve">Aantal gesloten vragen per </t>
  </si>
  <si>
    <t>Bloom niveau (max)</t>
  </si>
  <si>
    <t>Relatief gewicht</t>
  </si>
  <si>
    <t xml:space="preserve">Percentage gesloten vragen: </t>
  </si>
  <si>
    <t xml:space="preserve">Percentage open vragen: </t>
  </si>
  <si>
    <t>#1</t>
  </si>
  <si>
    <t>#2</t>
  </si>
  <si>
    <t>#3</t>
  </si>
  <si>
    <t>#4</t>
  </si>
  <si>
    <t>#5</t>
  </si>
  <si>
    <t>#24</t>
  </si>
  <si>
    <t>#25</t>
  </si>
  <si>
    <t>Toetsmatrijs</t>
  </si>
  <si>
    <t>Theorietoets</t>
  </si>
  <si>
    <r>
      <rPr>
        <b/>
        <sz val="10"/>
        <color theme="1"/>
        <rFont val="Arial"/>
        <family val="2"/>
      </rPr>
      <t xml:space="preserve"> </t>
    </r>
    <r>
      <rPr>
        <b/>
        <u/>
        <sz val="10"/>
        <color theme="1"/>
        <rFont val="Arial"/>
        <family val="2"/>
      </rPr>
      <t>E</t>
    </r>
    <r>
      <rPr>
        <sz val="10"/>
        <color theme="1"/>
        <rFont val="Arial"/>
        <family val="2"/>
      </rPr>
      <t>valueren</t>
    </r>
  </si>
  <si>
    <r>
      <t xml:space="preserve"> </t>
    </r>
    <r>
      <rPr>
        <b/>
        <u/>
        <sz val="10"/>
        <color theme="1"/>
        <rFont val="Arial"/>
        <family val="2"/>
      </rPr>
      <t>C</t>
    </r>
    <r>
      <rPr>
        <sz val="10"/>
        <color theme="1"/>
        <rFont val="Arial"/>
        <family val="2"/>
      </rPr>
      <t>reëren</t>
    </r>
  </si>
  <si>
    <r>
      <t xml:space="preserve"> </t>
    </r>
    <r>
      <rPr>
        <b/>
        <u/>
        <sz val="10"/>
        <color theme="1"/>
        <rFont val="Arial"/>
        <family val="2"/>
      </rPr>
      <t>A</t>
    </r>
    <r>
      <rPr>
        <sz val="10"/>
        <color theme="1"/>
        <rFont val="Arial"/>
        <family val="2"/>
      </rPr>
      <t>nalyseren</t>
    </r>
  </si>
  <si>
    <r>
      <t xml:space="preserve"> </t>
    </r>
    <r>
      <rPr>
        <b/>
        <u/>
        <sz val="10"/>
        <color theme="1"/>
        <rFont val="Arial"/>
        <family val="2"/>
      </rPr>
      <t>T</t>
    </r>
    <r>
      <rPr>
        <sz val="10"/>
        <color theme="1"/>
        <rFont val="Arial"/>
        <family val="2"/>
      </rPr>
      <t>oepassen</t>
    </r>
  </si>
  <si>
    <r>
      <t xml:space="preserve"> </t>
    </r>
    <r>
      <rPr>
        <b/>
        <u/>
        <sz val="10"/>
        <color theme="1"/>
        <rFont val="Arial"/>
        <family val="2"/>
      </rPr>
      <t>B</t>
    </r>
    <r>
      <rPr>
        <sz val="10"/>
        <color theme="1"/>
        <rFont val="Arial"/>
        <family val="2"/>
      </rPr>
      <t>egrip</t>
    </r>
  </si>
  <si>
    <r>
      <t xml:space="preserve"> </t>
    </r>
    <r>
      <rPr>
        <b/>
        <u/>
        <sz val="10"/>
        <color theme="1"/>
        <rFont val="Arial"/>
        <family val="2"/>
      </rPr>
      <t>K</t>
    </r>
    <r>
      <rPr>
        <sz val="10"/>
        <color theme="1"/>
        <rFont val="Arial"/>
        <family val="2"/>
      </rPr>
      <t>ennis</t>
    </r>
  </si>
  <si>
    <t xml:space="preserve"> Makkelijk</t>
  </si>
  <si>
    <t xml:space="preserve"> Lastig</t>
  </si>
  <si>
    <t xml:space="preserve"> Moeilijk</t>
  </si>
  <si>
    <t xml:space="preserve"> Aantal gesloten
 vragen</t>
  </si>
  <si>
    <t xml:space="preserve"> Relatief gewicht
 open vragen</t>
  </si>
  <si>
    <t>deel met gesloten (MC) vragen</t>
  </si>
  <si>
    <t>deel met open vragen</t>
  </si>
  <si>
    <t>Toets planning</t>
  </si>
  <si>
    <t>Toets realisatie</t>
  </si>
  <si>
    <t xml:space="preserve"> Relatief gewicht
 gesloten vragen</t>
  </si>
  <si>
    <t xml:space="preserve"> Gewicht</t>
  </si>
  <si>
    <t>VERBORGEN</t>
  </si>
  <si>
    <t xml:space="preserve"> Bloom niveau (max.)
 gesloten vragen</t>
  </si>
  <si>
    <t xml:space="preserve"> Bloom niveau (max.)
 open vragen</t>
  </si>
  <si>
    <t xml:space="preserve"> Bloom niveau</t>
  </si>
  <si>
    <t>#6</t>
  </si>
  <si>
    <t>#7</t>
  </si>
  <si>
    <t>#8</t>
  </si>
  <si>
    <t>#9</t>
  </si>
  <si>
    <t>#10</t>
  </si>
  <si>
    <t>#11</t>
  </si>
  <si>
    <t>#12</t>
  </si>
  <si>
    <t>#13</t>
  </si>
  <si>
    <t>#14</t>
  </si>
  <si>
    <t>#15</t>
  </si>
  <si>
    <t>#16</t>
  </si>
  <si>
    <t>#17</t>
  </si>
  <si>
    <t>#18</t>
  </si>
  <si>
    <t>#19</t>
  </si>
  <si>
    <t>#20</t>
  </si>
  <si>
    <t>#21</t>
  </si>
  <si>
    <t>#22</t>
  </si>
  <si>
    <t>#23</t>
  </si>
  <si>
    <t>BL1</t>
  </si>
  <si>
    <t>K</t>
  </si>
  <si>
    <t>WH1</t>
  </si>
  <si>
    <t>B</t>
  </si>
  <si>
    <t>T</t>
  </si>
  <si>
    <t>A</t>
  </si>
  <si>
    <t>E</t>
  </si>
  <si>
    <t>C</t>
  </si>
  <si>
    <t xml:space="preserve"> Kennis</t>
  </si>
  <si>
    <t xml:space="preserve"> Begrip</t>
  </si>
  <si>
    <t xml:space="preserve"> Toepassen</t>
  </si>
  <si>
    <t xml:space="preserve"> Analyseren</t>
  </si>
  <si>
    <t xml:space="preserve"> Evalueren</t>
  </si>
  <si>
    <t xml:space="preserve"> Creëren</t>
  </si>
  <si>
    <t>Gewogen som cijfers</t>
  </si>
  <si>
    <t>Bloom niv max.</t>
  </si>
  <si>
    <t>Gewciht</t>
  </si>
  <si>
    <t/>
  </si>
  <si>
    <t>BL2</t>
  </si>
  <si>
    <t>WH2</t>
  </si>
  <si>
    <t>&lt;- Open vraag
    nummer</t>
  </si>
  <si>
    <t>Leerdoel (learning outcome)
De student kan:</t>
  </si>
  <si>
    <t>Gewicht</t>
  </si>
  <si>
    <t>CPO</t>
  </si>
  <si>
    <t>S</t>
  </si>
  <si>
    <t>MN1</t>
  </si>
  <si>
    <t>MN2</t>
  </si>
  <si>
    <t>Praktijktoets</t>
  </si>
  <si>
    <t>#26</t>
  </si>
  <si>
    <t>#27</t>
  </si>
  <si>
    <t>#28</t>
  </si>
  <si>
    <t>#29</t>
  </si>
  <si>
    <t>#30</t>
  </si>
  <si>
    <t>J</t>
  </si>
  <si>
    <t xml:space="preserve"> Verplicht</t>
  </si>
  <si>
    <t>N</t>
  </si>
  <si>
    <t xml:space="preserve"> Bloom niveau (max.)
 opdrachten</t>
  </si>
  <si>
    <t xml:space="preserve"> Relatief gewicht
 opdrachten</t>
  </si>
  <si>
    <t>Verplicht</t>
  </si>
  <si>
    <t xml:space="preserve"> Aantal verplicht</t>
  </si>
  <si>
    <t xml:space="preserve"> Aantal gewichten niet leeg</t>
  </si>
  <si>
    <t xml:space="preserve"> Som cijfers</t>
  </si>
  <si>
    <t xml:space="preserve">
Professional
Skill
</t>
  </si>
  <si>
    <t>ICT
beroepstaak</t>
  </si>
  <si>
    <t>ANA</t>
  </si>
  <si>
    <t>ADV</t>
  </si>
  <si>
    <t>ONT</t>
  </si>
  <si>
    <t>REA</t>
  </si>
  <si>
    <t>BEH</t>
  </si>
  <si>
    <t>HW</t>
  </si>
  <si>
    <t>SW</t>
  </si>
  <si>
    <t>INFRA</t>
  </si>
  <si>
    <t>PROC</t>
  </si>
  <si>
    <t>GEBR</t>
  </si>
  <si>
    <t>P</t>
  </si>
  <si>
    <t xml:space="preserve"> </t>
  </si>
  <si>
    <t>Architectuurlaag</t>
  </si>
  <si>
    <t>Levencyclus</t>
  </si>
  <si>
    <t>Categorie</t>
  </si>
  <si>
    <t>Niveau Zelfstandigheid</t>
  </si>
  <si>
    <t>Niveau Complexiteit</t>
  </si>
  <si>
    <t>Trefwoord kennisbasis</t>
  </si>
  <si>
    <t>Professional skills</t>
  </si>
  <si>
    <t>Beheren</t>
  </si>
  <si>
    <t>Analyseren</t>
  </si>
  <si>
    <t>Adviseren</t>
  </si>
  <si>
    <t>Ontwerpen</t>
  </si>
  <si>
    <t>Realiseren</t>
  </si>
  <si>
    <t>G</t>
  </si>
  <si>
    <t>I</t>
  </si>
  <si>
    <t>H</t>
  </si>
  <si>
    <t>Toetsvorm</t>
  </si>
  <si>
    <t>Resultaatschaal</t>
  </si>
  <si>
    <t>Minimum cijfer</t>
  </si>
  <si>
    <t>Toetsomschrijving</t>
  </si>
  <si>
    <t>Toetsing</t>
  </si>
  <si>
    <t>LPO</t>
  </si>
  <si>
    <t xml:space="preserve">Tienpuntschaal 1 – 10, </t>
  </si>
  <si>
    <t xml:space="preserve">Tienpuntschaal 1,0- 10,0  </t>
  </si>
  <si>
    <t xml:space="preserve">Voldaan- Niet Voldaan, </t>
  </si>
  <si>
    <t>Assessment</t>
  </si>
  <si>
    <t>Computer</t>
  </si>
  <si>
    <t>Deelname</t>
  </si>
  <si>
    <t>Luister</t>
  </si>
  <si>
    <t>(MC-) tentamen</t>
  </si>
  <si>
    <t xml:space="preserve">Mondeling </t>
  </si>
  <si>
    <t>Opdracht</t>
  </si>
  <si>
    <t>Praktijk</t>
  </si>
  <si>
    <t>Presentatie</t>
  </si>
  <si>
    <t>Tentamen</t>
  </si>
  <si>
    <t>Verslag</t>
  </si>
  <si>
    <t>Leerdoelen, kennistrefwoorden en toetsomschrijving</t>
  </si>
  <si>
    <t>Professional
Skill</t>
  </si>
  <si>
    <t>Cel</t>
  </si>
  <si>
    <t>HBO-i</t>
  </si>
  <si>
    <t>Thematieken</t>
  </si>
  <si>
    <t>Body of Knowledge</t>
  </si>
  <si>
    <t>Periode</t>
  </si>
  <si>
    <t>Zelfstandigheid</t>
  </si>
  <si>
    <t>HBO-ICT</t>
  </si>
  <si>
    <t>OD</t>
  </si>
  <si>
    <t>LSC</t>
  </si>
  <si>
    <t>POKe</t>
  </si>
  <si>
    <t>Complex. Context</t>
  </si>
  <si>
    <t>Creatief Probleem Oplosssen             (CPO)</t>
  </si>
  <si>
    <t>Onderzoek Doen                (OD)</t>
  </si>
  <si>
    <t>Leren &amp; Persoonlijke Ontwikkeling      (LPO)</t>
  </si>
  <si>
    <r>
      <rPr>
        <b/>
        <sz val="11"/>
        <color theme="1"/>
        <rFont val="Calibri"/>
        <family val="2"/>
        <scheme val="minor"/>
      </rPr>
      <t>Leiderschap, Samenwerken en Communicatie</t>
    </r>
    <r>
      <rPr>
        <b/>
        <sz val="14"/>
        <color theme="1"/>
        <rFont val="Calibri"/>
        <family val="2"/>
        <scheme val="minor"/>
      </rPr>
      <t xml:space="preserve">   (LSC)</t>
    </r>
  </si>
  <si>
    <r>
      <rPr>
        <b/>
        <sz val="12"/>
        <color theme="1"/>
        <rFont val="Calibri"/>
        <family val="2"/>
        <scheme val="minor"/>
      </rPr>
      <t xml:space="preserve">Planning, Organisatie, Kwaliteitsbewa-king &amp; Ethiek  </t>
    </r>
    <r>
      <rPr>
        <b/>
        <sz val="14"/>
        <color theme="1"/>
        <rFont val="Calibri"/>
        <family val="2"/>
        <scheme val="minor"/>
      </rPr>
      <t xml:space="preserve"> (POKe)</t>
    </r>
  </si>
  <si>
    <t>+</t>
  </si>
  <si>
    <t>1</t>
  </si>
  <si>
    <t>1+</t>
  </si>
  <si>
    <t>2</t>
  </si>
  <si>
    <t>2+</t>
  </si>
  <si>
    <t>3</t>
  </si>
  <si>
    <t>Weging
(afgerond
op hele
procenten)</t>
  </si>
  <si>
    <t>Beoordelingsformulier</t>
  </si>
  <si>
    <t>Wat wordt beoordeeld?</t>
  </si>
  <si>
    <t>Criterium</t>
  </si>
  <si>
    <t>Hoe wordt beoordeeld?</t>
  </si>
  <si>
    <t>Oordeel</t>
  </si>
  <si>
    <t>O</t>
  </si>
  <si>
    <t>W</t>
  </si>
  <si>
    <t>V</t>
  </si>
  <si>
    <t>Oordelen</t>
  </si>
  <si>
    <t>slecht</t>
  </si>
  <si>
    <t>onvoldoende</t>
  </si>
  <si>
    <t>werkbaar</t>
  </si>
  <si>
    <t>voldoende</t>
  </si>
  <si>
    <t>goed</t>
  </si>
  <si>
    <t>Beschrijving oordeel</t>
  </si>
  <si>
    <t>Cijfer</t>
  </si>
  <si>
    <t>Kort oordl</t>
  </si>
  <si>
    <t>voldoet op geen enkele manier aan alle eisen, student die voldoende inzet pleegt en rudimentaire kennis van het vak heeft zou dit niet zo slecht uitvoeren</t>
  </si>
  <si>
    <t>voldoet niet aan alle eisen, op een wijze die zo storend is dat het afbreuk doet aan het gehele product</t>
  </si>
  <si>
    <t>voldoet vrijwel aan alle eisen</t>
  </si>
  <si>
    <t>voldoet aan alle eisen en gaat deze soms te boven</t>
  </si>
  <si>
    <t>voldoet aan alle eisen en overstijgt deze op vele vlakken</t>
  </si>
  <si>
    <t>Eindcijfer</t>
  </si>
  <si>
    <t>Verplicht onvoldoende</t>
  </si>
  <si>
    <t>Gewogen oordeel</t>
  </si>
  <si>
    <t>Waarom wordt beoordeeld?</t>
  </si>
  <si>
    <t>Leerdoel</t>
  </si>
  <si>
    <t>Generiek criterium</t>
  </si>
  <si>
    <t>wit</t>
  </si>
  <si>
    <t>blauw</t>
  </si>
  <si>
    <t>groen</t>
  </si>
  <si>
    <t>geel</t>
  </si>
  <si>
    <t>abrikoos</t>
  </si>
  <si>
    <t>Product-
type</t>
  </si>
  <si>
    <t>Projectfacet</t>
  </si>
  <si>
    <t>why</t>
  </si>
  <si>
    <t>how/what</t>
  </si>
  <si>
    <t>do</t>
  </si>
  <si>
    <t>check</t>
  </si>
  <si>
    <t>Noodzakelijk</t>
  </si>
  <si>
    <t>Passend</t>
  </si>
  <si>
    <t>Realistisch</t>
  </si>
  <si>
    <t>Helder</t>
  </si>
  <si>
    <t>Inspirerend</t>
  </si>
  <si>
    <t>Verkend (meerdere perspectieven)</t>
  </si>
  <si>
    <t>Afgebakend</t>
  </si>
  <si>
    <t>Relevant</t>
  </si>
  <si>
    <t>Specifiek (SMART)</t>
  </si>
  <si>
    <t>Functioneel</t>
  </si>
  <si>
    <t>Onderbouwd</t>
  </si>
  <si>
    <t>Criterium 1</t>
  </si>
  <si>
    <t>Criterium 2</t>
  </si>
  <si>
    <t>Criterium 3</t>
  </si>
  <si>
    <t>Criterium 4</t>
  </si>
  <si>
    <t>Criterium 5</t>
  </si>
  <si>
    <t>Criterium 6</t>
  </si>
  <si>
    <t>Vakkundig</t>
  </si>
  <si>
    <t>Creatief</t>
  </si>
  <si>
    <t>Logisch</t>
  </si>
  <si>
    <t>Transparant</t>
  </si>
  <si>
    <t>Bruikbaar &amp; conform specificatie</t>
  </si>
  <si>
    <t>Inzichtgevend &amp; onderbouwd</t>
  </si>
  <si>
    <t>Activerend &amp; acceptabel</t>
  </si>
  <si>
    <t>Duurzaam &amp; binnen tijd en geld &amp; Ethisch</t>
  </si>
  <si>
    <t>Formatieve beoordeling geaccepteerd</t>
  </si>
  <si>
    <t>Summatieve leerdoelen behaald</t>
  </si>
  <si>
    <t>Indicatoren</t>
  </si>
  <si>
    <t>Kleur product-
type</t>
  </si>
  <si>
    <t>Rubrics</t>
  </si>
  <si>
    <t>Slecht</t>
  </si>
  <si>
    <t>Onvoldoende</t>
  </si>
  <si>
    <t>Werkbaar</t>
  </si>
  <si>
    <t>Voldoende</t>
  </si>
  <si>
    <t>Goed</t>
  </si>
  <si>
    <t>Voorstelcijfer</t>
  </si>
  <si>
    <t>Aanpassing cijfer door docenten</t>
  </si>
  <si>
    <t>ZG</t>
  </si>
  <si>
    <t>zeer goed</t>
  </si>
  <si>
    <t>voldoet niet aan alle eisen, maar niet zo'n storende wijze dat het afbreuk doet aan het gehele product</t>
  </si>
  <si>
    <t>&lt;- Beoordelings-
    element</t>
  </si>
  <si>
    <t>&lt;-  Inclusiekans</t>
  </si>
  <si>
    <t>Verplicht voldoende?</t>
  </si>
  <si>
    <t>Naam student/groep</t>
  </si>
  <si>
    <t>Datum beoordeling</t>
  </si>
  <si>
    <t>Beoordelingselement</t>
  </si>
  <si>
    <t>Oordeel moet hoger dan..</t>
  </si>
  <si>
    <t>Cijfer indien niet gehaald…</t>
  </si>
  <si>
    <t>Criterium 7</t>
  </si>
  <si>
    <t>Criterium 8</t>
  </si>
  <si>
    <t>Beoordelingselementen als benoemd in toetsmatrijs</t>
  </si>
  <si>
    <t>Zeer goed</t>
  </si>
  <si>
    <t>Facet</t>
  </si>
  <si>
    <t>Geen leerdoel, maar criterium in het kader van uitvoerbaarheid onderwijs en toetsing</t>
  </si>
  <si>
    <t>Prof Skill categorie</t>
  </si>
  <si>
    <t>##nog niet gedefinieerd##</t>
  </si>
  <si>
    <t>Professional Skills</t>
  </si>
  <si>
    <t>Kleur</t>
  </si>
  <si>
    <t>Prof skill kleur</t>
  </si>
  <si>
    <t>ICT Beroepstaken</t>
  </si>
  <si>
    <t>Bloom taxonomie</t>
  </si>
  <si>
    <t>Beoordelingsschalen</t>
  </si>
  <si>
    <t>Toetsvormen</t>
  </si>
  <si>
    <t>Verborgen</t>
  </si>
  <si>
    <t>Code</t>
  </si>
  <si>
    <t>Woord</t>
  </si>
  <si>
    <t>Waarde</t>
  </si>
  <si>
    <t>Ja</t>
  </si>
  <si>
    <t>j</t>
  </si>
  <si>
    <t>n</t>
  </si>
  <si>
    <t>Nee</t>
  </si>
  <si>
    <t>ja</t>
  </si>
  <si>
    <t>nee</t>
  </si>
  <si>
    <t>JA</t>
  </si>
  <si>
    <t>NEE</t>
  </si>
  <si>
    <t>Code langer</t>
  </si>
  <si>
    <t>Boolse constanten</t>
  </si>
  <si>
    <t>Omschrijving</t>
  </si>
  <si>
    <t>Leerdoel (herhaald voor lookup van kleur/Skill)</t>
  </si>
  <si>
    <t>Open vragen toets</t>
  </si>
  <si>
    <t>Beoordelingsobject</t>
  </si>
  <si>
    <t>Eventuele nadere motivatie</t>
  </si>
  <si>
    <t>Motivatie cijfer en evt. aanpassing op voorstel</t>
  </si>
  <si>
    <t>Cursusinfo/leerplanschema</t>
  </si>
  <si>
    <t>v.23p-n</t>
  </si>
  <si>
    <t>TICT-V1GP-15</t>
  </si>
  <si>
    <t>Group Project</t>
  </si>
  <si>
    <t>Versiebeheer</t>
  </si>
  <si>
    <t>Documenteren</t>
  </si>
  <si>
    <t>Activity diagram</t>
  </si>
  <si>
    <t>Usecase diagram</t>
  </si>
  <si>
    <t>Werkverdeling</t>
  </si>
  <si>
    <t>Urenverantwoording</t>
  </si>
  <si>
    <t>Teamcontract</t>
  </si>
  <si>
    <t>Vergaderen</t>
  </si>
  <si>
    <t>Algoritmen bedenken</t>
  </si>
  <si>
    <t>Programmeren met RobotC</t>
  </si>
  <si>
    <t>Work Breakdown Structure</t>
  </si>
  <si>
    <t>Peroonlijk ontwikkelingsplan</t>
  </si>
  <si>
    <t>TOETS</t>
  </si>
  <si>
    <t>agenda, notulen, voorzitter</t>
  </si>
  <si>
    <t xml:space="preserve">teamcontract, afspraak, </t>
  </si>
  <si>
    <t xml:space="preserve">work breakdown structure, taakverdeling,globale planning, weekplanning </t>
  </si>
  <si>
    <t>uren schrijven</t>
  </si>
  <si>
    <t>Git, repository, commit, push , pull</t>
  </si>
  <si>
    <t>Gitrepository</t>
  </si>
  <si>
    <t>Paper</t>
  </si>
  <si>
    <t>&lt;-  Inclusief kans</t>
  </si>
  <si>
    <t>projectrol, persoonlijkk ontwikkelingsplan</t>
  </si>
  <si>
    <t>onderbouwd</t>
  </si>
  <si>
    <t>Duidelijkheid.</t>
  </si>
  <si>
    <t xml:space="preserve">Per taak zijn uren genoteerd op een manier zodat je ze kunt vergelijken met de geplande uirrn. </t>
  </si>
  <si>
    <t>Volledig</t>
  </si>
  <si>
    <t>Agenda</t>
  </si>
  <si>
    <t>Gestructureerd.</t>
  </si>
  <si>
    <t>Notulen</t>
  </si>
  <si>
    <t>problem solving, activity diagram</t>
  </si>
  <si>
    <t>Heldere beschrijving van probleem en oplossing. Gedetailleerdheid van de beschrijving van de oplossing. Het algoritme wordt toegelicht met een activitydiagram.</t>
  </si>
  <si>
    <t>Voldoen aan standaards</t>
  </si>
  <si>
    <t>C++, programmeren</t>
  </si>
  <si>
    <t>Samenwerken</t>
  </si>
  <si>
    <t>Plannen</t>
  </si>
  <si>
    <t>Coderen</t>
  </si>
  <si>
    <t>Evalueren</t>
  </si>
  <si>
    <t>De versies van de software beheersen met Git.</t>
  </si>
  <si>
    <t>De versies van de software beheren met git.</t>
  </si>
  <si>
    <t>Een ontwerp maken voor een algoritme onder andere met behulp van activity diagram.</t>
  </si>
  <si>
    <t>C++ Code</t>
  </si>
  <si>
    <t>Een softwaresysteem voor Lego Mindstorms bouwen met behulp van de taal C++.</t>
  </si>
  <si>
    <t>Een verantwoording van de bestede uren opstellen</t>
  </si>
  <si>
    <t>Op systematische manier (bijv. Gantt) een realistische planning maken rekening houdend met de aan het project gestelde eisen</t>
  </si>
  <si>
    <t>Op constructieve wijze samenwerken met de projectgenoten ten behoeve van het eindproduct</t>
  </si>
  <si>
    <t>Op een gestructureerde manier een vergadering voorbereiden en hieraan deelnemen</t>
  </si>
  <si>
    <t>De keuze van de eigen rol binnen de projectgroep verantwoorden in relatie tot het eigen ontwikkelingsplan</t>
  </si>
  <si>
    <t>Er is een keuze gemaakt. Deze wordt onderbouwd.</t>
  </si>
  <si>
    <t xml:space="preserve">Communicatie is gepland. Men heeft beeld van wat men wil bereiken. Er zijn maatregelen voor niet nakomen afspraken. </t>
  </si>
  <si>
    <t>De besluiten zijn genotuleerd. Acties zijn genotuleerd. Er is aangegeven wie de actie uitvoerd.</t>
  </si>
  <si>
    <t xml:space="preserve">Er is een agenda opgesteld. De vergadering verloopt ordelijk. </t>
  </si>
  <si>
    <t xml:space="preserve">Voldoet aan eisen. </t>
  </si>
  <si>
    <t>Voldoende bijdrage</t>
  </si>
  <si>
    <t>De student heeft voldoende uren gemaakt en voldoende taken gerealiseerd.</t>
  </si>
  <si>
    <t>Er is een gitrepository waaruit de history van de code is te achterhalen en ook wie er commits heeft gedaan.</t>
  </si>
  <si>
    <t xml:space="preserve">De code is verdeeld in meerder functies en tasks. Zinvollen naamgeving van variabelen en functies. Functies en variabelen worden toegelicht met commentaar. Inspringen. Zo weinig mogelijk globale variabelen. </t>
  </si>
  <si>
    <t>Werkend systeem</t>
  </si>
  <si>
    <t xml:space="preserve">Er kan een werkend systeem worden getoond dat voldoet aan de eisen. </t>
  </si>
  <si>
    <t>Er is geen rol gekozen</t>
  </si>
  <si>
    <t>Er is een adhoc onderbouwing</t>
  </si>
  <si>
    <t>Er zijn rollen gekozen maar geen programmeerrol</t>
  </si>
  <si>
    <t>Er zijn rollen gekozen en ieder neemt programmeerrol op zich</t>
  </si>
  <si>
    <t>Er is een onderbouwing op basis van een  Belbin-test of persoonlijke ervaringen</t>
  </si>
  <si>
    <t>Er is een uitgebreide onderbouwing op basis van een Belbin-test en persoonllijke ervaringen</t>
  </si>
  <si>
    <t>Er is geen teamcontract</t>
  </si>
  <si>
    <t>Student is niet aanwezig geweest.</t>
  </si>
  <si>
    <t>Er wordt geen demonstratie van een product gegeven.</t>
  </si>
  <si>
    <t>Er wordt een demonstratie gegeven maar het systeem voldoet niet aan essentiele eisen.</t>
  </si>
  <si>
    <t>Alle musthaves zijn gerealiseerd.</t>
  </si>
  <si>
    <t>Alle musthaves zijn gerealiseerd en de meeste shouldhaves.</t>
  </si>
  <si>
    <t>Alle musthaves en shouldhaves zijn gerealiseerd en ook enkele could haves.</t>
  </si>
  <si>
    <t>Alle musthaves en shouldhaves zijn gerealiseerd en de studenten hebben zelf iets uitdagends bedacht en gerealiseerd.</t>
  </si>
  <si>
    <t xml:space="preserve">Onoverzichtelijke slecht leesbare code. </t>
  </si>
  <si>
    <t>Onoverzichtelijke slecht leesbare code.</t>
  </si>
  <si>
    <t xml:space="preserve">Inspringen. Betekenisvollen namen van variabelen. </t>
  </si>
  <si>
    <t>Als werkbaar en waar nodig commentaar ter verduidelijking.</t>
  </si>
  <si>
    <t>Als goed. Op basis van het commentaar kan documentatie worden gegenereerd met doxygen.</t>
  </si>
  <si>
    <t>Als voldoende en stukken code zijn in aparte functies ondergebracht zodat de code duidelijker leesbaar wordt. Alle functies zijn voorzien van commentaar. Complexiteit wordt vermeden door geneste while en if's te vermijden.</t>
  </si>
  <si>
    <t>Er is geen git repository.</t>
  </si>
  <si>
    <t>Er is geen gitrepository</t>
  </si>
  <si>
    <t>Er is een gitrepository.</t>
  </si>
  <si>
    <t>Er is een gitrepositoy er de history is traceerbaar omdat er vanaf het begin commits zijn gedaan. Alle teamleden hebben commits gedaan.</t>
  </si>
  <si>
    <t>Er wordt gebruik gemaakt van branches.</t>
  </si>
  <si>
    <t xml:space="preserve">Er is een releasebranch. Een developbranch. En diverse topicbranches. </t>
  </si>
  <si>
    <t>Geen paper</t>
  </si>
  <si>
    <t>Geen activitydiagram. Slecht leesbaar of veel taalfouten</t>
  </si>
  <si>
    <t>De werking vanhet algoritme wordt duidelijk aan de hand van de tekst en het diagram</t>
  </si>
  <si>
    <t xml:space="preserve">Het diagram is syntactisch in orde. Het probleem of doelstelling wordt uitgelegd. Er is een conclusie en evaluatie. </t>
  </si>
  <si>
    <t>Verschillende aanpakken worden besproken en er wordt aangegeven waarom met voor de ene aanpak heeft gekozen. Er is literatuurverwijzing.</t>
  </si>
  <si>
    <t>Originele aanpak, die echt iets toevoegd aan wat er al eerder is bedacht en te vinden is in de literatuur.</t>
  </si>
  <si>
    <t>Student heeft flinke inzet getoond en tijdens de projectweken 40 uur gewerkt.</t>
  </si>
  <si>
    <t>Er wordt niet vergaderd.</t>
  </si>
  <si>
    <t>Er wordt alleen informeel overlegd.</t>
  </si>
  <si>
    <t>Er is wel een teamcontract maar er ontbreken onderdelen</t>
  </si>
  <si>
    <t>Persoonlijk ontwikkelingsplan</t>
  </si>
  <si>
    <t xml:space="preserve">Het werk is verdeeld in taken.  De verdeling in taken is volledig en realistisch. De taken zin smart geformuleerd. De taken zijn toegewezen aan teamleden. Er is een urenschatting. </t>
  </si>
  <si>
    <t>De student heeft al zijn uren gemaakt en in zijn rol als projectleider of anderszins teamgenoten gemotiveerd.</t>
  </si>
  <si>
    <t xml:space="preserve">De student heeft zonder opgaaf van reden meerdere taken niet gedaan. </t>
  </si>
  <si>
    <t>De student heeft zijn taken gedaan, maar heeft relatief weinig uren gemaakt.</t>
  </si>
  <si>
    <t>De student heeft zijn taken gedaan, en heeft relatief veel uren gewerkt</t>
  </si>
  <si>
    <t>Vergaderingen verlopen gestructureerd en volgens een agenda.</t>
  </si>
  <si>
    <t>Geen notulen</t>
  </si>
  <si>
    <t>Notulen volgen de agenda. Besluiten en cties zijn genotuleerd.</t>
  </si>
  <si>
    <t>Een ieder neemt en krijgt het woord. Aan het begin van de vergadering wordt gecontroleerd of alle acties zijn uitgevoerd.</t>
  </si>
  <si>
    <t xml:space="preserve">Voorzitter en deelnemers kunnen omgaan met conflicten. </t>
  </si>
  <si>
    <t>Deelnemers lezen en controleren de notulen van de vorige vergadering.</t>
  </si>
  <si>
    <t>onvolledig of slecht gestructureerd.</t>
  </si>
  <si>
    <t>Er worden geen uren geschreven</t>
  </si>
  <si>
    <t>Dagelijks wordt opgeschreven hoeveel uur aan welke taak is besteedt</t>
  </si>
  <si>
    <t>Men evalueert de bestede uren per taak om volgende keren tot een betere schatting te komen.</t>
  </si>
  <si>
    <t>Voortgang van de taken wordt overzichtelijk weergegeven. Er is zichtbaar hoeveel tijd elk van de leden heeft besteed.</t>
  </si>
  <si>
    <t>Per dag wordt aangegeven hoe met de tijd besteedt.</t>
  </si>
  <si>
    <t>Taken zijn smart geformuleerd. Het wordt duidelijk of de einddatum haalbaar is.</t>
  </si>
  <si>
    <t>Men gebruikt een planningstool als microsoft project en kan voortgangsinformatie verwerken</t>
  </si>
  <si>
    <t xml:space="preserve">Planning niet ingevuld. </t>
  </si>
  <si>
    <t>Vergadermomenten zijn gepland.</t>
  </si>
  <si>
    <t xml:space="preserve">Contactinformatie en aanwezigheid is opgenomen.  Men heeft beeld van wat men wil bereiken. Er zijn maatregelen voor niet nakomen afspraken.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</si>
</sst>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0.00;[Red]&quot;-&quot;[$$-409]#,##0.00"/>
    <numFmt numFmtId="165" formatCode="0.0"/>
  </numFmts>
  <fonts count="25" x14ac:knownFonts="1">
    <font>
      <sz val="10"/>
      <color theme="1"/>
      <name val="Arial"/>
      <family val="2"/>
    </font>
    <font>
      <sz val="11"/>
      <color theme="1"/>
      <name val="Calibri"/>
      <family val="2"/>
      <scheme val="minor"/>
    </font>
    <font>
      <sz val="9"/>
      <color theme="1"/>
      <name val="Arial"/>
      <family val="2"/>
    </font>
    <font>
      <b/>
      <sz val="10"/>
      <color theme="1"/>
      <name val="Arial"/>
      <family val="2"/>
    </font>
    <font>
      <sz val="10"/>
      <color theme="1"/>
      <name val="Arial"/>
      <family val="2"/>
    </font>
    <font>
      <sz val="10"/>
      <color rgb="FFFFFFFF"/>
      <name val="Arial"/>
      <family val="2"/>
    </font>
    <font>
      <b/>
      <u/>
      <sz val="10"/>
      <color theme="1"/>
      <name val="Arial"/>
      <family val="2"/>
    </font>
    <font>
      <b/>
      <sz val="9"/>
      <color indexed="81"/>
      <name val="Tahoma"/>
      <family val="2"/>
    </font>
    <font>
      <sz val="9"/>
      <color indexed="81"/>
      <name val="Tahoma"/>
      <family val="2"/>
    </font>
    <font>
      <b/>
      <sz val="14"/>
      <color theme="1"/>
      <name val="Calibri"/>
      <family val="2"/>
      <scheme val="minor"/>
    </font>
    <font>
      <sz val="12"/>
      <color theme="1"/>
      <name val="Calibri"/>
      <family val="2"/>
      <scheme val="minor"/>
    </font>
    <font>
      <b/>
      <i/>
      <sz val="16"/>
      <color theme="1"/>
      <name val="Arial"/>
      <family val="2"/>
    </font>
    <font>
      <b/>
      <i/>
      <u/>
      <sz val="11"/>
      <color theme="1"/>
      <name val="Arial"/>
      <family val="2"/>
    </font>
    <font>
      <sz val="10"/>
      <color rgb="FF000000"/>
      <name val="Calibri"/>
      <family val="2"/>
    </font>
    <font>
      <i/>
      <sz val="10"/>
      <color theme="1"/>
      <name val="Arial"/>
      <family val="2"/>
    </font>
    <font>
      <b/>
      <sz val="16"/>
      <color theme="1"/>
      <name val="Calibri"/>
      <family val="2"/>
      <scheme val="minor"/>
    </font>
    <font>
      <sz val="14"/>
      <color rgb="FF000000"/>
      <name val="Calibri"/>
      <family val="2"/>
    </font>
    <font>
      <sz val="12"/>
      <color rgb="FF000000"/>
      <name val="Calibri"/>
      <family val="2"/>
    </font>
    <font>
      <b/>
      <sz val="11"/>
      <color theme="1"/>
      <name val="Calibri"/>
      <family val="2"/>
      <scheme val="minor"/>
    </font>
    <font>
      <b/>
      <sz val="12"/>
      <color theme="1"/>
      <name val="Calibri"/>
      <family val="2"/>
      <scheme val="minor"/>
    </font>
    <font>
      <sz val="14"/>
      <color theme="1"/>
      <name val="Calibri"/>
      <family val="2"/>
      <scheme val="minor"/>
    </font>
    <font>
      <u/>
      <sz val="10"/>
      <color theme="1"/>
      <name val="Arial"/>
      <family val="2"/>
    </font>
    <font>
      <sz val="8"/>
      <color theme="1"/>
      <name val="Arial"/>
      <family val="2"/>
    </font>
    <font>
      <sz val="7"/>
      <color theme="1"/>
      <name val="Arial"/>
      <family val="2"/>
    </font>
    <font>
      <i/>
      <sz val="9"/>
      <color indexed="81"/>
      <name val="Tahoma"/>
      <family val="2"/>
    </font>
  </fonts>
  <fills count="31">
    <fill>
      <patternFill patternType="none"/>
    </fill>
    <fill>
      <patternFill patternType="gray125"/>
    </fill>
    <fill>
      <patternFill patternType="solid">
        <fgColor theme="0" tint="-0.499984740745262"/>
        <bgColor indexed="64"/>
      </patternFill>
    </fill>
    <fill>
      <patternFill patternType="gray0625">
        <fgColor theme="0" tint="-0.499984740745262"/>
        <bgColor indexed="65"/>
      </patternFill>
    </fill>
    <fill>
      <patternFill patternType="solid">
        <fgColor theme="9"/>
        <bgColor indexed="64"/>
      </patternFill>
    </fill>
    <fill>
      <patternFill patternType="solid">
        <fgColor theme="0" tint="-0.499984740745262"/>
        <bgColor auto="1"/>
      </patternFill>
    </fill>
    <fill>
      <patternFill patternType="solid">
        <fgColor indexed="65"/>
        <bgColor theme="0"/>
      </patternFill>
    </fill>
    <fill>
      <patternFill patternType="solid">
        <fgColor indexed="65"/>
        <bgColor theme="0" tint="-0.499984740745262"/>
      </patternFill>
    </fill>
    <fill>
      <patternFill patternType="solid">
        <fgColor theme="4"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gray0625">
        <fgColor theme="0"/>
      </patternFill>
    </fill>
    <fill>
      <patternFill patternType="solid">
        <fgColor indexed="65"/>
        <bgColor indexed="64"/>
      </patternFill>
    </fill>
    <fill>
      <patternFill patternType="solid">
        <fgColor theme="0"/>
        <bgColor indexed="64"/>
      </patternFill>
    </fill>
    <fill>
      <patternFill patternType="solid">
        <fgColor rgb="FFFFFF99"/>
        <bgColor indexed="64"/>
      </patternFill>
    </fill>
    <fill>
      <patternFill patternType="gray0625">
        <fgColor theme="0" tint="-0.24994659260841701"/>
        <bgColor indexed="65"/>
      </patternFill>
    </fill>
    <fill>
      <patternFill patternType="gray0625">
        <fgColor theme="0" tint="-0.24994659260841701"/>
        <bgColor theme="0"/>
      </patternFill>
    </fill>
    <fill>
      <patternFill patternType="gray0625">
        <fgColor theme="0" tint="-0.24994659260841701"/>
        <bgColor theme="4" tint="0.79998168889431442"/>
      </patternFill>
    </fill>
    <fill>
      <patternFill patternType="gray0625">
        <fgColor theme="0" tint="-0.24994659260841701"/>
        <bgColor theme="6" tint="0.59999389629810485"/>
      </patternFill>
    </fill>
    <fill>
      <patternFill patternType="gray0625">
        <fgColor theme="0" tint="-0.24994659260841701"/>
        <bgColor rgb="FFFFFF99"/>
      </patternFill>
    </fill>
    <fill>
      <patternFill patternType="gray0625">
        <fgColor theme="0" tint="-0.24994659260841701"/>
        <bgColor theme="9" tint="0.59999389629810485"/>
      </patternFill>
    </fill>
    <fill>
      <patternFill patternType="gray0625">
        <fgColor theme="0" tint="-0.24994659260841701"/>
        <bgColor theme="0" tint="-4.9989318521683403E-2"/>
      </patternFill>
    </fill>
    <fill>
      <patternFill patternType="solid">
        <fgColor indexed="65"/>
        <bgColor auto="1"/>
      </patternFill>
    </fill>
    <fill>
      <patternFill patternType="solid">
        <fgColor theme="9"/>
        <bgColor auto="1"/>
      </patternFill>
    </fill>
    <fill>
      <patternFill patternType="solid">
        <fgColor indexed="65"/>
        <bgColor theme="0" tint="-0.24994659260841701"/>
      </patternFill>
    </fill>
    <fill>
      <patternFill patternType="gray0625">
        <fgColor auto="1"/>
        <bgColor theme="9"/>
      </patternFill>
    </fill>
    <fill>
      <patternFill patternType="gray0625"/>
    </fill>
    <fill>
      <patternFill patternType="gray0625">
        <fgColor theme="0" tint="-0.499984740745262"/>
        <bgColor rgb="FFFFFF99"/>
      </patternFill>
    </fill>
    <fill>
      <patternFill patternType="gray0625">
        <fgColor theme="0" tint="-0.499984740745262"/>
        <bgColor rgb="FFFEDA76"/>
      </patternFill>
    </fill>
    <fill>
      <patternFill patternType="gray0625">
        <fgColor theme="0" tint="-0.499984740745262"/>
        <bgColor rgb="FFB8CCE4"/>
      </patternFill>
    </fill>
    <fill>
      <patternFill patternType="solid">
        <fgColor rgb="FFB8CCE4"/>
        <bgColor indexed="64"/>
      </patternFill>
    </fill>
  </fills>
  <borders count="111">
    <border>
      <left/>
      <right/>
      <top/>
      <bottom/>
      <diagonal/>
    </border>
    <border>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thin">
        <color indexed="64"/>
      </bottom>
      <diagonal/>
    </border>
    <border>
      <left/>
      <right style="thin">
        <color indexed="64"/>
      </right>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style="medium">
        <color indexed="64"/>
      </left>
      <right style="medium">
        <color indexed="64"/>
      </right>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style="medium">
        <color indexed="64"/>
      </top>
      <bottom/>
      <diagonal/>
    </border>
    <border>
      <left style="thin">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style="thin">
        <color indexed="64"/>
      </left>
      <right style="dotted">
        <color indexed="64"/>
      </right>
      <top/>
      <bottom style="thin">
        <color indexed="64"/>
      </bottom>
      <diagonal/>
    </border>
    <border>
      <left style="dotted">
        <color indexed="64"/>
      </left>
      <right style="thin">
        <color indexed="64"/>
      </right>
      <top/>
      <bottom style="thin">
        <color indexed="64"/>
      </bottom>
      <diagonal/>
    </border>
    <border>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style="dashed">
        <color indexed="64"/>
      </left>
      <right/>
      <top style="thin">
        <color indexed="64"/>
      </top>
      <bottom style="thin">
        <color indexed="64"/>
      </bottom>
      <diagonal/>
    </border>
    <border>
      <left style="medium">
        <color indexed="64"/>
      </left>
      <right/>
      <top style="thin">
        <color indexed="64"/>
      </top>
      <bottom style="thin">
        <color indexed="64"/>
      </bottom>
      <diagonal/>
    </border>
    <border>
      <left style="dashed">
        <color indexed="64"/>
      </left>
      <right style="thin">
        <color indexed="64"/>
      </right>
      <top style="thin">
        <color indexed="64"/>
      </top>
      <bottom style="thin">
        <color indexed="64"/>
      </bottom>
      <diagonal/>
    </border>
    <border>
      <left style="dashed">
        <color indexed="64"/>
      </left>
      <right style="thin">
        <color indexed="64"/>
      </right>
      <top style="medium">
        <color indexed="64"/>
      </top>
      <bottom style="thin">
        <color indexed="64"/>
      </bottom>
      <diagonal/>
    </border>
    <border>
      <left style="dashed">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diagonal/>
    </border>
    <border>
      <left/>
      <right style="dotted">
        <color indexed="64"/>
      </right>
      <top/>
      <bottom style="medium">
        <color indexed="64"/>
      </bottom>
      <diagonal/>
    </border>
    <border>
      <left/>
      <right style="dotted">
        <color indexed="64"/>
      </right>
      <top style="thin">
        <color indexed="64"/>
      </top>
      <bottom style="thin">
        <color indexed="64"/>
      </bottom>
      <diagonal/>
    </border>
    <border>
      <left style="dashed">
        <color indexed="64"/>
      </left>
      <right/>
      <top style="medium">
        <color indexed="64"/>
      </top>
      <bottom style="thin">
        <color indexed="64"/>
      </bottom>
      <diagonal/>
    </border>
    <border>
      <left style="thin">
        <color indexed="64"/>
      </left>
      <right style="dotted">
        <color indexed="64"/>
      </right>
      <top style="medium">
        <color indexed="64"/>
      </top>
      <bottom style="thin">
        <color indexed="64"/>
      </bottom>
      <diagonal/>
    </border>
    <border>
      <left style="thin">
        <color indexed="64"/>
      </left>
      <right/>
      <top style="thin">
        <color indexed="64"/>
      </top>
      <bottom style="thin">
        <color indexed="64"/>
      </bottom>
      <diagonal/>
    </border>
    <border>
      <left style="dashed">
        <color indexed="64"/>
      </left>
      <right/>
      <top/>
      <bottom style="medium">
        <color indexed="64"/>
      </bottom>
      <diagonal/>
    </border>
    <border>
      <left style="dashed">
        <color indexed="64"/>
      </left>
      <right/>
      <top style="thin">
        <color indexed="64"/>
      </top>
      <bottom style="medium">
        <color indexed="64"/>
      </bottom>
      <diagonal/>
    </border>
    <border>
      <left style="dashed">
        <color auto="1"/>
      </left>
      <right style="dashed">
        <color auto="1"/>
      </right>
      <top/>
      <bottom style="medium">
        <color auto="1"/>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s>
  <cellStyleXfs count="8">
    <xf numFmtId="0" fontId="0" fillId="0" borderId="0"/>
    <xf numFmtId="9" fontId="4" fillId="0" borderId="0" applyFont="0" applyFill="0" applyBorder="0" applyAlignment="0" applyProtection="0"/>
    <xf numFmtId="0" fontId="1" fillId="0" borderId="0"/>
    <xf numFmtId="0" fontId="11" fillId="0" borderId="0">
      <alignment horizontal="center"/>
    </xf>
    <xf numFmtId="0" fontId="11" fillId="0" borderId="0">
      <alignment horizontal="center" textRotation="90"/>
    </xf>
    <xf numFmtId="0" fontId="12" fillId="0" borderId="0"/>
    <xf numFmtId="164" fontId="12" fillId="0" borderId="0"/>
    <xf numFmtId="0" fontId="10" fillId="0" borderId="0"/>
  </cellStyleXfs>
  <cellXfs count="557">
    <xf numFmtId="0" fontId="0" fillId="0" borderId="0" xfId="0"/>
    <xf numFmtId="0" fontId="0" fillId="0" borderId="12" xfId="0" applyBorder="1" applyAlignment="1">
      <alignment vertical="center"/>
    </xf>
    <xf numFmtId="0" fontId="3" fillId="0" borderId="0" xfId="0" applyFont="1"/>
    <xf numFmtId="0" fontId="0" fillId="0" borderId="24" xfId="0" applyBorder="1" applyAlignment="1">
      <alignment horizontal="center" vertical="center" wrapText="1"/>
    </xf>
    <xf numFmtId="0" fontId="0" fillId="0" borderId="23" xfId="0" applyBorder="1" applyAlignment="1">
      <alignment horizontal="center" vertical="center" wrapText="1"/>
    </xf>
    <xf numFmtId="0" fontId="0" fillId="0" borderId="22" xfId="0" applyBorder="1" applyAlignment="1">
      <alignment horizontal="center" vertical="center" wrapText="1"/>
    </xf>
    <xf numFmtId="0" fontId="0" fillId="0" borderId="2" xfId="0" applyBorder="1" applyAlignment="1">
      <alignment horizontal="right" vertical="center" wrapText="1"/>
    </xf>
    <xf numFmtId="0" fontId="2" fillId="0" borderId="0" xfId="0" applyFont="1" applyAlignment="1">
      <alignment horizontal="left" vertical="top" wrapText="1"/>
    </xf>
    <xf numFmtId="0" fontId="0" fillId="0" borderId="0" xfId="0" applyAlignment="1">
      <alignment horizontal="left"/>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29" xfId="0" applyBorder="1" applyAlignment="1">
      <alignment horizontal="center" vertical="center" wrapText="1"/>
    </xf>
    <xf numFmtId="0" fontId="0" fillId="2" borderId="40" xfId="0" applyFill="1" applyBorder="1" applyAlignment="1">
      <alignment horizontal="center" vertical="center"/>
    </xf>
    <xf numFmtId="0" fontId="0" fillId="2" borderId="21" xfId="0" applyFill="1" applyBorder="1" applyAlignment="1">
      <alignment horizontal="center" vertical="center"/>
    </xf>
    <xf numFmtId="0" fontId="0" fillId="2" borderId="31" xfId="0" applyFill="1" applyBorder="1"/>
    <xf numFmtId="0" fontId="0" fillId="2" borderId="25" xfId="0" applyFill="1" applyBorder="1"/>
    <xf numFmtId="0" fontId="0" fillId="2" borderId="31" xfId="0" applyFill="1" applyBorder="1" applyAlignment="1">
      <alignment horizontal="left" vertical="center"/>
    </xf>
    <xf numFmtId="0" fontId="0" fillId="2" borderId="25" xfId="0" applyFill="1" applyBorder="1" applyAlignment="1">
      <alignment horizontal="left" vertical="center"/>
    </xf>
    <xf numFmtId="9" fontId="0" fillId="0" borderId="10" xfId="0" applyNumberFormat="1" applyBorder="1" applyAlignment="1">
      <alignment horizontal="center" vertical="center" wrapText="1"/>
    </xf>
    <xf numFmtId="1" fontId="5" fillId="2" borderId="4" xfId="0" applyNumberFormat="1" applyFont="1" applyFill="1" applyBorder="1" applyAlignment="1">
      <alignment horizontal="center" vertical="center" wrapText="1"/>
    </xf>
    <xf numFmtId="0" fontId="0" fillId="2" borderId="1" xfId="0" applyFill="1" applyBorder="1" applyAlignment="1">
      <alignment horizontal="center" vertical="center"/>
    </xf>
    <xf numFmtId="0" fontId="0" fillId="4" borderId="0" xfId="0" applyFill="1" applyBorder="1" applyAlignment="1">
      <alignment horizontal="left"/>
    </xf>
    <xf numFmtId="0" fontId="3" fillId="0" borderId="0" xfId="0" applyFont="1" applyAlignment="1">
      <alignment horizontal="right"/>
    </xf>
    <xf numFmtId="0" fontId="0" fillId="2" borderId="0" xfId="0" applyFill="1" applyBorder="1"/>
    <xf numFmtId="0" fontId="2"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0" fillId="4" borderId="0" xfId="0" applyFill="1" applyBorder="1" applyAlignment="1">
      <alignment horizontal="left" vertical="center"/>
    </xf>
    <xf numFmtId="9" fontId="0" fillId="0" borderId="13" xfId="0" applyNumberFormat="1" applyBorder="1" applyAlignment="1">
      <alignment horizontal="right" vertical="center"/>
    </xf>
    <xf numFmtId="0" fontId="0" fillId="2" borderId="5" xfId="0" applyFill="1" applyBorder="1"/>
    <xf numFmtId="0" fontId="0" fillId="4" borderId="0" xfId="0" applyFill="1"/>
    <xf numFmtId="0" fontId="0" fillId="4" borderId="0" xfId="0" applyFill="1" applyBorder="1" applyAlignment="1">
      <alignment horizontal="center" textRotation="90"/>
    </xf>
    <xf numFmtId="0" fontId="0" fillId="0" borderId="0" xfId="0" applyAlignment="1"/>
    <xf numFmtId="0" fontId="0" fillId="4" borderId="0" xfId="0" applyFill="1" applyBorder="1" applyAlignment="1">
      <alignment horizontal="center" vertical="center"/>
    </xf>
    <xf numFmtId="0" fontId="0" fillId="4" borderId="0" xfId="0" applyFont="1" applyFill="1" applyBorder="1" applyAlignment="1">
      <alignment horizontal="center" textRotation="90"/>
    </xf>
    <xf numFmtId="9" fontId="0" fillId="5" borderId="3" xfId="0" applyNumberFormat="1" applyFill="1" applyBorder="1" applyAlignment="1">
      <alignment horizontal="center" vertical="center"/>
    </xf>
    <xf numFmtId="9" fontId="0" fillId="3" borderId="2" xfId="0" applyNumberFormat="1" applyFill="1" applyBorder="1" applyAlignment="1" applyProtection="1">
      <alignment horizontal="center" vertical="center"/>
      <protection locked="0"/>
    </xf>
    <xf numFmtId="9" fontId="0" fillId="4" borderId="0" xfId="0" applyNumberFormat="1" applyFill="1" applyBorder="1" applyAlignment="1">
      <alignment horizontal="center" vertical="center"/>
    </xf>
    <xf numFmtId="9" fontId="0" fillId="0" borderId="9" xfId="0" applyNumberFormat="1" applyBorder="1" applyAlignment="1">
      <alignment horizontal="center" vertical="center" wrapText="1"/>
    </xf>
    <xf numFmtId="0" fontId="0" fillId="4" borderId="0" xfId="0" applyFill="1" applyBorder="1" applyAlignment="1"/>
    <xf numFmtId="0" fontId="0" fillId="0" borderId="1" xfId="0" applyBorder="1" applyAlignment="1">
      <alignment horizontal="left"/>
    </xf>
    <xf numFmtId="0" fontId="0" fillId="0" borderId="0" xfId="0" applyBorder="1" applyAlignment="1">
      <alignment horizontal="left"/>
    </xf>
    <xf numFmtId="0" fontId="0" fillId="2" borderId="19" xfId="0" applyFill="1" applyBorder="1" applyAlignment="1">
      <alignment horizontal="center" vertical="center" textRotation="90"/>
    </xf>
    <xf numFmtId="0" fontId="0" fillId="2" borderId="18" xfId="0" applyFill="1" applyBorder="1" applyAlignment="1">
      <alignment horizontal="center" vertical="center" textRotation="90"/>
    </xf>
    <xf numFmtId="0" fontId="0" fillId="2" borderId="17" xfId="0" applyFill="1" applyBorder="1" applyAlignment="1">
      <alignment horizontal="center" vertical="center" textRotation="90"/>
    </xf>
    <xf numFmtId="0" fontId="0" fillId="0" borderId="3" xfId="0" applyBorder="1"/>
    <xf numFmtId="1" fontId="5" fillId="2" borderId="2" xfId="0" applyNumberFormat="1" applyFont="1" applyFill="1" applyBorder="1" applyAlignment="1">
      <alignment horizontal="center" vertical="center" wrapText="1"/>
    </xf>
    <xf numFmtId="0" fontId="0" fillId="0" borderId="31" xfId="0" applyBorder="1" applyAlignment="1">
      <alignment horizontal="right" vertical="center" wrapText="1"/>
    </xf>
    <xf numFmtId="9" fontId="0" fillId="5" borderId="4" xfId="0" applyNumberFormat="1" applyFill="1" applyBorder="1" applyAlignment="1">
      <alignment horizontal="center" vertical="center"/>
    </xf>
    <xf numFmtId="0" fontId="0" fillId="3" borderId="14" xfId="0" applyFill="1" applyBorder="1" applyAlignment="1" applyProtection="1">
      <alignment horizontal="center" vertical="center" wrapText="1"/>
      <protection locked="0"/>
    </xf>
    <xf numFmtId="0" fontId="0" fillId="3" borderId="13" xfId="0" applyFill="1" applyBorder="1" applyAlignment="1" applyProtection="1">
      <alignment horizontal="center" vertical="center" wrapText="1"/>
      <protection locked="0"/>
    </xf>
    <xf numFmtId="0" fontId="0" fillId="3" borderId="15" xfId="0" applyFill="1" applyBorder="1" applyAlignment="1" applyProtection="1">
      <alignment horizontal="center" vertical="center" wrapText="1"/>
      <protection locked="0"/>
    </xf>
    <xf numFmtId="0" fontId="0" fillId="0" borderId="0" xfId="0" applyBorder="1"/>
    <xf numFmtId="0" fontId="0" fillId="3" borderId="14" xfId="0" applyNumberFormat="1" applyFill="1" applyBorder="1" applyAlignment="1" applyProtection="1">
      <alignment horizontal="center" vertical="center" wrapText="1"/>
      <protection locked="0"/>
    </xf>
    <xf numFmtId="0" fontId="0" fillId="3" borderId="15" xfId="0" applyNumberFormat="1" applyFill="1" applyBorder="1" applyAlignment="1" applyProtection="1">
      <alignment horizontal="center" vertical="center" wrapText="1"/>
      <protection locked="0"/>
    </xf>
    <xf numFmtId="0" fontId="0" fillId="0" borderId="43" xfId="0" applyBorder="1" applyAlignment="1">
      <alignment horizontal="left" vertical="center"/>
    </xf>
    <xf numFmtId="1" fontId="0" fillId="3" borderId="13" xfId="0" applyNumberFormat="1" applyFill="1" applyBorder="1" applyAlignment="1" applyProtection="1">
      <alignment horizontal="center" vertical="center" wrapText="1"/>
      <protection locked="0"/>
    </xf>
    <xf numFmtId="0" fontId="0" fillId="0" borderId="32" xfId="0" applyBorder="1" applyAlignment="1">
      <alignment horizontal="center" vertical="center" wrapText="1"/>
    </xf>
    <xf numFmtId="0" fontId="0" fillId="0" borderId="3" xfId="0" applyBorder="1" applyAlignment="1">
      <alignment horizontal="right" vertical="center"/>
    </xf>
    <xf numFmtId="0" fontId="0" fillId="0" borderId="16" xfId="0" applyBorder="1" applyAlignment="1">
      <alignment horizontal="center" textRotation="90" wrapText="1"/>
    </xf>
    <xf numFmtId="0" fontId="0" fillId="0" borderId="29" xfId="0" applyBorder="1" applyAlignment="1">
      <alignment horizontal="center" textRotation="90" wrapText="1"/>
    </xf>
    <xf numFmtId="0" fontId="0" fillId="2" borderId="0" xfId="0" applyFill="1" applyBorder="1" applyAlignment="1">
      <alignment horizontal="left" vertical="center"/>
    </xf>
    <xf numFmtId="0" fontId="0" fillId="0" borderId="0" xfId="0" applyBorder="1" applyAlignment="1">
      <alignment horizontal="center" vertical="center" wrapText="1"/>
    </xf>
    <xf numFmtId="0" fontId="0" fillId="3" borderId="44" xfId="0" applyNumberFormat="1" applyFill="1" applyBorder="1" applyAlignment="1" applyProtection="1">
      <alignment horizontal="center" vertical="center" wrapText="1"/>
      <protection locked="0"/>
    </xf>
    <xf numFmtId="9" fontId="0" fillId="0" borderId="45" xfId="0" applyNumberFormat="1" applyBorder="1" applyAlignment="1">
      <alignment horizontal="center" vertical="center" wrapText="1"/>
    </xf>
    <xf numFmtId="1" fontId="5" fillId="2" borderId="3" xfId="0" applyNumberFormat="1" applyFont="1" applyFill="1" applyBorder="1" applyAlignment="1">
      <alignment horizontal="center" vertical="center" wrapText="1"/>
    </xf>
    <xf numFmtId="0" fontId="0" fillId="0" borderId="2" xfId="0" applyBorder="1"/>
    <xf numFmtId="49" fontId="0" fillId="3" borderId="14" xfId="0" applyNumberFormat="1" applyFill="1" applyBorder="1" applyAlignment="1" applyProtection="1">
      <alignment horizontal="center" vertical="center" wrapText="1"/>
      <protection locked="0"/>
    </xf>
    <xf numFmtId="9" fontId="0" fillId="3" borderId="15" xfId="0" applyNumberFormat="1" applyFill="1" applyBorder="1" applyAlignment="1" applyProtection="1">
      <alignment horizontal="right" vertical="center" wrapText="1"/>
      <protection locked="0"/>
    </xf>
    <xf numFmtId="0" fontId="0" fillId="0" borderId="13" xfId="0" applyBorder="1" applyAlignment="1">
      <alignment horizontal="center" vertical="center" wrapText="1"/>
    </xf>
    <xf numFmtId="9" fontId="0" fillId="0" borderId="15" xfId="0" applyNumberFormat="1" applyBorder="1" applyAlignment="1">
      <alignment horizontal="right" vertical="center" wrapText="1" indent="1"/>
    </xf>
    <xf numFmtId="9" fontId="0" fillId="0" borderId="15" xfId="1" applyFont="1" applyBorder="1" applyAlignment="1">
      <alignment horizontal="right" vertical="center" wrapText="1" indent="1"/>
    </xf>
    <xf numFmtId="49" fontId="0" fillId="3" borderId="48" xfId="0" applyNumberFormat="1" applyFill="1" applyBorder="1" applyAlignment="1" applyProtection="1">
      <alignment horizontal="center" vertical="center" wrapText="1"/>
      <protection locked="0"/>
    </xf>
    <xf numFmtId="0" fontId="0" fillId="0" borderId="0" xfId="0" applyAlignment="1"/>
    <xf numFmtId="49" fontId="0" fillId="3" borderId="53" xfId="0" applyNumberFormat="1" applyFill="1" applyBorder="1" applyAlignment="1" applyProtection="1">
      <alignment horizontal="center" vertical="center" wrapText="1"/>
      <protection locked="0"/>
    </xf>
    <xf numFmtId="49" fontId="0" fillId="3" borderId="54" xfId="0" applyNumberFormat="1" applyFill="1" applyBorder="1" applyAlignment="1" applyProtection="1">
      <alignment horizontal="center" vertical="center" wrapText="1"/>
      <protection locked="0"/>
    </xf>
    <xf numFmtId="0" fontId="0" fillId="0" borderId="0" xfId="0" applyBorder="1" applyAlignment="1">
      <alignment horizontal="center" vertical="center" wrapText="1"/>
    </xf>
    <xf numFmtId="0" fontId="0" fillId="0" borderId="25" xfId="0" applyBorder="1" applyAlignment="1">
      <alignment horizontal="center" vertical="center" wrapText="1"/>
    </xf>
    <xf numFmtId="0" fontId="0" fillId="0" borderId="52" xfId="0" applyBorder="1" applyAlignment="1">
      <alignment horizontal="center" textRotation="90" wrapText="1"/>
    </xf>
    <xf numFmtId="0" fontId="0" fillId="6" borderId="56" xfId="0" applyFill="1" applyBorder="1" applyAlignment="1" applyProtection="1">
      <alignment horizontal="left" vertical="center" wrapText="1"/>
      <protection locked="0"/>
    </xf>
    <xf numFmtId="0" fontId="0" fillId="7" borderId="57" xfId="0" applyFill="1" applyBorder="1" applyAlignment="1" applyProtection="1">
      <alignment horizontal="left" vertical="center" wrapText="1"/>
      <protection locked="0"/>
    </xf>
    <xf numFmtId="0" fontId="0" fillId="0" borderId="18" xfId="0" applyBorder="1" applyAlignment="1">
      <alignment horizontal="center" textRotation="90" wrapText="1"/>
    </xf>
    <xf numFmtId="0" fontId="0" fillId="0" borderId="0" xfId="0" applyBorder="1" applyAlignment="1">
      <alignment horizontal="center" vertical="center" textRotation="90" wrapText="1"/>
    </xf>
    <xf numFmtId="9" fontId="0" fillId="0" borderId="0" xfId="0" applyNumberFormat="1" applyBorder="1" applyAlignment="1">
      <alignment horizontal="right" vertical="center" wrapText="1" indent="1"/>
    </xf>
    <xf numFmtId="9" fontId="0" fillId="0" borderId="0" xfId="0" applyNumberFormat="1" applyFill="1" applyBorder="1" applyAlignment="1">
      <alignment horizontal="center" vertical="center" wrapText="1"/>
    </xf>
    <xf numFmtId="0" fontId="0" fillId="0" borderId="3" xfId="0" applyBorder="1" applyAlignment="1">
      <alignment horizontal="right" vertical="center" wrapText="1"/>
    </xf>
    <xf numFmtId="0" fontId="0" fillId="2" borderId="4" xfId="0" applyFill="1" applyBorder="1" applyAlignment="1">
      <alignment horizontal="center" vertical="center" wrapText="1"/>
    </xf>
    <xf numFmtId="0" fontId="0" fillId="0" borderId="0" xfId="0" applyNumberFormat="1" applyBorder="1" applyAlignment="1">
      <alignment horizontal="center" vertical="center" wrapText="1"/>
    </xf>
    <xf numFmtId="49" fontId="0" fillId="3" borderId="12" xfId="0" applyNumberFormat="1" applyFill="1" applyBorder="1" applyAlignment="1" applyProtection="1">
      <alignment horizontal="center" vertical="center" wrapText="1"/>
      <protection locked="0"/>
    </xf>
    <xf numFmtId="49" fontId="0" fillId="3" borderId="71" xfId="0" applyNumberFormat="1" applyFill="1" applyBorder="1" applyAlignment="1" applyProtection="1">
      <alignment horizontal="center" vertical="center" wrapText="1"/>
      <protection locked="0"/>
    </xf>
    <xf numFmtId="49" fontId="0" fillId="3" borderId="7" xfId="0" applyNumberFormat="1" applyFill="1" applyBorder="1" applyAlignment="1" applyProtection="1">
      <alignment horizontal="center" vertical="center" wrapText="1"/>
      <protection locked="0"/>
    </xf>
    <xf numFmtId="49" fontId="0" fillId="3" borderId="8" xfId="0" applyNumberFormat="1" applyFill="1" applyBorder="1" applyAlignment="1" applyProtection="1">
      <alignment horizontal="center" vertical="center" wrapText="1"/>
      <protection locked="0"/>
    </xf>
    <xf numFmtId="9" fontId="0" fillId="0" borderId="0" xfId="0" applyNumberFormat="1" applyBorder="1" applyAlignment="1">
      <alignment horizontal="center" vertical="center" wrapText="1"/>
    </xf>
    <xf numFmtId="0" fontId="0" fillId="0" borderId="0" xfId="0" applyFill="1" applyBorder="1" applyAlignment="1">
      <alignment horizontal="center" vertical="center" wrapText="1"/>
    </xf>
    <xf numFmtId="49" fontId="0" fillId="0" borderId="0" xfId="0" applyNumberFormat="1" applyFill="1" applyBorder="1" applyAlignment="1" applyProtection="1">
      <alignment horizontal="center" vertical="center" wrapText="1"/>
      <protection locked="0"/>
    </xf>
    <xf numFmtId="0" fontId="0" fillId="4" borderId="0" xfId="0" applyFill="1" applyBorder="1"/>
    <xf numFmtId="0" fontId="13" fillId="0" borderId="0" xfId="0" applyFont="1" applyBorder="1"/>
    <xf numFmtId="0" fontId="0" fillId="0" borderId="25" xfId="0" applyNumberFormat="1" applyBorder="1" applyAlignment="1">
      <alignment horizontal="center" vertical="center" wrapText="1"/>
    </xf>
    <xf numFmtId="0" fontId="0" fillId="6" borderId="38" xfId="0" applyFill="1" applyBorder="1" applyAlignment="1" applyProtection="1">
      <alignment horizontal="left" vertical="center" wrapText="1"/>
      <protection locked="0"/>
    </xf>
    <xf numFmtId="0" fontId="0" fillId="7" borderId="55" xfId="0" applyFill="1" applyBorder="1" applyAlignment="1" applyProtection="1">
      <alignment horizontal="left" vertical="center" wrapText="1"/>
      <protection locked="0"/>
    </xf>
    <xf numFmtId="0" fontId="0" fillId="0" borderId="34"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center" textRotation="90" wrapText="1"/>
    </xf>
    <xf numFmtId="0" fontId="0" fillId="0" borderId="0" xfId="0" applyBorder="1" applyAlignment="1">
      <alignment horizontal="right" vertical="center" wrapText="1"/>
    </xf>
    <xf numFmtId="1" fontId="0" fillId="3" borderId="35" xfId="0" applyNumberFormat="1" applyFill="1" applyBorder="1" applyAlignment="1" applyProtection="1">
      <alignment horizontal="center" vertical="center" wrapText="1"/>
      <protection locked="0"/>
    </xf>
    <xf numFmtId="165" fontId="0" fillId="3" borderId="71" xfId="0" applyNumberFormat="1" applyFill="1" applyBorder="1" applyAlignment="1" applyProtection="1">
      <alignment horizontal="center" vertical="center" wrapText="1"/>
      <protection locked="0"/>
    </xf>
    <xf numFmtId="165" fontId="0" fillId="3" borderId="8" xfId="0" applyNumberFormat="1" applyFill="1" applyBorder="1" applyAlignment="1" applyProtection="1">
      <alignment horizontal="center" vertical="center" wrapText="1"/>
      <protection locked="0"/>
    </xf>
    <xf numFmtId="0" fontId="0" fillId="11" borderId="36" xfId="0" applyNumberFormat="1" applyFill="1" applyBorder="1" applyAlignment="1" applyProtection="1">
      <alignment horizontal="center" vertical="center" wrapText="1"/>
    </xf>
    <xf numFmtId="0" fontId="10" fillId="0" borderId="0" xfId="7"/>
    <xf numFmtId="0" fontId="10" fillId="0" borderId="0" xfId="7" applyAlignment="1">
      <alignment wrapText="1"/>
    </xf>
    <xf numFmtId="0" fontId="10" fillId="0" borderId="0" xfId="7" applyFill="1"/>
    <xf numFmtId="0" fontId="15" fillId="0" borderId="40" xfId="7" applyFont="1" applyBorder="1"/>
    <xf numFmtId="0" fontId="10" fillId="0" borderId="1" xfId="7" applyBorder="1"/>
    <xf numFmtId="0" fontId="15" fillId="0" borderId="31" xfId="7" applyFont="1" applyBorder="1" applyAlignment="1">
      <alignment horizontal="center"/>
    </xf>
    <xf numFmtId="0" fontId="15" fillId="0" borderId="0" xfId="7" applyFont="1" applyBorder="1" applyAlignment="1">
      <alignment horizontal="center"/>
    </xf>
    <xf numFmtId="0" fontId="9" fillId="0" borderId="7" xfId="7" applyFont="1" applyBorder="1" applyAlignment="1">
      <alignment horizontal="center" textRotation="180"/>
    </xf>
    <xf numFmtId="0" fontId="9" fillId="0" borderId="8" xfId="7" applyFont="1" applyBorder="1" applyAlignment="1">
      <alignment horizontal="center" textRotation="180"/>
    </xf>
    <xf numFmtId="0" fontId="9" fillId="0" borderId="6" xfId="7" applyFont="1" applyBorder="1" applyAlignment="1">
      <alignment horizontal="center" textRotation="180"/>
    </xf>
    <xf numFmtId="0" fontId="9" fillId="0" borderId="49" xfId="7" applyFont="1" applyBorder="1" applyAlignment="1">
      <alignment horizontal="center" wrapText="1"/>
    </xf>
    <xf numFmtId="0" fontId="9" fillId="0" borderId="33" xfId="7" applyFont="1" applyBorder="1" applyAlignment="1">
      <alignment horizontal="center" wrapText="1"/>
    </xf>
    <xf numFmtId="0" fontId="9" fillId="0" borderId="47" xfId="7" applyFont="1" applyBorder="1" applyAlignment="1">
      <alignment horizontal="center" wrapText="1"/>
    </xf>
    <xf numFmtId="0" fontId="10" fillId="0" borderId="21" xfId="7" applyBorder="1"/>
    <xf numFmtId="0" fontId="10" fillId="0" borderId="25" xfId="7" applyBorder="1"/>
    <xf numFmtId="49" fontId="0" fillId="3" borderId="11" xfId="0" applyNumberFormat="1" applyFill="1" applyBorder="1" applyAlignment="1" applyProtection="1">
      <alignment horizontal="left" vertical="center" wrapText="1"/>
      <protection locked="0"/>
    </xf>
    <xf numFmtId="0" fontId="0" fillId="0" borderId="51" xfId="0" applyFill="1" applyBorder="1" applyAlignment="1">
      <alignment horizontal="center" textRotation="90" wrapText="1"/>
    </xf>
    <xf numFmtId="0" fontId="0" fillId="0" borderId="52" xfId="0" applyFill="1" applyBorder="1" applyAlignment="1">
      <alignment horizontal="center" textRotation="90" wrapText="1"/>
    </xf>
    <xf numFmtId="0" fontId="0" fillId="0" borderId="27" xfId="0" applyFill="1" applyBorder="1" applyAlignment="1">
      <alignment horizontal="center" textRotation="90" wrapText="1"/>
    </xf>
    <xf numFmtId="0" fontId="15" fillId="0" borderId="38" xfId="7" applyFont="1" applyFill="1" applyBorder="1" applyAlignment="1"/>
    <xf numFmtId="0" fontId="15" fillId="0" borderId="37" xfId="7" applyFont="1" applyFill="1" applyBorder="1" applyAlignment="1"/>
    <xf numFmtId="0" fontId="9" fillId="0" borderId="57" xfId="7" applyFont="1" applyFill="1" applyBorder="1" applyAlignment="1">
      <alignment horizontal="center" textRotation="180"/>
    </xf>
    <xf numFmtId="0" fontId="9" fillId="13" borderId="6" xfId="0" applyFont="1" applyFill="1" applyBorder="1" applyAlignment="1">
      <alignment horizontal="center" wrapText="1"/>
    </xf>
    <xf numFmtId="0" fontId="9" fillId="8" borderId="42" xfId="7" applyFont="1" applyFill="1" applyBorder="1" applyAlignment="1">
      <alignment horizontal="center" wrapText="1"/>
    </xf>
    <xf numFmtId="0" fontId="9" fillId="9" borderId="42" xfId="7" applyFont="1" applyFill="1" applyBorder="1" applyAlignment="1">
      <alignment horizontal="center" wrapText="1"/>
    </xf>
    <xf numFmtId="0" fontId="9" fillId="14" borderId="42" xfId="7" applyFont="1" applyFill="1" applyBorder="1" applyAlignment="1">
      <alignment horizontal="center" wrapText="1"/>
    </xf>
    <xf numFmtId="0" fontId="9" fillId="10" borderId="42" xfId="7" applyFont="1" applyFill="1" applyBorder="1" applyAlignment="1">
      <alignment horizontal="center" wrapText="1"/>
    </xf>
    <xf numFmtId="0" fontId="9" fillId="0" borderId="6" xfId="7" applyFont="1" applyBorder="1" applyAlignment="1">
      <alignment horizontal="center" wrapText="1"/>
    </xf>
    <xf numFmtId="1" fontId="0" fillId="0" borderId="6" xfId="0" applyNumberFormat="1" applyBorder="1" applyAlignment="1">
      <alignment horizontal="center" vertical="center" wrapText="1"/>
    </xf>
    <xf numFmtId="1" fontId="0" fillId="22" borderId="54" xfId="0" applyNumberFormat="1" applyFill="1" applyBorder="1" applyAlignment="1" applyProtection="1">
      <alignment horizontal="center" vertical="center" wrapText="1"/>
    </xf>
    <xf numFmtId="0" fontId="0" fillId="22" borderId="73" xfId="0" applyNumberFormat="1" applyFill="1" applyBorder="1" applyAlignment="1" applyProtection="1">
      <alignment horizontal="center" vertical="center" wrapText="1"/>
    </xf>
    <xf numFmtId="0" fontId="0" fillId="22" borderId="74" xfId="0" applyNumberFormat="1" applyFill="1" applyBorder="1" applyAlignment="1" applyProtection="1">
      <alignment horizontal="center" vertical="center" wrapText="1"/>
    </xf>
    <xf numFmtId="0" fontId="0" fillId="22" borderId="15" xfId="0" applyNumberFormat="1" applyFill="1" applyBorder="1" applyAlignment="1" applyProtection="1">
      <alignment horizontal="left" vertical="center" wrapText="1"/>
    </xf>
    <xf numFmtId="49" fontId="0" fillId="3" borderId="9" xfId="0" applyNumberFormat="1" applyFill="1" applyBorder="1" applyAlignment="1" applyProtection="1">
      <alignment horizontal="center" vertical="center" wrapText="1"/>
      <protection locked="0"/>
    </xf>
    <xf numFmtId="0" fontId="10" fillId="22" borderId="59" xfId="7" applyFill="1" applyBorder="1" applyAlignment="1" applyProtection="1">
      <alignment horizontal="center" vertical="center"/>
    </xf>
    <xf numFmtId="0" fontId="10" fillId="22" borderId="63" xfId="7" applyFill="1" applyBorder="1" applyAlignment="1" applyProtection="1">
      <alignment horizontal="center" vertical="center"/>
    </xf>
    <xf numFmtId="0" fontId="10" fillId="22" borderId="67" xfId="7" applyFill="1" applyBorder="1" applyAlignment="1" applyProtection="1">
      <alignment horizontal="center" vertical="center"/>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0" xfId="0" applyBorder="1" applyAlignment="1">
      <alignment horizontal="center" vertical="center" wrapText="1"/>
    </xf>
    <xf numFmtId="0" fontId="0" fillId="0" borderId="33" xfId="0" applyBorder="1" applyAlignment="1">
      <alignment horizontal="center" vertical="center" wrapText="1"/>
    </xf>
    <xf numFmtId="0" fontId="0" fillId="0" borderId="16" xfId="0" applyBorder="1" applyAlignment="1">
      <alignment horizontal="center" textRotation="90" wrapText="1"/>
    </xf>
    <xf numFmtId="0" fontId="0" fillId="0" borderId="27" xfId="0" applyBorder="1" applyAlignment="1">
      <alignment horizontal="center" textRotation="90" wrapText="1"/>
    </xf>
    <xf numFmtId="0" fontId="0" fillId="4" borderId="0" xfId="0" applyFill="1" applyAlignment="1"/>
    <xf numFmtId="0" fontId="0" fillId="0" borderId="33" xfId="0" applyBorder="1" applyAlignment="1">
      <alignment horizontal="center" vertical="center" wrapText="1"/>
    </xf>
    <xf numFmtId="0" fontId="0" fillId="0" borderId="3" xfId="0" applyBorder="1" applyAlignment="1">
      <alignment horizontal="left" vertical="center" wrapText="1"/>
    </xf>
    <xf numFmtId="0" fontId="0" fillId="0" borderId="29" xfId="0" applyBorder="1" applyAlignment="1">
      <alignment vertical="center" wrapText="1"/>
    </xf>
    <xf numFmtId="0" fontId="0" fillId="0" borderId="9" xfId="0" applyBorder="1" applyAlignment="1">
      <alignment vertical="top"/>
    </xf>
    <xf numFmtId="0" fontId="0" fillId="0" borderId="6" xfId="0" applyBorder="1" applyAlignment="1">
      <alignment vertical="top"/>
    </xf>
    <xf numFmtId="0" fontId="0" fillId="0" borderId="84" xfId="0" applyBorder="1" applyAlignment="1">
      <alignment vertical="top"/>
    </xf>
    <xf numFmtId="0" fontId="0" fillId="0" borderId="87" xfId="0" applyBorder="1" applyAlignment="1">
      <alignment vertical="top"/>
    </xf>
    <xf numFmtId="0" fontId="3" fillId="0" borderId="81" xfId="0" applyFont="1" applyBorder="1" applyAlignment="1">
      <alignment vertical="top"/>
    </xf>
    <xf numFmtId="0" fontId="3" fillId="0" borderId="35" xfId="0" applyFont="1" applyBorder="1" applyAlignment="1">
      <alignment vertical="top"/>
    </xf>
    <xf numFmtId="0" fontId="0" fillId="0" borderId="96" xfId="0" applyBorder="1" applyAlignment="1">
      <alignment horizontal="left"/>
    </xf>
    <xf numFmtId="0" fontId="0" fillId="0" borderId="97" xfId="0" applyBorder="1" applyAlignment="1">
      <alignment horizontal="left"/>
    </xf>
    <xf numFmtId="49" fontId="0" fillId="3" borderId="95" xfId="0" applyNumberFormat="1" applyFill="1" applyBorder="1" applyAlignment="1" applyProtection="1">
      <alignment horizontal="left" vertical="center" wrapText="1"/>
      <protection locked="0"/>
    </xf>
    <xf numFmtId="49" fontId="0" fillId="3" borderId="98" xfId="0" applyNumberFormat="1" applyFill="1" applyBorder="1" applyAlignment="1" applyProtection="1">
      <alignment horizontal="left" vertical="center" wrapText="1"/>
      <protection locked="0"/>
    </xf>
    <xf numFmtId="0" fontId="0" fillId="4" borderId="0" xfId="0" applyFill="1" applyBorder="1" applyAlignment="1">
      <alignment vertical="center"/>
    </xf>
    <xf numFmtId="0" fontId="0" fillId="0" borderId="56" xfId="0" applyBorder="1" applyAlignment="1">
      <alignment vertical="center"/>
    </xf>
    <xf numFmtId="0" fontId="0" fillId="0" borderId="99" xfId="0" applyBorder="1" applyAlignment="1">
      <alignment horizontal="left" vertical="center"/>
    </xf>
    <xf numFmtId="0" fontId="0" fillId="0" borderId="100" xfId="0" applyBorder="1" applyAlignment="1">
      <alignment horizontal="center" textRotation="90" wrapText="1"/>
    </xf>
    <xf numFmtId="0" fontId="0" fillId="22" borderId="101" xfId="0" applyNumberFormat="1" applyFill="1" applyBorder="1" applyAlignment="1" applyProtection="1">
      <alignment horizontal="center" vertical="center" wrapText="1"/>
    </xf>
    <xf numFmtId="49" fontId="0" fillId="23" borderId="0" xfId="0" applyNumberFormat="1" applyFill="1" applyBorder="1" applyAlignment="1" applyProtection="1">
      <alignment horizontal="left" vertical="center"/>
    </xf>
    <xf numFmtId="0" fontId="0" fillId="22" borderId="75" xfId="0" applyNumberFormat="1" applyFill="1" applyBorder="1" applyAlignment="1" applyProtection="1">
      <alignment horizontal="center" vertical="center" wrapText="1"/>
    </xf>
    <xf numFmtId="0" fontId="0" fillId="0" borderId="1" xfId="0" applyBorder="1"/>
    <xf numFmtId="0" fontId="0" fillId="0" borderId="41" xfId="0" applyBorder="1" applyAlignment="1" applyProtection="1">
      <alignment horizontal="center" textRotation="90" wrapText="1"/>
      <protection locked="0"/>
    </xf>
    <xf numFmtId="49" fontId="0" fillId="3" borderId="103" xfId="0" applyNumberFormat="1" applyFill="1" applyBorder="1" applyAlignment="1" applyProtection="1">
      <alignment horizontal="center" vertical="center" wrapText="1"/>
      <protection locked="0"/>
    </xf>
    <xf numFmtId="49" fontId="0" fillId="3" borderId="73" xfId="0" applyNumberFormat="1" applyFill="1" applyBorder="1" applyAlignment="1" applyProtection="1">
      <alignment horizontal="center" vertical="center" wrapText="1"/>
      <protection locked="0"/>
    </xf>
    <xf numFmtId="49" fontId="0" fillId="3" borderId="76" xfId="0" applyNumberFormat="1" applyFill="1" applyBorder="1" applyAlignment="1" applyProtection="1">
      <alignment horizontal="center" vertical="center" wrapText="1"/>
      <protection locked="0"/>
    </xf>
    <xf numFmtId="0" fontId="0" fillId="0" borderId="96" xfId="0" applyBorder="1"/>
    <xf numFmtId="0" fontId="0" fillId="0" borderId="107" xfId="0" applyBorder="1"/>
    <xf numFmtId="0" fontId="0" fillId="0" borderId="97" xfId="0" applyBorder="1"/>
    <xf numFmtId="49" fontId="0" fillId="3" borderId="83" xfId="0" applyNumberFormat="1" applyFill="1" applyBorder="1" applyAlignment="1" applyProtection="1">
      <alignment vertical="center" wrapText="1"/>
      <protection locked="0"/>
    </xf>
    <xf numFmtId="49" fontId="0" fillId="3" borderId="86" xfId="0" applyNumberFormat="1" applyFill="1" applyBorder="1" applyAlignment="1" applyProtection="1">
      <alignment vertical="center" wrapText="1"/>
      <protection locked="0"/>
    </xf>
    <xf numFmtId="49" fontId="0" fillId="3" borderId="89" xfId="0" applyNumberFormat="1" applyFill="1" applyBorder="1" applyAlignment="1" applyProtection="1">
      <alignment vertical="center" wrapText="1"/>
      <protection locked="0"/>
    </xf>
    <xf numFmtId="0" fontId="0" fillId="3" borderId="9" xfId="0" applyNumberFormat="1" applyFill="1" applyBorder="1" applyAlignment="1" applyProtection="1">
      <alignment horizontal="center" vertical="center" wrapText="1"/>
      <protection locked="0"/>
    </xf>
    <xf numFmtId="0" fontId="0" fillId="3" borderId="35" xfId="0" applyNumberFormat="1" applyFill="1" applyBorder="1" applyAlignment="1" applyProtection="1">
      <alignment horizontal="center" vertical="center" wrapText="1"/>
      <protection locked="0"/>
    </xf>
    <xf numFmtId="49" fontId="0" fillId="3" borderId="90" xfId="0" applyNumberFormat="1" applyFill="1" applyBorder="1" applyAlignment="1" applyProtection="1">
      <alignment horizontal="left" vertical="center" wrapText="1"/>
      <protection locked="0"/>
    </xf>
    <xf numFmtId="49" fontId="0" fillId="3" borderId="91" xfId="0" applyNumberFormat="1" applyFill="1" applyBorder="1" applyAlignment="1" applyProtection="1">
      <alignment vertical="top" wrapText="1"/>
      <protection locked="0"/>
    </xf>
    <xf numFmtId="49" fontId="0" fillId="3" borderId="104" xfId="0" applyNumberFormat="1" applyFill="1" applyBorder="1" applyAlignment="1" applyProtection="1">
      <alignment vertical="top" wrapText="1"/>
      <protection locked="0"/>
    </xf>
    <xf numFmtId="49" fontId="0" fillId="3" borderId="106" xfId="0" applyNumberFormat="1" applyFill="1" applyBorder="1" applyAlignment="1" applyProtection="1">
      <alignment horizontal="left" vertical="center" wrapText="1"/>
      <protection locked="0"/>
    </xf>
    <xf numFmtId="49" fontId="0" fillId="3" borderId="78" xfId="0" applyNumberFormat="1" applyFill="1" applyBorder="1" applyAlignment="1" applyProtection="1">
      <alignment vertical="top" wrapText="1"/>
      <protection locked="0"/>
    </xf>
    <xf numFmtId="49" fontId="0" fillId="3" borderId="80" xfId="0" applyNumberFormat="1" applyFill="1" applyBorder="1" applyAlignment="1" applyProtection="1">
      <alignment vertical="top" wrapText="1"/>
      <protection locked="0"/>
    </xf>
    <xf numFmtId="49" fontId="0" fillId="3" borderId="102" xfId="0" applyNumberFormat="1" applyFill="1" applyBorder="1" applyAlignment="1" applyProtection="1">
      <alignment horizontal="left" vertical="center" wrapText="1"/>
      <protection locked="0"/>
    </xf>
    <xf numFmtId="49" fontId="0" fillId="3" borderId="39" xfId="0" applyNumberFormat="1" applyFill="1" applyBorder="1" applyAlignment="1" applyProtection="1">
      <alignment vertical="top" wrapText="1"/>
      <protection locked="0"/>
    </xf>
    <xf numFmtId="49" fontId="0" fillId="3" borderId="77" xfId="0" applyNumberFormat="1" applyFill="1" applyBorder="1" applyAlignment="1" applyProtection="1">
      <alignment vertical="top" wrapText="1"/>
      <protection locked="0"/>
    </xf>
    <xf numFmtId="0" fontId="0" fillId="0" borderId="19" xfId="0" applyBorder="1" applyAlignment="1">
      <alignment horizontal="center"/>
    </xf>
    <xf numFmtId="0" fontId="0" fillId="0" borderId="105" xfId="0" applyBorder="1" applyAlignment="1">
      <alignment horizontal="center"/>
    </xf>
    <xf numFmtId="0" fontId="3" fillId="4" borderId="0" xfId="0" applyFont="1" applyFill="1" applyBorder="1" applyAlignment="1">
      <alignment horizontal="center" wrapText="1"/>
    </xf>
    <xf numFmtId="0" fontId="3" fillId="4" borderId="18" xfId="0" applyFont="1" applyFill="1" applyBorder="1" applyAlignment="1">
      <alignment horizontal="center" wrapText="1"/>
    </xf>
    <xf numFmtId="0" fontId="0" fillId="4" borderId="0" xfId="0" applyFill="1" applyAlignment="1">
      <alignment vertical="center"/>
    </xf>
    <xf numFmtId="165" fontId="0" fillId="4" borderId="0" xfId="0" applyNumberFormat="1" applyFill="1" applyAlignment="1">
      <alignment vertical="center"/>
    </xf>
    <xf numFmtId="2" fontId="0" fillId="4" borderId="0" xfId="0" applyNumberFormat="1" applyFill="1" applyAlignment="1">
      <alignment vertical="center"/>
    </xf>
    <xf numFmtId="0" fontId="0" fillId="4" borderId="0" xfId="0" applyNumberFormat="1" applyFill="1" applyAlignment="1">
      <alignment vertical="center"/>
    </xf>
    <xf numFmtId="2" fontId="0" fillId="4" borderId="45" xfId="0" applyNumberFormat="1" applyFill="1" applyBorder="1" applyAlignment="1">
      <alignment vertical="center"/>
    </xf>
    <xf numFmtId="2" fontId="0" fillId="4" borderId="0" xfId="0" applyNumberFormat="1" applyFill="1"/>
    <xf numFmtId="14" fontId="0" fillId="24" borderId="80" xfId="0" applyNumberFormat="1" applyFill="1" applyBorder="1" applyAlignment="1" applyProtection="1"/>
    <xf numFmtId="14" fontId="0" fillId="24" borderId="55" xfId="0" applyNumberFormat="1" applyFill="1" applyBorder="1" applyAlignment="1" applyProtection="1"/>
    <xf numFmtId="0" fontId="0" fillId="12" borderId="55" xfId="0" applyFill="1" applyBorder="1" applyAlignment="1" applyProtection="1"/>
    <xf numFmtId="9" fontId="0" fillId="24" borderId="79" xfId="0" applyNumberFormat="1" applyFill="1" applyBorder="1" applyAlignment="1" applyProtection="1"/>
    <xf numFmtId="0" fontId="0" fillId="4" borderId="41" xfId="0" applyFill="1" applyBorder="1"/>
    <xf numFmtId="0" fontId="0" fillId="4" borderId="20" xfId="0" applyFill="1" applyBorder="1"/>
    <xf numFmtId="0" fontId="3" fillId="4" borderId="95" xfId="0" applyFont="1" applyFill="1" applyBorder="1"/>
    <xf numFmtId="0" fontId="0" fillId="4" borderId="41" xfId="0" applyFill="1" applyBorder="1" applyAlignment="1">
      <alignment horizontal="center"/>
    </xf>
    <xf numFmtId="0" fontId="0" fillId="4" borderId="20" xfId="0" applyFill="1" applyBorder="1" applyAlignment="1">
      <alignment horizontal="center"/>
    </xf>
    <xf numFmtId="0" fontId="3" fillId="4" borderId="95" xfId="0" applyFont="1" applyFill="1" applyBorder="1" applyAlignment="1">
      <alignment horizontal="center"/>
    </xf>
    <xf numFmtId="0" fontId="0" fillId="4" borderId="31" xfId="0" applyFill="1" applyBorder="1"/>
    <xf numFmtId="0" fontId="0" fillId="25" borderId="25" xfId="0" applyFill="1" applyBorder="1" applyAlignment="1">
      <alignment horizontal="center"/>
    </xf>
    <xf numFmtId="0" fontId="0" fillId="4" borderId="19" xfId="0" applyFill="1" applyBorder="1"/>
    <xf numFmtId="165" fontId="0" fillId="25" borderId="17" xfId="0" applyNumberFormat="1" applyFill="1" applyBorder="1" applyAlignment="1">
      <alignment horizontal="center"/>
    </xf>
    <xf numFmtId="0" fontId="3" fillId="4" borderId="39" xfId="0" applyFont="1" applyFill="1" applyBorder="1"/>
    <xf numFmtId="0" fontId="0" fillId="4" borderId="37" xfId="0" applyFill="1" applyBorder="1"/>
    <xf numFmtId="49" fontId="0" fillId="4" borderId="41" xfId="0" applyNumberFormat="1" applyFill="1" applyBorder="1" applyAlignment="1">
      <alignment horizontal="center"/>
    </xf>
    <xf numFmtId="49" fontId="0" fillId="4" borderId="20" xfId="0" applyNumberFormat="1" applyFill="1" applyBorder="1" applyAlignment="1">
      <alignment horizontal="center"/>
    </xf>
    <xf numFmtId="0" fontId="3" fillId="4" borderId="38" xfId="0" applyFont="1" applyFill="1" applyBorder="1" applyAlignment="1"/>
    <xf numFmtId="0" fontId="3" fillId="4" borderId="37" xfId="0" applyFont="1" applyFill="1" applyBorder="1" applyAlignment="1"/>
    <xf numFmtId="0" fontId="22" fillId="4" borderId="45" xfId="0" applyFont="1" applyFill="1" applyBorder="1" applyAlignment="1">
      <alignment vertical="top" wrapText="1"/>
    </xf>
    <xf numFmtId="0" fontId="22" fillId="4" borderId="109" xfId="0" applyFont="1" applyFill="1" applyBorder="1" applyAlignment="1">
      <alignment vertical="top" wrapText="1"/>
    </xf>
    <xf numFmtId="0" fontId="22" fillId="4" borderId="55" xfId="0" applyFont="1" applyFill="1" applyBorder="1" applyAlignment="1">
      <alignment vertical="top" wrapText="1"/>
    </xf>
    <xf numFmtId="0" fontId="22" fillId="4" borderId="79" xfId="0" applyFont="1" applyFill="1" applyBorder="1" applyAlignment="1">
      <alignment vertical="top" wrapText="1"/>
    </xf>
    <xf numFmtId="0" fontId="3" fillId="4" borderId="12" xfId="0" applyFont="1" applyFill="1" applyBorder="1" applyAlignment="1"/>
    <xf numFmtId="0" fontId="3" fillId="4" borderId="10" xfId="0" applyFont="1" applyFill="1" applyBorder="1" applyAlignment="1">
      <alignment vertical="center"/>
    </xf>
    <xf numFmtId="0" fontId="3" fillId="4" borderId="7" xfId="0" applyFont="1" applyFill="1" applyBorder="1" applyAlignment="1">
      <alignment vertical="center"/>
    </xf>
    <xf numFmtId="0" fontId="0" fillId="0" borderId="18" xfId="0" applyBorder="1" applyAlignment="1">
      <alignment horizontal="left"/>
    </xf>
    <xf numFmtId="0" fontId="0" fillId="0" borderId="7" xfId="0" applyBorder="1" applyAlignment="1">
      <alignment vertical="center"/>
    </xf>
    <xf numFmtId="0" fontId="0" fillId="26" borderId="81" xfId="0" applyNumberFormat="1" applyFill="1" applyBorder="1" applyAlignment="1" applyProtection="1">
      <alignment horizontal="left" vertical="center" wrapText="1"/>
      <protection locked="0"/>
    </xf>
    <xf numFmtId="0" fontId="0" fillId="26" borderId="84" xfId="0" applyNumberFormat="1" applyFill="1" applyBorder="1" applyAlignment="1" applyProtection="1">
      <alignment horizontal="left" vertical="center" wrapText="1"/>
      <protection locked="0"/>
    </xf>
    <xf numFmtId="0" fontId="0" fillId="4" borderId="25" xfId="0" applyFill="1" applyBorder="1"/>
    <xf numFmtId="0" fontId="0" fillId="4" borderId="17" xfId="0" applyFill="1" applyBorder="1"/>
    <xf numFmtId="0" fontId="3" fillId="4" borderId="72" xfId="0" applyFont="1" applyFill="1" applyBorder="1"/>
    <xf numFmtId="0" fontId="3" fillId="4" borderId="58" xfId="0" applyFont="1" applyFill="1" applyBorder="1"/>
    <xf numFmtId="0" fontId="3" fillId="4" borderId="58" xfId="0" applyFont="1" applyFill="1" applyBorder="1" applyAlignment="1">
      <alignment horizontal="left"/>
    </xf>
    <xf numFmtId="0" fontId="0" fillId="4" borderId="32" xfId="0" applyFill="1" applyBorder="1"/>
    <xf numFmtId="0" fontId="0" fillId="4" borderId="33" xfId="0" applyFill="1" applyBorder="1"/>
    <xf numFmtId="0" fontId="0" fillId="4" borderId="16" xfId="0" applyFill="1" applyBorder="1"/>
    <xf numFmtId="0" fontId="0" fillId="4" borderId="27" xfId="0" applyFill="1" applyBorder="1"/>
    <xf numFmtId="0" fontId="0" fillId="4" borderId="32" xfId="0" applyFill="1" applyBorder="1" applyAlignment="1">
      <alignment horizontal="center"/>
    </xf>
    <xf numFmtId="0" fontId="0" fillId="4" borderId="33" xfId="0" applyFill="1" applyBorder="1" applyAlignment="1">
      <alignment horizontal="center"/>
    </xf>
    <xf numFmtId="49" fontId="0" fillId="4" borderId="34" xfId="0" applyNumberFormat="1" applyFill="1" applyBorder="1" applyAlignment="1">
      <alignment horizontal="center"/>
    </xf>
    <xf numFmtId="0" fontId="0" fillId="4" borderId="16" xfId="0" applyFill="1" applyBorder="1" applyAlignment="1">
      <alignment horizontal="center"/>
    </xf>
    <xf numFmtId="0" fontId="0" fillId="4" borderId="27" xfId="0" applyFill="1" applyBorder="1" applyAlignment="1">
      <alignment horizontal="center"/>
    </xf>
    <xf numFmtId="49" fontId="0" fillId="4" borderId="29" xfId="0" applyNumberFormat="1" applyFill="1" applyBorder="1" applyAlignment="1">
      <alignment horizontal="center"/>
    </xf>
    <xf numFmtId="0" fontId="3" fillId="4" borderId="14" xfId="0" applyFont="1" applyFill="1" applyBorder="1" applyAlignment="1">
      <alignment horizontal="center"/>
    </xf>
    <xf numFmtId="0" fontId="3" fillId="4" borderId="13" xfId="0" applyFont="1" applyFill="1" applyBorder="1" applyAlignment="1">
      <alignment horizontal="center"/>
    </xf>
    <xf numFmtId="0" fontId="3" fillId="4" borderId="15" xfId="0" applyFont="1" applyFill="1" applyBorder="1" applyAlignment="1">
      <alignment horizontal="center"/>
    </xf>
    <xf numFmtId="0" fontId="6" fillId="4" borderId="30" xfId="0" applyFont="1" applyFill="1" applyBorder="1" applyAlignment="1">
      <alignment horizontal="center"/>
    </xf>
    <xf numFmtId="0" fontId="3" fillId="4" borderId="110" xfId="0" applyFont="1" applyFill="1" applyBorder="1" applyAlignment="1"/>
    <xf numFmtId="49" fontId="3" fillId="4" borderId="95" xfId="0" applyNumberFormat="1" applyFont="1" applyFill="1" applyBorder="1" applyAlignment="1">
      <alignment horizontal="center"/>
    </xf>
    <xf numFmtId="0" fontId="3" fillId="4" borderId="0" xfId="0" applyFont="1" applyFill="1" applyBorder="1"/>
    <xf numFmtId="0" fontId="0" fillId="4" borderId="34" xfId="0" applyFill="1" applyBorder="1"/>
    <xf numFmtId="0" fontId="0" fillId="4" borderId="29" xfId="0" applyFill="1" applyBorder="1"/>
    <xf numFmtId="0" fontId="3" fillId="4" borderId="14" xfId="0" applyFont="1" applyFill="1" applyBorder="1"/>
    <xf numFmtId="0" fontId="3" fillId="4" borderId="13" xfId="0" applyFont="1" applyFill="1" applyBorder="1"/>
    <xf numFmtId="0" fontId="3" fillId="4" borderId="15" xfId="0" applyFont="1" applyFill="1" applyBorder="1"/>
    <xf numFmtId="0" fontId="0" fillId="4" borderId="31" xfId="0" applyFill="1" applyBorder="1" applyAlignment="1">
      <alignment horizontal="center"/>
    </xf>
    <xf numFmtId="0" fontId="0" fillId="4" borderId="19" xfId="0" applyFill="1" applyBorder="1" applyAlignment="1">
      <alignment horizontal="center"/>
    </xf>
    <xf numFmtId="0" fontId="3" fillId="4" borderId="72" xfId="0" applyFont="1" applyFill="1" applyBorder="1" applyAlignment="1">
      <alignment horizontal="center"/>
    </xf>
    <xf numFmtId="0" fontId="3" fillId="4" borderId="44" xfId="0" applyFont="1" applyFill="1" applyBorder="1" applyAlignment="1">
      <alignment horizontal="left"/>
    </xf>
    <xf numFmtId="0" fontId="0" fillId="4" borderId="0" xfId="0" applyNumberFormat="1" applyFill="1" applyBorder="1" applyAlignment="1">
      <alignment vertical="center"/>
    </xf>
    <xf numFmtId="0" fontId="0" fillId="4" borderId="3" xfId="0" applyFill="1" applyBorder="1" applyAlignment="1">
      <alignment horizontal="right" vertical="center" wrapText="1"/>
    </xf>
    <xf numFmtId="49" fontId="0" fillId="3" borderId="85" xfId="0" applyNumberFormat="1" applyFont="1" applyFill="1" applyBorder="1" applyAlignment="1" applyProtection="1">
      <alignment horizontal="center" vertical="center" wrapText="1"/>
      <protection locked="0"/>
    </xf>
    <xf numFmtId="49" fontId="23" fillId="3" borderId="81" xfId="0" applyNumberFormat="1" applyFont="1" applyFill="1" applyBorder="1" applyAlignment="1" applyProtection="1">
      <alignment vertical="top" wrapText="1"/>
      <protection locked="0"/>
    </xf>
    <xf numFmtId="49" fontId="23" fillId="3" borderId="84" xfId="0" applyNumberFormat="1" applyFont="1" applyFill="1" applyBorder="1" applyAlignment="1" applyProtection="1">
      <alignment vertical="top" wrapText="1"/>
      <protection locked="0"/>
    </xf>
    <xf numFmtId="49" fontId="0" fillId="3" borderId="11" xfId="0" applyNumberFormat="1" applyFill="1" applyBorder="1" applyAlignment="1" applyProtection="1">
      <alignment horizontal="center" vertical="center" wrapText="1"/>
      <protection locked="0"/>
    </xf>
    <xf numFmtId="49" fontId="0" fillId="3" borderId="35" xfId="0" applyNumberFormat="1" applyFill="1" applyBorder="1" applyAlignment="1" applyProtection="1">
      <alignment horizontal="left" vertical="top" wrapText="1"/>
      <protection locked="0"/>
    </xf>
    <xf numFmtId="49" fontId="0" fillId="3" borderId="9" xfId="0" applyNumberFormat="1" applyFill="1" applyBorder="1" applyAlignment="1" applyProtection="1">
      <alignment horizontal="left" vertical="top" wrapText="1"/>
      <protection locked="0"/>
    </xf>
    <xf numFmtId="165" fontId="3" fillId="22" borderId="19" xfId="0" applyNumberFormat="1" applyFont="1" applyFill="1" applyBorder="1" applyAlignment="1" applyProtection="1">
      <alignment horizontal="center" vertical="center"/>
    </xf>
    <xf numFmtId="0" fontId="0" fillId="26" borderId="87" xfId="0" applyNumberFormat="1" applyFill="1" applyBorder="1" applyAlignment="1" applyProtection="1">
      <alignment horizontal="left" vertical="center" wrapText="1"/>
      <protection locked="0"/>
    </xf>
    <xf numFmtId="0" fontId="0" fillId="3" borderId="6" xfId="0" applyNumberFormat="1" applyFill="1" applyBorder="1" applyAlignment="1" applyProtection="1">
      <alignment horizontal="center" vertical="center" wrapText="1"/>
      <protection locked="0"/>
    </xf>
    <xf numFmtId="49" fontId="23" fillId="3" borderId="87" xfId="0" applyNumberFormat="1" applyFont="1" applyFill="1" applyBorder="1" applyAlignment="1" applyProtection="1">
      <alignment vertical="top" wrapText="1"/>
      <protection locked="0"/>
    </xf>
    <xf numFmtId="49" fontId="0" fillId="3" borderId="88" xfId="0" applyNumberFormat="1" applyFont="1" applyFill="1" applyBorder="1" applyAlignment="1" applyProtection="1">
      <alignment horizontal="center" vertical="center" wrapText="1"/>
      <protection locked="0"/>
    </xf>
    <xf numFmtId="49" fontId="0" fillId="3" borderId="6" xfId="0" applyNumberFormat="1" applyFill="1" applyBorder="1" applyAlignment="1" applyProtection="1">
      <alignment horizontal="left" vertical="top" wrapText="1"/>
      <protection locked="0"/>
    </xf>
    <xf numFmtId="0" fontId="3" fillId="0" borderId="108" xfId="0" applyFont="1" applyBorder="1"/>
    <xf numFmtId="49" fontId="0" fillId="3" borderId="81" xfId="0" applyNumberFormat="1" applyFill="1" applyBorder="1" applyAlignment="1" applyProtection="1">
      <alignment horizontal="left" vertical="top" wrapText="1"/>
      <protection locked="0"/>
    </xf>
    <xf numFmtId="49" fontId="0" fillId="3" borderId="82" xfId="0" applyNumberFormat="1" applyFill="1" applyBorder="1" applyAlignment="1" applyProtection="1">
      <alignment horizontal="left" vertical="top" wrapText="1"/>
      <protection locked="0"/>
    </xf>
    <xf numFmtId="49" fontId="0" fillId="3" borderId="83" xfId="0" applyNumberFormat="1" applyFill="1" applyBorder="1" applyAlignment="1" applyProtection="1">
      <alignment horizontal="left" vertical="top" wrapText="1"/>
      <protection locked="0"/>
    </xf>
    <xf numFmtId="49" fontId="0" fillId="3" borderId="84" xfId="0" applyNumberFormat="1" applyFill="1" applyBorder="1" applyAlignment="1" applyProtection="1">
      <alignment horizontal="left" vertical="top" wrapText="1"/>
      <protection locked="0"/>
    </xf>
    <xf numFmtId="49" fontId="0" fillId="3" borderId="85" xfId="0" applyNumberFormat="1" applyFill="1" applyBorder="1" applyAlignment="1" applyProtection="1">
      <alignment horizontal="left" vertical="top" wrapText="1"/>
      <protection locked="0"/>
    </xf>
    <xf numFmtId="49" fontId="0" fillId="3" borderId="86" xfId="0" applyNumberFormat="1" applyFill="1" applyBorder="1" applyAlignment="1" applyProtection="1">
      <alignment horizontal="left" vertical="top" wrapText="1"/>
      <protection locked="0"/>
    </xf>
    <xf numFmtId="49" fontId="0" fillId="3" borderId="87" xfId="0" applyNumberFormat="1" applyFill="1" applyBorder="1" applyAlignment="1" applyProtection="1">
      <alignment horizontal="left" vertical="top" wrapText="1"/>
      <protection locked="0"/>
    </xf>
    <xf numFmtId="49" fontId="0" fillId="3" borderId="88" xfId="0" applyNumberFormat="1" applyFill="1" applyBorder="1" applyAlignment="1" applyProtection="1">
      <alignment horizontal="left" vertical="top" wrapText="1"/>
      <protection locked="0"/>
    </xf>
    <xf numFmtId="49" fontId="0" fillId="3" borderId="89" xfId="0" applyNumberFormat="1" applyFill="1" applyBorder="1" applyAlignment="1" applyProtection="1">
      <alignment horizontal="left" vertical="top" wrapText="1"/>
      <protection locked="0"/>
    </xf>
    <xf numFmtId="0" fontId="3" fillId="0" borderId="0" xfId="0" applyFont="1" applyBorder="1" applyAlignment="1">
      <alignment horizontal="right" vertical="center" indent="2"/>
    </xf>
    <xf numFmtId="0" fontId="3" fillId="0" borderId="0" xfId="0" applyFont="1" applyAlignment="1">
      <alignment horizontal="right" vertical="center" indent="2"/>
    </xf>
    <xf numFmtId="165" fontId="0" fillId="15" borderId="19" xfId="0" applyNumberFormat="1" applyFont="1" applyFill="1" applyBorder="1" applyAlignment="1" applyProtection="1">
      <alignment horizontal="center" vertical="center"/>
      <protection locked="0"/>
    </xf>
    <xf numFmtId="0" fontId="3" fillId="15" borderId="108" xfId="0" applyNumberFormat="1" applyFont="1" applyFill="1" applyBorder="1" applyAlignment="1" applyProtection="1">
      <alignment horizontal="center" vertical="center"/>
      <protection locked="0"/>
    </xf>
    <xf numFmtId="0" fontId="3" fillId="0" borderId="1" xfId="0" applyFont="1" applyBorder="1" applyAlignment="1">
      <alignment horizontal="right" vertical="center" indent="2"/>
    </xf>
    <xf numFmtId="165" fontId="0" fillId="22" borderId="108" xfId="0" applyNumberFormat="1" applyFont="1" applyFill="1" applyBorder="1" applyAlignment="1" applyProtection="1">
      <alignment horizontal="center" vertical="center"/>
    </xf>
    <xf numFmtId="49" fontId="10" fillId="15" borderId="60" xfId="7" applyNumberFormat="1" applyFill="1" applyBorder="1" applyAlignment="1" applyProtection="1">
      <alignment horizontal="center" vertical="center"/>
      <protection locked="0"/>
    </xf>
    <xf numFmtId="49" fontId="10" fillId="15" borderId="61" xfId="7" applyNumberFormat="1" applyFill="1" applyBorder="1" applyAlignment="1" applyProtection="1">
      <alignment horizontal="center" vertical="center"/>
      <protection locked="0"/>
    </xf>
    <xf numFmtId="49" fontId="10" fillId="16" borderId="61" xfId="7" applyNumberFormat="1" applyFill="1" applyBorder="1" applyAlignment="1" applyProtection="1">
      <alignment horizontal="center" vertical="center"/>
      <protection locked="0"/>
    </xf>
    <xf numFmtId="49" fontId="10" fillId="16" borderId="62" xfId="7" applyNumberFormat="1" applyFill="1" applyBorder="1" applyAlignment="1" applyProtection="1">
      <alignment horizontal="center" vertical="center"/>
      <protection locked="0"/>
    </xf>
    <xf numFmtId="49" fontId="10" fillId="15" borderId="64" xfId="7" applyNumberFormat="1" applyFill="1" applyBorder="1" applyAlignment="1" applyProtection="1">
      <alignment horizontal="center" vertical="center"/>
      <protection locked="0"/>
    </xf>
    <xf numFmtId="49" fontId="10" fillId="15" borderId="65" xfId="7" applyNumberFormat="1" applyFill="1" applyBorder="1" applyAlignment="1" applyProtection="1">
      <alignment horizontal="center" vertical="center"/>
      <protection locked="0"/>
    </xf>
    <xf numFmtId="49" fontId="10" fillId="16" borderId="65" xfId="7" applyNumberFormat="1" applyFill="1" applyBorder="1" applyAlignment="1" applyProtection="1">
      <alignment horizontal="center" vertical="center"/>
      <protection locked="0"/>
    </xf>
    <xf numFmtId="49" fontId="10" fillId="16" borderId="66" xfId="7" applyNumberFormat="1" applyFill="1" applyBorder="1" applyAlignment="1" applyProtection="1">
      <alignment horizontal="center" vertical="center"/>
      <protection locked="0"/>
    </xf>
    <xf numFmtId="49" fontId="10" fillId="15" borderId="68" xfId="7" applyNumberFormat="1" applyFill="1" applyBorder="1" applyAlignment="1" applyProtection="1">
      <alignment horizontal="center" vertical="center"/>
      <protection locked="0"/>
    </xf>
    <xf numFmtId="49" fontId="10" fillId="15" borderId="69" xfId="7" applyNumberFormat="1" applyFill="1" applyBorder="1" applyAlignment="1" applyProtection="1">
      <alignment horizontal="center" vertical="center"/>
      <protection locked="0"/>
    </xf>
    <xf numFmtId="49" fontId="10" fillId="16" borderId="69" xfId="7" applyNumberFormat="1" applyFill="1" applyBorder="1" applyAlignment="1" applyProtection="1">
      <alignment horizontal="center" vertical="center"/>
      <protection locked="0"/>
    </xf>
    <xf numFmtId="49" fontId="10" fillId="16" borderId="70" xfId="7" applyNumberFormat="1" applyFill="1" applyBorder="1" applyAlignment="1" applyProtection="1">
      <alignment horizontal="center" vertical="center"/>
      <protection locked="0"/>
    </xf>
    <xf numFmtId="49" fontId="10" fillId="17" borderId="42" xfId="7" applyNumberFormat="1" applyFont="1" applyFill="1" applyBorder="1" applyAlignment="1" applyProtection="1">
      <alignment vertical="top"/>
      <protection locked="0"/>
    </xf>
    <xf numFmtId="49" fontId="10" fillId="18" borderId="42" xfId="7" applyNumberFormat="1" applyFont="1" applyFill="1" applyBorder="1" applyAlignment="1" applyProtection="1">
      <alignment vertical="top" wrapText="1"/>
      <protection locked="0"/>
    </xf>
    <xf numFmtId="49" fontId="10" fillId="19" borderId="42" xfId="7" applyNumberFormat="1" applyFont="1" applyFill="1" applyBorder="1" applyAlignment="1" applyProtection="1">
      <alignment vertical="top"/>
      <protection locked="0"/>
    </xf>
    <xf numFmtId="49" fontId="10" fillId="20" borderId="42" xfId="7" applyNumberFormat="1" applyFont="1" applyFill="1" applyBorder="1" applyAlignment="1" applyProtection="1">
      <alignment vertical="top"/>
      <protection locked="0"/>
    </xf>
    <xf numFmtId="49" fontId="10" fillId="16" borderId="28" xfId="7" applyNumberFormat="1" applyFont="1" applyFill="1" applyBorder="1" applyAlignment="1" applyProtection="1">
      <alignment vertical="top"/>
      <protection locked="0"/>
    </xf>
    <xf numFmtId="49" fontId="10" fillId="16" borderId="40" xfId="7" applyNumberFormat="1" applyFont="1" applyFill="1" applyBorder="1" applyAlignment="1" applyProtection="1">
      <alignment vertical="top"/>
      <protection locked="0"/>
    </xf>
    <xf numFmtId="49" fontId="10" fillId="21" borderId="40" xfId="7" applyNumberFormat="1" applyFont="1" applyFill="1" applyBorder="1" applyAlignment="1" applyProtection="1">
      <alignment vertical="top"/>
      <protection locked="0"/>
    </xf>
    <xf numFmtId="49" fontId="10" fillId="21" borderId="30" xfId="7" applyNumberFormat="1" applyFont="1" applyFill="1" applyBorder="1" applyAlignment="1" applyProtection="1">
      <alignment vertical="top"/>
      <protection locked="0"/>
    </xf>
    <xf numFmtId="49" fontId="10" fillId="21" borderId="1" xfId="7" applyNumberFormat="1" applyFont="1" applyFill="1" applyBorder="1" applyAlignment="1" applyProtection="1">
      <alignment vertical="top"/>
      <protection locked="0"/>
    </xf>
    <xf numFmtId="49" fontId="10" fillId="17" borderId="33" xfId="7" applyNumberFormat="1" applyFont="1" applyFill="1" applyBorder="1" applyAlignment="1" applyProtection="1">
      <alignment vertical="top"/>
      <protection locked="0"/>
    </xf>
    <xf numFmtId="49" fontId="10" fillId="18" borderId="33" xfId="7" applyNumberFormat="1" applyFont="1" applyFill="1" applyBorder="1" applyAlignment="1" applyProtection="1">
      <alignment vertical="top"/>
      <protection locked="0"/>
    </xf>
    <xf numFmtId="49" fontId="10" fillId="19" borderId="33" xfId="7" applyNumberFormat="1" applyFont="1" applyFill="1" applyBorder="1" applyAlignment="1" applyProtection="1">
      <alignment vertical="top"/>
      <protection locked="0"/>
    </xf>
    <xf numFmtId="49" fontId="10" fillId="20" borderId="33" xfId="7" applyNumberFormat="1" applyFont="1" applyFill="1" applyBorder="1" applyAlignment="1" applyProtection="1">
      <alignment vertical="top"/>
      <protection locked="0"/>
    </xf>
    <xf numFmtId="49" fontId="10" fillId="16" borderId="34" xfId="7" applyNumberFormat="1" applyFont="1" applyFill="1" applyBorder="1" applyAlignment="1" applyProtection="1">
      <alignment vertical="top"/>
      <protection locked="0"/>
    </xf>
    <xf numFmtId="49" fontId="10" fillId="16" borderId="31" xfId="7" applyNumberFormat="1" applyFont="1" applyFill="1" applyBorder="1" applyAlignment="1" applyProtection="1">
      <alignment vertical="top"/>
      <protection locked="0"/>
    </xf>
    <xf numFmtId="49" fontId="10" fillId="21" borderId="31" xfId="7" applyNumberFormat="1" applyFont="1" applyFill="1" applyBorder="1" applyAlignment="1" applyProtection="1">
      <alignment vertical="top"/>
      <protection locked="0"/>
    </xf>
    <xf numFmtId="49" fontId="10" fillId="21" borderId="41" xfId="7" applyNumberFormat="1" applyFont="1" applyFill="1" applyBorder="1" applyAlignment="1" applyProtection="1">
      <alignment vertical="top"/>
      <protection locked="0"/>
    </xf>
    <xf numFmtId="49" fontId="10" fillId="21" borderId="0" xfId="7" applyNumberFormat="1" applyFont="1" applyFill="1" applyBorder="1" applyAlignment="1" applyProtection="1">
      <alignment vertical="top"/>
      <protection locked="0"/>
    </xf>
    <xf numFmtId="49" fontId="10" fillId="17" borderId="27" xfId="7" applyNumberFormat="1" applyFont="1" applyFill="1" applyBorder="1" applyAlignment="1" applyProtection="1">
      <alignment vertical="top"/>
      <protection locked="0"/>
    </xf>
    <xf numFmtId="49" fontId="10" fillId="18" borderId="27" xfId="7" applyNumberFormat="1" applyFont="1" applyFill="1" applyBorder="1" applyAlignment="1" applyProtection="1">
      <alignment vertical="top"/>
      <protection locked="0"/>
    </xf>
    <xf numFmtId="49" fontId="10" fillId="19" borderId="27" xfId="7" applyNumberFormat="1" applyFont="1" applyFill="1" applyBorder="1" applyAlignment="1" applyProtection="1">
      <alignment vertical="top"/>
      <protection locked="0"/>
    </xf>
    <xf numFmtId="49" fontId="10" fillId="20" borderId="27" xfId="7" applyNumberFormat="1" applyFont="1" applyFill="1" applyBorder="1" applyAlignment="1" applyProtection="1">
      <alignment vertical="top"/>
      <protection locked="0"/>
    </xf>
    <xf numFmtId="49" fontId="10" fillId="16" borderId="29" xfId="7" applyNumberFormat="1" applyFont="1" applyFill="1" applyBorder="1" applyAlignment="1" applyProtection="1">
      <alignment vertical="top"/>
      <protection locked="0"/>
    </xf>
    <xf numFmtId="49" fontId="10" fillId="16" borderId="19" xfId="7" applyNumberFormat="1" applyFont="1" applyFill="1" applyBorder="1" applyAlignment="1" applyProtection="1">
      <alignment vertical="top"/>
      <protection locked="0"/>
    </xf>
    <xf numFmtId="49" fontId="10" fillId="21" borderId="19" xfId="7" applyNumberFormat="1" applyFont="1" applyFill="1" applyBorder="1" applyAlignment="1" applyProtection="1">
      <alignment vertical="top"/>
      <protection locked="0"/>
    </xf>
    <xf numFmtId="49" fontId="10" fillId="21" borderId="20" xfId="7" applyNumberFormat="1" applyFont="1" applyFill="1" applyBorder="1" applyAlignment="1" applyProtection="1">
      <alignment vertical="top"/>
      <protection locked="0"/>
    </xf>
    <xf numFmtId="49" fontId="10" fillId="21" borderId="18" xfId="7" applyNumberFormat="1" applyFont="1" applyFill="1" applyBorder="1" applyAlignment="1" applyProtection="1">
      <alignment vertical="top"/>
      <protection locked="0"/>
    </xf>
    <xf numFmtId="0" fontId="0" fillId="0" borderId="0" xfId="0" applyBorder="1" applyAlignment="1">
      <alignment horizontal="center" vertical="center" wrapText="1"/>
    </xf>
    <xf numFmtId="0" fontId="0" fillId="0" borderId="25" xfId="0" applyBorder="1" applyAlignment="1">
      <alignment horizontal="center" vertical="center" wrapText="1"/>
    </xf>
    <xf numFmtId="0" fontId="0" fillId="29" borderId="36" xfId="0" applyNumberFormat="1" applyFill="1" applyBorder="1" applyAlignment="1" applyProtection="1">
      <alignment horizontal="center" vertical="center" wrapText="1"/>
      <protection locked="0"/>
    </xf>
    <xf numFmtId="49" fontId="0" fillId="29" borderId="9" xfId="0" applyNumberFormat="1" applyFill="1" applyBorder="1" applyAlignment="1" applyProtection="1">
      <alignment horizontal="left" vertical="center" wrapText="1"/>
      <protection locked="0"/>
    </xf>
    <xf numFmtId="9" fontId="0" fillId="29" borderId="9" xfId="0" applyNumberFormat="1" applyFill="1" applyBorder="1" applyAlignment="1" applyProtection="1">
      <alignment horizontal="right" vertical="center" wrapText="1"/>
      <protection locked="0"/>
    </xf>
    <xf numFmtId="49" fontId="0" fillId="27" borderId="15" xfId="0" applyNumberFormat="1" applyFill="1" applyBorder="1" applyAlignment="1" applyProtection="1">
      <alignment horizontal="left" vertical="center" wrapText="1"/>
      <protection locked="0"/>
    </xf>
    <xf numFmtId="0" fontId="0" fillId="27" borderId="36" xfId="0" applyNumberFormat="1" applyFill="1" applyBorder="1" applyAlignment="1" applyProtection="1">
      <alignment horizontal="center" vertical="center" wrapText="1"/>
      <protection locked="0"/>
    </xf>
    <xf numFmtId="9" fontId="0" fillId="27" borderId="35" xfId="0" applyNumberFormat="1" applyFill="1" applyBorder="1" applyAlignment="1" applyProtection="1">
      <alignment horizontal="right" vertical="center" wrapText="1"/>
      <protection locked="0"/>
    </xf>
    <xf numFmtId="49" fontId="0" fillId="27" borderId="9" xfId="0" applyNumberFormat="1" applyFill="1" applyBorder="1" applyAlignment="1" applyProtection="1">
      <alignment horizontal="left" vertical="center" wrapText="1"/>
      <protection locked="0"/>
    </xf>
    <xf numFmtId="9" fontId="0" fillId="27" borderId="9" xfId="0" applyNumberFormat="1" applyFill="1" applyBorder="1" applyAlignment="1" applyProtection="1">
      <alignment horizontal="right" vertical="center" wrapText="1"/>
      <protection locked="0"/>
    </xf>
    <xf numFmtId="49" fontId="0" fillId="28" borderId="9" xfId="0" applyNumberFormat="1" applyFill="1" applyBorder="1" applyAlignment="1" applyProtection="1">
      <alignment horizontal="left" vertical="center" wrapText="1"/>
      <protection locked="0"/>
    </xf>
    <xf numFmtId="0" fontId="0" fillId="28" borderId="36" xfId="0" applyNumberFormat="1" applyFill="1" applyBorder="1" applyAlignment="1" applyProtection="1">
      <alignment horizontal="center" vertical="center" wrapText="1"/>
      <protection locked="0"/>
    </xf>
    <xf numFmtId="9" fontId="0" fillId="28" borderId="9" xfId="0" applyNumberFormat="1" applyFill="1" applyBorder="1" applyAlignment="1" applyProtection="1">
      <alignment horizontal="right" vertical="center" wrapText="1"/>
      <protection locked="0"/>
    </xf>
    <xf numFmtId="0" fontId="0" fillId="30" borderId="15" xfId="0" applyNumberFormat="1" applyFill="1" applyBorder="1" applyAlignment="1" applyProtection="1">
      <alignment horizontal="left" vertical="center" wrapText="1"/>
    </xf>
    <xf numFmtId="49" fontId="0" fillId="0" borderId="0" xfId="0" applyNumberFormat="1" applyFill="1" applyBorder="1" applyAlignment="1" applyProtection="1">
      <alignment horizontal="left" vertical="center"/>
    </xf>
    <xf numFmtId="0" fontId="0" fillId="0" borderId="101" xfId="0" applyNumberFormat="1" applyFill="1" applyBorder="1" applyAlignment="1" applyProtection="1">
      <alignment horizontal="center" vertical="center" wrapText="1"/>
    </xf>
    <xf numFmtId="1" fontId="0" fillId="0" borderId="54" xfId="0" applyNumberFormat="1" applyFill="1" applyBorder="1" applyAlignment="1" applyProtection="1">
      <alignment horizontal="center" vertical="center" wrapText="1"/>
    </xf>
    <xf numFmtId="0" fontId="0" fillId="0" borderId="73" xfId="0" applyNumberFormat="1" applyFill="1" applyBorder="1" applyAlignment="1" applyProtection="1">
      <alignment horizontal="center" vertical="center" wrapText="1"/>
    </xf>
    <xf numFmtId="0" fontId="0" fillId="0" borderId="74" xfId="0" applyNumberFormat="1" applyFill="1" applyBorder="1" applyAlignment="1" applyProtection="1">
      <alignment horizontal="center" vertical="center" wrapText="1"/>
    </xf>
    <xf numFmtId="0" fontId="0" fillId="0" borderId="75" xfId="0" applyNumberFormat="1" applyFill="1" applyBorder="1" applyAlignment="1" applyProtection="1">
      <alignment horizontal="center" vertical="center" wrapText="1"/>
    </xf>
    <xf numFmtId="0" fontId="0" fillId="0" borderId="15" xfId="0" applyNumberFormat="1" applyFill="1" applyBorder="1" applyAlignment="1" applyProtection="1">
      <alignment horizontal="left" vertical="center" wrapText="1"/>
    </xf>
    <xf numFmtId="0" fontId="0" fillId="0" borderId="36" xfId="0" applyNumberFormat="1" applyFill="1" applyBorder="1" applyAlignment="1" applyProtection="1">
      <alignment horizontal="center" vertical="center" wrapText="1"/>
    </xf>
    <xf numFmtId="9" fontId="0" fillId="0" borderId="15" xfId="0" applyNumberFormat="1" applyFill="1" applyBorder="1" applyAlignment="1" applyProtection="1">
      <alignment horizontal="right" vertical="center" wrapText="1"/>
      <protection locked="0"/>
    </xf>
    <xf numFmtId="0" fontId="0" fillId="0" borderId="14" xfId="0" applyFill="1" applyBorder="1" applyAlignment="1">
      <alignment horizontal="center" vertical="center" wrapText="1"/>
    </xf>
    <xf numFmtId="0" fontId="0" fillId="0" borderId="13" xfId="0" applyFill="1" applyBorder="1" applyAlignment="1">
      <alignment horizontal="center" vertical="center" wrapText="1"/>
    </xf>
    <xf numFmtId="9" fontId="0" fillId="0" borderId="15" xfId="0" applyNumberFormat="1" applyFill="1" applyBorder="1" applyAlignment="1">
      <alignment horizontal="right" vertical="center" wrapText="1" indent="1"/>
    </xf>
    <xf numFmtId="9" fontId="0" fillId="0" borderId="15" xfId="1" applyFont="1" applyFill="1" applyBorder="1" applyAlignment="1">
      <alignment horizontal="right" vertical="center" wrapText="1" indent="1"/>
    </xf>
    <xf numFmtId="0" fontId="2" fillId="0" borderId="0" xfId="0" applyFont="1" applyFill="1" applyAlignment="1">
      <alignment horizontal="left" vertical="center" wrapText="1"/>
    </xf>
    <xf numFmtId="0" fontId="0" fillId="0" borderId="14" xfId="0" applyFill="1" applyBorder="1" applyAlignment="1" applyProtection="1">
      <alignment horizontal="center" vertical="center" wrapText="1"/>
      <protection locked="0"/>
    </xf>
    <xf numFmtId="0" fontId="0" fillId="0" borderId="13" xfId="0" applyFill="1" applyBorder="1" applyAlignment="1" applyProtection="1">
      <alignment horizontal="center" vertical="center" wrapText="1"/>
      <protection locked="0"/>
    </xf>
    <xf numFmtId="0" fontId="0" fillId="0" borderId="15" xfId="0" applyFill="1" applyBorder="1" applyAlignment="1" applyProtection="1">
      <alignment horizontal="center" vertical="center" wrapText="1"/>
      <protection locked="0"/>
    </xf>
    <xf numFmtId="0" fontId="0" fillId="0" borderId="15" xfId="0" applyFill="1" applyBorder="1" applyAlignment="1">
      <alignment horizontal="center" vertical="center" wrapText="1"/>
    </xf>
    <xf numFmtId="9" fontId="0" fillId="0" borderId="13" xfId="0" applyNumberFormat="1" applyFill="1" applyBorder="1" applyAlignment="1">
      <alignment horizontal="right" vertical="center"/>
    </xf>
    <xf numFmtId="0" fontId="0" fillId="0" borderId="0" xfId="0" applyFill="1" applyAlignment="1">
      <alignment horizontal="left" vertical="center"/>
    </xf>
    <xf numFmtId="0" fontId="0" fillId="0" borderId="14" xfId="0" applyNumberFormat="1" applyFill="1" applyBorder="1" applyAlignment="1" applyProtection="1">
      <alignment horizontal="center" vertical="center" wrapText="1"/>
      <protection locked="0"/>
    </xf>
    <xf numFmtId="0" fontId="0" fillId="0" borderId="44" xfId="0" applyNumberFormat="1" applyFill="1" applyBorder="1" applyAlignment="1" applyProtection="1">
      <alignment horizontal="center" vertical="center" wrapText="1"/>
      <protection locked="0"/>
    </xf>
    <xf numFmtId="0" fontId="0" fillId="0" borderId="15" xfId="0" applyNumberFormat="1" applyFill="1" applyBorder="1" applyAlignment="1" applyProtection="1">
      <alignment horizontal="center" vertical="center" wrapText="1"/>
      <protection locked="0"/>
    </xf>
    <xf numFmtId="9" fontId="0" fillId="0" borderId="10" xfId="0" applyNumberFormat="1" applyFill="1" applyBorder="1" applyAlignment="1">
      <alignment horizontal="center" vertical="center" wrapText="1"/>
    </xf>
    <xf numFmtId="9" fontId="0" fillId="0" borderId="45" xfId="0" applyNumberFormat="1" applyFill="1" applyBorder="1" applyAlignment="1">
      <alignment horizontal="center" vertical="center" wrapText="1"/>
    </xf>
    <xf numFmtId="9" fontId="0" fillId="0" borderId="9" xfId="0" applyNumberFormat="1" applyFill="1" applyBorder="1" applyAlignment="1">
      <alignment horizontal="center" vertical="center" wrapText="1"/>
    </xf>
    <xf numFmtId="0" fontId="0" fillId="0" borderId="0" xfId="0" applyFill="1" applyAlignment="1">
      <alignment vertical="center"/>
    </xf>
    <xf numFmtId="0" fontId="0" fillId="0" borderId="0" xfId="0" applyFill="1" applyBorder="1" applyAlignment="1">
      <alignment horizontal="center" vertical="center"/>
    </xf>
    <xf numFmtId="9" fontId="0" fillId="0" borderId="0" xfId="0" applyNumberFormat="1" applyFill="1" applyBorder="1" applyAlignment="1">
      <alignment horizontal="center" vertical="center"/>
    </xf>
    <xf numFmtId="49" fontId="0" fillId="29" borderId="14" xfId="0" applyNumberFormat="1" applyFill="1" applyBorder="1" applyAlignment="1" applyProtection="1">
      <alignment horizontal="center" vertical="center" wrapText="1"/>
      <protection locked="0"/>
    </xf>
    <xf numFmtId="1" fontId="0" fillId="29" borderId="13" xfId="0" applyNumberFormat="1" applyFill="1" applyBorder="1" applyAlignment="1" applyProtection="1">
      <alignment horizontal="center" vertical="center" wrapText="1"/>
      <protection locked="0"/>
    </xf>
    <xf numFmtId="49" fontId="0" fillId="29" borderId="53" xfId="0" applyNumberFormat="1" applyFill="1" applyBorder="1" applyAlignment="1" applyProtection="1">
      <alignment horizontal="center" vertical="center" wrapText="1"/>
      <protection locked="0"/>
    </xf>
    <xf numFmtId="49" fontId="0" fillId="29" borderId="54" xfId="0" applyNumberFormat="1" applyFill="1" applyBorder="1" applyAlignment="1" applyProtection="1">
      <alignment horizontal="center" vertical="center" wrapText="1"/>
      <protection locked="0"/>
    </xf>
    <xf numFmtId="49" fontId="0" fillId="29" borderId="48" xfId="0" applyNumberFormat="1" applyFill="1" applyBorder="1" applyAlignment="1" applyProtection="1">
      <alignment horizontal="center" vertical="center" wrapText="1"/>
      <protection locked="0"/>
    </xf>
    <xf numFmtId="49" fontId="0" fillId="29" borderId="98" xfId="0" applyNumberFormat="1" applyFill="1" applyBorder="1" applyAlignment="1" applyProtection="1">
      <alignment horizontal="left" vertical="center" wrapText="1"/>
      <protection locked="0"/>
    </xf>
    <xf numFmtId="0" fontId="9" fillId="0" borderId="26" xfId="7" applyFont="1" applyBorder="1" applyAlignment="1">
      <alignment horizontal="center" textRotation="180"/>
    </xf>
    <xf numFmtId="0" fontId="9" fillId="0" borderId="16" xfId="7" applyFont="1" applyBorder="1" applyAlignment="1">
      <alignment horizontal="center" textRotation="180"/>
    </xf>
    <xf numFmtId="0" fontId="15" fillId="0" borderId="40" xfId="7" applyFont="1" applyBorder="1" applyAlignment="1">
      <alignment horizontal="center"/>
    </xf>
    <xf numFmtId="0" fontId="15" fillId="0" borderId="1" xfId="7" applyFont="1" applyBorder="1" applyAlignment="1">
      <alignment horizontal="center"/>
    </xf>
    <xf numFmtId="0" fontId="15" fillId="0" borderId="21" xfId="7" applyFont="1" applyBorder="1" applyAlignment="1">
      <alignment horizontal="center"/>
    </xf>
    <xf numFmtId="0" fontId="9" fillId="13" borderId="30" xfId="7" applyFont="1" applyFill="1" applyBorder="1" applyAlignment="1">
      <alignment horizontal="center" vertical="top" wrapText="1"/>
    </xf>
    <xf numFmtId="0" fontId="9" fillId="13" borderId="20" xfId="7" applyFont="1" applyFill="1" applyBorder="1" applyAlignment="1">
      <alignment horizontal="center" vertical="top" wrapText="1"/>
    </xf>
    <xf numFmtId="0" fontId="15" fillId="0" borderId="39" xfId="7" applyFont="1" applyBorder="1" applyAlignment="1">
      <alignment horizontal="center" wrapText="1"/>
    </xf>
    <xf numFmtId="0" fontId="15" fillId="0" borderId="38" xfId="7" applyFont="1" applyBorder="1" applyAlignment="1">
      <alignment horizontal="center" wrapText="1"/>
    </xf>
    <xf numFmtId="0" fontId="15" fillId="0" borderId="37" xfId="7" applyFont="1" applyBorder="1" applyAlignment="1">
      <alignment horizontal="center" wrapText="1"/>
    </xf>
    <xf numFmtId="49" fontId="16" fillId="15" borderId="30" xfId="7" applyNumberFormat="1" applyFont="1" applyFill="1" applyBorder="1" applyAlignment="1" applyProtection="1">
      <alignment horizontal="center" vertical="center" wrapText="1"/>
      <protection locked="0"/>
    </xf>
    <xf numFmtId="49" fontId="16" fillId="15" borderId="41" xfId="7" applyNumberFormat="1" applyFont="1" applyFill="1" applyBorder="1" applyAlignment="1" applyProtection="1">
      <alignment horizontal="center" vertical="center" wrapText="1"/>
      <protection locked="0"/>
    </xf>
    <xf numFmtId="49" fontId="16" fillId="15" borderId="20" xfId="7" applyNumberFormat="1" applyFont="1" applyFill="1" applyBorder="1" applyAlignment="1" applyProtection="1">
      <alignment horizontal="center" vertical="center" wrapText="1"/>
      <protection locked="0"/>
    </xf>
    <xf numFmtId="49" fontId="17" fillId="15" borderId="40" xfId="7" applyNumberFormat="1" applyFont="1" applyFill="1" applyBorder="1" applyAlignment="1" applyProtection="1">
      <alignment horizontal="left" vertical="center"/>
      <protection locked="0"/>
    </xf>
    <xf numFmtId="49" fontId="17" fillId="15" borderId="31" xfId="7" applyNumberFormat="1" applyFont="1" applyFill="1" applyBorder="1" applyAlignment="1" applyProtection="1">
      <alignment horizontal="left" vertical="center"/>
      <protection locked="0"/>
    </xf>
    <xf numFmtId="49" fontId="17" fillId="15" borderId="19" xfId="7" applyNumberFormat="1" applyFont="1" applyFill="1" applyBorder="1" applyAlignment="1" applyProtection="1">
      <alignment horizontal="left" vertical="center"/>
      <protection locked="0"/>
    </xf>
    <xf numFmtId="49" fontId="17" fillId="15" borderId="30" xfId="7" applyNumberFormat="1" applyFont="1" applyFill="1" applyBorder="1" applyAlignment="1" applyProtection="1">
      <alignment horizontal="left" vertical="center" wrapText="1"/>
      <protection locked="0"/>
    </xf>
    <xf numFmtId="49" fontId="17" fillId="15" borderId="41" xfId="7" applyNumberFormat="1" applyFont="1" applyFill="1" applyBorder="1" applyAlignment="1" applyProtection="1">
      <alignment horizontal="left" vertical="center" wrapText="1"/>
      <protection locked="0"/>
    </xf>
    <xf numFmtId="49" fontId="17" fillId="15" borderId="20" xfId="7" applyNumberFormat="1" applyFont="1" applyFill="1" applyBorder="1" applyAlignment="1" applyProtection="1">
      <alignment horizontal="left" vertical="center" wrapText="1"/>
      <protection locked="0"/>
    </xf>
    <xf numFmtId="49" fontId="20" fillId="15" borderId="26" xfId="7" applyNumberFormat="1" applyFont="1" applyFill="1" applyBorder="1" applyAlignment="1" applyProtection="1">
      <alignment horizontal="center" vertical="center" wrapText="1"/>
      <protection locked="0"/>
    </xf>
    <xf numFmtId="49" fontId="20" fillId="15" borderId="32" xfId="7" applyNumberFormat="1" applyFont="1" applyFill="1" applyBorder="1" applyAlignment="1" applyProtection="1">
      <alignment horizontal="center" vertical="center" wrapText="1"/>
      <protection locked="0"/>
    </xf>
    <xf numFmtId="49" fontId="20" fillId="15" borderId="16" xfId="7" applyNumberFormat="1" applyFont="1" applyFill="1" applyBorder="1" applyAlignment="1" applyProtection="1">
      <alignment horizontal="center" vertical="center" wrapText="1"/>
      <protection locked="0"/>
    </xf>
    <xf numFmtId="49" fontId="20" fillId="15" borderId="71" xfId="7" applyNumberFormat="1" applyFont="1" applyFill="1" applyBorder="1" applyAlignment="1" applyProtection="1">
      <alignment horizontal="center" vertical="center"/>
      <protection locked="0"/>
    </xf>
    <xf numFmtId="49" fontId="20" fillId="15" borderId="11" xfId="7" applyNumberFormat="1" applyFont="1" applyFill="1" applyBorder="1" applyAlignment="1" applyProtection="1">
      <alignment horizontal="center" vertical="center"/>
      <protection locked="0"/>
    </xf>
    <xf numFmtId="49" fontId="20" fillId="15" borderId="8" xfId="7" applyNumberFormat="1" applyFont="1" applyFill="1" applyBorder="1" applyAlignment="1" applyProtection="1">
      <alignment horizontal="center" vertical="center"/>
      <protection locked="0"/>
    </xf>
    <xf numFmtId="0" fontId="0" fillId="0" borderId="40" xfId="0" applyBorder="1" applyAlignment="1">
      <alignment horizontal="center" vertical="center" wrapText="1"/>
    </xf>
    <xf numFmtId="0" fontId="0" fillId="0" borderId="50" xfId="0" applyBorder="1" applyAlignment="1"/>
    <xf numFmtId="0" fontId="0" fillId="0" borderId="31" xfId="0" applyBorder="1" applyAlignment="1"/>
    <xf numFmtId="0" fontId="0" fillId="0" borderId="49" xfId="0" applyBorder="1" applyAlignment="1"/>
    <xf numFmtId="0" fontId="0" fillId="0" borderId="41" xfId="0" applyBorder="1" applyAlignment="1">
      <alignment horizontal="center" textRotation="90" wrapText="1"/>
    </xf>
    <xf numFmtId="0" fontId="0" fillId="0" borderId="20" xfId="0" applyBorder="1" applyAlignment="1">
      <alignment horizontal="center" textRotation="90" wrapText="1"/>
    </xf>
    <xf numFmtId="0" fontId="0" fillId="0" borderId="47" xfId="0" applyBorder="1" applyAlignment="1">
      <alignment horizontal="center" vertical="center" wrapText="1"/>
    </xf>
    <xf numFmtId="0" fontId="0" fillId="0" borderId="49" xfId="0" applyBorder="1" applyAlignment="1">
      <alignment horizontal="center" vertical="center" wrapText="1"/>
    </xf>
    <xf numFmtId="9" fontId="0" fillId="0" borderId="31" xfId="0" applyNumberFormat="1" applyBorder="1" applyAlignment="1">
      <alignment horizontal="center" vertical="center" wrapText="1"/>
    </xf>
    <xf numFmtId="0" fontId="0" fillId="0" borderId="0" xfId="0" applyBorder="1" applyAlignment="1">
      <alignment horizontal="center" vertical="center" wrapText="1"/>
    </xf>
    <xf numFmtId="0" fontId="0" fillId="0" borderId="25" xfId="0" applyBorder="1" applyAlignment="1">
      <alignment horizontal="center" vertical="center" wrapText="1"/>
    </xf>
    <xf numFmtId="0" fontId="0" fillId="0" borderId="31" xfId="0" applyBorder="1" applyAlignment="1">
      <alignment horizontal="center" vertical="center" wrapText="1"/>
    </xf>
    <xf numFmtId="0" fontId="0" fillId="0" borderId="0" xfId="0" applyAlignment="1">
      <alignment horizontal="center" vertical="center" wrapText="1"/>
    </xf>
    <xf numFmtId="0" fontId="0" fillId="0" borderId="72" xfId="0" applyBorder="1" applyAlignment="1">
      <alignment horizontal="center" vertical="center" wrapText="1"/>
    </xf>
    <xf numFmtId="0" fontId="0" fillId="0" borderId="44" xfId="0" applyBorder="1" applyAlignment="1">
      <alignment horizontal="center" vertical="center" wrapText="1"/>
    </xf>
    <xf numFmtId="0" fontId="0" fillId="0" borderId="58" xfId="0" applyBorder="1" applyAlignment="1">
      <alignment horizontal="center" vertical="center" wrapText="1"/>
    </xf>
    <xf numFmtId="0" fontId="0" fillId="11" borderId="40" xfId="0" applyFill="1" applyBorder="1" applyAlignment="1" applyProtection="1">
      <alignment horizontal="left" vertical="center" wrapText="1"/>
    </xf>
    <xf numFmtId="0" fontId="0" fillId="0" borderId="1" xfId="0" applyBorder="1" applyAlignment="1">
      <alignment horizontal="left" vertical="center" wrapText="1"/>
    </xf>
    <xf numFmtId="0" fontId="0" fillId="0" borderId="21" xfId="0" applyBorder="1" applyAlignment="1">
      <alignment horizontal="left" vertical="center" wrapText="1"/>
    </xf>
    <xf numFmtId="0" fontId="0" fillId="11" borderId="78" xfId="0" applyFill="1" applyBorder="1" applyAlignment="1" applyProtection="1">
      <alignment horizontal="left" vertical="center" wrapText="1"/>
    </xf>
    <xf numFmtId="0" fontId="0" fillId="0" borderId="55" xfId="0" applyBorder="1" applyAlignment="1">
      <alignment horizontal="left" vertical="center" wrapText="1"/>
    </xf>
    <xf numFmtId="0" fontId="0" fillId="0" borderId="79" xfId="0" applyBorder="1" applyAlignment="1">
      <alignment horizontal="left" vertical="center" wrapText="1"/>
    </xf>
    <xf numFmtId="0" fontId="0" fillId="0" borderId="33" xfId="0" applyBorder="1" applyAlignment="1">
      <alignment horizontal="center" vertical="center" wrapText="1"/>
    </xf>
    <xf numFmtId="0" fontId="0" fillId="0" borderId="33" xfId="0" applyBorder="1" applyAlignment="1">
      <alignment vertical="center" wrapText="1"/>
    </xf>
    <xf numFmtId="0" fontId="0" fillId="0" borderId="27" xfId="0" applyBorder="1" applyAlignment="1">
      <alignment vertical="center" wrapText="1"/>
    </xf>
    <xf numFmtId="0" fontId="0" fillId="0" borderId="34" xfId="0" applyBorder="1" applyAlignment="1">
      <alignment horizontal="center" textRotation="90" wrapText="1"/>
    </xf>
    <xf numFmtId="0" fontId="0" fillId="0" borderId="29" xfId="0" applyBorder="1" applyAlignment="1">
      <alignment horizontal="center" textRotation="90" wrapText="1"/>
    </xf>
    <xf numFmtId="0" fontId="0" fillId="11" borderId="77" xfId="0" applyFill="1" applyBorder="1" applyAlignment="1" applyProtection="1">
      <alignment horizontal="left" vertical="center" wrapText="1"/>
    </xf>
    <xf numFmtId="0" fontId="0" fillId="11" borderId="38" xfId="0" applyFill="1" applyBorder="1" applyAlignment="1" applyProtection="1">
      <alignment horizontal="left" vertical="center" wrapText="1"/>
    </xf>
    <xf numFmtId="0" fontId="0" fillId="11" borderId="37" xfId="0" applyFill="1" applyBorder="1" applyAlignment="1" applyProtection="1">
      <alignment horizontal="left" vertical="center" wrapText="1"/>
    </xf>
    <xf numFmtId="0" fontId="0" fillId="11" borderId="80" xfId="0" applyFill="1" applyBorder="1" applyAlignment="1" applyProtection="1">
      <alignment horizontal="left" vertical="center" wrapText="1"/>
    </xf>
    <xf numFmtId="0" fontId="0" fillId="11" borderId="55" xfId="0" applyFill="1" applyBorder="1" applyAlignment="1" applyProtection="1">
      <alignment horizontal="left" vertical="center" wrapText="1"/>
    </xf>
    <xf numFmtId="0" fontId="0" fillId="11" borderId="79" xfId="0" applyFill="1" applyBorder="1" applyAlignment="1" applyProtection="1">
      <alignment horizontal="left" vertical="center" wrapText="1"/>
    </xf>
    <xf numFmtId="0" fontId="0" fillId="0" borderId="42" xfId="0" applyBorder="1" applyAlignment="1">
      <alignment horizontal="center" textRotation="90"/>
    </xf>
    <xf numFmtId="0" fontId="0" fillId="0" borderId="27" xfId="0" applyBorder="1" applyAlignment="1">
      <alignment horizontal="center" textRotation="90"/>
    </xf>
    <xf numFmtId="0" fontId="0" fillId="0" borderId="21" xfId="0" applyBorder="1" applyAlignment="1">
      <alignment horizontal="center" textRotation="90"/>
    </xf>
    <xf numFmtId="0" fontId="0" fillId="0" borderId="17" xfId="0" applyBorder="1" applyAlignment="1">
      <alignment horizontal="center" textRotation="90"/>
    </xf>
    <xf numFmtId="0" fontId="0" fillId="0" borderId="26" xfId="0" applyBorder="1" applyAlignment="1">
      <alignment horizontal="center" textRotation="90"/>
    </xf>
    <xf numFmtId="0" fontId="0" fillId="0" borderId="16" xfId="0" applyBorder="1" applyAlignment="1">
      <alignment horizontal="center" textRotation="90"/>
    </xf>
    <xf numFmtId="49" fontId="0" fillId="3" borderId="30" xfId="0" applyNumberFormat="1" applyFill="1" applyBorder="1" applyAlignment="1" applyProtection="1">
      <alignment horizontal="center" vertical="center" wrapText="1"/>
      <protection locked="0"/>
    </xf>
    <xf numFmtId="49" fontId="0" fillId="3" borderId="20" xfId="0" applyNumberFormat="1" applyFill="1" applyBorder="1" applyAlignment="1" applyProtection="1">
      <alignment horizontal="center" vertical="center" wrapText="1"/>
      <protection locked="0"/>
    </xf>
    <xf numFmtId="0" fontId="0" fillId="0" borderId="40" xfId="0" applyBorder="1" applyAlignment="1">
      <alignment horizontal="left" vertical="center" wrapText="1"/>
    </xf>
    <xf numFmtId="0" fontId="0" fillId="0" borderId="21" xfId="0" applyBorder="1" applyAlignment="1">
      <alignment horizontal="left" vertical="center"/>
    </xf>
    <xf numFmtId="0" fontId="0" fillId="0" borderId="19" xfId="0" applyBorder="1" applyAlignment="1">
      <alignment horizontal="left" vertical="center"/>
    </xf>
    <xf numFmtId="0" fontId="0" fillId="0" borderId="18" xfId="0" applyBorder="1" applyAlignment="1">
      <alignment horizontal="left" vertical="center"/>
    </xf>
    <xf numFmtId="0" fontId="0" fillId="0" borderId="17" xfId="0" applyBorder="1" applyAlignment="1">
      <alignment horizontal="left" vertical="center"/>
    </xf>
    <xf numFmtId="0" fontId="0" fillId="0" borderId="26" xfId="0" applyBorder="1" applyAlignment="1">
      <alignment horizontal="center" textRotation="90" wrapText="1"/>
    </xf>
    <xf numFmtId="0" fontId="0" fillId="0" borderId="16" xfId="0" applyBorder="1" applyAlignment="1">
      <alignment horizontal="center" textRotation="90" wrapText="1"/>
    </xf>
    <xf numFmtId="0" fontId="0" fillId="0" borderId="28" xfId="0" applyBorder="1" applyAlignment="1">
      <alignment horizontal="center" textRotation="90" wrapText="1"/>
    </xf>
    <xf numFmtId="0" fontId="0" fillId="2" borderId="4" xfId="0" applyFill="1" applyBorder="1" applyAlignment="1">
      <alignment horizontal="center" vertical="center" wrapText="1"/>
    </xf>
    <xf numFmtId="0" fontId="0" fillId="0" borderId="5" xfId="0" applyBorder="1" applyAlignment="1">
      <alignment horizontal="center" vertical="center" wrapText="1"/>
    </xf>
    <xf numFmtId="0" fontId="0" fillId="2" borderId="5" xfId="0" applyFill="1" applyBorder="1" applyAlignment="1">
      <alignment horizontal="center" vertical="center" wrapText="1"/>
    </xf>
    <xf numFmtId="0" fontId="0" fillId="0" borderId="33" xfId="0" applyBorder="1" applyAlignment="1">
      <alignment horizontal="center" textRotation="90"/>
    </xf>
    <xf numFmtId="0" fontId="0" fillId="0" borderId="39"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2" xfId="0" applyBorder="1" applyAlignment="1">
      <alignment horizontal="center" vertical="center" wrapText="1"/>
    </xf>
    <xf numFmtId="0" fontId="0" fillId="0" borderId="35" xfId="0" applyBorder="1" applyAlignment="1">
      <alignment horizontal="center" vertical="center" wrapText="1"/>
    </xf>
    <xf numFmtId="0" fontId="0" fillId="0" borderId="4" xfId="0" applyBorder="1" applyAlignment="1">
      <alignment horizontal="right" vertical="center" wrapText="1"/>
    </xf>
    <xf numFmtId="0" fontId="0" fillId="0" borderId="3" xfId="0" applyBorder="1" applyAlignment="1">
      <alignment horizontal="right" vertical="center" wrapText="1"/>
    </xf>
    <xf numFmtId="9" fontId="0" fillId="3" borderId="3" xfId="0" applyNumberFormat="1" applyFill="1" applyBorder="1" applyAlignment="1" applyProtection="1">
      <alignment horizontal="left" vertical="center" wrapText="1"/>
      <protection locked="0"/>
    </xf>
    <xf numFmtId="0" fontId="0" fillId="3" borderId="3" xfId="0" applyFill="1" applyBorder="1" applyAlignment="1" applyProtection="1">
      <alignment horizontal="left" vertical="center" wrapText="1"/>
      <protection locked="0"/>
    </xf>
    <xf numFmtId="9" fontId="0" fillId="0" borderId="3" xfId="0" applyNumberFormat="1" applyBorder="1" applyAlignment="1">
      <alignment vertical="center"/>
    </xf>
    <xf numFmtId="9" fontId="0" fillId="2" borderId="19" xfId="0" applyNumberFormat="1" applyFill="1" applyBorder="1" applyAlignment="1">
      <alignment horizontal="center" vertical="center" wrapText="1"/>
    </xf>
    <xf numFmtId="9" fontId="0" fillId="2" borderId="17" xfId="0" applyNumberFormat="1" applyFill="1" applyBorder="1" applyAlignment="1">
      <alignment horizontal="center" vertical="center" wrapText="1"/>
    </xf>
    <xf numFmtId="9" fontId="0" fillId="2" borderId="18" xfId="0" applyNumberFormat="1" applyFill="1" applyBorder="1" applyAlignment="1">
      <alignment horizontal="center" vertical="center" wrapText="1"/>
    </xf>
    <xf numFmtId="9" fontId="0" fillId="7" borderId="19" xfId="0" applyNumberFormat="1" applyFill="1" applyBorder="1" applyAlignment="1" applyProtection="1">
      <alignment horizontal="center" vertical="center" wrapText="1"/>
    </xf>
    <xf numFmtId="9" fontId="0" fillId="7" borderId="18" xfId="0" applyNumberFormat="1" applyFill="1" applyBorder="1" applyAlignment="1" applyProtection="1">
      <alignment horizontal="center" vertical="center" wrapText="1"/>
    </xf>
    <xf numFmtId="9" fontId="0" fillId="7" borderId="17" xfId="0" applyNumberFormat="1" applyFill="1" applyBorder="1" applyAlignment="1" applyProtection="1">
      <alignment horizontal="center" vertical="center" wrapText="1"/>
    </xf>
    <xf numFmtId="9" fontId="0" fillId="12" borderId="19" xfId="0" applyNumberFormat="1" applyFill="1" applyBorder="1" applyAlignment="1" applyProtection="1">
      <alignment horizontal="center" vertical="center" wrapText="1"/>
    </xf>
    <xf numFmtId="9" fontId="0" fillId="12" borderId="18" xfId="0" applyNumberFormat="1" applyFill="1" applyBorder="1" applyAlignment="1" applyProtection="1">
      <alignment horizontal="center" vertical="center" wrapText="1"/>
    </xf>
    <xf numFmtId="0" fontId="0" fillId="12" borderId="17" xfId="0" applyFill="1" applyBorder="1" applyAlignment="1" applyProtection="1">
      <alignment horizontal="center" vertical="center" wrapText="1"/>
    </xf>
    <xf numFmtId="0" fontId="0" fillId="0" borderId="32" xfId="0" applyBorder="1" applyAlignment="1">
      <alignment horizontal="center" textRotation="90"/>
    </xf>
    <xf numFmtId="0" fontId="0" fillId="0" borderId="34" xfId="0" applyBorder="1" applyAlignment="1">
      <alignment horizontal="center" textRotation="90"/>
    </xf>
    <xf numFmtId="0" fontId="0" fillId="0" borderId="29" xfId="0" applyBorder="1" applyAlignment="1">
      <alignment horizontal="center" textRotation="90"/>
    </xf>
    <xf numFmtId="0" fontId="0" fillId="0" borderId="33" xfId="0" applyBorder="1" applyAlignment="1">
      <alignment horizontal="center" textRotation="90" wrapText="1"/>
    </xf>
    <xf numFmtId="0" fontId="0" fillId="0" borderId="27" xfId="0" applyBorder="1" applyAlignment="1">
      <alignment horizontal="center" textRotation="90" wrapText="1"/>
    </xf>
    <xf numFmtId="0" fontId="14" fillId="0" borderId="40"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21" xfId="0" applyFont="1"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9" fontId="0" fillId="2" borderId="31" xfId="0" applyNumberFormat="1" applyFill="1" applyBorder="1" applyAlignment="1">
      <alignment horizontal="center" vertical="center" wrapText="1"/>
    </xf>
    <xf numFmtId="9" fontId="0" fillId="2" borderId="25" xfId="0" applyNumberFormat="1" applyFill="1" applyBorder="1" applyAlignment="1">
      <alignment horizontal="center" vertical="center" wrapText="1"/>
    </xf>
    <xf numFmtId="9" fontId="0" fillId="2" borderId="0" xfId="0" applyNumberFormat="1" applyFill="1" applyBorder="1" applyAlignment="1">
      <alignment horizontal="center" vertical="center" wrapText="1"/>
    </xf>
    <xf numFmtId="0" fontId="0" fillId="7" borderId="31" xfId="0" applyNumberFormat="1" applyFill="1" applyBorder="1" applyAlignment="1" applyProtection="1">
      <alignment horizontal="center" vertical="center" wrapText="1"/>
    </xf>
    <xf numFmtId="0" fontId="0" fillId="7" borderId="0" xfId="0" applyNumberFormat="1" applyFill="1" applyBorder="1" applyAlignment="1" applyProtection="1">
      <alignment horizontal="center" vertical="center" wrapText="1"/>
    </xf>
    <xf numFmtId="0" fontId="0" fillId="7" borderId="25" xfId="0" applyNumberFormat="1" applyFill="1" applyBorder="1" applyAlignment="1" applyProtection="1">
      <alignment horizontal="center"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19" xfId="0" applyBorder="1" applyAlignment="1"/>
    <xf numFmtId="0" fontId="0" fillId="0" borderId="18" xfId="0" applyBorder="1" applyAlignment="1"/>
    <xf numFmtId="0" fontId="0" fillId="0" borderId="17" xfId="0" applyBorder="1" applyAlignment="1"/>
    <xf numFmtId="0" fontId="14" fillId="0" borderId="31" xfId="0" applyFont="1" applyBorder="1" applyAlignment="1">
      <alignment horizontal="center" vertical="center" wrapText="1"/>
    </xf>
    <xf numFmtId="0" fontId="14" fillId="0" borderId="0" xfId="0" applyFont="1" applyBorder="1" applyAlignment="1">
      <alignment horizontal="center" vertical="center" wrapText="1"/>
    </xf>
    <xf numFmtId="0" fontId="14" fillId="0" borderId="25" xfId="0" applyFont="1" applyBorder="1" applyAlignment="1">
      <alignment horizontal="center" vertical="center" wrapText="1"/>
    </xf>
    <xf numFmtId="0" fontId="0" fillId="0" borderId="4"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50" xfId="0" applyBorder="1" applyAlignment="1">
      <alignment horizontal="center" vertical="center" wrapText="1"/>
    </xf>
    <xf numFmtId="0" fontId="0" fillId="0" borderId="46" xfId="0" applyBorder="1" applyAlignment="1">
      <alignment horizontal="center" vertical="center" wrapText="1"/>
    </xf>
    <xf numFmtId="0" fontId="0" fillId="0" borderId="28" xfId="0" applyBorder="1" applyAlignment="1">
      <alignment horizontal="center" vertical="center" wrapText="1"/>
    </xf>
    <xf numFmtId="0" fontId="0" fillId="0" borderId="34" xfId="0" applyBorder="1" applyAlignment="1">
      <alignment horizontal="center" vertical="center" wrapText="1"/>
    </xf>
    <xf numFmtId="49" fontId="0" fillId="3" borderId="30" xfId="0" applyNumberFormat="1" applyFill="1" applyBorder="1" applyAlignment="1" applyProtection="1">
      <alignment horizontal="left" vertical="top" wrapText="1"/>
      <protection locked="0"/>
    </xf>
    <xf numFmtId="49" fontId="0" fillId="3" borderId="41" xfId="0" applyNumberFormat="1" applyFill="1" applyBorder="1" applyAlignment="1" applyProtection="1">
      <alignment horizontal="left" vertical="top" wrapText="1"/>
      <protection locked="0"/>
    </xf>
    <xf numFmtId="49" fontId="0" fillId="3" borderId="20" xfId="0" applyNumberFormat="1" applyFill="1" applyBorder="1" applyAlignment="1" applyProtection="1">
      <alignment horizontal="left" vertical="top" wrapText="1"/>
      <protection locked="0"/>
    </xf>
    <xf numFmtId="49" fontId="0" fillId="26" borderId="77" xfId="0" applyNumberFormat="1" applyFill="1" applyBorder="1" applyAlignment="1" applyProtection="1">
      <alignment horizontal="left" vertical="center"/>
      <protection locked="0"/>
    </xf>
    <xf numFmtId="49" fontId="0" fillId="26" borderId="38" xfId="0" applyNumberFormat="1" applyFill="1" applyBorder="1" applyAlignment="1" applyProtection="1">
      <alignment horizontal="left" vertical="center"/>
      <protection locked="0"/>
    </xf>
    <xf numFmtId="49" fontId="0" fillId="26" borderId="37" xfId="0" applyNumberFormat="1" applyFill="1" applyBorder="1" applyAlignment="1" applyProtection="1">
      <alignment horizontal="left" vertical="center"/>
      <protection locked="0"/>
    </xf>
    <xf numFmtId="14" fontId="0" fillId="26" borderId="80" xfId="0" applyNumberFormat="1" applyFill="1" applyBorder="1" applyAlignment="1" applyProtection="1">
      <alignment horizontal="left" vertical="center"/>
      <protection locked="0"/>
    </xf>
    <xf numFmtId="14" fontId="0" fillId="26" borderId="57" xfId="0" applyNumberFormat="1" applyFill="1" applyBorder="1" applyAlignment="1" applyProtection="1">
      <alignment horizontal="left" vertical="center"/>
      <protection locked="0"/>
    </xf>
    <xf numFmtId="0" fontId="21" fillId="0" borderId="26" xfId="0" applyFont="1" applyBorder="1" applyAlignment="1">
      <alignment horizontal="center"/>
    </xf>
    <xf numFmtId="0" fontId="21" fillId="0" borderId="1" xfId="0" applyFont="1" applyBorder="1" applyAlignment="1">
      <alignment horizontal="center"/>
    </xf>
    <xf numFmtId="0" fontId="21" fillId="0" borderId="28" xfId="0" applyFont="1" applyBorder="1" applyAlignment="1">
      <alignment horizontal="center"/>
    </xf>
    <xf numFmtId="0" fontId="21" fillId="0" borderId="40" xfId="0" applyFont="1" applyBorder="1" applyAlignment="1">
      <alignment horizontal="center"/>
    </xf>
    <xf numFmtId="0" fontId="0" fillId="0" borderId="42" xfId="0" applyBorder="1" applyAlignment="1">
      <alignment horizontal="center"/>
    </xf>
    <xf numFmtId="0" fontId="0" fillId="0" borderId="27" xfId="0" applyBorder="1" applyAlignment="1">
      <alignment horizontal="center"/>
    </xf>
    <xf numFmtId="0" fontId="3" fillId="4" borderId="0" xfId="0" applyFont="1" applyFill="1" applyBorder="1" applyAlignment="1">
      <alignment horizontal="center" wrapText="1"/>
    </xf>
    <xf numFmtId="0" fontId="3" fillId="4" borderId="18" xfId="0" applyFont="1" applyFill="1" applyBorder="1" applyAlignment="1">
      <alignment horizontal="center" wrapText="1"/>
    </xf>
    <xf numFmtId="49" fontId="0" fillId="0" borderId="77" xfId="0" applyNumberFormat="1" applyBorder="1" applyAlignment="1">
      <alignment vertical="center"/>
    </xf>
    <xf numFmtId="49" fontId="0" fillId="0" borderId="38" xfId="0" applyNumberFormat="1" applyBorder="1" applyAlignment="1">
      <alignment vertical="center"/>
    </xf>
    <xf numFmtId="49" fontId="0" fillId="0" borderId="37" xfId="0" applyNumberFormat="1" applyBorder="1" applyAlignment="1">
      <alignment vertical="center"/>
    </xf>
    <xf numFmtId="0" fontId="21" fillId="0" borderId="21" xfId="0" applyFont="1" applyBorder="1" applyAlignment="1">
      <alignment horizontal="center"/>
    </xf>
    <xf numFmtId="0" fontId="0" fillId="0" borderId="42" xfId="0" applyBorder="1" applyAlignment="1">
      <alignment horizontal="center" wrapText="1"/>
    </xf>
    <xf numFmtId="0" fontId="0" fillId="0" borderId="27" xfId="0" applyBorder="1" applyAlignment="1">
      <alignment horizontal="center" wrapText="1"/>
    </xf>
    <xf numFmtId="0" fontId="0" fillId="0" borderId="28" xfId="0" applyBorder="1" applyAlignment="1">
      <alignment horizontal="center"/>
    </xf>
    <xf numFmtId="0" fontId="0" fillId="0" borderId="29" xfId="0" applyBorder="1" applyAlignment="1">
      <alignment horizontal="center"/>
    </xf>
    <xf numFmtId="49" fontId="0" fillId="12" borderId="80" xfId="0" applyNumberFormat="1" applyFill="1" applyBorder="1" applyAlignment="1">
      <alignment vertical="center"/>
    </xf>
    <xf numFmtId="49" fontId="0" fillId="12" borderId="55" xfId="0" applyNumberFormat="1" applyFill="1" applyBorder="1" applyAlignment="1">
      <alignment vertical="center"/>
    </xf>
    <xf numFmtId="49" fontId="0" fillId="12" borderId="79" xfId="0" applyNumberFormat="1" applyFill="1" applyBorder="1" applyAlignment="1">
      <alignment vertical="center"/>
    </xf>
    <xf numFmtId="0" fontId="6" fillId="4" borderId="40" xfId="0" applyFont="1" applyFill="1" applyBorder="1" applyAlignment="1">
      <alignment horizontal="center"/>
    </xf>
    <xf numFmtId="0" fontId="6" fillId="4" borderId="21" xfId="0" applyFont="1" applyFill="1" applyBorder="1" applyAlignment="1">
      <alignment horizontal="center"/>
    </xf>
    <xf numFmtId="0" fontId="6" fillId="4" borderId="1" xfId="0" applyFont="1" applyFill="1" applyBorder="1" applyAlignment="1">
      <alignment horizontal="center"/>
    </xf>
    <xf numFmtId="0" fontId="3" fillId="4" borderId="40" xfId="0" applyFont="1" applyFill="1" applyBorder="1" applyAlignment="1">
      <alignment horizontal="center"/>
    </xf>
    <xf numFmtId="0" fontId="3" fillId="4" borderId="21" xfId="0" applyFont="1" applyFill="1" applyBorder="1" applyAlignment="1">
      <alignment horizontal="center"/>
    </xf>
    <xf numFmtId="0" fontId="0" fillId="0" borderId="88" xfId="0" applyBorder="1" applyAlignment="1">
      <alignment horizontal="left" vertical="top"/>
    </xf>
    <xf numFmtId="0" fontId="0" fillId="0" borderId="94" xfId="0" applyBorder="1" applyAlignment="1">
      <alignment horizontal="left" vertical="top"/>
    </xf>
    <xf numFmtId="0" fontId="0" fillId="0" borderId="11" xfId="0" applyBorder="1" applyAlignment="1">
      <alignment horizontal="left" vertical="top" wrapText="1"/>
    </xf>
    <xf numFmtId="0" fontId="3" fillId="0" borderId="71" xfId="0" applyFont="1" applyBorder="1" applyAlignment="1">
      <alignment horizontal="left" vertical="top" wrapText="1"/>
    </xf>
    <xf numFmtId="0" fontId="0" fillId="0" borderId="8" xfId="0" applyBorder="1" applyAlignment="1">
      <alignment horizontal="left" vertical="top" wrapText="1"/>
    </xf>
    <xf numFmtId="0" fontId="3" fillId="0" borderId="82" xfId="0" applyFont="1" applyBorder="1" applyAlignment="1">
      <alignment horizontal="left" vertical="top"/>
    </xf>
    <xf numFmtId="0" fontId="3" fillId="0" borderId="93" xfId="0" applyFont="1" applyBorder="1" applyAlignment="1">
      <alignment horizontal="left" vertical="top"/>
    </xf>
    <xf numFmtId="0" fontId="0" fillId="0" borderId="85" xfId="0" applyBorder="1" applyAlignment="1">
      <alignment horizontal="left" vertical="top"/>
    </xf>
    <xf numFmtId="0" fontId="0" fillId="0" borderId="92" xfId="0" applyBorder="1" applyAlignment="1">
      <alignment horizontal="left" vertical="top"/>
    </xf>
  </cellXfs>
  <cellStyles count="8">
    <cellStyle name="Heading" xfId="3"/>
    <cellStyle name="Heading1" xfId="4"/>
    <cellStyle name="Normal" xfId="0" builtinId="0"/>
    <cellStyle name="Percent" xfId="1" builtinId="5"/>
    <cellStyle name="Result" xfId="5"/>
    <cellStyle name="Result2" xfId="6"/>
    <cellStyle name="Standaard 2" xfId="2"/>
    <cellStyle name="Standaard 3" xfId="7"/>
  </cellStyles>
  <dxfs count="20">
    <dxf>
      <fill>
        <patternFill>
          <bgColor rgb="FFB8CCE4"/>
        </patternFill>
      </fill>
    </dxf>
    <dxf>
      <fill>
        <patternFill>
          <bgColor rgb="FFC1E9B7"/>
        </patternFill>
      </fill>
    </dxf>
    <dxf>
      <fill>
        <patternFill>
          <bgColor rgb="FFFFFF99"/>
        </patternFill>
      </fill>
    </dxf>
    <dxf>
      <fill>
        <patternFill>
          <bgColor rgb="FFFEDA76"/>
        </patternFill>
      </fill>
    </dxf>
    <dxf>
      <fill>
        <patternFill>
          <bgColor rgb="FFB8CCE4"/>
        </patternFill>
      </fill>
    </dxf>
    <dxf>
      <fill>
        <patternFill>
          <bgColor rgb="FFC1E9B7"/>
        </patternFill>
      </fill>
    </dxf>
    <dxf>
      <fill>
        <patternFill>
          <bgColor rgb="FFFFFF99"/>
        </patternFill>
      </fill>
    </dxf>
    <dxf>
      <fill>
        <patternFill>
          <bgColor rgb="FFFEDA76"/>
        </patternFill>
      </fill>
    </dxf>
    <dxf>
      <fill>
        <patternFill>
          <bgColor theme="4" tint="0.59996337778862885"/>
        </patternFill>
      </fill>
    </dxf>
    <dxf>
      <fill>
        <patternFill>
          <bgColor rgb="FFC1E9B7"/>
        </patternFill>
      </fill>
    </dxf>
    <dxf>
      <fill>
        <patternFill>
          <bgColor rgb="FFFFFF99"/>
        </patternFill>
      </fill>
    </dxf>
    <dxf>
      <fill>
        <patternFill>
          <bgColor rgb="FFFEDA76"/>
        </patternFill>
      </fill>
    </dxf>
    <dxf>
      <numFmt numFmtId="13" formatCode="0%"/>
    </dxf>
    <dxf>
      <numFmt numFmtId="1" formatCode="0"/>
    </dxf>
    <dxf>
      <numFmt numFmtId="13" formatCode="0%"/>
    </dxf>
    <dxf>
      <numFmt numFmtId="1" formatCode="0"/>
    </dxf>
    <dxf>
      <fill>
        <patternFill>
          <bgColor rgb="FFB8CCE4"/>
        </patternFill>
      </fill>
    </dxf>
    <dxf>
      <fill>
        <patternFill>
          <bgColor rgb="FFC1E9B7"/>
        </patternFill>
      </fill>
    </dxf>
    <dxf>
      <fill>
        <patternFill>
          <bgColor rgb="FFFFFF99"/>
        </patternFill>
      </fill>
    </dxf>
    <dxf>
      <fill>
        <patternFill>
          <bgColor rgb="FFFEDA76"/>
        </patternFill>
      </fill>
    </dxf>
  </dxfs>
  <tableStyles count="0" defaultTableStyle="TableStyleMedium9" defaultPivotStyle="PivotStyleLight16"/>
  <colors>
    <mruColors>
      <color rgb="FFB8CCE4"/>
      <color rgb="FFFFFF99"/>
      <color rgb="FFFEDA76"/>
      <color rgb="FFFFCC00"/>
      <color rgb="FFC1E9B7"/>
      <color rgb="FFF8B388"/>
      <color rgb="FFEDFC99"/>
      <color rgb="FFFFD961"/>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9"/>
  <sheetViews>
    <sheetView topLeftCell="D1" zoomScale="90" zoomScaleNormal="90" workbookViewId="0">
      <selection activeCell="V5" sqref="V5"/>
    </sheetView>
  </sheetViews>
  <sheetFormatPr defaultColWidth="12.5546875" defaultRowHeight="15.6" x14ac:dyDescent="0.3"/>
  <cols>
    <col min="1" max="1" width="12.5546875" style="108"/>
    <col min="2" max="2" width="18.88671875" style="108" bestFit="1" customWidth="1"/>
    <col min="3" max="3" width="33.5546875" style="108" customWidth="1"/>
    <col min="4" max="4" width="6.6640625" style="108" customWidth="1"/>
    <col min="5" max="10" width="3.88671875" style="108" customWidth="1"/>
    <col min="11" max="11" width="3.88671875" style="110" customWidth="1"/>
    <col min="12" max="22" width="16.6640625" style="109" customWidth="1"/>
    <col min="23" max="16384" width="12.5546875" style="108"/>
  </cols>
  <sheetData>
    <row r="1" spans="1:22" x14ac:dyDescent="0.3">
      <c r="A1" s="2" t="s">
        <v>295</v>
      </c>
      <c r="B1"/>
      <c r="C1"/>
      <c r="D1"/>
      <c r="E1"/>
      <c r="F1"/>
      <c r="G1"/>
      <c r="H1"/>
      <c r="I1"/>
      <c r="J1"/>
      <c r="K1"/>
      <c r="L1"/>
      <c r="M1"/>
      <c r="N1"/>
      <c r="O1" s="108"/>
      <c r="V1" s="22" t="s">
        <v>296</v>
      </c>
    </row>
    <row r="2" spans="1:22" ht="16.2" thickBot="1" x14ac:dyDescent="0.35"/>
    <row r="3" spans="1:22" ht="21.75" customHeight="1" thickBot="1" x14ac:dyDescent="0.45">
      <c r="A3" s="111" t="s">
        <v>156</v>
      </c>
      <c r="B3" s="112"/>
      <c r="C3" s="112"/>
      <c r="D3" s="121"/>
      <c r="E3" s="386" t="s">
        <v>151</v>
      </c>
      <c r="F3" s="387"/>
      <c r="G3" s="387"/>
      <c r="H3" s="387"/>
      <c r="I3" s="388"/>
      <c r="J3" s="384" t="s">
        <v>160</v>
      </c>
      <c r="K3" s="127" t="s">
        <v>119</v>
      </c>
      <c r="L3" s="127"/>
      <c r="M3" s="127"/>
      <c r="N3" s="127"/>
      <c r="O3" s="127"/>
      <c r="P3" s="128"/>
      <c r="Q3" s="389" t="s">
        <v>152</v>
      </c>
      <c r="R3" s="391" t="s">
        <v>153</v>
      </c>
      <c r="S3" s="392"/>
      <c r="T3" s="392"/>
      <c r="U3" s="392"/>
      <c r="V3" s="393"/>
    </row>
    <row r="4" spans="1:22" ht="101.1" customHeight="1" thickBot="1" x14ac:dyDescent="0.45">
      <c r="A4" s="113" t="s">
        <v>154</v>
      </c>
      <c r="B4" s="114" t="s">
        <v>2</v>
      </c>
      <c r="C4" s="114" t="s">
        <v>3</v>
      </c>
      <c r="D4" s="122"/>
      <c r="E4" s="115" t="s">
        <v>120</v>
      </c>
      <c r="F4" s="116" t="s">
        <v>121</v>
      </c>
      <c r="G4" s="116" t="s">
        <v>122</v>
      </c>
      <c r="H4" s="116" t="s">
        <v>123</v>
      </c>
      <c r="I4" s="117" t="s">
        <v>124</v>
      </c>
      <c r="J4" s="385"/>
      <c r="K4" s="129" t="s">
        <v>155</v>
      </c>
      <c r="L4" s="131" t="s">
        <v>161</v>
      </c>
      <c r="M4" s="132" t="s">
        <v>162</v>
      </c>
      <c r="N4" s="133" t="s">
        <v>164</v>
      </c>
      <c r="O4" s="134" t="s">
        <v>165</v>
      </c>
      <c r="P4" s="130" t="s">
        <v>163</v>
      </c>
      <c r="Q4" s="390"/>
      <c r="R4" s="118" t="s">
        <v>120</v>
      </c>
      <c r="S4" s="119" t="s">
        <v>121</v>
      </c>
      <c r="T4" s="119" t="s">
        <v>122</v>
      </c>
      <c r="U4" s="120" t="s">
        <v>123</v>
      </c>
      <c r="V4" s="135" t="s">
        <v>124</v>
      </c>
    </row>
    <row r="5" spans="1:22" ht="17.100000000000001" customHeight="1" x14ac:dyDescent="0.3">
      <c r="A5" s="394" t="s">
        <v>64</v>
      </c>
      <c r="B5" s="397" t="s">
        <v>297</v>
      </c>
      <c r="C5" s="400" t="s">
        <v>298</v>
      </c>
      <c r="D5" s="142" t="s">
        <v>125</v>
      </c>
      <c r="E5" s="296"/>
      <c r="F5" s="297"/>
      <c r="G5" s="298"/>
      <c r="H5" s="298"/>
      <c r="I5" s="299"/>
      <c r="J5" s="403" t="s">
        <v>167</v>
      </c>
      <c r="K5" s="406" t="s">
        <v>61</v>
      </c>
      <c r="L5" s="308" t="s">
        <v>307</v>
      </c>
      <c r="M5" s="309"/>
      <c r="N5" s="310" t="s">
        <v>305</v>
      </c>
      <c r="O5" s="311" t="s">
        <v>309</v>
      </c>
      <c r="P5" s="312" t="s">
        <v>310</v>
      </c>
      <c r="Q5" s="313"/>
      <c r="R5" s="314" t="s">
        <v>299</v>
      </c>
      <c r="S5" s="314"/>
      <c r="T5" s="315"/>
      <c r="U5" s="316" t="s">
        <v>301</v>
      </c>
      <c r="V5" s="315" t="s">
        <v>308</v>
      </c>
    </row>
    <row r="6" spans="1:22" x14ac:dyDescent="0.3">
      <c r="A6" s="395"/>
      <c r="B6" s="398"/>
      <c r="C6" s="401"/>
      <c r="D6" s="143" t="s">
        <v>60</v>
      </c>
      <c r="E6" s="300"/>
      <c r="F6" s="301"/>
      <c r="G6" s="302"/>
      <c r="H6" s="302"/>
      <c r="I6" s="303"/>
      <c r="J6" s="404"/>
      <c r="K6" s="407"/>
      <c r="L6" s="317"/>
      <c r="M6" s="318"/>
      <c r="N6" s="319" t="s">
        <v>306</v>
      </c>
      <c r="O6" s="320" t="s">
        <v>303</v>
      </c>
      <c r="P6" s="321"/>
      <c r="Q6" s="322"/>
      <c r="R6" s="323" t="s">
        <v>300</v>
      </c>
      <c r="S6" s="323"/>
      <c r="T6" s="324"/>
      <c r="U6" s="325" t="s">
        <v>302</v>
      </c>
      <c r="V6" s="324"/>
    </row>
    <row r="7" spans="1:22" x14ac:dyDescent="0.3">
      <c r="A7" s="395"/>
      <c r="B7" s="398"/>
      <c r="C7" s="401"/>
      <c r="D7" s="143" t="s">
        <v>126</v>
      </c>
      <c r="E7" s="300"/>
      <c r="F7" s="301"/>
      <c r="G7" s="302"/>
      <c r="H7" s="302"/>
      <c r="I7" s="303"/>
      <c r="J7" s="404"/>
      <c r="K7" s="407"/>
      <c r="L7" s="317"/>
      <c r="M7" s="318"/>
      <c r="N7" s="319"/>
      <c r="O7" s="320" t="s">
        <v>304</v>
      </c>
      <c r="P7" s="321"/>
      <c r="Q7" s="322"/>
      <c r="R7" s="323"/>
      <c r="S7" s="323"/>
      <c r="T7" s="324"/>
      <c r="U7" s="325"/>
      <c r="V7" s="324"/>
    </row>
    <row r="8" spans="1:22" ht="15" customHeight="1" x14ac:dyDescent="0.3">
      <c r="A8" s="395"/>
      <c r="B8" s="398"/>
      <c r="C8" s="401"/>
      <c r="D8" s="143" t="s">
        <v>81</v>
      </c>
      <c r="E8" s="300" t="s">
        <v>167</v>
      </c>
      <c r="F8" s="301" t="s">
        <v>166</v>
      </c>
      <c r="G8" s="302" t="s">
        <v>166</v>
      </c>
      <c r="H8" s="302" t="s">
        <v>167</v>
      </c>
      <c r="I8" s="303" t="s">
        <v>167</v>
      </c>
      <c r="J8" s="404"/>
      <c r="K8" s="407"/>
      <c r="L8" s="317"/>
      <c r="M8" s="318"/>
      <c r="N8" s="319"/>
      <c r="O8" s="320"/>
      <c r="P8" s="321"/>
      <c r="Q8" s="322"/>
      <c r="R8" s="323"/>
      <c r="S8" s="323"/>
      <c r="T8" s="324"/>
      <c r="U8" s="325"/>
      <c r="V8" s="324"/>
    </row>
    <row r="9" spans="1:22" ht="15.6" customHeight="1" thickBot="1" x14ac:dyDescent="0.35">
      <c r="A9" s="396"/>
      <c r="B9" s="399"/>
      <c r="C9" s="402"/>
      <c r="D9" s="144" t="s">
        <v>127</v>
      </c>
      <c r="E9" s="304"/>
      <c r="F9" s="305"/>
      <c r="G9" s="306"/>
      <c r="H9" s="306"/>
      <c r="I9" s="307"/>
      <c r="J9" s="405"/>
      <c r="K9" s="408"/>
      <c r="L9" s="326"/>
      <c r="M9" s="327"/>
      <c r="N9" s="328"/>
      <c r="O9" s="329"/>
      <c r="P9" s="330"/>
      <c r="Q9" s="331"/>
      <c r="R9" s="332"/>
      <c r="S9" s="332"/>
      <c r="T9" s="333"/>
      <c r="U9" s="334"/>
      <c r="V9" s="333"/>
    </row>
  </sheetData>
  <mergeCells count="9">
    <mergeCell ref="J3:J4"/>
    <mergeCell ref="E3:I3"/>
    <mergeCell ref="Q3:Q4"/>
    <mergeCell ref="R3:V3"/>
    <mergeCell ref="A5:A9"/>
    <mergeCell ref="B5:B9"/>
    <mergeCell ref="C5:C9"/>
    <mergeCell ref="J5:J9"/>
    <mergeCell ref="K5:K9"/>
  </mergeCells>
  <pageMargins left="0.25" right="0.25" top="0.75" bottom="0.75" header="0.3" footer="0.3"/>
  <pageSetup paperSize="9" scale="58" orientation="portrait" horizontalDpi="4294967293"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Constanten!$A$11:$A$13</xm:f>
          </x14:formula1>
          <xm:sqref>K5:K9</xm:sqref>
        </x14:dataValidation>
        <x14:dataValidation type="list" allowBlank="1" showInputMessage="1" showErrorMessage="1">
          <x14:formula1>
            <xm:f>Constanten!$C$17:$C$22</xm:f>
          </x14:formula1>
          <xm:sqref>E5:J9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25"/>
  <sheetViews>
    <sheetView topLeftCell="C7" zoomScaleNormal="100" workbookViewId="0">
      <selection activeCell="H5" sqref="H5:H8"/>
    </sheetView>
  </sheetViews>
  <sheetFormatPr defaultRowHeight="13.2" x14ac:dyDescent="0.25"/>
  <cols>
    <col min="1" max="2" width="12.88671875" style="151" hidden="1" customWidth="1"/>
    <col min="3" max="3" width="7.44140625" customWidth="1"/>
    <col min="4" max="5" width="5.6640625" customWidth="1"/>
    <col min="6" max="6" width="6.6640625" customWidth="1"/>
    <col min="7" max="7" width="5.6640625" customWidth="1"/>
    <col min="8" max="8" width="54.6640625" customWidth="1"/>
    <col min="9" max="10" width="6.44140625" customWidth="1"/>
    <col min="11" max="11" width="23.44140625" customWidth="1"/>
    <col min="12" max="12" width="5.6640625" customWidth="1"/>
    <col min="13" max="13" width="19.5546875" customWidth="1"/>
    <col min="14" max="14" width="16.6640625" customWidth="1"/>
    <col min="15" max="15" width="14.88671875" customWidth="1"/>
    <col min="16" max="16" width="9.5546875" customWidth="1"/>
    <col min="17" max="18" width="12.6640625" customWidth="1"/>
    <col min="19" max="19" width="18.33203125" customWidth="1"/>
    <col min="20" max="20" width="17.33203125" customWidth="1"/>
    <col min="21" max="21" width="22.44140625" customWidth="1"/>
  </cols>
  <sheetData>
    <row r="1" spans="1:21" x14ac:dyDescent="0.25">
      <c r="A1" s="21" t="s">
        <v>35</v>
      </c>
      <c r="B1" s="21" t="s">
        <v>35</v>
      </c>
      <c r="C1" s="2" t="s">
        <v>148</v>
      </c>
      <c r="Q1" s="22" t="str">
        <f>'Cursusinfo (leerplanschema)'!V1</f>
        <v>v.23p-n</v>
      </c>
      <c r="R1" s="22"/>
    </row>
    <row r="2" spans="1:21" ht="13.8" thickBot="1" x14ac:dyDescent="0.3">
      <c r="A2" s="21"/>
      <c r="B2" s="21"/>
    </row>
    <row r="3" spans="1:21" ht="18" customHeight="1" x14ac:dyDescent="0.25">
      <c r="A3" s="21"/>
      <c r="B3" s="21"/>
      <c r="C3" s="1" t="s">
        <v>3</v>
      </c>
      <c r="D3" s="98"/>
      <c r="E3" s="425" t="str">
        <f>IF(NOT(ISBLANK('Cursusinfo (leerplanschema)'!C5)),'Cursusinfo (leerplanschema)'!C5,"")</f>
        <v>Group Project</v>
      </c>
      <c r="F3" s="426"/>
      <c r="G3" s="426"/>
      <c r="H3" s="426"/>
      <c r="I3" s="426"/>
      <c r="J3" s="426"/>
      <c r="K3" s="426"/>
      <c r="L3" s="426"/>
      <c r="M3" s="426"/>
      <c r="N3" s="426"/>
      <c r="O3" s="426"/>
      <c r="P3" s="426"/>
      <c r="Q3" s="427"/>
      <c r="R3" s="87"/>
      <c r="S3" s="76"/>
    </row>
    <row r="4" spans="1:21" ht="18" customHeight="1" thickBot="1" x14ac:dyDescent="0.3">
      <c r="A4" s="21"/>
      <c r="B4" s="21"/>
      <c r="C4" s="55" t="s">
        <v>2</v>
      </c>
      <c r="D4" s="99"/>
      <c r="E4" s="428" t="str">
        <f>IF(NOT(ISBLANK('Cursusinfo (leerplanschema)'!B5)),'Cursusinfo (leerplanschema)'!B5,"")</f>
        <v>TICT-V1GP-15</v>
      </c>
      <c r="F4" s="429"/>
      <c r="G4" s="429"/>
      <c r="H4" s="429"/>
      <c r="I4" s="429"/>
      <c r="J4" s="429"/>
      <c r="K4" s="429"/>
      <c r="L4" s="429"/>
      <c r="M4" s="429"/>
      <c r="N4" s="429"/>
      <c r="O4" s="429"/>
      <c r="P4" s="429"/>
      <c r="Q4" s="430"/>
      <c r="R4" s="87"/>
      <c r="S4" s="93"/>
    </row>
    <row r="5" spans="1:21" ht="17.25" customHeight="1" x14ac:dyDescent="0.25">
      <c r="A5" s="21"/>
      <c r="B5" s="21"/>
      <c r="C5" s="409" t="s">
        <v>99</v>
      </c>
      <c r="D5" s="410"/>
      <c r="E5" s="415" t="s">
        <v>100</v>
      </c>
      <c r="F5" s="418"/>
      <c r="G5" s="416"/>
      <c r="H5" s="431" t="s">
        <v>78</v>
      </c>
      <c r="I5" s="434" t="s">
        <v>5</v>
      </c>
      <c r="J5" s="413"/>
      <c r="K5" s="413" t="s">
        <v>118</v>
      </c>
      <c r="L5" s="84"/>
      <c r="M5" s="417" t="s">
        <v>132</v>
      </c>
      <c r="N5" s="418"/>
      <c r="O5" s="418"/>
      <c r="P5" s="418"/>
      <c r="Q5" s="419"/>
      <c r="R5" s="87"/>
      <c r="S5" s="94"/>
    </row>
    <row r="6" spans="1:21" s="26" customFormat="1" ht="18" customHeight="1" x14ac:dyDescent="0.25">
      <c r="A6" s="21"/>
      <c r="B6" s="21"/>
      <c r="C6" s="411"/>
      <c r="D6" s="412"/>
      <c r="E6" s="415"/>
      <c r="F6" s="421"/>
      <c r="G6" s="416"/>
      <c r="H6" s="432"/>
      <c r="I6" s="434"/>
      <c r="J6" s="413"/>
      <c r="K6" s="413"/>
      <c r="L6" s="84"/>
      <c r="M6" s="420"/>
      <c r="N6" s="421"/>
      <c r="O6" s="421"/>
      <c r="P6" s="421"/>
      <c r="Q6" s="419"/>
      <c r="R6" s="87"/>
      <c r="S6" s="93"/>
      <c r="T6"/>
      <c r="U6"/>
    </row>
    <row r="7" spans="1:21" ht="18" customHeight="1" x14ac:dyDescent="0.25">
      <c r="A7" s="21"/>
      <c r="B7" s="21"/>
      <c r="C7" s="411"/>
      <c r="D7" s="412"/>
      <c r="E7" s="415" t="s">
        <v>150</v>
      </c>
      <c r="F7" s="416"/>
      <c r="G7" s="148"/>
      <c r="H7" s="432"/>
      <c r="I7" s="434"/>
      <c r="J7" s="413"/>
      <c r="K7" s="413"/>
      <c r="L7" s="84"/>
      <c r="M7" s="422"/>
      <c r="N7" s="423"/>
      <c r="O7" s="423"/>
      <c r="P7" s="423"/>
      <c r="Q7" s="424"/>
      <c r="R7" s="87"/>
      <c r="S7" s="84"/>
    </row>
    <row r="8" spans="1:21" ht="84.75" customHeight="1" thickBot="1" x14ac:dyDescent="0.3">
      <c r="A8" s="265" t="s">
        <v>290</v>
      </c>
      <c r="B8" s="239" t="s">
        <v>270</v>
      </c>
      <c r="C8" s="149" t="s">
        <v>115</v>
      </c>
      <c r="D8" s="150" t="s">
        <v>116</v>
      </c>
      <c r="E8" s="124" t="s">
        <v>114</v>
      </c>
      <c r="F8" s="125" t="s">
        <v>113</v>
      </c>
      <c r="G8" s="126" t="s">
        <v>117</v>
      </c>
      <c r="H8" s="433"/>
      <c r="I8" s="435"/>
      <c r="J8" s="414"/>
      <c r="K8" s="414"/>
      <c r="L8" s="82"/>
      <c r="M8" s="57" t="s">
        <v>131</v>
      </c>
      <c r="N8" s="148" t="s">
        <v>128</v>
      </c>
      <c r="O8" s="148" t="s">
        <v>129</v>
      </c>
      <c r="P8" s="148" t="s">
        <v>130</v>
      </c>
      <c r="Q8" s="100" t="s">
        <v>172</v>
      </c>
      <c r="R8" s="87"/>
      <c r="S8" s="76"/>
    </row>
    <row r="9" spans="1:21" s="26" customFormat="1" ht="39" customHeight="1" x14ac:dyDescent="0.25">
      <c r="A9" s="266" t="str">
        <f>IF(NOT(ISBLANK(H9)),H9,"###LEEG###")</f>
        <v>De keuze van de eigen rol binnen de projectgroep verantwoorden in relatie tot het eigen ontwikkelingsplan</v>
      </c>
      <c r="B9" s="165" t="str">
        <f>IF(NOT(ISBLANK($C9)),VLOOKUP($C9,Constanten!$A$3:$B$7,2,FALSE),"")</f>
        <v>geel</v>
      </c>
      <c r="C9" s="67" t="s">
        <v>158</v>
      </c>
      <c r="D9" s="56" t="s">
        <v>61</v>
      </c>
      <c r="E9" s="74"/>
      <c r="F9" s="75" t="s">
        <v>107</v>
      </c>
      <c r="G9" s="72" t="s">
        <v>167</v>
      </c>
      <c r="H9" s="340" t="s">
        <v>345</v>
      </c>
      <c r="I9" s="341" t="s">
        <v>62</v>
      </c>
      <c r="J9" s="342"/>
      <c r="K9" s="163" t="s">
        <v>320</v>
      </c>
      <c r="L9" s="147"/>
      <c r="M9" s="88"/>
      <c r="N9" s="89"/>
      <c r="O9" s="89"/>
      <c r="P9" s="105"/>
      <c r="Q9" s="104"/>
      <c r="R9" s="87"/>
      <c r="S9" s="87"/>
      <c r="T9"/>
      <c r="U9"/>
    </row>
    <row r="10" spans="1:21" s="26" customFormat="1" ht="39" customHeight="1" thickBot="1" x14ac:dyDescent="0.3">
      <c r="A10" s="266" t="str">
        <f t="shared" ref="A10:A23" si="0">IF(NOT(ISBLANK(H10)),H10,"###LEEG###")</f>
        <v>Op een gestructureerde manier een vergadering voorbereiden en hieraan deelnemen</v>
      </c>
      <c r="B10" s="165" t="str">
        <f>IF(NOT(ISBLANK($C10)),VLOOKUP($C10,Constanten!$A$3:$B$7,2,FALSE),"")</f>
        <v>geel</v>
      </c>
      <c r="C10" s="67" t="s">
        <v>158</v>
      </c>
      <c r="D10" s="56" t="s">
        <v>61</v>
      </c>
      <c r="E10" s="74"/>
      <c r="F10" s="75" t="s">
        <v>107</v>
      </c>
      <c r="G10" s="72" t="s">
        <v>167</v>
      </c>
      <c r="H10" s="343" t="s">
        <v>344</v>
      </c>
      <c r="I10" s="341" t="s">
        <v>61</v>
      </c>
      <c r="J10" s="344"/>
      <c r="K10" s="164" t="s">
        <v>312</v>
      </c>
      <c r="L10" s="147"/>
      <c r="M10" s="90" t="s">
        <v>311</v>
      </c>
      <c r="N10" s="91" t="s">
        <v>143</v>
      </c>
      <c r="O10" s="91" t="s">
        <v>135</v>
      </c>
      <c r="P10" s="106">
        <v>5.5</v>
      </c>
      <c r="Q10" s="136">
        <f>IF(Q9=100,"",100-Q9)</f>
        <v>100</v>
      </c>
      <c r="R10" s="87"/>
      <c r="S10" s="76"/>
      <c r="T10"/>
      <c r="U10"/>
    </row>
    <row r="11" spans="1:21" s="26" customFormat="1" ht="39" customHeight="1" x14ac:dyDescent="0.3">
      <c r="A11" s="266" t="str">
        <f t="shared" si="0"/>
        <v>Op constructieve wijze samenwerken met de projectgenoten ten behoeve van het eindproduct</v>
      </c>
      <c r="B11" s="165" t="str">
        <f>IF(NOT(ISBLANK($C11)),VLOOKUP($C11,Constanten!$A$3:$B$7,2,FALSE),"")</f>
        <v>geel</v>
      </c>
      <c r="C11" s="67" t="s">
        <v>158</v>
      </c>
      <c r="D11" s="56" t="s">
        <v>61</v>
      </c>
      <c r="E11" s="74"/>
      <c r="F11" s="75" t="s">
        <v>107</v>
      </c>
      <c r="G11" s="72" t="s">
        <v>167</v>
      </c>
      <c r="H11" s="343" t="s">
        <v>343</v>
      </c>
      <c r="I11" s="341" t="s">
        <v>64</v>
      </c>
      <c r="J11" s="344"/>
      <c r="K11" s="164" t="s">
        <v>313</v>
      </c>
      <c r="L11" s="147"/>
      <c r="M11" s="83"/>
      <c r="N11" s="147"/>
      <c r="O11" s="96"/>
      <c r="P11" s="83"/>
      <c r="Q11" s="97"/>
      <c r="R11" s="87"/>
      <c r="S11" s="62"/>
      <c r="T11"/>
      <c r="U11"/>
    </row>
    <row r="12" spans="1:21" s="26" customFormat="1" ht="39" customHeight="1" x14ac:dyDescent="0.25">
      <c r="A12" s="266" t="str">
        <f t="shared" si="0"/>
        <v>Op systematische manier (bijv. Gantt) een realistische planning maken rekening houdend met de aan het project gestelde eisen</v>
      </c>
      <c r="B12" s="165" t="str">
        <f>IF(NOT(ISBLANK($C12)),VLOOKUP($C12,Constanten!$A$3:$B$7,2,FALSE),"")</f>
        <v>abrikoos</v>
      </c>
      <c r="C12" s="67" t="s">
        <v>159</v>
      </c>
      <c r="D12" s="56" t="s">
        <v>61</v>
      </c>
      <c r="E12" s="74"/>
      <c r="F12" s="75" t="s">
        <v>107</v>
      </c>
      <c r="G12" s="72"/>
      <c r="H12" s="345" t="s">
        <v>342</v>
      </c>
      <c r="I12" s="346" t="s">
        <v>64</v>
      </c>
      <c r="J12" s="347"/>
      <c r="K12" s="164" t="s">
        <v>314</v>
      </c>
      <c r="L12" s="147"/>
      <c r="M12" s="83"/>
      <c r="N12" s="147"/>
      <c r="O12" s="147"/>
      <c r="P12" s="83"/>
      <c r="Q12" s="77"/>
      <c r="R12" s="76"/>
      <c r="S12" s="62"/>
      <c r="T12"/>
      <c r="U12"/>
    </row>
    <row r="13" spans="1:21" s="26" customFormat="1" ht="39" customHeight="1" x14ac:dyDescent="0.25">
      <c r="A13" s="266" t="str">
        <f t="shared" si="0"/>
        <v>Een verantwoording van de bestede uren opstellen</v>
      </c>
      <c r="B13" s="165" t="str">
        <f>IF(NOT(ISBLANK($C13)),VLOOKUP($C13,Constanten!$A$3:$B$7,2,FALSE),"")</f>
        <v>abrikoos</v>
      </c>
      <c r="C13" s="67" t="s">
        <v>159</v>
      </c>
      <c r="D13" s="56" t="s">
        <v>61</v>
      </c>
      <c r="E13" s="74"/>
      <c r="F13" s="75" t="s">
        <v>107</v>
      </c>
      <c r="G13" s="72"/>
      <c r="H13" s="345" t="s">
        <v>341</v>
      </c>
      <c r="I13" s="346" t="s">
        <v>61</v>
      </c>
      <c r="J13" s="347"/>
      <c r="K13" s="164" t="s">
        <v>315</v>
      </c>
      <c r="L13" s="147"/>
      <c r="M13" s="83"/>
      <c r="N13" s="147"/>
      <c r="O13" s="147"/>
      <c r="P13" s="83"/>
      <c r="Q13" s="77"/>
      <c r="R13" s="76"/>
      <c r="S13" s="62"/>
      <c r="T13"/>
      <c r="U13"/>
    </row>
    <row r="14" spans="1:21" s="26" customFormat="1" ht="39" customHeight="1" x14ac:dyDescent="0.25">
      <c r="A14" s="266" t="str">
        <f t="shared" si="0"/>
        <v>De versies van de software beheren met git.</v>
      </c>
      <c r="B14" s="165" t="str">
        <f>IF(NOT(ISBLANK($C14)),VLOOKUP($C14,Constanten!$A$3:$B$7,2,FALSE),"")</f>
        <v>blauw</v>
      </c>
      <c r="C14" s="378" t="s">
        <v>80</v>
      </c>
      <c r="D14" s="379"/>
      <c r="E14" s="380" t="s">
        <v>105</v>
      </c>
      <c r="F14" s="381" t="s">
        <v>107</v>
      </c>
      <c r="G14" s="382"/>
      <c r="H14" s="338" t="s">
        <v>337</v>
      </c>
      <c r="I14" s="337" t="s">
        <v>61</v>
      </c>
      <c r="J14" s="339"/>
      <c r="K14" s="383" t="s">
        <v>316</v>
      </c>
      <c r="L14" s="147"/>
      <c r="M14" s="83"/>
      <c r="N14" s="147"/>
      <c r="O14" s="147"/>
      <c r="P14" s="83"/>
      <c r="Q14" s="77"/>
      <c r="R14" s="76"/>
      <c r="S14" s="62"/>
      <c r="T14"/>
      <c r="U14"/>
    </row>
    <row r="15" spans="1:21" s="26" customFormat="1" ht="39" customHeight="1" x14ac:dyDescent="0.25">
      <c r="A15" s="266" t="str">
        <f t="shared" si="0"/>
        <v>Een ontwerp maken voor een algoritme onder andere met behulp van activity diagram.</v>
      </c>
      <c r="B15" s="165" t="str">
        <f>IF(NOT(ISBLANK($C15)),VLOOKUP($C15,Constanten!$A$3:$B$7,2,FALSE),"")</f>
        <v>blauw</v>
      </c>
      <c r="C15" s="67" t="s">
        <v>80</v>
      </c>
      <c r="D15" s="56"/>
      <c r="E15" s="74" t="s">
        <v>103</v>
      </c>
      <c r="F15" s="75" t="s">
        <v>107</v>
      </c>
      <c r="G15" s="72"/>
      <c r="H15" s="338" t="s">
        <v>338</v>
      </c>
      <c r="I15" s="337" t="s">
        <v>64</v>
      </c>
      <c r="J15" s="339"/>
      <c r="K15" s="164" t="s">
        <v>328</v>
      </c>
      <c r="L15" s="147"/>
      <c r="M15" s="83"/>
      <c r="N15" s="147"/>
      <c r="O15" s="147"/>
      <c r="P15" s="83"/>
      <c r="Q15" s="77"/>
      <c r="R15" s="76"/>
      <c r="S15" s="62"/>
      <c r="T15"/>
      <c r="U15"/>
    </row>
    <row r="16" spans="1:21" s="26" customFormat="1" ht="39" customHeight="1" x14ac:dyDescent="0.25">
      <c r="A16" s="266" t="str">
        <f t="shared" si="0"/>
        <v>Een softwaresysteem voor Lego Mindstorms bouwen met behulp van de taal C++.</v>
      </c>
      <c r="B16" s="165" t="str">
        <f>IF(NOT(ISBLANK($C16)),VLOOKUP($C16,Constanten!$A$3:$B$7,2,FALSE),"")</f>
        <v>blauw</v>
      </c>
      <c r="C16" s="67" t="s">
        <v>80</v>
      </c>
      <c r="D16" s="56"/>
      <c r="E16" s="74" t="s">
        <v>104</v>
      </c>
      <c r="F16" s="75" t="s">
        <v>107</v>
      </c>
      <c r="G16" s="72"/>
      <c r="H16" s="338" t="s">
        <v>340</v>
      </c>
      <c r="I16" s="337" t="s">
        <v>64</v>
      </c>
      <c r="J16" s="339"/>
      <c r="K16" s="164" t="s">
        <v>331</v>
      </c>
      <c r="L16" s="147"/>
      <c r="M16" s="83"/>
      <c r="N16" s="147"/>
      <c r="O16" s="147"/>
      <c r="P16" s="83"/>
      <c r="Q16" s="77"/>
      <c r="R16" s="76"/>
      <c r="S16" s="62"/>
      <c r="T16"/>
      <c r="U16"/>
    </row>
    <row r="17" spans="1:21" s="26" customFormat="1" ht="39" customHeight="1" x14ac:dyDescent="0.25">
      <c r="A17" s="266" t="str">
        <f t="shared" si="0"/>
        <v>###LEEG###</v>
      </c>
      <c r="B17" s="165" t="str">
        <f>IF(NOT(ISBLANK($C17)),VLOOKUP($C17,Constanten!$A$3:$B$7,2,FALSE),"")</f>
        <v/>
      </c>
      <c r="C17" s="67"/>
      <c r="D17" s="56"/>
      <c r="E17" s="74"/>
      <c r="F17" s="75"/>
      <c r="G17" s="72"/>
      <c r="H17" s="123"/>
      <c r="I17" s="141"/>
      <c r="J17" s="173"/>
      <c r="K17" s="164"/>
      <c r="L17" s="147"/>
      <c r="M17" s="83"/>
      <c r="N17" s="147"/>
      <c r="O17" s="147"/>
      <c r="P17" s="83"/>
      <c r="Q17" s="77"/>
      <c r="R17" s="76"/>
      <c r="S17" s="62"/>
      <c r="T17"/>
      <c r="U17"/>
    </row>
    <row r="18" spans="1:21" s="26" customFormat="1" ht="39" customHeight="1" x14ac:dyDescent="0.25">
      <c r="A18" s="266" t="str">
        <f t="shared" si="0"/>
        <v>###LEEG###</v>
      </c>
      <c r="B18" s="165" t="str">
        <f>IF(NOT(ISBLANK($C18)),VLOOKUP($C18,Constanten!$A$3:$B$7,2,FALSE),"")</f>
        <v/>
      </c>
      <c r="C18" s="67"/>
      <c r="D18" s="56"/>
      <c r="E18" s="74"/>
      <c r="F18" s="75"/>
      <c r="G18" s="72"/>
      <c r="H18" s="123"/>
      <c r="I18" s="141"/>
      <c r="J18" s="173"/>
      <c r="K18" s="164"/>
      <c r="L18" s="147"/>
      <c r="M18" s="83"/>
      <c r="N18" s="147"/>
      <c r="O18" s="147"/>
      <c r="P18" s="83"/>
      <c r="Q18" s="77"/>
      <c r="R18" s="76"/>
      <c r="S18" s="62"/>
      <c r="T18"/>
      <c r="U18"/>
    </row>
    <row r="19" spans="1:21" s="26" customFormat="1" ht="39" customHeight="1" x14ac:dyDescent="0.25">
      <c r="A19" s="266" t="str">
        <f t="shared" si="0"/>
        <v>###LEEG###</v>
      </c>
      <c r="B19" s="165" t="str">
        <f>IF(NOT(ISBLANK($C19)),VLOOKUP($C19,Constanten!$A$3:$B$7,2,FALSE),"")</f>
        <v/>
      </c>
      <c r="C19" s="67"/>
      <c r="D19" s="56"/>
      <c r="E19" s="74"/>
      <c r="F19" s="75"/>
      <c r="G19" s="72"/>
      <c r="H19" s="123"/>
      <c r="I19" s="141"/>
      <c r="J19" s="173"/>
      <c r="K19" s="164"/>
      <c r="L19" s="147"/>
      <c r="M19" s="83"/>
      <c r="N19" s="147"/>
      <c r="O19" s="147"/>
      <c r="P19" s="83"/>
      <c r="Q19" s="77"/>
      <c r="R19" s="76"/>
      <c r="S19" s="62"/>
      <c r="T19"/>
      <c r="U19"/>
    </row>
    <row r="20" spans="1:21" s="26" customFormat="1" ht="39" customHeight="1" x14ac:dyDescent="0.25">
      <c r="A20" s="266" t="str">
        <f t="shared" si="0"/>
        <v>###LEEG###</v>
      </c>
      <c r="B20" s="165" t="str">
        <f>IF(NOT(ISBLANK($C20)),VLOOKUP($C20,Constanten!$A$3:$B$7,2,FALSE),"")</f>
        <v/>
      </c>
      <c r="C20" s="67"/>
      <c r="D20" s="56"/>
      <c r="E20" s="74"/>
      <c r="F20" s="75"/>
      <c r="G20" s="72"/>
      <c r="H20" s="123"/>
      <c r="I20" s="141"/>
      <c r="J20" s="173"/>
      <c r="K20" s="164"/>
      <c r="L20" s="147"/>
      <c r="M20" s="83"/>
      <c r="N20" s="147"/>
      <c r="O20" s="147"/>
      <c r="P20" s="83"/>
      <c r="Q20" s="77"/>
      <c r="R20" s="76"/>
      <c r="S20" s="62"/>
      <c r="T20"/>
      <c r="U20"/>
    </row>
    <row r="21" spans="1:21" s="26" customFormat="1" ht="39" customHeight="1" x14ac:dyDescent="0.25">
      <c r="A21" s="266" t="str">
        <f t="shared" si="0"/>
        <v>###LEEG###</v>
      </c>
      <c r="B21" s="165" t="str">
        <f>IF(NOT(ISBLANK($C21)),VLOOKUP($C21,Constanten!$A$3:$B$7,2,FALSE),"")</f>
        <v/>
      </c>
      <c r="C21" s="67"/>
      <c r="D21" s="56"/>
      <c r="E21" s="74"/>
      <c r="F21" s="75"/>
      <c r="G21" s="72"/>
      <c r="H21" s="123"/>
      <c r="I21" s="141"/>
      <c r="J21" s="173"/>
      <c r="K21" s="164"/>
      <c r="L21" s="147"/>
      <c r="M21" s="83"/>
      <c r="N21" s="147"/>
      <c r="O21" s="147"/>
      <c r="P21" s="83"/>
      <c r="Q21" s="77"/>
      <c r="R21" s="76"/>
      <c r="S21"/>
      <c r="T21"/>
      <c r="U21"/>
    </row>
    <row r="22" spans="1:21" s="26" customFormat="1" ht="39" customHeight="1" x14ac:dyDescent="0.25">
      <c r="A22" s="266" t="str">
        <f t="shared" si="0"/>
        <v>###LEEG###</v>
      </c>
      <c r="B22" s="165" t="str">
        <f>IF(NOT(ISBLANK($C22)),VLOOKUP($C22,Constanten!$A$3:$B$7,2,FALSE),"")</f>
        <v/>
      </c>
      <c r="C22" s="67"/>
      <c r="D22" s="56"/>
      <c r="E22" s="74"/>
      <c r="F22" s="75"/>
      <c r="G22" s="72"/>
      <c r="H22" s="123"/>
      <c r="I22" s="141"/>
      <c r="J22" s="173"/>
      <c r="K22" s="164"/>
      <c r="L22" s="147"/>
      <c r="M22" s="83"/>
      <c r="N22" s="147"/>
      <c r="O22" s="147"/>
      <c r="P22" s="83"/>
      <c r="Q22" s="77"/>
      <c r="R22" s="76"/>
      <c r="S22" s="62"/>
      <c r="T22"/>
      <c r="U22"/>
    </row>
    <row r="23" spans="1:21" s="26" customFormat="1" ht="39" customHeight="1" thickBot="1" x14ac:dyDescent="0.3">
      <c r="A23" s="266" t="str">
        <f t="shared" si="0"/>
        <v>###LEEG###</v>
      </c>
      <c r="B23" s="165" t="str">
        <f>IF(NOT(ISBLANK($C23)),VLOOKUP($C23,Constanten!$A$3:$B$7,2,FALSE),"")</f>
        <v/>
      </c>
      <c r="C23" s="67"/>
      <c r="D23" s="56"/>
      <c r="E23" s="74"/>
      <c r="F23" s="75"/>
      <c r="G23" s="72"/>
      <c r="H23" s="123"/>
      <c r="I23" s="141"/>
      <c r="J23" s="173"/>
      <c r="K23" s="164"/>
      <c r="L23" s="335"/>
      <c r="M23" s="83"/>
      <c r="N23" s="335"/>
      <c r="O23" s="335"/>
      <c r="P23" s="83"/>
      <c r="Q23" s="336"/>
      <c r="R23" s="335"/>
      <c r="S23" s="335"/>
      <c r="T23"/>
      <c r="U23"/>
    </row>
    <row r="24" spans="1:21" ht="18" customHeight="1" thickBot="1" x14ac:dyDescent="0.3">
      <c r="A24" s="21"/>
      <c r="B24" s="21"/>
      <c r="C24" s="145" t="s">
        <v>74</v>
      </c>
      <c r="D24" s="146"/>
      <c r="E24" s="146"/>
      <c r="F24" s="146"/>
      <c r="G24" s="146"/>
      <c r="H24" s="146"/>
      <c r="I24" s="45"/>
      <c r="J24" s="45"/>
      <c r="K24" s="45"/>
      <c r="L24" s="45"/>
      <c r="M24" s="45"/>
      <c r="N24" s="45"/>
      <c r="O24" s="45"/>
      <c r="P24" s="45"/>
      <c r="Q24" s="66"/>
      <c r="R24" s="52"/>
      <c r="S24" s="52"/>
    </row>
    <row r="25" spans="1:21" s="73" customFormat="1" ht="20.25" customHeight="1" x14ac:dyDescent="0.25">
      <c r="A25" s="21"/>
      <c r="B25" s="21"/>
      <c r="C25" s="41"/>
      <c r="D25" s="41"/>
      <c r="E25" s="41"/>
      <c r="F25" s="41"/>
      <c r="G25" s="41"/>
      <c r="H25" s="41"/>
      <c r="I25" s="41"/>
      <c r="J25" s="41"/>
      <c r="K25" s="41"/>
      <c r="L25" s="41"/>
      <c r="M25" s="41"/>
      <c r="N25" s="41"/>
      <c r="O25" s="41"/>
      <c r="P25" s="41"/>
      <c r="Q25" s="41"/>
      <c r="R25" s="41"/>
      <c r="S25" s="41"/>
      <c r="T25" s="41"/>
    </row>
  </sheetData>
  <mergeCells count="10">
    <mergeCell ref="C5:D7"/>
    <mergeCell ref="J5:J8"/>
    <mergeCell ref="E7:F7"/>
    <mergeCell ref="M5:Q7"/>
    <mergeCell ref="E3:Q3"/>
    <mergeCell ref="E4:Q4"/>
    <mergeCell ref="E5:G6"/>
    <mergeCell ref="H5:H8"/>
    <mergeCell ref="I5:I8"/>
    <mergeCell ref="K5:K8"/>
  </mergeCells>
  <conditionalFormatting sqref="C17:I23 K9:K23 C9:G16">
    <cfRule type="expression" dxfId="19" priority="6">
      <formula>$B9="abrikoos"</formula>
    </cfRule>
    <cfRule type="expression" dxfId="18" priority="7">
      <formula>$B9="geel"</formula>
    </cfRule>
    <cfRule type="expression" dxfId="17" priority="8">
      <formula>$B9="groen"</formula>
    </cfRule>
    <cfRule type="expression" dxfId="16" priority="9">
      <formula>$B9="blauw"</formula>
    </cfRule>
  </conditionalFormatting>
  <conditionalFormatting sqref="I9:I16">
    <cfRule type="cellIs" dxfId="15" priority="1" operator="greaterThan">
      <formula>0.999999999</formula>
    </cfRule>
    <cfRule type="cellIs" dxfId="14" priority="2" operator="between">
      <formula>0</formula>
      <formula>0.999999999</formula>
    </cfRule>
  </conditionalFormatting>
  <dataValidations count="3">
    <dataValidation type="whole" allowBlank="1" showInputMessage="1" showErrorMessage="1" sqref="Q9">
      <formula1>0</formula1>
      <formula2>100</formula2>
    </dataValidation>
    <dataValidation type="decimal" allowBlank="1" showInputMessage="1" showErrorMessage="1" sqref="P9:P10">
      <formula1>0</formula1>
      <formula2>10</formula2>
    </dataValidation>
    <dataValidation type="textLength" allowBlank="1" showInputMessage="1" showErrorMessage="1" sqref="J9:J23">
      <formula1>0</formula1>
      <formula2>0</formula2>
    </dataValidation>
  </dataValidations>
  <pageMargins left="0.70866141732283472" right="0.70866141732283472" top="0.74803149606299213" bottom="0.74803149606299213" header="0.31496062992125984" footer="0.31496062992125984"/>
  <pageSetup paperSize="9" scale="62" orientation="landscape" r:id="rId1"/>
  <legacyDrawing r:id="rId2"/>
  <extLst>
    <ext xmlns:x14="http://schemas.microsoft.com/office/spreadsheetml/2009/9/main" uri="{CCE6A557-97BC-4b89-ADB6-D9C93CAAB3DF}">
      <x14:dataValidations xmlns:xm="http://schemas.microsoft.com/office/excel/2006/main" count="8">
        <x14:dataValidation type="list" errorStyle="warning" allowBlank="1" showInputMessage="1" showErrorMessage="1" errorTitle="Onbekende skill" error="Selecteer term uit vervolgkeuzelijst">
          <x14:formula1>
            <xm:f>Constanten!$A$3:$A$7</xm:f>
          </x14:formula1>
          <xm:sqref>C9:C23</xm:sqref>
        </x14:dataValidation>
        <x14:dataValidation type="list" errorStyle="warning" allowBlank="1" showInputMessage="1" showErrorMessage="1" errorTitle="Onbekende fase" error="Selecteer term uit vervolgkeuzelijst">
          <x14:formula1>
            <xm:f>Constanten!$A$17:$A$21</xm:f>
          </x14:formula1>
          <xm:sqref>E9:E23</xm:sqref>
        </x14:dataValidation>
        <x14:dataValidation type="list" errorStyle="warning" allowBlank="1" showInputMessage="1" showErrorMessage="1" errorTitle="Onbekende architectuurlaag" error="Selecteer term uit vervolgkeuzelijst">
          <x14:formula1>
            <xm:f>Constanten!$B$17:$B$21</xm:f>
          </x14:formula1>
          <xm:sqref>F9:F23</xm:sqref>
        </x14:dataValidation>
        <x14:dataValidation type="list" allowBlank="1" showInputMessage="1" showErrorMessage="1">
          <x14:formula1>
            <xm:f>Constanten!$C$17:$C$22</xm:f>
          </x14:formula1>
          <xm:sqref>G9:G23</xm:sqref>
        </x14:dataValidation>
        <x14:dataValidation type="list" allowBlank="1" showInputMessage="1" showErrorMessage="1">
          <x14:formula1>
            <xm:f>Constanten!$A$26:$A$31</xm:f>
          </x14:formula1>
          <xm:sqref>I9:I23</xm:sqref>
        </x14:dataValidation>
        <x14:dataValidation type="list" allowBlank="1" showInputMessage="1" showErrorMessage="1" errorTitle="Geen geldige toetsvorm" error="Selecteer term uit vervolgkeuzelijst">
          <x14:formula1>
            <xm:f>Constanten!$A$39:$A$49</xm:f>
          </x14:formula1>
          <xm:sqref>N9:N10</xm:sqref>
        </x14:dataValidation>
        <x14:dataValidation type="list" allowBlank="1" showInputMessage="1" showErrorMessage="1" errorTitle="Geen geldige resultaatschaal" error="Selecteer term uit vervolgkeuzelijst">
          <x14:formula1>
            <xm:f>Constanten!$A$34:$A$36</xm:f>
          </x14:formula1>
          <xm:sqref>O9:O10</xm:sqref>
        </x14:dataValidation>
        <x14:dataValidation type="list" errorStyle="warning" allowBlank="1" showInputMessage="1" showErrorMessage="1" errorTitle="Ondbekend skill niveau" error="Selecteer term uit vervolgkeuzelijst">
          <x14:formula1>
            <xm:f>Constanten!$A$11:$A$13</xm:f>
          </x14:formula1>
          <xm:sqref>D9:D23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H28"/>
  <sheetViews>
    <sheetView zoomScale="80" zoomScaleNormal="80" workbookViewId="0">
      <pane xSplit="7" ySplit="11" topLeftCell="H12" activePane="bottomRight" state="frozen"/>
      <selection activeCell="A4" sqref="A4"/>
      <selection pane="topRight" activeCell="F4" sqref="F4"/>
      <selection pane="bottomLeft" activeCell="A12" sqref="A12"/>
      <selection pane="bottomRight" activeCell="EH18" sqref="EH18"/>
    </sheetView>
  </sheetViews>
  <sheetFormatPr defaultRowHeight="13.2" outlineLevelCol="1" x14ac:dyDescent="0.25"/>
  <cols>
    <col min="1" max="1" width="5.6640625" style="27" hidden="1" customWidth="1"/>
    <col min="2" max="6" width="6.6640625" customWidth="1"/>
    <col min="7" max="7" width="51.33203125" customWidth="1"/>
    <col min="8" max="9" width="6.6640625" customWidth="1"/>
    <col min="10" max="11" width="5.6640625" customWidth="1"/>
    <col min="12" max="12" width="14.88671875" customWidth="1"/>
    <col min="13" max="14" width="5.6640625" hidden="1" customWidth="1"/>
    <col min="15" max="15" width="7.33203125" hidden="1" customWidth="1"/>
    <col min="16" max="17" width="5.6640625" customWidth="1"/>
    <col min="18" max="18" width="7.5546875" customWidth="1"/>
    <col min="19" max="19" width="2.5546875" customWidth="1"/>
    <col min="20" max="28" width="3.5546875" hidden="1" customWidth="1" outlineLevel="1"/>
    <col min="29" max="31" width="5.6640625" hidden="1" customWidth="1" outlineLevel="1"/>
    <col min="32" max="32" width="2.5546875" customWidth="1" collapsed="1"/>
    <col min="33" max="34" width="3.44140625" hidden="1" customWidth="1" outlineLevel="1"/>
    <col min="35" max="35" width="5.6640625" hidden="1" customWidth="1" outlineLevel="1"/>
    <col min="36" max="37" width="3.44140625" hidden="1" customWidth="1" outlineLevel="1"/>
    <col min="38" max="38" width="5.6640625" hidden="1" customWidth="1" outlineLevel="1"/>
    <col min="39" max="40" width="3.44140625" hidden="1" customWidth="1" outlineLevel="1"/>
    <col min="41" max="41" width="5.6640625" hidden="1" customWidth="1" outlineLevel="1"/>
    <col min="42" max="43" width="3.44140625" hidden="1" customWidth="1" outlineLevel="1"/>
    <col min="44" max="44" width="5.6640625" hidden="1" customWidth="1" outlineLevel="1"/>
    <col min="45" max="46" width="3.44140625" hidden="1" customWidth="1" outlineLevel="1"/>
    <col min="47" max="47" width="5.6640625" hidden="1" customWidth="1" outlineLevel="1"/>
    <col min="48" max="49" width="3.44140625" hidden="1" customWidth="1" outlineLevel="1"/>
    <col min="50" max="50" width="5.6640625" hidden="1" customWidth="1" outlineLevel="1"/>
    <col min="51" max="52" width="3.44140625" hidden="1" customWidth="1" outlineLevel="1"/>
    <col min="53" max="53" width="5.6640625" hidden="1" customWidth="1" outlineLevel="1"/>
    <col min="54" max="55" width="3.44140625" hidden="1" customWidth="1" outlineLevel="1"/>
    <col min="56" max="56" width="5.6640625" hidden="1" customWidth="1" outlineLevel="1"/>
    <col min="57" max="58" width="3.44140625" hidden="1" customWidth="1" outlineLevel="1"/>
    <col min="59" max="59" width="5.6640625" hidden="1" customWidth="1" outlineLevel="1"/>
    <col min="60" max="61" width="3.44140625" hidden="1" customWidth="1" outlineLevel="1"/>
    <col min="62" max="62" width="5.6640625" hidden="1" customWidth="1" outlineLevel="1"/>
    <col min="63" max="64" width="3.44140625" hidden="1" customWidth="1" outlineLevel="1"/>
    <col min="65" max="65" width="5.6640625" hidden="1" customWidth="1" outlineLevel="1"/>
    <col min="66" max="67" width="3.44140625" hidden="1" customWidth="1" outlineLevel="1"/>
    <col min="68" max="68" width="5.6640625" hidden="1" customWidth="1" outlineLevel="1"/>
    <col min="69" max="70" width="3.44140625" hidden="1" customWidth="1" outlineLevel="1"/>
    <col min="71" max="71" width="5.6640625" hidden="1" customWidth="1" outlineLevel="1"/>
    <col min="72" max="73" width="3.44140625" hidden="1" customWidth="1" outlineLevel="1"/>
    <col min="74" max="74" width="5.6640625" hidden="1" customWidth="1" outlineLevel="1"/>
    <col min="75" max="76" width="3.44140625" hidden="1" customWidth="1" outlineLevel="1"/>
    <col min="77" max="77" width="5.6640625" hidden="1" customWidth="1" outlineLevel="1"/>
    <col min="78" max="79" width="3.44140625" hidden="1" customWidth="1" outlineLevel="1"/>
    <col min="80" max="80" width="5.6640625" hidden="1" customWidth="1" outlineLevel="1"/>
    <col min="81" max="82" width="3.44140625" hidden="1" customWidth="1" outlineLevel="1"/>
    <col min="83" max="83" width="5.6640625" hidden="1" customWidth="1" outlineLevel="1"/>
    <col min="84" max="85" width="3.44140625" hidden="1" customWidth="1" outlineLevel="1"/>
    <col min="86" max="86" width="5.6640625" hidden="1" customWidth="1" outlineLevel="1"/>
    <col min="87" max="88" width="3.44140625" hidden="1" customWidth="1" outlineLevel="1"/>
    <col min="89" max="89" width="5.6640625" hidden="1" customWidth="1" outlineLevel="1"/>
    <col min="90" max="91" width="3.44140625" hidden="1" customWidth="1" outlineLevel="1"/>
    <col min="92" max="92" width="5.6640625" hidden="1" customWidth="1" outlineLevel="1"/>
    <col min="93" max="94" width="3.44140625" hidden="1" customWidth="1" outlineLevel="1"/>
    <col min="95" max="95" width="5.6640625" hidden="1" customWidth="1" outlineLevel="1"/>
    <col min="96" max="97" width="3.44140625" hidden="1" customWidth="1" outlineLevel="1"/>
    <col min="98" max="98" width="5.6640625" hidden="1" customWidth="1" outlineLevel="1"/>
    <col min="99" max="100" width="3.44140625" hidden="1" customWidth="1" outlineLevel="1"/>
    <col min="101" max="101" width="5.6640625" hidden="1" customWidth="1" outlineLevel="1"/>
    <col min="102" max="103" width="3.44140625" hidden="1" customWidth="1" outlineLevel="1"/>
    <col min="104" max="104" width="5.6640625" hidden="1" customWidth="1" outlineLevel="1"/>
    <col min="105" max="106" width="3.44140625" hidden="1" customWidth="1" outlineLevel="1"/>
    <col min="107" max="107" width="5.6640625" hidden="1" customWidth="1" outlineLevel="1"/>
    <col min="108" max="109" width="3.44140625" hidden="1" customWidth="1" outlineLevel="1"/>
    <col min="110" max="110" width="5.6640625" hidden="1" customWidth="1" outlineLevel="1"/>
    <col min="111" max="112" width="3.44140625" hidden="1" customWidth="1" outlineLevel="1"/>
    <col min="113" max="113" width="5.6640625" hidden="1" customWidth="1" outlineLevel="1"/>
    <col min="114" max="115" width="3.44140625" hidden="1" customWidth="1" outlineLevel="1"/>
    <col min="116" max="116" width="5.6640625" hidden="1" customWidth="1" outlineLevel="1"/>
    <col min="117" max="118" width="3.44140625" hidden="1" customWidth="1" outlineLevel="1"/>
    <col min="119" max="119" width="5.6640625" hidden="1" customWidth="1" outlineLevel="1"/>
    <col min="120" max="121" width="3.44140625" hidden="1" customWidth="1" outlineLevel="1"/>
    <col min="122" max="122" width="5.6640625" hidden="1" customWidth="1" outlineLevel="1"/>
    <col min="123" max="123" width="8.33203125" hidden="1" customWidth="1" outlineLevel="1"/>
    <col min="124" max="124" width="5.44140625" hidden="1" customWidth="1" outlineLevel="1"/>
    <col min="125" max="125" width="8.33203125" hidden="1" customWidth="1" outlineLevel="1"/>
    <col min="126" max="126" width="2.5546875" customWidth="1" collapsed="1"/>
    <col min="127" max="128" width="3.44140625" customWidth="1" outlineLevel="1"/>
    <col min="129" max="129" width="5.6640625" customWidth="1" outlineLevel="1"/>
    <col min="130" max="131" width="3.44140625" customWidth="1" outlineLevel="1"/>
    <col min="132" max="132" width="5.6640625" customWidth="1" outlineLevel="1"/>
    <col min="133" max="134" width="3.44140625" customWidth="1" outlineLevel="1"/>
    <col min="135" max="135" width="5.6640625" customWidth="1" outlineLevel="1"/>
    <col min="136" max="137" width="3.44140625" customWidth="1" outlineLevel="1"/>
    <col min="138" max="138" width="5.6640625" customWidth="1" outlineLevel="1"/>
    <col min="139" max="140" width="3.44140625" customWidth="1" outlineLevel="1"/>
    <col min="141" max="141" width="5.6640625" customWidth="1" outlineLevel="1"/>
    <col min="142" max="143" width="3.44140625" customWidth="1" outlineLevel="1"/>
    <col min="144" max="144" width="5.6640625" customWidth="1" outlineLevel="1"/>
    <col min="145" max="146" width="3.44140625" customWidth="1" outlineLevel="1"/>
    <col min="147" max="147" width="5.6640625" customWidth="1" outlineLevel="1"/>
    <col min="148" max="149" width="3.44140625" customWidth="1" outlineLevel="1"/>
    <col min="150" max="150" width="5.6640625" customWidth="1" outlineLevel="1"/>
    <col min="151" max="152" width="3.44140625" customWidth="1" outlineLevel="1"/>
    <col min="153" max="153" width="5.6640625" customWidth="1" outlineLevel="1"/>
    <col min="154" max="155" width="3.44140625" customWidth="1" outlineLevel="1"/>
    <col min="156" max="156" width="5.6640625" customWidth="1" outlineLevel="1"/>
    <col min="157" max="158" width="3.44140625" customWidth="1" outlineLevel="1"/>
    <col min="159" max="159" width="5.6640625" customWidth="1" outlineLevel="1"/>
    <col min="160" max="161" width="3.44140625" customWidth="1" outlineLevel="1"/>
    <col min="162" max="162" width="5.6640625" customWidth="1" outlineLevel="1"/>
    <col min="163" max="164" width="3.44140625" customWidth="1" outlineLevel="1"/>
    <col min="165" max="165" width="5.6640625" customWidth="1" outlineLevel="1"/>
    <col min="166" max="167" width="3.44140625" customWidth="1" outlineLevel="1"/>
    <col min="168" max="168" width="5.6640625" customWidth="1" outlineLevel="1"/>
    <col min="169" max="170" width="3.44140625" customWidth="1" outlineLevel="1"/>
    <col min="171" max="171" width="5.6640625" customWidth="1" outlineLevel="1"/>
    <col min="172" max="173" width="3.44140625" customWidth="1" outlineLevel="1"/>
    <col min="174" max="174" width="5.6640625" customWidth="1" outlineLevel="1"/>
    <col min="175" max="176" width="3.44140625" customWidth="1" outlineLevel="1"/>
    <col min="177" max="177" width="5.6640625" customWidth="1" outlineLevel="1"/>
    <col min="178" max="179" width="3.44140625" customWidth="1" outlineLevel="1"/>
    <col min="180" max="180" width="5.6640625" customWidth="1" outlineLevel="1"/>
    <col min="181" max="182" width="3.44140625" customWidth="1" outlineLevel="1"/>
    <col min="183" max="183" width="5.6640625" customWidth="1" outlineLevel="1"/>
    <col min="184" max="185" width="3.44140625" customWidth="1" outlineLevel="1"/>
    <col min="186" max="186" width="5.6640625" customWidth="1" outlineLevel="1"/>
    <col min="187" max="188" width="3.44140625" customWidth="1" outlineLevel="1"/>
    <col min="189" max="189" width="5.6640625" customWidth="1" outlineLevel="1"/>
    <col min="190" max="191" width="3.44140625" customWidth="1" outlineLevel="1"/>
    <col min="192" max="192" width="5.6640625" customWidth="1" outlineLevel="1"/>
    <col min="193" max="194" width="3.44140625" customWidth="1" outlineLevel="1"/>
    <col min="195" max="195" width="5.6640625" customWidth="1" outlineLevel="1"/>
    <col min="196" max="197" width="3.44140625" customWidth="1" outlineLevel="1"/>
    <col min="198" max="198" width="5.6640625" customWidth="1" outlineLevel="1"/>
    <col min="199" max="200" width="3.44140625" customWidth="1" outlineLevel="1"/>
    <col min="201" max="201" width="5.6640625" customWidth="1" outlineLevel="1"/>
    <col min="202" max="203" width="3.44140625" customWidth="1" outlineLevel="1"/>
    <col min="204" max="204" width="5.6640625" customWidth="1" outlineLevel="1"/>
    <col min="205" max="206" width="3.44140625" customWidth="1" outlineLevel="1"/>
    <col min="207" max="207" width="5.6640625" customWidth="1" outlineLevel="1"/>
    <col min="208" max="208" width="5.77734375" customWidth="1" outlineLevel="1"/>
    <col min="209" max="209" width="6" customWidth="1" outlineLevel="1"/>
    <col min="210" max="210" width="5.33203125" customWidth="1" outlineLevel="1"/>
    <col min="211" max="211" width="8.33203125" customWidth="1" outlineLevel="1"/>
    <col min="212" max="212" width="5.44140625" customWidth="1" outlineLevel="1"/>
    <col min="213" max="213" width="8.33203125" customWidth="1" outlineLevel="1"/>
    <col min="214" max="214" width="4.109375" style="52" customWidth="1"/>
    <col min="215" max="215" width="4.109375" style="52" hidden="1" customWidth="1"/>
    <col min="216" max="226" width="4.6640625" style="39" hidden="1" customWidth="1"/>
    <col min="227" max="227" width="4.5546875" style="39" hidden="1" customWidth="1"/>
    <col min="228" max="228" width="8.109375" style="39" hidden="1" customWidth="1"/>
    <col min="229" max="229" width="4.109375" style="52" hidden="1" customWidth="1"/>
    <col min="230" max="240" width="4.6640625" style="39" hidden="1" customWidth="1"/>
    <col min="241" max="241" width="4.5546875" style="39" hidden="1" customWidth="1"/>
    <col min="242" max="242" width="8.109375" style="39" hidden="1" customWidth="1"/>
  </cols>
  <sheetData>
    <row r="1" spans="1:242" s="30" customFormat="1" ht="9.75" hidden="1" customHeight="1" x14ac:dyDescent="0.25">
      <c r="A1" s="27" t="s">
        <v>275</v>
      </c>
      <c r="AG1" s="30" t="s">
        <v>57</v>
      </c>
      <c r="AH1" s="30" t="s">
        <v>82</v>
      </c>
      <c r="AI1" s="30" t="s">
        <v>59</v>
      </c>
      <c r="AJ1" s="30" t="s">
        <v>57</v>
      </c>
      <c r="AK1" s="30" t="s">
        <v>82</v>
      </c>
      <c r="AL1" s="30" t="s">
        <v>59</v>
      </c>
      <c r="AM1" s="30" t="s">
        <v>57</v>
      </c>
      <c r="AN1" s="30" t="s">
        <v>82</v>
      </c>
      <c r="AO1" s="30" t="s">
        <v>59</v>
      </c>
      <c r="AP1" s="30" t="s">
        <v>57</v>
      </c>
      <c r="AQ1" s="30" t="s">
        <v>82</v>
      </c>
      <c r="AR1" s="30" t="s">
        <v>59</v>
      </c>
      <c r="AS1" s="30" t="s">
        <v>57</v>
      </c>
      <c r="AT1" s="30" t="s">
        <v>82</v>
      </c>
      <c r="AU1" s="30" t="s">
        <v>59</v>
      </c>
      <c r="AV1" s="30" t="s">
        <v>57</v>
      </c>
      <c r="AW1" s="30" t="s">
        <v>82</v>
      </c>
      <c r="AX1" s="30" t="s">
        <v>59</v>
      </c>
      <c r="AY1" s="30" t="s">
        <v>57</v>
      </c>
      <c r="AZ1" s="30" t="s">
        <v>82</v>
      </c>
      <c r="BA1" s="30" t="s">
        <v>59</v>
      </c>
      <c r="BB1" s="30" t="s">
        <v>57</v>
      </c>
      <c r="BC1" s="30" t="s">
        <v>82</v>
      </c>
      <c r="BD1" s="30" t="s">
        <v>59</v>
      </c>
      <c r="BE1" s="30" t="s">
        <v>57</v>
      </c>
      <c r="BF1" s="30" t="s">
        <v>82</v>
      </c>
      <c r="BG1" s="30" t="s">
        <v>59</v>
      </c>
      <c r="BH1" s="30" t="s">
        <v>57</v>
      </c>
      <c r="BI1" s="30" t="s">
        <v>82</v>
      </c>
      <c r="BJ1" s="30" t="s">
        <v>59</v>
      </c>
      <c r="BK1" s="30" t="s">
        <v>57</v>
      </c>
      <c r="BL1" s="30" t="s">
        <v>82</v>
      </c>
      <c r="BM1" s="30" t="s">
        <v>59</v>
      </c>
      <c r="BN1" s="30" t="s">
        <v>57</v>
      </c>
      <c r="BO1" s="30" t="s">
        <v>82</v>
      </c>
      <c r="BP1" s="30" t="s">
        <v>59</v>
      </c>
      <c r="BQ1" s="30" t="s">
        <v>57</v>
      </c>
      <c r="BR1" s="30" t="s">
        <v>82</v>
      </c>
      <c r="BS1" s="30" t="s">
        <v>59</v>
      </c>
      <c r="BT1" s="30" t="s">
        <v>57</v>
      </c>
      <c r="BU1" s="30" t="s">
        <v>82</v>
      </c>
      <c r="BV1" s="30" t="s">
        <v>59</v>
      </c>
      <c r="BW1" s="30" t="s">
        <v>57</v>
      </c>
      <c r="BX1" s="30" t="s">
        <v>82</v>
      </c>
      <c r="BY1" s="30" t="s">
        <v>59</v>
      </c>
      <c r="BZ1" s="30" t="s">
        <v>57</v>
      </c>
      <c r="CA1" s="30" t="s">
        <v>82</v>
      </c>
      <c r="CB1" s="30" t="s">
        <v>59</v>
      </c>
      <c r="CC1" s="30" t="s">
        <v>57</v>
      </c>
      <c r="CD1" s="30" t="s">
        <v>82</v>
      </c>
      <c r="CE1" s="30" t="s">
        <v>59</v>
      </c>
      <c r="CF1" s="30" t="s">
        <v>57</v>
      </c>
      <c r="CG1" s="30" t="s">
        <v>82</v>
      </c>
      <c r="CH1" s="30" t="s">
        <v>59</v>
      </c>
      <c r="CI1" s="30" t="s">
        <v>57</v>
      </c>
      <c r="CJ1" s="30" t="s">
        <v>82</v>
      </c>
      <c r="CK1" s="30" t="s">
        <v>59</v>
      </c>
      <c r="CL1" s="30" t="s">
        <v>57</v>
      </c>
      <c r="CM1" s="30" t="s">
        <v>82</v>
      </c>
      <c r="CN1" s="30" t="s">
        <v>59</v>
      </c>
      <c r="CO1" s="30" t="s">
        <v>57</v>
      </c>
      <c r="CP1" s="30" t="s">
        <v>82</v>
      </c>
      <c r="CQ1" s="30" t="s">
        <v>59</v>
      </c>
      <c r="CR1" s="30" t="s">
        <v>57</v>
      </c>
      <c r="CS1" s="30" t="s">
        <v>82</v>
      </c>
      <c r="CT1" s="30" t="s">
        <v>59</v>
      </c>
      <c r="CU1" s="30" t="s">
        <v>57</v>
      </c>
      <c r="CV1" s="30" t="s">
        <v>82</v>
      </c>
      <c r="CW1" s="30" t="s">
        <v>59</v>
      </c>
      <c r="CX1" s="30" t="s">
        <v>57</v>
      </c>
      <c r="CY1" s="30" t="s">
        <v>82</v>
      </c>
      <c r="CZ1" s="30" t="s">
        <v>59</v>
      </c>
      <c r="DA1" s="30" t="s">
        <v>57</v>
      </c>
      <c r="DB1" s="30" t="s">
        <v>82</v>
      </c>
      <c r="DC1" s="30" t="s">
        <v>59</v>
      </c>
      <c r="DD1" s="30" t="s">
        <v>57</v>
      </c>
      <c r="DE1" s="30" t="s">
        <v>82</v>
      </c>
      <c r="DF1" s="30" t="s">
        <v>59</v>
      </c>
      <c r="DG1" s="30" t="s">
        <v>57</v>
      </c>
      <c r="DH1" s="30" t="s">
        <v>82</v>
      </c>
      <c r="DI1" s="30" t="s">
        <v>59</v>
      </c>
      <c r="DJ1" s="30" t="s">
        <v>57</v>
      </c>
      <c r="DK1" s="30" t="s">
        <v>82</v>
      </c>
      <c r="DL1" s="30" t="s">
        <v>59</v>
      </c>
      <c r="DM1" s="30" t="s">
        <v>57</v>
      </c>
      <c r="DN1" s="30" t="s">
        <v>82</v>
      </c>
      <c r="DO1" s="30" t="s">
        <v>59</v>
      </c>
      <c r="DP1" s="30" t="s">
        <v>57</v>
      </c>
      <c r="DQ1" s="30" t="s">
        <v>82</v>
      </c>
      <c r="DR1" s="39" t="s">
        <v>59</v>
      </c>
      <c r="DW1" s="30" t="s">
        <v>75</v>
      </c>
      <c r="DX1" s="30" t="s">
        <v>83</v>
      </c>
      <c r="DY1" s="30" t="s">
        <v>76</v>
      </c>
      <c r="DZ1" s="30" t="s">
        <v>75</v>
      </c>
      <c r="EA1" s="30" t="s">
        <v>83</v>
      </c>
      <c r="EB1" s="30" t="s">
        <v>76</v>
      </c>
      <c r="EC1" s="30" t="s">
        <v>75</v>
      </c>
      <c r="ED1" s="30" t="s">
        <v>83</v>
      </c>
      <c r="EE1" s="30" t="s">
        <v>76</v>
      </c>
      <c r="EF1" s="30" t="s">
        <v>75</v>
      </c>
      <c r="EG1" s="30" t="s">
        <v>83</v>
      </c>
      <c r="EH1" s="30" t="s">
        <v>76</v>
      </c>
      <c r="EI1" s="30" t="s">
        <v>75</v>
      </c>
      <c r="EJ1" s="30" t="s">
        <v>83</v>
      </c>
      <c r="EK1" s="30" t="s">
        <v>76</v>
      </c>
      <c r="EL1" s="30" t="s">
        <v>75</v>
      </c>
      <c r="EM1" s="30" t="s">
        <v>83</v>
      </c>
      <c r="EN1" s="30" t="s">
        <v>76</v>
      </c>
      <c r="EO1" s="30" t="s">
        <v>75</v>
      </c>
      <c r="EP1" s="30" t="s">
        <v>83</v>
      </c>
      <c r="EQ1" s="30" t="s">
        <v>76</v>
      </c>
      <c r="ER1" s="30" t="s">
        <v>75</v>
      </c>
      <c r="ES1" s="30" t="s">
        <v>83</v>
      </c>
      <c r="ET1" s="30" t="s">
        <v>76</v>
      </c>
      <c r="EU1" s="30" t="s">
        <v>75</v>
      </c>
      <c r="EV1" s="30" t="s">
        <v>83</v>
      </c>
      <c r="EW1" s="30" t="s">
        <v>76</v>
      </c>
      <c r="EX1" s="30" t="s">
        <v>75</v>
      </c>
      <c r="EY1" s="30" t="s">
        <v>83</v>
      </c>
      <c r="EZ1" s="30" t="s">
        <v>76</v>
      </c>
      <c r="FA1" s="30" t="s">
        <v>75</v>
      </c>
      <c r="FB1" s="30" t="s">
        <v>83</v>
      </c>
      <c r="FC1" s="30" t="s">
        <v>76</v>
      </c>
      <c r="FD1" s="30" t="s">
        <v>75</v>
      </c>
      <c r="FE1" s="30" t="s">
        <v>83</v>
      </c>
      <c r="FF1" s="30" t="s">
        <v>76</v>
      </c>
      <c r="FG1" s="30" t="s">
        <v>75</v>
      </c>
      <c r="FH1" s="30" t="s">
        <v>83</v>
      </c>
      <c r="FI1" s="30" t="s">
        <v>76</v>
      </c>
      <c r="FJ1" s="30" t="s">
        <v>75</v>
      </c>
      <c r="FK1" s="30" t="s">
        <v>83</v>
      </c>
      <c r="FL1" s="30" t="s">
        <v>76</v>
      </c>
      <c r="FM1" s="30" t="s">
        <v>75</v>
      </c>
      <c r="FN1" s="30" t="s">
        <v>83</v>
      </c>
      <c r="FO1" s="30" t="s">
        <v>76</v>
      </c>
      <c r="FP1" s="30" t="s">
        <v>75</v>
      </c>
      <c r="FQ1" s="30" t="s">
        <v>83</v>
      </c>
      <c r="FR1" s="30" t="s">
        <v>76</v>
      </c>
      <c r="FS1" s="30" t="s">
        <v>75</v>
      </c>
      <c r="FT1" s="30" t="s">
        <v>83</v>
      </c>
      <c r="FU1" s="30" t="s">
        <v>76</v>
      </c>
      <c r="FV1" s="30" t="s">
        <v>75</v>
      </c>
      <c r="FW1" s="30" t="s">
        <v>83</v>
      </c>
      <c r="FX1" s="30" t="s">
        <v>76</v>
      </c>
      <c r="FY1" s="30" t="s">
        <v>75</v>
      </c>
      <c r="FZ1" s="30" t="s">
        <v>83</v>
      </c>
      <c r="GA1" s="30" t="s">
        <v>76</v>
      </c>
      <c r="GB1" s="30" t="s">
        <v>75</v>
      </c>
      <c r="GC1" s="30" t="s">
        <v>83</v>
      </c>
      <c r="GD1" s="30" t="s">
        <v>76</v>
      </c>
      <c r="GE1" s="30" t="s">
        <v>75</v>
      </c>
      <c r="GF1" s="30" t="s">
        <v>83</v>
      </c>
      <c r="GG1" s="30" t="s">
        <v>76</v>
      </c>
      <c r="GH1" s="30" t="s">
        <v>75</v>
      </c>
      <c r="GI1" s="30" t="s">
        <v>83</v>
      </c>
      <c r="GJ1" s="30" t="s">
        <v>76</v>
      </c>
      <c r="GK1" s="30" t="s">
        <v>75</v>
      </c>
      <c r="GL1" s="30" t="s">
        <v>83</v>
      </c>
      <c r="GM1" s="30" t="s">
        <v>76</v>
      </c>
      <c r="GN1" s="30" t="s">
        <v>75</v>
      </c>
      <c r="GO1" s="30" t="s">
        <v>83</v>
      </c>
      <c r="GP1" s="30" t="s">
        <v>76</v>
      </c>
      <c r="GQ1" s="30" t="s">
        <v>75</v>
      </c>
      <c r="GR1" s="30" t="s">
        <v>83</v>
      </c>
      <c r="GS1" s="30" t="s">
        <v>76</v>
      </c>
      <c r="GT1" s="30" t="s">
        <v>75</v>
      </c>
      <c r="GU1" s="30" t="s">
        <v>83</v>
      </c>
      <c r="GV1" s="30" t="s">
        <v>76</v>
      </c>
      <c r="GW1" s="30" t="s">
        <v>75</v>
      </c>
      <c r="GX1" s="30" t="s">
        <v>83</v>
      </c>
      <c r="GY1" s="30" t="s">
        <v>76</v>
      </c>
      <c r="GZ1" s="30" t="s">
        <v>75</v>
      </c>
      <c r="HA1" s="30" t="s">
        <v>83</v>
      </c>
      <c r="HB1" s="30" t="s">
        <v>76</v>
      </c>
      <c r="HF1" s="95"/>
      <c r="HG1" s="95"/>
      <c r="HH1" s="39" t="s">
        <v>57</v>
      </c>
      <c r="HI1" s="39" t="s">
        <v>57</v>
      </c>
      <c r="HJ1" s="39" t="s">
        <v>57</v>
      </c>
      <c r="HK1" s="39" t="s">
        <v>57</v>
      </c>
      <c r="HL1" s="39" t="s">
        <v>57</v>
      </c>
      <c r="HM1" s="39" t="s">
        <v>57</v>
      </c>
      <c r="HN1" s="39"/>
      <c r="HO1" s="39" t="s">
        <v>82</v>
      </c>
      <c r="HP1" s="39" t="s">
        <v>82</v>
      </c>
      <c r="HQ1" s="39" t="s">
        <v>59</v>
      </c>
      <c r="HR1" s="39" t="s">
        <v>59</v>
      </c>
      <c r="HS1" s="39" t="s">
        <v>59</v>
      </c>
      <c r="HT1" s="39"/>
      <c r="HU1" s="95"/>
      <c r="HV1" s="30" t="s">
        <v>75</v>
      </c>
      <c r="HW1" s="30" t="s">
        <v>75</v>
      </c>
      <c r="HX1" s="30" t="s">
        <v>75</v>
      </c>
      <c r="HY1" s="30" t="s">
        <v>75</v>
      </c>
      <c r="HZ1" s="30" t="s">
        <v>75</v>
      </c>
      <c r="IA1" s="30" t="s">
        <v>75</v>
      </c>
      <c r="IB1" s="39"/>
      <c r="IC1" s="30" t="s">
        <v>83</v>
      </c>
      <c r="ID1" s="30" t="s">
        <v>83</v>
      </c>
      <c r="IE1" s="39" t="s">
        <v>76</v>
      </c>
      <c r="IF1" s="39" t="s">
        <v>76</v>
      </c>
      <c r="IG1" s="39" t="s">
        <v>76</v>
      </c>
      <c r="IH1" s="39"/>
    </row>
    <row r="2" spans="1:242" s="30" customFormat="1" hidden="1" x14ac:dyDescent="0.25">
      <c r="A2" s="27" t="s">
        <v>275</v>
      </c>
      <c r="AI2" s="30">
        <f t="array" ref="AI2">SUM(IF(ISBLANK(AI$12:AI$26),0,IF(AI$12:AI$26="",0,IF(AI$12:AI$26=" ",0,IF(NOT(ISNUMBER(AI$12:AI$26)),1,0)))))</f>
        <v>0</v>
      </c>
      <c r="AL2" s="30">
        <f t="array" ref="AL2">SUM(IF(ISBLANK(AL$12:AL$26),0,IF(AL$12:AL$26="",0,IF(AL$12:AL$26=" ",0,IF(NOT(ISNUMBER(AL$12:AL$26)),1,0)))))</f>
        <v>0</v>
      </c>
      <c r="AO2" s="30">
        <f t="array" ref="AO2">SUM(IF(ISBLANK(AO$12:AO$26),0,IF(AO$12:AO$26="",0,IF(AO$12:AO$26=" ",0,IF(NOT(ISNUMBER(AO$12:AO$26)),1,0)))))</f>
        <v>0</v>
      </c>
      <c r="AR2" s="30">
        <f t="array" ref="AR2">SUM(IF(ISBLANK(AR$12:AR$26),0,IF(AR$12:AR$26="",0,IF(AR$12:AR$26=" ",0,IF(NOT(ISNUMBER(AR$12:AR$26)),1,0)))))</f>
        <v>0</v>
      </c>
      <c r="AU2" s="30">
        <f t="array" ref="AU2">SUM(IF(ISBLANK(AU$12:AU$26),0,IF(AU$12:AU$26="",0,IF(AU$12:AU$26=" ",0,IF(NOT(ISNUMBER(AU$12:AU$26)),1,0)))))</f>
        <v>0</v>
      </c>
      <c r="AX2" s="30">
        <f t="array" ref="AX2">SUM(IF(ISBLANK(AX$12:AX$26),0,IF(AX$12:AX$26="",0,IF(AX$12:AX$26=" ",0,IF(NOT(ISNUMBER(AX$12:AX$26)),1,0)))))</f>
        <v>0</v>
      </c>
      <c r="BA2" s="30">
        <f t="array" ref="BA2">SUM(IF(ISBLANK(BA$12:BA$26),0,IF(BA$12:BA$26="",0,IF(BA$12:BA$26=" ",0,IF(NOT(ISNUMBER(BA$12:BA$26)),1,0)))))</f>
        <v>0</v>
      </c>
      <c r="BD2" s="30">
        <f t="array" ref="BD2">SUM(IF(ISBLANK(BD$12:BD$26),0,IF(BD$12:BD$26="",0,IF(BD$12:BD$26=" ",0,IF(NOT(ISNUMBER(BD$12:BD$26)),1,0)))))</f>
        <v>0</v>
      </c>
      <c r="BG2" s="30">
        <f t="array" ref="BG2">SUM(IF(ISBLANK(BG$12:BG$26),0,IF(BG$12:BG$26="",0,IF(BG$12:BG$26=" ",0,IF(NOT(ISNUMBER(BG$12:BG$26)),1,0)))))</f>
        <v>0</v>
      </c>
      <c r="BJ2" s="30">
        <f t="array" ref="BJ2">SUM(IF(ISBLANK(BJ$12:BJ$26),0,IF(BJ$12:BJ$26="",0,IF(BJ$12:BJ$26=" ",0,IF(NOT(ISNUMBER(BJ$12:BJ$26)),1,0)))))</f>
        <v>0</v>
      </c>
      <c r="BM2" s="30">
        <f t="array" ref="BM2">SUM(IF(ISBLANK(BM$12:BM$26),0,IF(BM$12:BM$26="",0,IF(BM$12:BM$26=" ",0,IF(NOT(ISNUMBER(BM$12:BM$26)),1,0)))))</f>
        <v>0</v>
      </c>
      <c r="BP2" s="30">
        <f t="array" ref="BP2">SUM(IF(ISBLANK(BP$12:BP$26),0,IF(BP$12:BP$26="",0,IF(BP$12:BP$26=" ",0,IF(NOT(ISNUMBER(BP$12:BP$26)),1,0)))))</f>
        <v>0</v>
      </c>
      <c r="BS2" s="30">
        <f t="array" ref="BS2">SUM(IF(ISBLANK(BS$12:BS$26),0,IF(BS$12:BS$26="",0,IF(BS$12:BS$26=" ",0,IF(NOT(ISNUMBER(BS$12:BS$26)),1,0)))))</f>
        <v>0</v>
      </c>
      <c r="BV2" s="30">
        <f t="array" ref="BV2">SUM(IF(ISBLANK(BV$12:BV$26),0,IF(BV$12:BV$26="",0,IF(BV$12:BV$26=" ",0,IF(NOT(ISNUMBER(BV$12:BV$26)),1,0)))))</f>
        <v>0</v>
      </c>
      <c r="BY2" s="30">
        <f t="array" ref="BY2">SUM(IF(ISBLANK(BY$12:BY$26),0,IF(BY$12:BY$26="",0,IF(BY$12:BY$26=" ",0,IF(NOT(ISNUMBER(BY$12:BY$26)),1,0)))))</f>
        <v>0</v>
      </c>
      <c r="CB2" s="30">
        <f t="array" ref="CB2">SUM(IF(ISBLANK(CB$12:CB$26),0,IF(CB$12:CB$26="",0,IF(CB$12:CB$26=" ",0,IF(NOT(ISNUMBER(CB$12:CB$26)),1,0)))))</f>
        <v>0</v>
      </c>
      <c r="CE2" s="30">
        <f t="array" ref="CE2">SUM(IF(ISBLANK(CE$12:CE$26),0,IF(CE$12:CE$26="",0,IF(CE$12:CE$26=" ",0,IF(NOT(ISNUMBER(CE$12:CE$26)),1,0)))))</f>
        <v>0</v>
      </c>
      <c r="CH2" s="30">
        <f t="array" ref="CH2">SUM(IF(ISBLANK(CH$12:CH$26),0,IF(CH$12:CH$26="",0,IF(CH$12:CH$26=" ",0,IF(NOT(ISNUMBER(CH$12:CH$26)),1,0)))))</f>
        <v>0</v>
      </c>
      <c r="CK2" s="30">
        <f t="array" ref="CK2">SUM(IF(ISBLANK(CK$12:CK$26),0,IF(CK$12:CK$26="",0,IF(CK$12:CK$26=" ",0,IF(NOT(ISNUMBER(CK$12:CK$26)),1,0)))))</f>
        <v>0</v>
      </c>
      <c r="CN2" s="30">
        <f t="array" ref="CN2">SUM(IF(ISBLANK(CN$12:CN$26),0,IF(CN$12:CN$26="",0,IF(CN$12:CN$26=" ",0,IF(NOT(ISNUMBER(CN$12:CN$26)),1,0)))))</f>
        <v>0</v>
      </c>
      <c r="CQ2" s="30">
        <f t="array" ref="CQ2">SUM(IF(ISBLANK(CQ$12:CQ$26),0,IF(CQ$12:CQ$26="",0,IF(CQ$12:CQ$26=" ",0,IF(NOT(ISNUMBER(CQ$12:CQ$26)),1,0)))))</f>
        <v>0</v>
      </c>
      <c r="CT2" s="30">
        <f t="array" ref="CT2">SUM(IF(ISBLANK(CT$12:CT$26),0,IF(CT$12:CT$26="",0,IF(CT$12:CT$26=" ",0,IF(NOT(ISNUMBER(CT$12:CT$26)),1,0)))))</f>
        <v>0</v>
      </c>
      <c r="CW2" s="30">
        <f t="array" ref="CW2">SUM(IF(ISBLANK(CW$12:CW$26),0,IF(CW$12:CW$26="",0,IF(CW$12:CW$26=" ",0,IF(NOT(ISNUMBER(CW$12:CW$26)),1,0)))))</f>
        <v>0</v>
      </c>
      <c r="CZ2" s="30">
        <f t="array" ref="CZ2">SUM(IF(ISBLANK(CZ$12:CZ$26),0,IF(CZ$12:CZ$26="",0,IF(CZ$12:CZ$26=" ",0,IF(NOT(ISNUMBER(CZ$12:CZ$26)),1,0)))))</f>
        <v>0</v>
      </c>
      <c r="DC2" s="30">
        <f t="array" ref="DC2">SUM(IF(ISBLANK(DC$12:DC$26),0,IF(DC$12:DC$26="",0,IF(DC$12:DC$26=" ",0,IF(NOT(ISNUMBER(DC$12:DC$26)),1,0)))))</f>
        <v>0</v>
      </c>
      <c r="DF2" s="30">
        <f t="array" ref="DF2">SUM(IF(ISBLANK(DF$12:DF$26),0,IF(DF$12:DF$26="",0,IF(DF$12:DF$26=" ",0,IF(NOT(ISNUMBER(DF$12:DF$26)),1,0)))))</f>
        <v>0</v>
      </c>
      <c r="DI2" s="30">
        <f t="array" ref="DI2">SUM(IF(ISBLANK(DI$12:DI$26),0,IF(DI$12:DI$26="",0,IF(DI$12:DI$26=" ",0,IF(NOT(ISNUMBER(DI$12:DI$26)),1,0)))))</f>
        <v>0</v>
      </c>
      <c r="DL2" s="30">
        <f t="array" ref="DL2">SUM(IF(ISBLANK(DL$12:DL$26),0,IF(DL$12:DL$26="",0,IF(DL$12:DL$26=" ",0,IF(NOT(ISNUMBER(DL$12:DL$26)),1,0)))))</f>
        <v>0</v>
      </c>
      <c r="DO2" s="30">
        <f t="array" ref="DO2">SUM(IF(ISBLANK(DO$12:DO$26),0,IF(DO$12:DO$26="",0,IF(DO$12:DO$26=" ",0,IF(NOT(ISNUMBER(DO$12:DO$26)),1,0)))))</f>
        <v>0</v>
      </c>
      <c r="DR2" s="30">
        <f t="array" ref="DR2">SUM(IF(ISBLANK(DR$12:DR$26),0,IF(DR$12:DR$26="",0,IF(DR$12:DR$26=" ",0,IF(NOT(ISNUMBER(DR$12:DR$26)),1,0)))))</f>
        <v>0</v>
      </c>
      <c r="DY2" s="30">
        <f t="array" ref="DY2">SUM(IF(ISBLANK(DY$12:DY$26),0,IF(DY$12:DY$26="",0,IF(DY$12:DY$26=" ",0,IF(NOT(ISNUMBER(DY$12:DY$26)),1,0)))))</f>
        <v>0</v>
      </c>
      <c r="EB2" s="30">
        <f t="array" ref="EB2">SUM(IF(ISBLANK(EB$12:EB$26),0,IF(EB$12:EB$26="",0,IF(EB$12:EB$26=" ",0,IF(NOT(ISNUMBER(EB$12:EB$26)),1,0)))))</f>
        <v>0</v>
      </c>
      <c r="EE2" s="30">
        <f t="array" ref="EE2">SUM(IF(ISBLANK(EE$12:EE$26),0,IF(EE$12:EE$26="",0,IF(EE$12:EE$26=" ",0,IF(NOT(ISNUMBER(EE$12:EE$26)),1,0)))))</f>
        <v>0</v>
      </c>
      <c r="EH2" s="30">
        <f t="array" ref="EH2">SUM(IF(ISBLANK(EH$12:EH$26),0,IF(EH$12:EH$26="",0,IF(EH$12:EH$26=" ",0,IF(NOT(ISNUMBER(EH$12:EH$26)),1,0)))))</f>
        <v>0</v>
      </c>
      <c r="EK2" s="30">
        <f t="array" ref="EK2">SUM(IF(ISBLANK(EK$12:EK$26),0,IF(EK$12:EK$26="",0,IF(EK$12:EK$26=" ",0,IF(NOT(ISNUMBER(EK$12:EK$26)),1,0)))))</f>
        <v>0</v>
      </c>
      <c r="EN2" s="30">
        <f t="array" ref="EN2">SUM(IF(ISBLANK(EN$12:EN$26),0,IF(EN$12:EN$26="",0,IF(EN$12:EN$26=" ",0,IF(NOT(ISNUMBER(EN$12:EN$26)),1,0)))))</f>
        <v>0</v>
      </c>
      <c r="EQ2" s="30">
        <f t="array" ref="EQ2">SUM(IF(ISBLANK(EQ$12:EQ$26),0,IF(EQ$12:EQ$26="",0,IF(EQ$12:EQ$26=" ",0,IF(NOT(ISNUMBER(EQ$12:EQ$26)),1,0)))))</f>
        <v>0</v>
      </c>
      <c r="ET2" s="30">
        <f t="array" ref="ET2">SUM(IF(ISBLANK(ET$12:ET$26),0,IF(ET$12:ET$26="",0,IF(ET$12:ET$26=" ",0,IF(NOT(ISNUMBER(ET$12:ET$26)),1,0)))))</f>
        <v>0</v>
      </c>
      <c r="EW2" s="30">
        <f t="array" ref="EW2">SUM(IF(ISBLANK(EW$12:EW$26),0,IF(EW$12:EW$26="",0,IF(EW$12:EW$26=" ",0,IF(NOT(ISNUMBER(EW$12:EW$26)),1,0)))))</f>
        <v>0</v>
      </c>
      <c r="EZ2" s="30">
        <f t="array" ref="EZ2">SUM(IF(ISBLANK(EZ$12:EZ$26),0,IF(EZ$12:EZ$26="",0,IF(EZ$12:EZ$26=" ",0,IF(NOT(ISNUMBER(EZ$12:EZ$26)),1,0)))))</f>
        <v>0</v>
      </c>
      <c r="FC2" s="30">
        <f t="array" ref="FC2">SUM(IF(ISBLANK(FC$12:FC$26),0,IF(FC$12:FC$26="",0,IF(FC$12:FC$26=" ",0,IF(NOT(ISNUMBER(FC$12:FC$26)),1,0)))))</f>
        <v>0</v>
      </c>
      <c r="FF2" s="30">
        <f t="array" ref="FF2">SUM(IF(ISBLANK(FF$12:FF$26),0,IF(FF$12:FF$26="",0,IF(FF$12:FF$26=" ",0,IF(NOT(ISNUMBER(FF$12:FF$26)),1,0)))))</f>
        <v>0</v>
      </c>
      <c r="FI2" s="30">
        <f t="array" ref="FI2">SUM(IF(ISBLANK(FI$12:FI$26),0,IF(FI$12:FI$26="",0,IF(FI$12:FI$26=" ",0,IF(NOT(ISNUMBER(FI$12:FI$26)),1,0)))))</f>
        <v>0</v>
      </c>
      <c r="FL2" s="30">
        <f t="array" ref="FL2">SUM(IF(ISBLANK(FL$12:FL$26),0,IF(FL$12:FL$26="",0,IF(FL$12:FL$26=" ",0,IF(NOT(ISNUMBER(FL$12:FL$26)),1,0)))))</f>
        <v>0</v>
      </c>
      <c r="FO2" s="30">
        <f t="array" ref="FO2">SUM(IF(ISBLANK(FO$12:FO$26),0,IF(FO$12:FO$26="",0,IF(FO$12:FO$26=" ",0,IF(NOT(ISNUMBER(FO$12:FO$26)),1,0)))))</f>
        <v>0</v>
      </c>
      <c r="FR2" s="30">
        <f t="array" ref="FR2">SUM(IF(ISBLANK(FR$12:FR$26),0,IF(FR$12:FR$26="",0,IF(FR$12:FR$26=" ",0,IF(NOT(ISNUMBER(FR$12:FR$26)),1,0)))))</f>
        <v>0</v>
      </c>
      <c r="FU2" s="30">
        <f t="array" ref="FU2">SUM(IF(ISBLANK(FU$12:FU$26),0,IF(FU$12:FU$26="",0,IF(FU$12:FU$26=" ",0,IF(NOT(ISNUMBER(FU$12:FU$26)),1,0)))))</f>
        <v>0</v>
      </c>
      <c r="FX2" s="30">
        <f t="array" ref="FX2">SUM(IF(ISBLANK(FX$12:FX$26),0,IF(FX$12:FX$26="",0,IF(FX$12:FX$26=" ",0,IF(NOT(ISNUMBER(FX$12:FX$26)),1,0)))))</f>
        <v>0</v>
      </c>
      <c r="GA2" s="30">
        <f t="array" ref="GA2">SUM(IF(ISBLANK(GA$12:GA$26),0,IF(GA$12:GA$26="",0,IF(GA$12:GA$26=" ",0,IF(NOT(ISNUMBER(GA$12:GA$26)),1,0)))))</f>
        <v>0</v>
      </c>
      <c r="GD2" s="30">
        <f t="array" ref="GD2">SUM(IF(ISBLANK(GD$12:GD$26),0,IF(GD$12:GD$26="",0,IF(GD$12:GD$26=" ",0,IF(NOT(ISNUMBER(GD$12:GD$26)),1,0)))))</f>
        <v>0</v>
      </c>
      <c r="GG2" s="30">
        <f t="array" ref="GG2">SUM(IF(ISBLANK(GG$12:GG$26),0,IF(GG$12:GG$26="",0,IF(GG$12:GG$26=" ",0,IF(NOT(ISNUMBER(GG$12:GG$26)),1,0)))))</f>
        <v>0</v>
      </c>
      <c r="GJ2" s="30">
        <f t="array" ref="GJ2">SUM(IF(ISBLANK(GJ$12:GJ$26),0,IF(GJ$12:GJ$26="",0,IF(GJ$12:GJ$26=" ",0,IF(NOT(ISNUMBER(GJ$12:GJ$26)),1,0)))))</f>
        <v>0</v>
      </c>
      <c r="GM2" s="30">
        <f t="array" ref="GM2">SUM(IF(ISBLANK(GM$12:GM$26),0,IF(GM$12:GM$26="",0,IF(GM$12:GM$26=" ",0,IF(NOT(ISNUMBER(GM$12:GM$26)),1,0)))))</f>
        <v>0</v>
      </c>
      <c r="GP2" s="30">
        <f t="array" ref="GP2">SUM(IF(ISBLANK(GP$12:GP$26),0,IF(GP$12:GP$26="",0,IF(GP$12:GP$26=" ",0,IF(NOT(ISNUMBER(GP$12:GP$26)),1,0)))))</f>
        <v>0</v>
      </c>
      <c r="GS2" s="30">
        <f t="array" ref="GS2">SUM(IF(ISBLANK(GS$12:GS$26),0,IF(GS$12:GS$26="",0,IF(GS$12:GS$26=" ",0,IF(NOT(ISNUMBER(GS$12:GS$26)),1,0)))))</f>
        <v>0</v>
      </c>
      <c r="GV2" s="30">
        <f t="array" ref="GV2">SUM(IF(ISBLANK(GV$12:GV$26),0,IF(GV$12:GV$26="",0,IF(GV$12:GV$26=" ",0,IF(NOT(ISNUMBER(GV$12:GV$26)),1,0)))))</f>
        <v>0</v>
      </c>
      <c r="GY2" s="30">
        <f t="array" ref="GY2">SUM(IF(ISBLANK(GY$12:GY$26),0,IF(GY$12:GY$26="",0,IF(GY$12:GY$26=" ",0,IF(NOT(ISNUMBER(GY$12:GY$26)),1,0)))))</f>
        <v>0</v>
      </c>
      <c r="HB2" s="30">
        <f t="array" ref="HB2">SUM(IF(ISBLANK(HB$12:HB$26),0,IF(HB$12:HB$26="",0,IF(HB$12:HB$26=" ",0,IF(NOT(ISNUMBER(HB$12:HB$26)),1,0)))))</f>
        <v>0</v>
      </c>
      <c r="HF2" s="95"/>
      <c r="HG2" s="256" t="s">
        <v>291</v>
      </c>
      <c r="HH2" s="39"/>
      <c r="HI2" s="39"/>
      <c r="HJ2" s="39"/>
      <c r="HK2" s="39"/>
      <c r="HL2" s="39"/>
      <c r="HM2" s="39"/>
      <c r="HN2" s="39"/>
      <c r="HQ2" s="39"/>
      <c r="HR2" s="39"/>
      <c r="HS2" s="39"/>
      <c r="HT2" s="39"/>
      <c r="HU2" s="256" t="s">
        <v>84</v>
      </c>
      <c r="HV2" s="39"/>
      <c r="HW2" s="39"/>
      <c r="HX2" s="39"/>
      <c r="HY2" s="39"/>
      <c r="HZ2" s="39"/>
      <c r="IA2" s="39"/>
      <c r="IB2" s="39"/>
      <c r="IE2" s="39"/>
      <c r="IF2" s="39"/>
      <c r="IG2" s="39"/>
      <c r="IH2" s="39"/>
    </row>
    <row r="3" spans="1:242" s="30" customFormat="1" ht="17.25" hidden="1" customHeight="1" x14ac:dyDescent="0.25">
      <c r="A3" s="27" t="s">
        <v>275</v>
      </c>
      <c r="AI3" s="30">
        <f t="array" ref="AI3">SUM(IF(NOT(ISBLANK(AI$12:AI$26)),IF(ISNUMBER(AI$12:AI$26),AI$12:AI$26,0),0))</f>
        <v>0</v>
      </c>
      <c r="AL3" s="30">
        <f t="array" ref="AL3">SUM(IF(NOT(ISBLANK(AL$12:AL$26)),IF(ISNUMBER(AL$12:AL$26),AL$12:AL$26,0),0))</f>
        <v>0</v>
      </c>
      <c r="AO3" s="30">
        <f t="array" ref="AO3">SUM(IF(NOT(ISBLANK(AO$12:AO$26)),IF(ISNUMBER(AO$12:AO$26),AO$12:AO$26,0),0))</f>
        <v>0</v>
      </c>
      <c r="AR3" s="30">
        <f t="array" ref="AR3">SUM(IF(NOT(ISBLANK(AR$12:AR$26)),IF(ISNUMBER(AR$12:AR$26),AR$12:AR$26,0),0))</f>
        <v>0</v>
      </c>
      <c r="AU3" s="30">
        <f t="array" ref="AU3">SUM(IF(NOT(ISBLANK(AU$12:AU$26)),IF(ISNUMBER(AU$12:AU$26),AU$12:AU$26,0),0))</f>
        <v>0</v>
      </c>
      <c r="AX3" s="30">
        <f t="array" ref="AX3">SUM(IF(NOT(ISBLANK(AX$12:AX$26)),IF(ISNUMBER(AX$12:AX$26),AX$12:AX$26,0),0))</f>
        <v>0</v>
      </c>
      <c r="BA3" s="30">
        <f t="array" ref="BA3">SUM(IF(NOT(ISBLANK(BA$12:BA$26)),IF(ISNUMBER(BA$12:BA$26),BA$12:BA$26,0),0))</f>
        <v>0</v>
      </c>
      <c r="BD3" s="30">
        <f t="array" ref="BD3">SUM(IF(NOT(ISBLANK(BD$12:BD$26)),IF(ISNUMBER(BD$12:BD$26),BD$12:BD$26,0),0))</f>
        <v>0</v>
      </c>
      <c r="BG3" s="30">
        <f t="array" ref="BG3">SUM(IF(NOT(ISBLANK(BG$12:BG$26)),IF(ISNUMBER(BG$12:BG$26),BG$12:BG$26,0),0))</f>
        <v>0</v>
      </c>
      <c r="BJ3" s="30">
        <f t="array" ref="BJ3">SUM(IF(NOT(ISBLANK(BJ$12:BJ$26)),IF(ISNUMBER(BJ$12:BJ$26),BJ$12:BJ$26,0),0))</f>
        <v>0</v>
      </c>
      <c r="BM3" s="30">
        <f t="array" ref="BM3">SUM(IF(NOT(ISBLANK(BM$12:BM$26)),IF(ISNUMBER(BM$12:BM$26),BM$12:BM$26,0),0))</f>
        <v>0</v>
      </c>
      <c r="BP3" s="30">
        <f t="array" ref="BP3">SUM(IF(NOT(ISBLANK(BP$12:BP$26)),IF(ISNUMBER(BP$12:BP$26),BP$12:BP$26,0),0))</f>
        <v>0</v>
      </c>
      <c r="BS3" s="30">
        <f t="array" ref="BS3">SUM(IF(NOT(ISBLANK(BS$12:BS$26)),IF(ISNUMBER(BS$12:BS$26),BS$12:BS$26,0),0))</f>
        <v>0</v>
      </c>
      <c r="BV3" s="30">
        <f t="array" ref="BV3">SUM(IF(NOT(ISBLANK(BV$12:BV$26)),IF(ISNUMBER(BV$12:BV$26),BV$12:BV$26,0),0))</f>
        <v>0</v>
      </c>
      <c r="BY3" s="30">
        <f t="array" ref="BY3">SUM(IF(NOT(ISBLANK(BY$12:BY$26)),IF(ISNUMBER(BY$12:BY$26),BY$12:BY$26,0),0))</f>
        <v>0</v>
      </c>
      <c r="CB3" s="30">
        <f t="array" ref="CB3">SUM(IF(NOT(ISBLANK(CB$12:CB$26)),IF(ISNUMBER(CB$12:CB$26),CB$12:CB$26,0),0))</f>
        <v>0</v>
      </c>
      <c r="CE3" s="30">
        <f t="array" ref="CE3">SUM(IF(NOT(ISBLANK(CE$12:CE$26)),IF(ISNUMBER(CE$12:CE$26),CE$12:CE$26,0),0))</f>
        <v>0</v>
      </c>
      <c r="CH3" s="30">
        <f t="array" ref="CH3">SUM(IF(NOT(ISBLANK(CH$12:CH$26)),IF(ISNUMBER(CH$12:CH$26),CH$12:CH$26,0),0))</f>
        <v>0</v>
      </c>
      <c r="CK3" s="30">
        <f t="array" ref="CK3">SUM(IF(NOT(ISBLANK(CK$12:CK$26)),IF(ISNUMBER(CK$12:CK$26),CK$12:CK$26,0),0))</f>
        <v>0</v>
      </c>
      <c r="CN3" s="30">
        <f t="array" ref="CN3">SUM(IF(NOT(ISBLANK(CN$12:CN$26)),IF(ISNUMBER(CN$12:CN$26),CN$12:CN$26,0),0))</f>
        <v>0</v>
      </c>
      <c r="CQ3" s="30">
        <f t="array" ref="CQ3">SUM(IF(NOT(ISBLANK(CQ$12:CQ$26)),IF(ISNUMBER(CQ$12:CQ$26),CQ$12:CQ$26,0),0))</f>
        <v>0</v>
      </c>
      <c r="CT3" s="30">
        <f t="array" ref="CT3">SUM(IF(NOT(ISBLANK(CT$12:CT$26)),IF(ISNUMBER(CT$12:CT$26),CT$12:CT$26,0),0))</f>
        <v>0</v>
      </c>
      <c r="CW3" s="30">
        <f t="array" ref="CW3">SUM(IF(NOT(ISBLANK(CW$12:CW$26)),IF(ISNUMBER(CW$12:CW$26),CW$12:CW$26,0),0))</f>
        <v>0</v>
      </c>
      <c r="CZ3" s="30">
        <f t="array" ref="CZ3">SUM(IF(NOT(ISBLANK(CZ$12:CZ$26)),IF(ISNUMBER(CZ$12:CZ$26),CZ$12:CZ$26,0),0))</f>
        <v>0</v>
      </c>
      <c r="DC3" s="30">
        <f t="array" ref="DC3">SUM(IF(NOT(ISBLANK(DC$12:DC$26)),IF(ISNUMBER(DC$12:DC$26),DC$12:DC$26,0),0))</f>
        <v>0</v>
      </c>
      <c r="DF3" s="30">
        <f t="array" ref="DF3">SUM(IF(NOT(ISBLANK(DF$12:DF$26)),IF(ISNUMBER(DF$12:DF$26),DF$12:DF$26,0),0))</f>
        <v>0</v>
      </c>
      <c r="DI3" s="30">
        <f t="array" ref="DI3">SUM(IF(NOT(ISBLANK(DI$12:DI$26)),IF(ISNUMBER(DI$12:DI$26),DI$12:DI$26,0),0))</f>
        <v>0</v>
      </c>
      <c r="DL3" s="30">
        <f t="array" ref="DL3">SUM(IF(NOT(ISBLANK(DL$12:DL$26)),IF(ISNUMBER(DL$12:DL$26),DL$12:DL$26,0),0))</f>
        <v>0</v>
      </c>
      <c r="DO3" s="30">
        <f t="array" ref="DO3">SUM(IF(NOT(ISBLANK(DO$12:DO$26)),IF(ISNUMBER(DO$12:DO$26),DO$12:DO$26,0),0))</f>
        <v>0</v>
      </c>
      <c r="DR3" s="30">
        <f t="array" ref="DR3">SUM(IF(NOT(ISBLANK(DR$12:DR$26)),IF(ISNUMBER(DR$12:DR$26),DR$12:DR$26,0),0))</f>
        <v>0</v>
      </c>
      <c r="DY3" s="30">
        <f t="array" ref="DY3">SUM(IF(NOT(ISBLANK(DY$12:DY$26)),IF(ISNUMBER(DY$12:DY$26),DY$12:DY$26,0),0))</f>
        <v>4</v>
      </c>
      <c r="EB3" s="30">
        <f t="array" ref="EB3">SUM(IF(NOT(ISBLANK(EB$12:EB$26)),IF(ISNUMBER(EB$12:EB$26),EB$12:EB$26,0),0))</f>
        <v>2</v>
      </c>
      <c r="EE3" s="30">
        <f t="array" ref="EE3">SUM(IF(NOT(ISBLANK(EE$12:EE$26)),IF(ISNUMBER(EE$12:EE$26),EE$12:EE$26,0),0))</f>
        <v>3</v>
      </c>
      <c r="EH3" s="30">
        <f t="array" ref="EH3">SUM(IF(NOT(ISBLANK(EH$12:EH$26)),IF(ISNUMBER(EH$12:EH$26),EH$12:EH$26,0),0))</f>
        <v>3</v>
      </c>
      <c r="EK3" s="30">
        <f t="array" ref="EK3">SUM(IF(NOT(ISBLANK(EK$12:EK$26)),IF(ISNUMBER(EK$12:EK$26),EK$12:EK$26,0),0))</f>
        <v>8</v>
      </c>
      <c r="EN3" s="30">
        <f t="array" ref="EN3">SUM(IF(NOT(ISBLANK(EN$12:EN$26)),IF(ISNUMBER(EN$12:EN$26),EN$12:EN$26,0),0))</f>
        <v>0</v>
      </c>
      <c r="EQ3" s="30">
        <f t="array" ref="EQ3">SUM(IF(NOT(ISBLANK(EQ$12:EQ$26)),IF(ISNUMBER(EQ$12:EQ$26),EQ$12:EQ$26,0),0))</f>
        <v>0</v>
      </c>
      <c r="ET3" s="30">
        <f t="array" ref="ET3">SUM(IF(NOT(ISBLANK(ET$12:ET$26)),IF(ISNUMBER(ET$12:ET$26),ET$12:ET$26,0),0))</f>
        <v>0</v>
      </c>
      <c r="EW3" s="30">
        <f t="array" ref="EW3">SUM(IF(NOT(ISBLANK(EW$12:EW$26)),IF(ISNUMBER(EW$12:EW$26),EW$12:EW$26,0),0))</f>
        <v>0</v>
      </c>
      <c r="EZ3" s="30">
        <f t="array" ref="EZ3">SUM(IF(NOT(ISBLANK(EZ$12:EZ$26)),IF(ISNUMBER(EZ$12:EZ$26),EZ$12:EZ$26,0),0))</f>
        <v>0</v>
      </c>
      <c r="FC3" s="30">
        <f t="array" ref="FC3">SUM(IF(NOT(ISBLANK(FC$12:FC$26)),IF(ISNUMBER(FC$12:FC$26),FC$12:FC$26,0),0))</f>
        <v>0</v>
      </c>
      <c r="FF3" s="30">
        <f t="array" ref="FF3">SUM(IF(NOT(ISBLANK(FF$12:FF$26)),IF(ISNUMBER(FF$12:FF$26),FF$12:FF$26,0),0))</f>
        <v>0</v>
      </c>
      <c r="FI3" s="30">
        <f t="array" ref="FI3">SUM(IF(NOT(ISBLANK(FI$12:FI$26)),IF(ISNUMBER(FI$12:FI$26),FI$12:FI$26,0),0))</f>
        <v>0</v>
      </c>
      <c r="FL3" s="30">
        <f t="array" ref="FL3">SUM(IF(NOT(ISBLANK(FL$12:FL$26)),IF(ISNUMBER(FL$12:FL$26),FL$12:FL$26,0),0))</f>
        <v>0</v>
      </c>
      <c r="FO3" s="30">
        <f t="array" ref="FO3">SUM(IF(NOT(ISBLANK(FO$12:FO$26)),IF(ISNUMBER(FO$12:FO$26),FO$12:FO$26,0),0))</f>
        <v>0</v>
      </c>
      <c r="FR3" s="30">
        <f t="array" ref="FR3">SUM(IF(NOT(ISBLANK(FR$12:FR$26)),IF(ISNUMBER(FR$12:FR$26),FR$12:FR$26,0),0))</f>
        <v>0</v>
      </c>
      <c r="FU3" s="30">
        <f t="array" ref="FU3">SUM(IF(NOT(ISBLANK(FU$12:FU$26)),IF(ISNUMBER(FU$12:FU$26),FU$12:FU$26,0),0))</f>
        <v>0</v>
      </c>
      <c r="FX3" s="30">
        <f t="array" ref="FX3">SUM(IF(NOT(ISBLANK(FX$12:FX$26)),IF(ISNUMBER(FX$12:FX$26),FX$12:FX$26,0),0))</f>
        <v>0</v>
      </c>
      <c r="GA3" s="30">
        <f t="array" ref="GA3">SUM(IF(NOT(ISBLANK(GA$12:GA$26)),IF(ISNUMBER(GA$12:GA$26),GA$12:GA$26,0),0))</f>
        <v>0</v>
      </c>
      <c r="GD3" s="30">
        <f t="array" ref="GD3">SUM(IF(NOT(ISBLANK(GD$12:GD$26)),IF(ISNUMBER(GD$12:GD$26),GD$12:GD$26,0),0))</f>
        <v>0</v>
      </c>
      <c r="GG3" s="30">
        <f t="array" ref="GG3">SUM(IF(NOT(ISBLANK(GG$12:GG$26)),IF(ISNUMBER(GG$12:GG$26),GG$12:GG$26,0),0))</f>
        <v>0</v>
      </c>
      <c r="GJ3" s="30">
        <f t="array" ref="GJ3">SUM(IF(NOT(ISBLANK(GJ$12:GJ$26)),IF(ISNUMBER(GJ$12:GJ$26),GJ$12:GJ$26,0),0))</f>
        <v>0</v>
      </c>
      <c r="GM3" s="30">
        <f t="array" ref="GM3">SUM(IF(NOT(ISBLANK(GM$12:GM$26)),IF(ISNUMBER(GM$12:GM$26),GM$12:GM$26,0),0))</f>
        <v>0</v>
      </c>
      <c r="GP3" s="30">
        <f t="array" ref="GP3">SUM(IF(NOT(ISBLANK(GP$12:GP$26)),IF(ISNUMBER(GP$12:GP$26),GP$12:GP$26,0),0))</f>
        <v>0</v>
      </c>
      <c r="GS3" s="30">
        <f t="array" ref="GS3">SUM(IF(NOT(ISBLANK(GS$12:GS$26)),IF(ISNUMBER(GS$12:GS$26),GS$12:GS$26,0),0))</f>
        <v>0</v>
      </c>
      <c r="GV3" s="30">
        <f t="array" ref="GV3">SUM(IF(NOT(ISBLANK(GV$12:GV$26)),IF(ISNUMBER(GV$12:GV$26),GV$12:GV$26,0),0))</f>
        <v>0</v>
      </c>
      <c r="GY3" s="30">
        <f t="array" ref="GY3">SUM(IF(NOT(ISBLANK(GY$12:GY$26)),IF(ISNUMBER(GY$12:GY$26),GY$12:GY$26,0),0))</f>
        <v>0</v>
      </c>
      <c r="HB3" s="30">
        <f t="array" ref="HB3">SUM(IF(NOT(ISBLANK(HB$12:HB$26)),IF(ISNUMBER(HB$12:HB$26),HB$12:HB$26,0),0))</f>
        <v>0</v>
      </c>
      <c r="HF3" s="95"/>
      <c r="HG3" s="95"/>
      <c r="HH3" s="39">
        <f t="shared" ref="HH3:HM3" si="0">SUM(HH12:HH26)</f>
        <v>0</v>
      </c>
      <c r="HI3" s="39">
        <f t="shared" si="0"/>
        <v>0</v>
      </c>
      <c r="HJ3" s="39">
        <f t="shared" si="0"/>
        <v>0</v>
      </c>
      <c r="HK3" s="39">
        <f t="shared" si="0"/>
        <v>0</v>
      </c>
      <c r="HL3" s="39">
        <f t="shared" si="0"/>
        <v>0</v>
      </c>
      <c r="HM3" s="39">
        <f t="shared" si="0"/>
        <v>0</v>
      </c>
      <c r="HN3" s="39"/>
      <c r="HO3" s="39">
        <f>SUM(HO12:HO26)</f>
        <v>0</v>
      </c>
      <c r="HP3" s="39">
        <f>SUM(HP12:HP26)</f>
        <v>0</v>
      </c>
      <c r="HQ3" s="39">
        <f>SUM(HQ12:HQ26)</f>
        <v>0</v>
      </c>
      <c r="HR3" s="39">
        <f>SUM(HR12:HR26)</f>
        <v>0</v>
      </c>
      <c r="HS3" s="39">
        <f>SUM(HS12:HS26)</f>
        <v>0</v>
      </c>
      <c r="HT3" s="39"/>
      <c r="HU3" s="95"/>
      <c r="HV3" s="39">
        <f t="shared" ref="HV3:IA3" si="1">SUM(HV12:HV26)</f>
        <v>0</v>
      </c>
      <c r="HW3" s="39">
        <f t="shared" si="1"/>
        <v>0</v>
      </c>
      <c r="HX3" s="39">
        <f t="shared" si="1"/>
        <v>4</v>
      </c>
      <c r="HY3" s="39">
        <f t="shared" si="1"/>
        <v>0</v>
      </c>
      <c r="HZ3" s="39">
        <f t="shared" si="1"/>
        <v>1</v>
      </c>
      <c r="IA3" s="39">
        <f t="shared" si="1"/>
        <v>4</v>
      </c>
      <c r="IB3" s="39"/>
      <c r="IC3" s="39">
        <f>SUM(IC12:IC26)</f>
        <v>9</v>
      </c>
      <c r="ID3" s="39">
        <f>SUM(ID12:ID26)</f>
        <v>0</v>
      </c>
      <c r="IE3" s="39">
        <f>SUM(IE12:IE26)</f>
        <v>9</v>
      </c>
      <c r="IF3" s="39">
        <f>SUM(IF12:IF26)</f>
        <v>20</v>
      </c>
      <c r="IG3" s="39">
        <f>SUM(IG12:IG26)</f>
        <v>20</v>
      </c>
      <c r="IH3" s="39"/>
    </row>
    <row r="4" spans="1:242" x14ac:dyDescent="0.25">
      <c r="B4" s="2" t="s">
        <v>16</v>
      </c>
      <c r="R4" s="22" t="str">
        <f>'Cursusinfo (leerplanschema)'!V1</f>
        <v>v.23p-n</v>
      </c>
      <c r="T4" s="2" t="str">
        <f>M6</f>
        <v>Theorietoets</v>
      </c>
      <c r="AD4" s="2"/>
      <c r="AE4" s="2"/>
      <c r="AG4" s="2" t="str">
        <f>M6</f>
        <v>Theorietoets</v>
      </c>
      <c r="AH4" s="2"/>
      <c r="AJ4" s="2"/>
      <c r="AK4" s="2"/>
      <c r="AM4" s="2"/>
      <c r="AN4" s="2"/>
      <c r="AP4" s="2"/>
      <c r="AQ4" s="2"/>
      <c r="AS4" s="2"/>
      <c r="AT4" s="2"/>
      <c r="AV4" s="2"/>
      <c r="AW4" s="2"/>
      <c r="AY4" s="2"/>
      <c r="AZ4" s="2"/>
      <c r="BB4" s="2"/>
      <c r="BC4" s="2"/>
      <c r="BE4" s="2"/>
      <c r="BF4" s="2"/>
      <c r="BH4" s="2"/>
      <c r="BI4" s="2"/>
      <c r="BK4" s="2"/>
      <c r="BL4" s="2"/>
      <c r="BN4" s="2"/>
      <c r="BO4" s="2"/>
      <c r="BQ4" s="2"/>
      <c r="BR4" s="2"/>
      <c r="BT4" s="2"/>
      <c r="BU4" s="2"/>
      <c r="BW4" s="2"/>
      <c r="BX4" s="2"/>
      <c r="BZ4" s="2"/>
      <c r="CA4" s="2"/>
      <c r="CC4" s="2"/>
      <c r="CD4" s="2"/>
      <c r="CF4" s="2"/>
      <c r="CG4" s="2"/>
      <c r="CI4" s="2"/>
      <c r="CJ4" s="2"/>
      <c r="CL4" s="2"/>
      <c r="CM4" s="2"/>
      <c r="CO4" s="2"/>
      <c r="CP4" s="2"/>
      <c r="CR4" s="2"/>
      <c r="CS4" s="2"/>
      <c r="CU4" s="2"/>
      <c r="CV4" s="2"/>
      <c r="CX4" s="2"/>
      <c r="CY4" s="2"/>
      <c r="DA4" s="2"/>
      <c r="DB4" s="2"/>
      <c r="DD4" s="2"/>
      <c r="DE4" s="2"/>
      <c r="DG4" s="2"/>
      <c r="DH4" s="2"/>
      <c r="DJ4" s="2"/>
      <c r="DK4" s="2"/>
      <c r="DM4" s="2"/>
      <c r="DN4" s="2"/>
      <c r="DP4" s="2"/>
      <c r="DQ4" s="2"/>
      <c r="DW4" s="2" t="str">
        <f>P6</f>
        <v>Praktijktoets</v>
      </c>
      <c r="DX4" s="2"/>
      <c r="DZ4" s="2"/>
      <c r="EA4" s="2"/>
      <c r="EC4" s="2"/>
      <c r="ED4" s="2"/>
      <c r="EF4" s="2"/>
      <c r="EG4" s="2"/>
      <c r="EI4" s="2"/>
      <c r="EJ4" s="2"/>
      <c r="EL4" s="2"/>
      <c r="EM4" s="2"/>
      <c r="EO4" s="2"/>
      <c r="EP4" s="2"/>
      <c r="ER4" s="2"/>
      <c r="ES4" s="2"/>
      <c r="EU4" s="2"/>
      <c r="EV4" s="2"/>
      <c r="EX4" s="2"/>
      <c r="EY4" s="2"/>
      <c r="FA4" s="2"/>
      <c r="FB4" s="2"/>
      <c r="FD4" s="2"/>
      <c r="FE4" s="2"/>
      <c r="FG4" s="2"/>
      <c r="FH4" s="2"/>
      <c r="FJ4" s="2"/>
      <c r="FK4" s="2"/>
      <c r="FM4" s="2"/>
      <c r="FN4" s="2"/>
      <c r="FP4" s="2"/>
      <c r="FQ4" s="2"/>
      <c r="FS4" s="2"/>
      <c r="FT4" s="2"/>
      <c r="FV4" s="2"/>
      <c r="FW4" s="2"/>
      <c r="FY4" s="2"/>
      <c r="FZ4" s="2"/>
      <c r="GB4" s="2"/>
      <c r="GC4" s="2"/>
      <c r="GE4" s="2"/>
      <c r="GF4" s="2"/>
      <c r="GH4" s="2"/>
      <c r="GI4" s="2"/>
      <c r="GK4" s="2"/>
      <c r="GL4" s="2"/>
      <c r="GN4" s="2"/>
      <c r="GO4" s="2"/>
      <c r="GQ4" s="2"/>
      <c r="GR4" s="2"/>
      <c r="GT4" s="2"/>
      <c r="GU4" s="2"/>
      <c r="GW4" s="2"/>
      <c r="GX4" s="2"/>
      <c r="GZ4" s="2"/>
      <c r="HA4" s="2"/>
      <c r="HV4" s="30"/>
      <c r="HW4" s="30"/>
      <c r="HX4" s="30"/>
      <c r="HY4" s="30"/>
      <c r="HZ4" s="30"/>
      <c r="IA4" s="30"/>
      <c r="IB4" s="30"/>
      <c r="IC4" s="30"/>
      <c r="ID4" s="30"/>
      <c r="IE4" s="30"/>
      <c r="IF4" s="30"/>
      <c r="IG4" s="30"/>
      <c r="IH4" s="30"/>
    </row>
    <row r="5" spans="1:242" ht="13.8" thickBot="1" x14ac:dyDescent="0.3">
      <c r="S5" s="7"/>
      <c r="T5" s="2" t="s">
        <v>29</v>
      </c>
      <c r="AD5" s="2"/>
      <c r="AG5" s="2" t="s">
        <v>30</v>
      </c>
      <c r="AH5" s="2"/>
      <c r="AJ5" s="2"/>
      <c r="AK5" s="2"/>
      <c r="AM5" s="2"/>
      <c r="AN5" s="2"/>
      <c r="AP5" s="2"/>
      <c r="AQ5" s="2"/>
      <c r="AS5" s="2"/>
      <c r="AT5" s="2"/>
      <c r="AV5" s="2"/>
      <c r="AW5" s="2"/>
      <c r="AY5" s="2"/>
      <c r="AZ5" s="2"/>
      <c r="BB5" s="2"/>
      <c r="BC5" s="2"/>
      <c r="BE5" s="2"/>
      <c r="BF5" s="2"/>
      <c r="BH5" s="2"/>
      <c r="BI5" s="2"/>
      <c r="BK5" s="2"/>
      <c r="BL5" s="2"/>
      <c r="BN5" s="2"/>
      <c r="BO5" s="2"/>
      <c r="BQ5" s="2"/>
      <c r="BR5" s="2"/>
      <c r="BT5" s="2"/>
      <c r="BU5" s="2"/>
      <c r="BW5" s="2"/>
      <c r="BX5" s="2"/>
      <c r="BZ5" s="2"/>
      <c r="CA5" s="2"/>
      <c r="CC5" s="2"/>
      <c r="CD5" s="2"/>
      <c r="CF5" s="2"/>
      <c r="CG5" s="2"/>
      <c r="CI5" s="2"/>
      <c r="CJ5" s="2"/>
      <c r="CL5" s="2"/>
      <c r="CM5" s="2"/>
      <c r="CO5" s="2"/>
      <c r="CP5" s="2"/>
      <c r="CR5" s="2"/>
      <c r="CS5" s="2"/>
      <c r="CU5" s="2"/>
      <c r="CV5" s="2"/>
      <c r="CX5" s="2"/>
      <c r="CY5" s="2"/>
      <c r="DA5" s="2"/>
      <c r="DB5" s="2"/>
      <c r="DD5" s="2"/>
      <c r="DE5" s="2"/>
      <c r="DG5" s="2"/>
      <c r="DH5" s="2"/>
      <c r="DJ5" s="2"/>
      <c r="DK5" s="2"/>
      <c r="DM5" s="2"/>
      <c r="DN5" s="2"/>
      <c r="DP5" s="2"/>
      <c r="DQ5" s="2"/>
      <c r="DW5" s="2"/>
      <c r="DX5" s="2"/>
      <c r="DZ5" s="2"/>
      <c r="EA5" s="2"/>
      <c r="EC5" s="2"/>
      <c r="ED5" s="2"/>
      <c r="EF5" s="2"/>
      <c r="EG5" s="2"/>
      <c r="EI5" s="2"/>
      <c r="EJ5" s="2"/>
      <c r="EL5" s="2"/>
      <c r="EM5" s="2"/>
      <c r="EO5" s="2"/>
      <c r="EP5" s="2"/>
      <c r="ER5" s="2"/>
      <c r="ES5" s="2"/>
      <c r="EU5" s="2"/>
      <c r="EV5" s="2"/>
      <c r="EX5" s="2"/>
      <c r="EY5" s="2"/>
      <c r="FA5" s="2"/>
      <c r="FB5" s="2"/>
      <c r="FD5" s="2"/>
      <c r="FE5" s="2"/>
      <c r="FG5" s="2"/>
      <c r="FH5" s="2"/>
      <c r="FJ5" s="2"/>
      <c r="FK5" s="2"/>
      <c r="FM5" s="2"/>
      <c r="FN5" s="2"/>
      <c r="FP5" s="2"/>
      <c r="FQ5" s="2"/>
      <c r="FS5" s="2"/>
      <c r="FT5" s="2"/>
      <c r="FV5" s="2"/>
      <c r="FW5" s="2"/>
      <c r="FY5" s="2"/>
      <c r="FZ5" s="2"/>
      <c r="GB5" s="2"/>
      <c r="GC5" s="2"/>
      <c r="GE5" s="2"/>
      <c r="GF5" s="2"/>
      <c r="GH5" s="2"/>
      <c r="GI5" s="2"/>
      <c r="GK5" s="2"/>
      <c r="GL5" s="2"/>
      <c r="GN5" s="2"/>
      <c r="GO5" s="2"/>
      <c r="GQ5" s="2"/>
      <c r="GR5" s="2"/>
      <c r="GT5" s="2"/>
      <c r="GU5" s="2"/>
      <c r="GW5" s="2"/>
      <c r="GX5" s="2"/>
      <c r="GZ5" s="2"/>
      <c r="HA5" s="2"/>
      <c r="HV5" s="30"/>
      <c r="HW5" s="30"/>
      <c r="HX5" s="30"/>
      <c r="HY5" s="30"/>
      <c r="HZ5" s="30"/>
      <c r="IA5" s="30"/>
      <c r="IB5" s="30"/>
      <c r="IC5" s="30"/>
      <c r="ID5" s="30"/>
      <c r="IE5" s="30"/>
      <c r="IF5" s="30"/>
      <c r="IG5" s="30"/>
      <c r="IH5" s="30"/>
    </row>
    <row r="6" spans="1:242" ht="18" customHeight="1" thickBot="1" x14ac:dyDescent="0.3">
      <c r="B6" s="166" t="s">
        <v>3</v>
      </c>
      <c r="C6" s="79"/>
      <c r="D6" s="436" t="str">
        <f>IF(NOT(ISBLANK('Cursusinfo (leerplanschema)'!C5)),'Cursusinfo (leerplanschema)'!C5,"")</f>
        <v>Group Project</v>
      </c>
      <c r="E6" s="437"/>
      <c r="F6" s="437"/>
      <c r="G6" s="438"/>
      <c r="H6" s="462" t="s">
        <v>31</v>
      </c>
      <c r="I6" s="463"/>
      <c r="J6" s="462" t="s">
        <v>32</v>
      </c>
      <c r="K6" s="464"/>
      <c r="L6" s="463"/>
      <c r="M6" s="465" t="s">
        <v>17</v>
      </c>
      <c r="N6" s="466"/>
      <c r="O6" s="467"/>
      <c r="P6" s="468" t="s">
        <v>84</v>
      </c>
      <c r="Q6" s="464"/>
      <c r="R6" s="469"/>
      <c r="S6" s="7"/>
      <c r="T6" s="470" t="s">
        <v>7</v>
      </c>
      <c r="U6" s="471"/>
      <c r="V6" s="471"/>
      <c r="W6" s="471"/>
      <c r="X6" s="471"/>
      <c r="Y6" s="471"/>
      <c r="Z6" s="471"/>
      <c r="AA6" s="472">
        <v>0</v>
      </c>
      <c r="AB6" s="473"/>
      <c r="AC6" s="85"/>
      <c r="AD6" s="85"/>
      <c r="AE6" s="6"/>
      <c r="AF6" s="47"/>
      <c r="AG6" s="470" t="s">
        <v>8</v>
      </c>
      <c r="AH6" s="471"/>
      <c r="AI6" s="471"/>
      <c r="AJ6" s="471"/>
      <c r="AK6" s="471"/>
      <c r="AL6" s="471"/>
      <c r="AM6" s="474">
        <f>100%-AA6</f>
        <v>1</v>
      </c>
      <c r="AN6" s="474"/>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58"/>
      <c r="BZ6" s="58"/>
      <c r="CA6" s="58"/>
      <c r="CB6" s="58"/>
      <c r="CC6" s="58"/>
      <c r="CD6" s="58"/>
      <c r="CE6" s="58"/>
      <c r="CF6" s="58"/>
      <c r="CG6" s="58"/>
      <c r="CH6" s="58"/>
      <c r="CI6" s="58"/>
      <c r="CJ6" s="58"/>
      <c r="CK6" s="58"/>
      <c r="CL6" s="58"/>
      <c r="CM6" s="58"/>
      <c r="CN6" s="58"/>
      <c r="CO6" s="58"/>
      <c r="CP6" s="58"/>
      <c r="CQ6" s="58"/>
      <c r="CR6" s="58"/>
      <c r="CS6" s="58"/>
      <c r="CT6" s="58"/>
      <c r="CU6" s="58"/>
      <c r="CV6" s="58"/>
      <c r="CW6" s="58"/>
      <c r="CX6" s="58"/>
      <c r="CY6" s="58"/>
      <c r="CZ6" s="58"/>
      <c r="DA6" s="58"/>
      <c r="DB6" s="58"/>
      <c r="DC6" s="58"/>
      <c r="DD6" s="58"/>
      <c r="DE6" s="58"/>
      <c r="DF6" s="58"/>
      <c r="DG6" s="58"/>
      <c r="DH6" s="58"/>
      <c r="DI6" s="58"/>
      <c r="DJ6" s="58"/>
      <c r="DK6" s="58"/>
      <c r="DL6" s="58"/>
      <c r="DM6" s="58"/>
      <c r="DN6" s="58"/>
      <c r="DO6" s="58"/>
      <c r="DP6" s="58"/>
      <c r="DQ6" s="58"/>
      <c r="DR6" s="58"/>
      <c r="DS6" s="45"/>
      <c r="DT6" s="45"/>
      <c r="DU6" s="6"/>
      <c r="DV6" s="52"/>
      <c r="DW6" s="470"/>
      <c r="DX6" s="471"/>
      <c r="DY6" s="471"/>
      <c r="DZ6" s="471"/>
      <c r="EA6" s="471"/>
      <c r="EB6" s="471"/>
      <c r="EC6" s="474"/>
      <c r="ED6" s="474"/>
      <c r="EE6" s="58"/>
      <c r="EF6" s="58"/>
      <c r="EG6" s="58"/>
      <c r="EH6" s="58"/>
      <c r="EI6" s="58"/>
      <c r="EJ6" s="58"/>
      <c r="EK6" s="58"/>
      <c r="EL6" s="58"/>
      <c r="EM6" s="58"/>
      <c r="EN6" s="58"/>
      <c r="EO6" s="58"/>
      <c r="EP6" s="58"/>
      <c r="EQ6" s="58"/>
      <c r="ER6" s="58"/>
      <c r="ES6" s="58"/>
      <c r="ET6" s="58"/>
      <c r="EU6" s="58"/>
      <c r="EV6" s="58"/>
      <c r="EW6" s="58"/>
      <c r="EX6" s="58"/>
      <c r="EY6" s="58"/>
      <c r="EZ6" s="58"/>
      <c r="FA6" s="58"/>
      <c r="FB6" s="58"/>
      <c r="FC6" s="58"/>
      <c r="FD6" s="58"/>
      <c r="FE6" s="58"/>
      <c r="FF6" s="58"/>
      <c r="FG6" s="58"/>
      <c r="FH6" s="58"/>
      <c r="FI6" s="58"/>
      <c r="FJ6" s="58"/>
      <c r="FK6" s="58"/>
      <c r="FL6" s="58"/>
      <c r="FM6" s="58"/>
      <c r="FN6" s="58"/>
      <c r="FO6" s="58"/>
      <c r="FP6" s="58"/>
      <c r="FQ6" s="58"/>
      <c r="FR6" s="58"/>
      <c r="FS6" s="58"/>
      <c r="FT6" s="58"/>
      <c r="FU6" s="58"/>
      <c r="FV6" s="58"/>
      <c r="FW6" s="58"/>
      <c r="FX6" s="58"/>
      <c r="FY6" s="58"/>
      <c r="FZ6" s="58"/>
      <c r="GA6" s="58"/>
      <c r="GB6" s="58"/>
      <c r="GC6" s="58"/>
      <c r="GD6" s="58"/>
      <c r="GE6" s="58"/>
      <c r="GF6" s="58"/>
      <c r="GG6" s="58"/>
      <c r="GH6" s="58"/>
      <c r="GI6" s="58"/>
      <c r="GJ6" s="58"/>
      <c r="GK6" s="58"/>
      <c r="GL6" s="58"/>
      <c r="GM6" s="58"/>
      <c r="GN6" s="58"/>
      <c r="GO6" s="58"/>
      <c r="GP6" s="58"/>
      <c r="GQ6" s="58"/>
      <c r="GR6" s="58"/>
      <c r="GS6" s="58"/>
      <c r="GT6" s="58"/>
      <c r="GU6" s="58"/>
      <c r="GV6" s="58"/>
      <c r="GW6" s="58"/>
      <c r="GX6" s="58"/>
      <c r="GY6" s="58"/>
      <c r="GZ6" s="58"/>
      <c r="HA6" s="58"/>
      <c r="HB6" s="58"/>
      <c r="HC6" s="45"/>
      <c r="HD6" s="45"/>
      <c r="HE6" s="6"/>
      <c r="HF6" s="103"/>
      <c r="HG6" s="103"/>
      <c r="HH6" s="267"/>
      <c r="HI6" s="267"/>
      <c r="HJ6" s="267"/>
      <c r="HK6" s="267"/>
      <c r="HL6" s="267"/>
      <c r="HM6" s="267"/>
      <c r="HN6" s="267"/>
      <c r="HO6" s="267"/>
      <c r="HP6" s="267"/>
      <c r="HQ6" s="267"/>
      <c r="HR6" s="267"/>
      <c r="HS6" s="267"/>
      <c r="HT6" s="267"/>
      <c r="HU6" s="103"/>
      <c r="HV6" s="267"/>
      <c r="HW6" s="267"/>
      <c r="HX6" s="267"/>
      <c r="HY6" s="267"/>
      <c r="HZ6" s="267"/>
      <c r="IA6" s="267"/>
      <c r="IB6" s="267"/>
      <c r="IC6" s="267"/>
      <c r="ID6" s="267"/>
      <c r="IE6" s="267"/>
      <c r="IF6" s="267"/>
      <c r="IG6" s="267"/>
      <c r="IH6" s="267"/>
    </row>
    <row r="7" spans="1:242" ht="18" customHeight="1" thickBot="1" x14ac:dyDescent="0.3">
      <c r="B7" s="167" t="s">
        <v>2</v>
      </c>
      <c r="C7" s="80"/>
      <c r="D7" s="439" t="str">
        <f>IF(NOT(ISBLANK('Cursusinfo (leerplanschema)'!B5)),'Cursusinfo (leerplanschema)'!B5,"")</f>
        <v>TICT-V1GP-15</v>
      </c>
      <c r="E7" s="440"/>
      <c r="F7" s="440"/>
      <c r="G7" s="441"/>
      <c r="H7" s="16"/>
      <c r="I7" s="17"/>
      <c r="J7" s="16"/>
      <c r="K7" s="61"/>
      <c r="L7" s="17"/>
      <c r="M7" s="489" t="s">
        <v>131</v>
      </c>
      <c r="N7" s="490"/>
      <c r="O7" s="491"/>
      <c r="P7" s="489" t="s">
        <v>131</v>
      </c>
      <c r="Q7" s="490"/>
      <c r="R7" s="491"/>
      <c r="S7" s="7"/>
      <c r="T7" s="492" t="s">
        <v>4</v>
      </c>
      <c r="U7" s="493"/>
      <c r="V7" s="493"/>
      <c r="W7" s="493"/>
      <c r="X7" s="493"/>
      <c r="Y7" s="493"/>
      <c r="Z7" s="493"/>
      <c r="AA7" s="493"/>
      <c r="AB7" s="494"/>
      <c r="AC7" s="12"/>
      <c r="AD7" s="20"/>
      <c r="AE7" s="13"/>
      <c r="AF7" s="8"/>
      <c r="AG7" s="448" t="s">
        <v>9</v>
      </c>
      <c r="AH7" s="448"/>
      <c r="AI7" s="448"/>
      <c r="AJ7" s="448" t="s">
        <v>10</v>
      </c>
      <c r="AK7" s="448"/>
      <c r="AL7" s="448"/>
      <c r="AM7" s="448" t="s">
        <v>11</v>
      </c>
      <c r="AN7" s="448"/>
      <c r="AO7" s="448"/>
      <c r="AP7" s="448" t="s">
        <v>12</v>
      </c>
      <c r="AQ7" s="448"/>
      <c r="AR7" s="448"/>
      <c r="AS7" s="448" t="s">
        <v>13</v>
      </c>
      <c r="AT7" s="448"/>
      <c r="AU7" s="448"/>
      <c r="AV7" s="448" t="s">
        <v>39</v>
      </c>
      <c r="AW7" s="448"/>
      <c r="AX7" s="448"/>
      <c r="AY7" s="448" t="s">
        <v>40</v>
      </c>
      <c r="AZ7" s="448"/>
      <c r="BA7" s="448"/>
      <c r="BB7" s="448" t="s">
        <v>41</v>
      </c>
      <c r="BC7" s="448"/>
      <c r="BD7" s="448"/>
      <c r="BE7" s="448" t="s">
        <v>42</v>
      </c>
      <c r="BF7" s="448"/>
      <c r="BG7" s="448"/>
      <c r="BH7" s="448" t="s">
        <v>43</v>
      </c>
      <c r="BI7" s="448"/>
      <c r="BJ7" s="448"/>
      <c r="BK7" s="448" t="s">
        <v>44</v>
      </c>
      <c r="BL7" s="448"/>
      <c r="BM7" s="448"/>
      <c r="BN7" s="448" t="s">
        <v>45</v>
      </c>
      <c r="BO7" s="448"/>
      <c r="BP7" s="448"/>
      <c r="BQ7" s="448" t="s">
        <v>46</v>
      </c>
      <c r="BR7" s="448"/>
      <c r="BS7" s="448"/>
      <c r="BT7" s="448" t="s">
        <v>47</v>
      </c>
      <c r="BU7" s="448"/>
      <c r="BV7" s="448"/>
      <c r="BW7" s="448" t="s">
        <v>48</v>
      </c>
      <c r="BX7" s="448"/>
      <c r="BY7" s="448"/>
      <c r="BZ7" s="448" t="s">
        <v>49</v>
      </c>
      <c r="CA7" s="448"/>
      <c r="CB7" s="448"/>
      <c r="CC7" s="448" t="s">
        <v>50</v>
      </c>
      <c r="CD7" s="448"/>
      <c r="CE7" s="448"/>
      <c r="CF7" s="448" t="s">
        <v>51</v>
      </c>
      <c r="CG7" s="448"/>
      <c r="CH7" s="448"/>
      <c r="CI7" s="448" t="s">
        <v>52</v>
      </c>
      <c r="CJ7" s="448"/>
      <c r="CK7" s="448"/>
      <c r="CL7" s="448" t="s">
        <v>53</v>
      </c>
      <c r="CM7" s="448"/>
      <c r="CN7" s="448"/>
      <c r="CO7" s="448" t="s">
        <v>54</v>
      </c>
      <c r="CP7" s="448"/>
      <c r="CQ7" s="448"/>
      <c r="CR7" s="448" t="s">
        <v>55</v>
      </c>
      <c r="CS7" s="448"/>
      <c r="CT7" s="448"/>
      <c r="CU7" s="448" t="s">
        <v>56</v>
      </c>
      <c r="CV7" s="448"/>
      <c r="CW7" s="448"/>
      <c r="CX7" s="448" t="s">
        <v>14</v>
      </c>
      <c r="CY7" s="448"/>
      <c r="CZ7" s="448"/>
      <c r="DA7" s="448" t="s">
        <v>15</v>
      </c>
      <c r="DB7" s="448"/>
      <c r="DC7" s="448"/>
      <c r="DD7" s="448" t="s">
        <v>85</v>
      </c>
      <c r="DE7" s="448"/>
      <c r="DF7" s="448"/>
      <c r="DG7" s="448" t="s">
        <v>86</v>
      </c>
      <c r="DH7" s="448"/>
      <c r="DI7" s="448"/>
      <c r="DJ7" s="448" t="s">
        <v>87</v>
      </c>
      <c r="DK7" s="448"/>
      <c r="DL7" s="448"/>
      <c r="DM7" s="448" t="s">
        <v>88</v>
      </c>
      <c r="DN7" s="448"/>
      <c r="DO7" s="448"/>
      <c r="DP7" s="448" t="s">
        <v>89</v>
      </c>
      <c r="DQ7" s="448"/>
      <c r="DR7" s="448"/>
      <c r="DS7" s="450" t="s">
        <v>77</v>
      </c>
      <c r="DT7" s="426"/>
      <c r="DU7" s="451"/>
      <c r="DW7" s="448" t="s">
        <v>332</v>
      </c>
      <c r="DX7" s="448"/>
      <c r="DY7" s="448"/>
      <c r="DZ7" s="448" t="s">
        <v>306</v>
      </c>
      <c r="EA7" s="448"/>
      <c r="EB7" s="448"/>
      <c r="EC7" s="448" t="s">
        <v>333</v>
      </c>
      <c r="ED7" s="448"/>
      <c r="EE7" s="448"/>
      <c r="EF7" s="448" t="s">
        <v>123</v>
      </c>
      <c r="EG7" s="448"/>
      <c r="EH7" s="448"/>
      <c r="EI7" s="448" t="s">
        <v>334</v>
      </c>
      <c r="EJ7" s="448"/>
      <c r="EK7" s="448"/>
      <c r="EL7" s="448" t="s">
        <v>335</v>
      </c>
      <c r="EM7" s="448"/>
      <c r="EN7" s="448"/>
      <c r="EO7" s="448" t="s">
        <v>42</v>
      </c>
      <c r="EP7" s="448"/>
      <c r="EQ7" s="448"/>
      <c r="ER7" s="448" t="s">
        <v>43</v>
      </c>
      <c r="ES7" s="448"/>
      <c r="ET7" s="448"/>
      <c r="EU7" s="448" t="s">
        <v>44</v>
      </c>
      <c r="EV7" s="448"/>
      <c r="EW7" s="448"/>
      <c r="EX7" s="448" t="s">
        <v>45</v>
      </c>
      <c r="EY7" s="448"/>
      <c r="EZ7" s="448"/>
      <c r="FA7" s="448" t="s">
        <v>46</v>
      </c>
      <c r="FB7" s="448"/>
      <c r="FC7" s="448"/>
      <c r="FD7" s="448" t="s">
        <v>47</v>
      </c>
      <c r="FE7" s="448"/>
      <c r="FF7" s="448"/>
      <c r="FG7" s="448" t="s">
        <v>48</v>
      </c>
      <c r="FH7" s="448"/>
      <c r="FI7" s="448"/>
      <c r="FJ7" s="448" t="s">
        <v>49</v>
      </c>
      <c r="FK7" s="448"/>
      <c r="FL7" s="448"/>
      <c r="FM7" s="448" t="s">
        <v>50</v>
      </c>
      <c r="FN7" s="448"/>
      <c r="FO7" s="448"/>
      <c r="FP7" s="448" t="s">
        <v>51</v>
      </c>
      <c r="FQ7" s="448"/>
      <c r="FR7" s="448"/>
      <c r="FS7" s="448" t="s">
        <v>52</v>
      </c>
      <c r="FT7" s="448"/>
      <c r="FU7" s="448"/>
      <c r="FV7" s="448" t="s">
        <v>53</v>
      </c>
      <c r="FW7" s="448"/>
      <c r="FX7" s="448"/>
      <c r="FY7" s="448" t="s">
        <v>54</v>
      </c>
      <c r="FZ7" s="448"/>
      <c r="GA7" s="448"/>
      <c r="GB7" s="448" t="s">
        <v>55</v>
      </c>
      <c r="GC7" s="448"/>
      <c r="GD7" s="448"/>
      <c r="GE7" s="448" t="s">
        <v>56</v>
      </c>
      <c r="GF7" s="448"/>
      <c r="GG7" s="448"/>
      <c r="GH7" s="448" t="s">
        <v>14</v>
      </c>
      <c r="GI7" s="448"/>
      <c r="GJ7" s="448"/>
      <c r="GK7" s="448" t="s">
        <v>15</v>
      </c>
      <c r="GL7" s="448"/>
      <c r="GM7" s="448"/>
      <c r="GN7" s="448" t="s">
        <v>85</v>
      </c>
      <c r="GO7" s="448"/>
      <c r="GP7" s="448"/>
      <c r="GQ7" s="448" t="s">
        <v>86</v>
      </c>
      <c r="GR7" s="448"/>
      <c r="GS7" s="448"/>
      <c r="GT7" s="448" t="s">
        <v>87</v>
      </c>
      <c r="GU7" s="448"/>
      <c r="GV7" s="448"/>
      <c r="GW7" s="448" t="s">
        <v>88</v>
      </c>
      <c r="GX7" s="448"/>
      <c r="GY7" s="448"/>
      <c r="GZ7" s="448" t="s">
        <v>89</v>
      </c>
      <c r="HA7" s="448"/>
      <c r="HB7" s="448"/>
      <c r="HC7" s="450" t="s">
        <v>252</v>
      </c>
      <c r="HD7" s="426"/>
      <c r="HE7" s="451"/>
      <c r="HF7" s="101"/>
      <c r="HG7" s="101"/>
      <c r="HH7" s="21" t="s">
        <v>35</v>
      </c>
      <c r="HI7" s="21"/>
      <c r="HJ7" s="21"/>
      <c r="HK7" s="21"/>
      <c r="HL7" s="21"/>
      <c r="HM7" s="21"/>
      <c r="HN7" s="21"/>
      <c r="HO7" s="21"/>
      <c r="HP7" s="21"/>
      <c r="HQ7" s="21"/>
      <c r="HR7" s="21"/>
      <c r="HS7" s="21"/>
      <c r="HT7" s="21"/>
      <c r="HU7" s="101"/>
      <c r="HV7" s="21" t="s">
        <v>35</v>
      </c>
      <c r="HW7" s="21"/>
      <c r="HX7" s="21"/>
      <c r="HY7" s="21"/>
      <c r="HZ7" s="21"/>
      <c r="IA7" s="21"/>
      <c r="IB7" s="21"/>
      <c r="IC7" s="21"/>
      <c r="ID7" s="21"/>
      <c r="IE7" s="21"/>
      <c r="IF7" s="21"/>
      <c r="IG7" s="21"/>
      <c r="IH7" s="21"/>
    </row>
    <row r="8" spans="1:242" ht="17.25" customHeight="1" thickBot="1" x14ac:dyDescent="0.3">
      <c r="B8" s="409" t="s">
        <v>149</v>
      </c>
      <c r="C8" s="512"/>
      <c r="D8" s="513" t="s">
        <v>100</v>
      </c>
      <c r="E8" s="501"/>
      <c r="F8" s="512"/>
      <c r="G8" s="514" t="s">
        <v>78</v>
      </c>
      <c r="H8" s="495"/>
      <c r="I8" s="496"/>
      <c r="J8" s="495"/>
      <c r="K8" s="497"/>
      <c r="L8" s="496"/>
      <c r="M8" s="498" t="str">
        <f>IF(NOT(ISBLANK('Leerdoelen,Kennisbasis,Toetsing'!M9)),'Leerdoelen,Kennisbasis,Toetsing'!M9,"")</f>
        <v/>
      </c>
      <c r="N8" s="499"/>
      <c r="O8" s="500"/>
      <c r="P8" s="498" t="str">
        <f>IF(NOT(ISBLANK('Leerdoelen,Kennisbasis,Toetsing'!M10)),'Leerdoelen,Kennisbasis,Toetsing'!M10,"")</f>
        <v>TOETS</v>
      </c>
      <c r="Q8" s="499"/>
      <c r="R8" s="500"/>
      <c r="S8" s="7"/>
      <c r="T8" s="409" t="s">
        <v>1</v>
      </c>
      <c r="U8" s="501"/>
      <c r="V8" s="501"/>
      <c r="W8" s="501"/>
      <c r="X8" s="501"/>
      <c r="Y8" s="502"/>
      <c r="Z8" s="409" t="s">
        <v>0</v>
      </c>
      <c r="AA8" s="501"/>
      <c r="AB8" s="502"/>
      <c r="AC8" s="14"/>
      <c r="AD8" s="23"/>
      <c r="AE8" s="15"/>
      <c r="AF8" s="8"/>
      <c r="AG8" s="449"/>
      <c r="AH8" s="449"/>
      <c r="AI8" s="449"/>
      <c r="AJ8" s="449"/>
      <c r="AK8" s="449"/>
      <c r="AL8" s="449"/>
      <c r="AM8" s="449"/>
      <c r="AN8" s="449"/>
      <c r="AO8" s="449"/>
      <c r="AP8" s="449"/>
      <c r="AQ8" s="449"/>
      <c r="AR8" s="449"/>
      <c r="AS8" s="449"/>
      <c r="AT8" s="449"/>
      <c r="AU8" s="449"/>
      <c r="AV8" s="449"/>
      <c r="AW8" s="449"/>
      <c r="AX8" s="449"/>
      <c r="AY8" s="449"/>
      <c r="AZ8" s="449"/>
      <c r="BA8" s="449"/>
      <c r="BB8" s="449"/>
      <c r="BC8" s="449"/>
      <c r="BD8" s="449"/>
      <c r="BE8" s="449"/>
      <c r="BF8" s="449"/>
      <c r="BG8" s="449"/>
      <c r="BH8" s="449"/>
      <c r="BI8" s="449"/>
      <c r="BJ8" s="449"/>
      <c r="BK8" s="449"/>
      <c r="BL8" s="449"/>
      <c r="BM8" s="449"/>
      <c r="BN8" s="449"/>
      <c r="BO8" s="449"/>
      <c r="BP8" s="449"/>
      <c r="BQ8" s="449"/>
      <c r="BR8" s="449"/>
      <c r="BS8" s="449"/>
      <c r="BT8" s="449"/>
      <c r="BU8" s="449"/>
      <c r="BV8" s="449"/>
      <c r="BW8" s="449"/>
      <c r="BX8" s="449"/>
      <c r="BY8" s="449"/>
      <c r="BZ8" s="449"/>
      <c r="CA8" s="449"/>
      <c r="CB8" s="449"/>
      <c r="CC8" s="449"/>
      <c r="CD8" s="449"/>
      <c r="CE8" s="449"/>
      <c r="CF8" s="449"/>
      <c r="CG8" s="449"/>
      <c r="CH8" s="449"/>
      <c r="CI8" s="449"/>
      <c r="CJ8" s="449"/>
      <c r="CK8" s="449"/>
      <c r="CL8" s="449"/>
      <c r="CM8" s="449"/>
      <c r="CN8" s="449"/>
      <c r="CO8" s="449"/>
      <c r="CP8" s="449"/>
      <c r="CQ8" s="449"/>
      <c r="CR8" s="449"/>
      <c r="CS8" s="449"/>
      <c r="CT8" s="449"/>
      <c r="CU8" s="449"/>
      <c r="CV8" s="449"/>
      <c r="CW8" s="449"/>
      <c r="CX8" s="449"/>
      <c r="CY8" s="449"/>
      <c r="CZ8" s="449"/>
      <c r="DA8" s="449"/>
      <c r="DB8" s="449"/>
      <c r="DC8" s="449"/>
      <c r="DD8" s="449"/>
      <c r="DE8" s="449"/>
      <c r="DF8" s="449"/>
      <c r="DG8" s="449"/>
      <c r="DH8" s="449"/>
      <c r="DI8" s="449"/>
      <c r="DJ8" s="449"/>
      <c r="DK8" s="449"/>
      <c r="DL8" s="449"/>
      <c r="DM8" s="449"/>
      <c r="DN8" s="449"/>
      <c r="DO8" s="449"/>
      <c r="DP8" s="449"/>
      <c r="DQ8" s="449"/>
      <c r="DR8" s="449"/>
      <c r="DS8" s="452"/>
      <c r="DT8" s="453"/>
      <c r="DU8" s="454"/>
      <c r="DW8" s="449"/>
      <c r="DX8" s="449"/>
      <c r="DY8" s="449"/>
      <c r="DZ8" s="449"/>
      <c r="EA8" s="449"/>
      <c r="EB8" s="449"/>
      <c r="EC8" s="449"/>
      <c r="ED8" s="449"/>
      <c r="EE8" s="449"/>
      <c r="EF8" s="449"/>
      <c r="EG8" s="449"/>
      <c r="EH8" s="449"/>
      <c r="EI8" s="449"/>
      <c r="EJ8" s="449"/>
      <c r="EK8" s="449"/>
      <c r="EL8" s="449"/>
      <c r="EM8" s="449"/>
      <c r="EN8" s="449"/>
      <c r="EO8" s="449"/>
      <c r="EP8" s="449"/>
      <c r="EQ8" s="449"/>
      <c r="ER8" s="449"/>
      <c r="ES8" s="449"/>
      <c r="ET8" s="449"/>
      <c r="EU8" s="449"/>
      <c r="EV8" s="449"/>
      <c r="EW8" s="449"/>
      <c r="EX8" s="449"/>
      <c r="EY8" s="449"/>
      <c r="EZ8" s="449"/>
      <c r="FA8" s="449"/>
      <c r="FB8" s="449"/>
      <c r="FC8" s="449"/>
      <c r="FD8" s="449"/>
      <c r="FE8" s="449"/>
      <c r="FF8" s="449"/>
      <c r="FG8" s="449"/>
      <c r="FH8" s="449"/>
      <c r="FI8" s="449"/>
      <c r="FJ8" s="449"/>
      <c r="FK8" s="449"/>
      <c r="FL8" s="449"/>
      <c r="FM8" s="449"/>
      <c r="FN8" s="449"/>
      <c r="FO8" s="449"/>
      <c r="FP8" s="449"/>
      <c r="FQ8" s="449"/>
      <c r="FR8" s="449"/>
      <c r="FS8" s="449"/>
      <c r="FT8" s="449"/>
      <c r="FU8" s="449"/>
      <c r="FV8" s="449"/>
      <c r="FW8" s="449"/>
      <c r="FX8" s="449"/>
      <c r="FY8" s="449"/>
      <c r="FZ8" s="449"/>
      <c r="GA8" s="449"/>
      <c r="GB8" s="449"/>
      <c r="GC8" s="449"/>
      <c r="GD8" s="449"/>
      <c r="GE8" s="449"/>
      <c r="GF8" s="449"/>
      <c r="GG8" s="449"/>
      <c r="GH8" s="449"/>
      <c r="GI8" s="449"/>
      <c r="GJ8" s="449"/>
      <c r="GK8" s="449"/>
      <c r="GL8" s="449"/>
      <c r="GM8" s="449"/>
      <c r="GN8" s="449"/>
      <c r="GO8" s="449"/>
      <c r="GP8" s="449"/>
      <c r="GQ8" s="449"/>
      <c r="GR8" s="449"/>
      <c r="GS8" s="449"/>
      <c r="GT8" s="449"/>
      <c r="GU8" s="449"/>
      <c r="GV8" s="449"/>
      <c r="GW8" s="449"/>
      <c r="GX8" s="449"/>
      <c r="GY8" s="449"/>
      <c r="GZ8" s="449"/>
      <c r="HA8" s="449"/>
      <c r="HB8" s="449"/>
      <c r="HC8" s="452"/>
      <c r="HD8" s="453"/>
      <c r="HE8" s="454"/>
      <c r="HF8" s="101"/>
      <c r="HG8" s="101"/>
      <c r="HH8" s="21"/>
      <c r="HI8" s="21"/>
      <c r="HJ8" s="21"/>
      <c r="HK8" s="21"/>
      <c r="HL8" s="21"/>
      <c r="HM8" s="21"/>
      <c r="HN8" s="21"/>
      <c r="HQ8" s="21"/>
      <c r="HR8" s="21"/>
      <c r="HS8" s="21"/>
      <c r="HT8" s="21"/>
      <c r="HU8" s="101"/>
      <c r="HV8" s="21"/>
      <c r="HW8" s="21"/>
      <c r="HX8" s="21"/>
      <c r="HY8" s="21"/>
      <c r="HZ8" s="21"/>
      <c r="IA8" s="21"/>
      <c r="IB8" s="21"/>
      <c r="IE8" s="21"/>
      <c r="IF8" s="21"/>
      <c r="IG8" s="21"/>
      <c r="IH8" s="21"/>
    </row>
    <row r="9" spans="1:242" s="26" customFormat="1" ht="18" customHeight="1" thickBot="1" x14ac:dyDescent="0.3">
      <c r="A9" s="27"/>
      <c r="B9" s="420"/>
      <c r="C9" s="416"/>
      <c r="D9" s="415"/>
      <c r="E9" s="418"/>
      <c r="F9" s="416"/>
      <c r="G9" s="515"/>
      <c r="H9" s="495"/>
      <c r="I9" s="496"/>
      <c r="J9" s="495"/>
      <c r="K9" s="497"/>
      <c r="L9" s="496"/>
      <c r="M9" s="506" t="s">
        <v>79</v>
      </c>
      <c r="N9" s="507"/>
      <c r="O9" s="508"/>
      <c r="P9" s="506" t="s">
        <v>79</v>
      </c>
      <c r="Q9" s="507"/>
      <c r="R9" s="508"/>
      <c r="S9" s="24"/>
      <c r="T9" s="503"/>
      <c r="U9" s="504"/>
      <c r="V9" s="504"/>
      <c r="W9" s="504"/>
      <c r="X9" s="504"/>
      <c r="Y9" s="505"/>
      <c r="Z9" s="503"/>
      <c r="AA9" s="504"/>
      <c r="AB9" s="505"/>
      <c r="AC9" s="42"/>
      <c r="AD9" s="43"/>
      <c r="AE9" s="44"/>
      <c r="AF9" s="25"/>
      <c r="AG9" s="48"/>
      <c r="AH9" s="35"/>
      <c r="AI9" s="36">
        <v>1</v>
      </c>
      <c r="AJ9" s="48"/>
      <c r="AK9" s="35"/>
      <c r="AL9" s="36">
        <v>1</v>
      </c>
      <c r="AM9" s="48"/>
      <c r="AN9" s="35"/>
      <c r="AO9" s="36">
        <v>1</v>
      </c>
      <c r="AP9" s="48"/>
      <c r="AQ9" s="35"/>
      <c r="AR9" s="36">
        <v>1</v>
      </c>
      <c r="AS9" s="48"/>
      <c r="AT9" s="35"/>
      <c r="AU9" s="36">
        <v>1</v>
      </c>
      <c r="AV9" s="48"/>
      <c r="AW9" s="35"/>
      <c r="AX9" s="36">
        <v>1</v>
      </c>
      <c r="AY9" s="48"/>
      <c r="AZ9" s="35"/>
      <c r="BA9" s="36">
        <v>1</v>
      </c>
      <c r="BB9" s="48"/>
      <c r="BC9" s="35"/>
      <c r="BD9" s="36">
        <v>1</v>
      </c>
      <c r="BE9" s="48"/>
      <c r="BF9" s="35"/>
      <c r="BG9" s="36">
        <v>1</v>
      </c>
      <c r="BH9" s="48"/>
      <c r="BI9" s="35"/>
      <c r="BJ9" s="36">
        <v>1</v>
      </c>
      <c r="BK9" s="48"/>
      <c r="BL9" s="35"/>
      <c r="BM9" s="36">
        <v>1</v>
      </c>
      <c r="BN9" s="48"/>
      <c r="BO9" s="35"/>
      <c r="BP9" s="36">
        <v>1</v>
      </c>
      <c r="BQ9" s="48"/>
      <c r="BR9" s="35"/>
      <c r="BS9" s="36">
        <v>1</v>
      </c>
      <c r="BT9" s="48"/>
      <c r="BU9" s="35"/>
      <c r="BV9" s="36">
        <v>1</v>
      </c>
      <c r="BW9" s="48"/>
      <c r="BX9" s="35"/>
      <c r="BY9" s="36">
        <v>1</v>
      </c>
      <c r="BZ9" s="48"/>
      <c r="CA9" s="35"/>
      <c r="CB9" s="36">
        <v>1</v>
      </c>
      <c r="CC9" s="48"/>
      <c r="CD9" s="35"/>
      <c r="CE9" s="36">
        <v>1</v>
      </c>
      <c r="CF9" s="48"/>
      <c r="CG9" s="35"/>
      <c r="CH9" s="36">
        <v>1</v>
      </c>
      <c r="CI9" s="48"/>
      <c r="CJ9" s="35"/>
      <c r="CK9" s="36">
        <v>1</v>
      </c>
      <c r="CL9" s="48"/>
      <c r="CM9" s="35"/>
      <c r="CN9" s="36">
        <v>1</v>
      </c>
      <c r="CO9" s="48"/>
      <c r="CP9" s="35"/>
      <c r="CQ9" s="36">
        <v>1</v>
      </c>
      <c r="CR9" s="48"/>
      <c r="CS9" s="35"/>
      <c r="CT9" s="36">
        <v>1</v>
      </c>
      <c r="CU9" s="48"/>
      <c r="CV9" s="35"/>
      <c r="CW9" s="36">
        <v>1</v>
      </c>
      <c r="CX9" s="48"/>
      <c r="CY9" s="35"/>
      <c r="CZ9" s="36">
        <v>1</v>
      </c>
      <c r="DA9" s="48"/>
      <c r="DB9" s="35"/>
      <c r="DC9" s="36">
        <v>1</v>
      </c>
      <c r="DD9" s="48"/>
      <c r="DE9" s="35"/>
      <c r="DF9" s="36">
        <v>1</v>
      </c>
      <c r="DG9" s="48"/>
      <c r="DH9" s="35"/>
      <c r="DI9" s="36">
        <v>1</v>
      </c>
      <c r="DJ9" s="48"/>
      <c r="DK9" s="35"/>
      <c r="DL9" s="36">
        <v>1</v>
      </c>
      <c r="DM9" s="48"/>
      <c r="DN9" s="35"/>
      <c r="DO9" s="36">
        <v>1</v>
      </c>
      <c r="DP9" s="48"/>
      <c r="DQ9" s="35"/>
      <c r="DR9" s="36">
        <v>1</v>
      </c>
      <c r="DS9" s="509" t="s">
        <v>253</v>
      </c>
      <c r="DT9" s="510"/>
      <c r="DU9" s="511"/>
      <c r="DW9" s="48"/>
      <c r="DX9" s="35"/>
      <c r="DY9" s="36">
        <v>1</v>
      </c>
      <c r="DZ9" s="48"/>
      <c r="EA9" s="35"/>
      <c r="EB9" s="36">
        <v>1</v>
      </c>
      <c r="EC9" s="48"/>
      <c r="ED9" s="35"/>
      <c r="EE9" s="36">
        <v>1</v>
      </c>
      <c r="EF9" s="48"/>
      <c r="EG9" s="35"/>
      <c r="EH9" s="36">
        <v>1</v>
      </c>
      <c r="EI9" s="48"/>
      <c r="EJ9" s="35"/>
      <c r="EK9" s="36">
        <v>1</v>
      </c>
      <c r="EL9" s="48"/>
      <c r="EM9" s="35"/>
      <c r="EN9" s="36">
        <v>0</v>
      </c>
      <c r="EO9" s="48"/>
      <c r="EP9" s="35"/>
      <c r="EQ9" s="36">
        <v>0</v>
      </c>
      <c r="ER9" s="48"/>
      <c r="ES9" s="35"/>
      <c r="ET9" s="36">
        <v>0</v>
      </c>
      <c r="EU9" s="48"/>
      <c r="EV9" s="35"/>
      <c r="EW9" s="36">
        <v>1</v>
      </c>
      <c r="EX9" s="48"/>
      <c r="EY9" s="35"/>
      <c r="EZ9" s="36">
        <v>1</v>
      </c>
      <c r="FA9" s="48"/>
      <c r="FB9" s="35"/>
      <c r="FC9" s="36">
        <v>1</v>
      </c>
      <c r="FD9" s="48"/>
      <c r="FE9" s="35"/>
      <c r="FF9" s="36">
        <v>1</v>
      </c>
      <c r="FG9" s="48"/>
      <c r="FH9" s="35"/>
      <c r="FI9" s="36">
        <v>1</v>
      </c>
      <c r="FJ9" s="48"/>
      <c r="FK9" s="35"/>
      <c r="FL9" s="36">
        <v>1</v>
      </c>
      <c r="FM9" s="48"/>
      <c r="FN9" s="35"/>
      <c r="FO9" s="36">
        <v>1</v>
      </c>
      <c r="FP9" s="48"/>
      <c r="FQ9" s="35"/>
      <c r="FR9" s="36">
        <v>1</v>
      </c>
      <c r="FS9" s="48"/>
      <c r="FT9" s="35"/>
      <c r="FU9" s="36">
        <v>1</v>
      </c>
      <c r="FV9" s="48"/>
      <c r="FW9" s="35"/>
      <c r="FX9" s="36">
        <v>1</v>
      </c>
      <c r="FY9" s="48"/>
      <c r="FZ9" s="35"/>
      <c r="GA9" s="36">
        <v>1</v>
      </c>
      <c r="GB9" s="48"/>
      <c r="GC9" s="35"/>
      <c r="GD9" s="36">
        <v>1</v>
      </c>
      <c r="GE9" s="48"/>
      <c r="GF9" s="35"/>
      <c r="GG9" s="36">
        <v>1</v>
      </c>
      <c r="GH9" s="48"/>
      <c r="GI9" s="35"/>
      <c r="GJ9" s="36">
        <v>1</v>
      </c>
      <c r="GK9" s="48"/>
      <c r="GL9" s="35"/>
      <c r="GM9" s="36">
        <v>1</v>
      </c>
      <c r="GN9" s="48"/>
      <c r="GO9" s="35"/>
      <c r="GP9" s="36">
        <v>1</v>
      </c>
      <c r="GQ9" s="48"/>
      <c r="GR9" s="35"/>
      <c r="GS9" s="36">
        <v>1</v>
      </c>
      <c r="GT9" s="48"/>
      <c r="GU9" s="35"/>
      <c r="GV9" s="36">
        <v>1</v>
      </c>
      <c r="GW9" s="48"/>
      <c r="GX9" s="35"/>
      <c r="GY9" s="36">
        <v>1</v>
      </c>
      <c r="GZ9" s="48"/>
      <c r="HA9" s="35"/>
      <c r="HB9" s="36">
        <v>1</v>
      </c>
      <c r="HC9" s="509" t="s">
        <v>319</v>
      </c>
      <c r="HD9" s="510"/>
      <c r="HE9" s="511"/>
      <c r="HF9" s="101"/>
      <c r="HG9" s="101"/>
      <c r="HH9" s="33" t="s">
        <v>58</v>
      </c>
      <c r="HI9" s="33" t="s">
        <v>60</v>
      </c>
      <c r="HJ9" s="33" t="s">
        <v>61</v>
      </c>
      <c r="HK9" s="33" t="s">
        <v>62</v>
      </c>
      <c r="HL9" s="33" t="s">
        <v>63</v>
      </c>
      <c r="HM9" s="33" t="s">
        <v>64</v>
      </c>
      <c r="HN9" s="33"/>
      <c r="HO9" s="33" t="s">
        <v>90</v>
      </c>
      <c r="HP9" s="33" t="s">
        <v>90</v>
      </c>
      <c r="HQ9" s="27"/>
      <c r="HR9" s="27"/>
      <c r="HS9" s="27"/>
      <c r="HT9" s="27"/>
      <c r="HU9" s="101"/>
      <c r="HV9" s="33" t="s">
        <v>58</v>
      </c>
      <c r="HW9" s="33" t="s">
        <v>60</v>
      </c>
      <c r="HX9" s="33" t="s">
        <v>61</v>
      </c>
      <c r="HY9" s="33" t="s">
        <v>62</v>
      </c>
      <c r="HZ9" s="33" t="s">
        <v>63</v>
      </c>
      <c r="IA9" s="33" t="s">
        <v>64</v>
      </c>
      <c r="IB9" s="33"/>
      <c r="IC9" s="33" t="s">
        <v>90</v>
      </c>
      <c r="ID9" s="33" t="s">
        <v>90</v>
      </c>
      <c r="IE9" s="27"/>
      <c r="IF9" s="27"/>
      <c r="IG9" s="27"/>
      <c r="IH9" s="27"/>
    </row>
    <row r="10" spans="1:242" ht="18" customHeight="1" thickBot="1" x14ac:dyDescent="0.3">
      <c r="B10" s="420"/>
      <c r="C10" s="416"/>
      <c r="D10" s="415" t="s">
        <v>150</v>
      </c>
      <c r="E10" s="416"/>
      <c r="F10" s="152"/>
      <c r="G10" s="515"/>
      <c r="H10" s="475"/>
      <c r="I10" s="476"/>
      <c r="J10" s="475"/>
      <c r="K10" s="477"/>
      <c r="L10" s="476"/>
      <c r="M10" s="478" t="str">
        <f>IF(NOT(ISBLANK('Leerdoelen,Kennisbasis,Toetsing'!$Q$9)),'Leerdoelen,Kennisbasis,Toetsing'!$Q$9/100,"")</f>
        <v/>
      </c>
      <c r="N10" s="479"/>
      <c r="O10" s="480"/>
      <c r="P10" s="481">
        <f>IF(ISNUMBER('Leerdoelen,Kennisbasis,Toetsing'!$Q$10),'Leerdoelen,Kennisbasis,Toetsing'!$Q$10/100,"")</f>
        <v>1</v>
      </c>
      <c r="Q10" s="482"/>
      <c r="R10" s="483"/>
      <c r="S10" s="7"/>
      <c r="T10" s="484" t="s">
        <v>23</v>
      </c>
      <c r="U10" s="484" t="s">
        <v>22</v>
      </c>
      <c r="V10" s="461" t="s">
        <v>21</v>
      </c>
      <c r="W10" s="461" t="s">
        <v>20</v>
      </c>
      <c r="X10" s="461" t="s">
        <v>18</v>
      </c>
      <c r="Y10" s="485" t="s">
        <v>19</v>
      </c>
      <c r="Z10" s="484" t="s">
        <v>24</v>
      </c>
      <c r="AA10" s="461" t="s">
        <v>25</v>
      </c>
      <c r="AB10" s="485" t="s">
        <v>26</v>
      </c>
      <c r="AC10" s="413" t="s">
        <v>36</v>
      </c>
      <c r="AD10" s="487" t="s">
        <v>33</v>
      </c>
      <c r="AE10" s="434" t="s">
        <v>27</v>
      </c>
      <c r="AF10" s="8"/>
      <c r="AG10" s="446" t="s">
        <v>38</v>
      </c>
      <c r="AH10" s="442" t="s">
        <v>91</v>
      </c>
      <c r="AI10" s="444" t="s">
        <v>34</v>
      </c>
      <c r="AJ10" s="446" t="s">
        <v>38</v>
      </c>
      <c r="AK10" s="442" t="s">
        <v>91</v>
      </c>
      <c r="AL10" s="444" t="s">
        <v>34</v>
      </c>
      <c r="AM10" s="446" t="s">
        <v>38</v>
      </c>
      <c r="AN10" s="442" t="s">
        <v>91</v>
      </c>
      <c r="AO10" s="444" t="s">
        <v>34</v>
      </c>
      <c r="AP10" s="446" t="s">
        <v>38</v>
      </c>
      <c r="AQ10" s="442" t="s">
        <v>91</v>
      </c>
      <c r="AR10" s="444" t="s">
        <v>34</v>
      </c>
      <c r="AS10" s="446" t="s">
        <v>38</v>
      </c>
      <c r="AT10" s="442" t="s">
        <v>91</v>
      </c>
      <c r="AU10" s="444" t="s">
        <v>34</v>
      </c>
      <c r="AV10" s="446" t="s">
        <v>38</v>
      </c>
      <c r="AW10" s="442" t="s">
        <v>91</v>
      </c>
      <c r="AX10" s="444" t="s">
        <v>34</v>
      </c>
      <c r="AY10" s="446" t="s">
        <v>38</v>
      </c>
      <c r="AZ10" s="442" t="s">
        <v>91</v>
      </c>
      <c r="BA10" s="444" t="s">
        <v>34</v>
      </c>
      <c r="BB10" s="446" t="s">
        <v>38</v>
      </c>
      <c r="BC10" s="442" t="s">
        <v>91</v>
      </c>
      <c r="BD10" s="444" t="s">
        <v>34</v>
      </c>
      <c r="BE10" s="446" t="s">
        <v>38</v>
      </c>
      <c r="BF10" s="442" t="s">
        <v>91</v>
      </c>
      <c r="BG10" s="444" t="s">
        <v>34</v>
      </c>
      <c r="BH10" s="446" t="s">
        <v>38</v>
      </c>
      <c r="BI10" s="442" t="s">
        <v>91</v>
      </c>
      <c r="BJ10" s="444" t="s">
        <v>34</v>
      </c>
      <c r="BK10" s="446" t="s">
        <v>38</v>
      </c>
      <c r="BL10" s="442" t="s">
        <v>91</v>
      </c>
      <c r="BM10" s="444" t="s">
        <v>34</v>
      </c>
      <c r="BN10" s="446" t="s">
        <v>38</v>
      </c>
      <c r="BO10" s="442" t="s">
        <v>91</v>
      </c>
      <c r="BP10" s="444" t="s">
        <v>34</v>
      </c>
      <c r="BQ10" s="446" t="s">
        <v>38</v>
      </c>
      <c r="BR10" s="442" t="s">
        <v>91</v>
      </c>
      <c r="BS10" s="444" t="s">
        <v>34</v>
      </c>
      <c r="BT10" s="446" t="s">
        <v>38</v>
      </c>
      <c r="BU10" s="442" t="s">
        <v>91</v>
      </c>
      <c r="BV10" s="444" t="s">
        <v>34</v>
      </c>
      <c r="BW10" s="446" t="s">
        <v>38</v>
      </c>
      <c r="BX10" s="442" t="s">
        <v>91</v>
      </c>
      <c r="BY10" s="444" t="s">
        <v>34</v>
      </c>
      <c r="BZ10" s="446" t="s">
        <v>38</v>
      </c>
      <c r="CA10" s="442" t="s">
        <v>91</v>
      </c>
      <c r="CB10" s="444" t="s">
        <v>34</v>
      </c>
      <c r="CC10" s="446" t="s">
        <v>38</v>
      </c>
      <c r="CD10" s="442" t="s">
        <v>91</v>
      </c>
      <c r="CE10" s="444" t="s">
        <v>34</v>
      </c>
      <c r="CF10" s="446" t="s">
        <v>38</v>
      </c>
      <c r="CG10" s="442" t="s">
        <v>91</v>
      </c>
      <c r="CH10" s="444" t="s">
        <v>34</v>
      </c>
      <c r="CI10" s="446" t="s">
        <v>38</v>
      </c>
      <c r="CJ10" s="442" t="s">
        <v>91</v>
      </c>
      <c r="CK10" s="444" t="s">
        <v>34</v>
      </c>
      <c r="CL10" s="446" t="s">
        <v>38</v>
      </c>
      <c r="CM10" s="442" t="s">
        <v>91</v>
      </c>
      <c r="CN10" s="444" t="s">
        <v>34</v>
      </c>
      <c r="CO10" s="446" t="s">
        <v>38</v>
      </c>
      <c r="CP10" s="442" t="s">
        <v>91</v>
      </c>
      <c r="CQ10" s="444" t="s">
        <v>34</v>
      </c>
      <c r="CR10" s="446" t="s">
        <v>38</v>
      </c>
      <c r="CS10" s="442" t="s">
        <v>91</v>
      </c>
      <c r="CT10" s="444" t="s">
        <v>34</v>
      </c>
      <c r="CU10" s="446" t="s">
        <v>38</v>
      </c>
      <c r="CV10" s="442" t="s">
        <v>91</v>
      </c>
      <c r="CW10" s="444" t="s">
        <v>34</v>
      </c>
      <c r="CX10" s="446" t="s">
        <v>38</v>
      </c>
      <c r="CY10" s="442" t="s">
        <v>91</v>
      </c>
      <c r="CZ10" s="444" t="s">
        <v>34</v>
      </c>
      <c r="DA10" s="446" t="s">
        <v>38</v>
      </c>
      <c r="DB10" s="442" t="s">
        <v>91</v>
      </c>
      <c r="DC10" s="444" t="s">
        <v>34</v>
      </c>
      <c r="DD10" s="446" t="s">
        <v>38</v>
      </c>
      <c r="DE10" s="442" t="s">
        <v>91</v>
      </c>
      <c r="DF10" s="444" t="s">
        <v>34</v>
      </c>
      <c r="DG10" s="446" t="s">
        <v>38</v>
      </c>
      <c r="DH10" s="442" t="s">
        <v>91</v>
      </c>
      <c r="DI10" s="444" t="s">
        <v>34</v>
      </c>
      <c r="DJ10" s="446" t="s">
        <v>38</v>
      </c>
      <c r="DK10" s="442" t="s">
        <v>91</v>
      </c>
      <c r="DL10" s="444" t="s">
        <v>34</v>
      </c>
      <c r="DM10" s="446" t="s">
        <v>38</v>
      </c>
      <c r="DN10" s="442" t="s">
        <v>91</v>
      </c>
      <c r="DO10" s="444" t="s">
        <v>34</v>
      </c>
      <c r="DP10" s="446" t="s">
        <v>38</v>
      </c>
      <c r="DQ10" s="442" t="s">
        <v>91</v>
      </c>
      <c r="DR10" s="444" t="s">
        <v>34</v>
      </c>
      <c r="DS10" s="455" t="s">
        <v>37</v>
      </c>
      <c r="DT10" s="442" t="s">
        <v>91</v>
      </c>
      <c r="DU10" s="457" t="s">
        <v>28</v>
      </c>
      <c r="DW10" s="446" t="s">
        <v>38</v>
      </c>
      <c r="DX10" s="442" t="s">
        <v>91</v>
      </c>
      <c r="DY10" s="444" t="s">
        <v>34</v>
      </c>
      <c r="DZ10" s="446" t="s">
        <v>38</v>
      </c>
      <c r="EA10" s="442" t="s">
        <v>91</v>
      </c>
      <c r="EB10" s="444" t="s">
        <v>34</v>
      </c>
      <c r="EC10" s="446" t="s">
        <v>38</v>
      </c>
      <c r="ED10" s="442" t="s">
        <v>91</v>
      </c>
      <c r="EE10" s="444" t="s">
        <v>34</v>
      </c>
      <c r="EF10" s="446" t="s">
        <v>38</v>
      </c>
      <c r="EG10" s="442" t="s">
        <v>91</v>
      </c>
      <c r="EH10" s="444" t="s">
        <v>34</v>
      </c>
      <c r="EI10" s="446" t="s">
        <v>38</v>
      </c>
      <c r="EJ10" s="442" t="s">
        <v>91</v>
      </c>
      <c r="EK10" s="444" t="s">
        <v>34</v>
      </c>
      <c r="EL10" s="446" t="s">
        <v>38</v>
      </c>
      <c r="EM10" s="442" t="s">
        <v>91</v>
      </c>
      <c r="EN10" s="444" t="s">
        <v>34</v>
      </c>
      <c r="EO10" s="446" t="s">
        <v>38</v>
      </c>
      <c r="EP10" s="442" t="s">
        <v>91</v>
      </c>
      <c r="EQ10" s="444" t="s">
        <v>34</v>
      </c>
      <c r="ER10" s="446" t="s">
        <v>38</v>
      </c>
      <c r="ES10" s="442" t="s">
        <v>91</v>
      </c>
      <c r="ET10" s="444" t="s">
        <v>34</v>
      </c>
      <c r="EU10" s="446" t="s">
        <v>38</v>
      </c>
      <c r="EV10" s="442" t="s">
        <v>91</v>
      </c>
      <c r="EW10" s="444" t="s">
        <v>34</v>
      </c>
      <c r="EX10" s="446" t="s">
        <v>38</v>
      </c>
      <c r="EY10" s="442" t="s">
        <v>91</v>
      </c>
      <c r="EZ10" s="444" t="s">
        <v>34</v>
      </c>
      <c r="FA10" s="446" t="s">
        <v>38</v>
      </c>
      <c r="FB10" s="442" t="s">
        <v>91</v>
      </c>
      <c r="FC10" s="444" t="s">
        <v>34</v>
      </c>
      <c r="FD10" s="446" t="s">
        <v>38</v>
      </c>
      <c r="FE10" s="442" t="s">
        <v>91</v>
      </c>
      <c r="FF10" s="444" t="s">
        <v>34</v>
      </c>
      <c r="FG10" s="446" t="s">
        <v>38</v>
      </c>
      <c r="FH10" s="442" t="s">
        <v>91</v>
      </c>
      <c r="FI10" s="444" t="s">
        <v>34</v>
      </c>
      <c r="FJ10" s="446" t="s">
        <v>38</v>
      </c>
      <c r="FK10" s="442" t="s">
        <v>91</v>
      </c>
      <c r="FL10" s="444" t="s">
        <v>34</v>
      </c>
      <c r="FM10" s="446" t="s">
        <v>38</v>
      </c>
      <c r="FN10" s="442" t="s">
        <v>91</v>
      </c>
      <c r="FO10" s="444" t="s">
        <v>34</v>
      </c>
      <c r="FP10" s="446" t="s">
        <v>38</v>
      </c>
      <c r="FQ10" s="442" t="s">
        <v>91</v>
      </c>
      <c r="FR10" s="444" t="s">
        <v>34</v>
      </c>
      <c r="FS10" s="446" t="s">
        <v>38</v>
      </c>
      <c r="FT10" s="442" t="s">
        <v>91</v>
      </c>
      <c r="FU10" s="444" t="s">
        <v>34</v>
      </c>
      <c r="FV10" s="446" t="s">
        <v>38</v>
      </c>
      <c r="FW10" s="442" t="s">
        <v>91</v>
      </c>
      <c r="FX10" s="444" t="s">
        <v>34</v>
      </c>
      <c r="FY10" s="446" t="s">
        <v>38</v>
      </c>
      <c r="FZ10" s="442" t="s">
        <v>91</v>
      </c>
      <c r="GA10" s="444" t="s">
        <v>34</v>
      </c>
      <c r="GB10" s="446" t="s">
        <v>38</v>
      </c>
      <c r="GC10" s="442" t="s">
        <v>91</v>
      </c>
      <c r="GD10" s="444" t="s">
        <v>34</v>
      </c>
      <c r="GE10" s="446" t="s">
        <v>38</v>
      </c>
      <c r="GF10" s="442" t="s">
        <v>91</v>
      </c>
      <c r="GG10" s="444" t="s">
        <v>34</v>
      </c>
      <c r="GH10" s="446" t="s">
        <v>38</v>
      </c>
      <c r="GI10" s="442" t="s">
        <v>91</v>
      </c>
      <c r="GJ10" s="444" t="s">
        <v>34</v>
      </c>
      <c r="GK10" s="446" t="s">
        <v>38</v>
      </c>
      <c r="GL10" s="442" t="s">
        <v>91</v>
      </c>
      <c r="GM10" s="444" t="s">
        <v>34</v>
      </c>
      <c r="GN10" s="446" t="s">
        <v>38</v>
      </c>
      <c r="GO10" s="442" t="s">
        <v>91</v>
      </c>
      <c r="GP10" s="444" t="s">
        <v>34</v>
      </c>
      <c r="GQ10" s="446" t="s">
        <v>38</v>
      </c>
      <c r="GR10" s="442" t="s">
        <v>91</v>
      </c>
      <c r="GS10" s="444" t="s">
        <v>34</v>
      </c>
      <c r="GT10" s="446" t="s">
        <v>38</v>
      </c>
      <c r="GU10" s="442" t="s">
        <v>91</v>
      </c>
      <c r="GV10" s="444" t="s">
        <v>34</v>
      </c>
      <c r="GW10" s="446" t="s">
        <v>38</v>
      </c>
      <c r="GX10" s="442" t="s">
        <v>91</v>
      </c>
      <c r="GY10" s="444" t="s">
        <v>34</v>
      </c>
      <c r="GZ10" s="446" t="s">
        <v>38</v>
      </c>
      <c r="HA10" s="442" t="s">
        <v>91</v>
      </c>
      <c r="HB10" s="444" t="s">
        <v>34</v>
      </c>
      <c r="HC10" s="455" t="s">
        <v>93</v>
      </c>
      <c r="HD10" s="442" t="s">
        <v>91</v>
      </c>
      <c r="HE10" s="457" t="s">
        <v>94</v>
      </c>
      <c r="HF10" s="102"/>
      <c r="HG10" s="102"/>
      <c r="HN10" s="34"/>
      <c r="HO10" s="33" t="s">
        <v>92</v>
      </c>
      <c r="HP10" s="33" t="s">
        <v>92</v>
      </c>
      <c r="HQ10" s="31"/>
      <c r="HR10" s="31"/>
      <c r="HS10" s="31"/>
      <c r="HT10" s="31"/>
      <c r="HU10" s="102"/>
      <c r="IB10" s="34"/>
      <c r="IC10" s="33" t="s">
        <v>92</v>
      </c>
      <c r="ID10" s="33" t="s">
        <v>92</v>
      </c>
      <c r="IE10" s="31"/>
      <c r="IF10" s="31"/>
      <c r="IG10" s="31"/>
      <c r="IH10" s="31"/>
    </row>
    <row r="11" spans="1:242" ht="84.75" customHeight="1" thickBot="1" x14ac:dyDescent="0.3">
      <c r="B11" s="168" t="s">
        <v>115</v>
      </c>
      <c r="C11" s="78" t="s">
        <v>116</v>
      </c>
      <c r="D11" s="124" t="s">
        <v>114</v>
      </c>
      <c r="E11" s="125" t="s">
        <v>113</v>
      </c>
      <c r="F11" s="126" t="s">
        <v>117</v>
      </c>
      <c r="G11" s="154"/>
      <c r="H11" s="59" t="s">
        <v>5</v>
      </c>
      <c r="I11" s="60" t="s">
        <v>6</v>
      </c>
      <c r="J11" s="59" t="s">
        <v>5</v>
      </c>
      <c r="K11" s="81" t="s">
        <v>95</v>
      </c>
      <c r="L11" s="60" t="s">
        <v>6</v>
      </c>
      <c r="M11" s="59" t="s">
        <v>5</v>
      </c>
      <c r="N11" s="81" t="s">
        <v>95</v>
      </c>
      <c r="O11" s="60" t="s">
        <v>6</v>
      </c>
      <c r="P11" s="59" t="s">
        <v>5</v>
      </c>
      <c r="Q11" s="81" t="s">
        <v>95</v>
      </c>
      <c r="R11" s="60" t="s">
        <v>6</v>
      </c>
      <c r="S11" s="7"/>
      <c r="T11" s="447"/>
      <c r="U11" s="447"/>
      <c r="V11" s="443"/>
      <c r="W11" s="443"/>
      <c r="X11" s="443"/>
      <c r="Y11" s="486"/>
      <c r="Z11" s="447"/>
      <c r="AA11" s="443"/>
      <c r="AB11" s="486"/>
      <c r="AC11" s="414"/>
      <c r="AD11" s="488"/>
      <c r="AE11" s="486"/>
      <c r="AF11" s="8"/>
      <c r="AG11" s="447"/>
      <c r="AH11" s="443"/>
      <c r="AI11" s="445"/>
      <c r="AJ11" s="447"/>
      <c r="AK11" s="443"/>
      <c r="AL11" s="445"/>
      <c r="AM11" s="447"/>
      <c r="AN11" s="443"/>
      <c r="AO11" s="445"/>
      <c r="AP11" s="447"/>
      <c r="AQ11" s="443"/>
      <c r="AR11" s="445"/>
      <c r="AS11" s="447"/>
      <c r="AT11" s="443"/>
      <c r="AU11" s="445"/>
      <c r="AV11" s="447"/>
      <c r="AW11" s="443"/>
      <c r="AX11" s="445"/>
      <c r="AY11" s="447"/>
      <c r="AZ11" s="443"/>
      <c r="BA11" s="445"/>
      <c r="BB11" s="447"/>
      <c r="BC11" s="443"/>
      <c r="BD11" s="445"/>
      <c r="BE11" s="447"/>
      <c r="BF11" s="443"/>
      <c r="BG11" s="445"/>
      <c r="BH11" s="447"/>
      <c r="BI11" s="443"/>
      <c r="BJ11" s="445"/>
      <c r="BK11" s="447"/>
      <c r="BL11" s="443"/>
      <c r="BM11" s="445"/>
      <c r="BN11" s="447"/>
      <c r="BO11" s="443"/>
      <c r="BP11" s="445"/>
      <c r="BQ11" s="447"/>
      <c r="BR11" s="443"/>
      <c r="BS11" s="445"/>
      <c r="BT11" s="447"/>
      <c r="BU11" s="443"/>
      <c r="BV11" s="445"/>
      <c r="BW11" s="447"/>
      <c r="BX11" s="443"/>
      <c r="BY11" s="445"/>
      <c r="BZ11" s="447"/>
      <c r="CA11" s="443"/>
      <c r="CB11" s="445"/>
      <c r="CC11" s="447"/>
      <c r="CD11" s="443"/>
      <c r="CE11" s="445"/>
      <c r="CF11" s="447"/>
      <c r="CG11" s="443"/>
      <c r="CH11" s="445"/>
      <c r="CI11" s="447"/>
      <c r="CJ11" s="443"/>
      <c r="CK11" s="445"/>
      <c r="CL11" s="447"/>
      <c r="CM11" s="443"/>
      <c r="CN11" s="445"/>
      <c r="CO11" s="447"/>
      <c r="CP11" s="443"/>
      <c r="CQ11" s="445"/>
      <c r="CR11" s="447"/>
      <c r="CS11" s="443"/>
      <c r="CT11" s="445"/>
      <c r="CU11" s="447"/>
      <c r="CV11" s="443"/>
      <c r="CW11" s="445"/>
      <c r="CX11" s="447"/>
      <c r="CY11" s="443"/>
      <c r="CZ11" s="445"/>
      <c r="DA11" s="447"/>
      <c r="DB11" s="443"/>
      <c r="DC11" s="445"/>
      <c r="DD11" s="447"/>
      <c r="DE11" s="443"/>
      <c r="DF11" s="445"/>
      <c r="DG11" s="447"/>
      <c r="DH11" s="443"/>
      <c r="DI11" s="445"/>
      <c r="DJ11" s="447"/>
      <c r="DK11" s="443"/>
      <c r="DL11" s="445"/>
      <c r="DM11" s="447"/>
      <c r="DN11" s="443"/>
      <c r="DO11" s="445"/>
      <c r="DP11" s="447"/>
      <c r="DQ11" s="443"/>
      <c r="DR11" s="445"/>
      <c r="DS11" s="456"/>
      <c r="DT11" s="443"/>
      <c r="DU11" s="435"/>
      <c r="DW11" s="447"/>
      <c r="DX11" s="443"/>
      <c r="DY11" s="445"/>
      <c r="DZ11" s="447"/>
      <c r="EA11" s="443"/>
      <c r="EB11" s="445"/>
      <c r="EC11" s="447"/>
      <c r="ED11" s="443"/>
      <c r="EE11" s="445"/>
      <c r="EF11" s="447"/>
      <c r="EG11" s="443"/>
      <c r="EH11" s="445"/>
      <c r="EI11" s="447"/>
      <c r="EJ11" s="443"/>
      <c r="EK11" s="445"/>
      <c r="EL11" s="447"/>
      <c r="EM11" s="443"/>
      <c r="EN11" s="445"/>
      <c r="EO11" s="447"/>
      <c r="EP11" s="443"/>
      <c r="EQ11" s="445"/>
      <c r="ER11" s="447"/>
      <c r="ES11" s="443"/>
      <c r="ET11" s="445"/>
      <c r="EU11" s="447"/>
      <c r="EV11" s="443"/>
      <c r="EW11" s="445"/>
      <c r="EX11" s="447"/>
      <c r="EY11" s="443"/>
      <c r="EZ11" s="445"/>
      <c r="FA11" s="447"/>
      <c r="FB11" s="443"/>
      <c r="FC11" s="445"/>
      <c r="FD11" s="447"/>
      <c r="FE11" s="443"/>
      <c r="FF11" s="445"/>
      <c r="FG11" s="447"/>
      <c r="FH11" s="443"/>
      <c r="FI11" s="445"/>
      <c r="FJ11" s="447"/>
      <c r="FK11" s="443"/>
      <c r="FL11" s="445"/>
      <c r="FM11" s="447"/>
      <c r="FN11" s="443"/>
      <c r="FO11" s="445"/>
      <c r="FP11" s="447"/>
      <c r="FQ11" s="443"/>
      <c r="FR11" s="445"/>
      <c r="FS11" s="447"/>
      <c r="FT11" s="443"/>
      <c r="FU11" s="445"/>
      <c r="FV11" s="447"/>
      <c r="FW11" s="443"/>
      <c r="FX11" s="445"/>
      <c r="FY11" s="447"/>
      <c r="FZ11" s="443"/>
      <c r="GA11" s="445"/>
      <c r="GB11" s="447"/>
      <c r="GC11" s="443"/>
      <c r="GD11" s="445"/>
      <c r="GE11" s="447"/>
      <c r="GF11" s="443"/>
      <c r="GG11" s="445"/>
      <c r="GH11" s="447"/>
      <c r="GI11" s="443"/>
      <c r="GJ11" s="445"/>
      <c r="GK11" s="447"/>
      <c r="GL11" s="443"/>
      <c r="GM11" s="445"/>
      <c r="GN11" s="447"/>
      <c r="GO11" s="443"/>
      <c r="GP11" s="445"/>
      <c r="GQ11" s="447"/>
      <c r="GR11" s="443"/>
      <c r="GS11" s="445"/>
      <c r="GT11" s="447"/>
      <c r="GU11" s="443"/>
      <c r="GV11" s="445"/>
      <c r="GW11" s="447"/>
      <c r="GX11" s="443"/>
      <c r="GY11" s="445"/>
      <c r="GZ11" s="447"/>
      <c r="HA11" s="443"/>
      <c r="HB11" s="445"/>
      <c r="HC11" s="456"/>
      <c r="HD11" s="443"/>
      <c r="HE11" s="435"/>
      <c r="HF11" s="102"/>
      <c r="HG11" s="102"/>
      <c r="HH11" s="34" t="s">
        <v>65</v>
      </c>
      <c r="HI11" s="34" t="s">
        <v>66</v>
      </c>
      <c r="HJ11" s="34" t="s">
        <v>67</v>
      </c>
      <c r="HK11" s="34" t="s">
        <v>68</v>
      </c>
      <c r="HL11" s="34" t="s">
        <v>69</v>
      </c>
      <c r="HM11" s="34" t="s">
        <v>70</v>
      </c>
      <c r="HN11" s="34" t="s">
        <v>72</v>
      </c>
      <c r="HO11" s="34" t="s">
        <v>96</v>
      </c>
      <c r="HP11" s="34" t="s">
        <v>96</v>
      </c>
      <c r="HQ11" s="31" t="s">
        <v>97</v>
      </c>
      <c r="HR11" s="31" t="s">
        <v>98</v>
      </c>
      <c r="HS11" s="31" t="s">
        <v>71</v>
      </c>
      <c r="HT11" s="31" t="s">
        <v>73</v>
      </c>
      <c r="HU11" s="102"/>
      <c r="HV11" s="34" t="s">
        <v>65</v>
      </c>
      <c r="HW11" s="34" t="s">
        <v>66</v>
      </c>
      <c r="HX11" s="34" t="s">
        <v>67</v>
      </c>
      <c r="HY11" s="34" t="s">
        <v>68</v>
      </c>
      <c r="HZ11" s="34" t="s">
        <v>69</v>
      </c>
      <c r="IA11" s="34" t="s">
        <v>70</v>
      </c>
      <c r="IB11" s="34" t="s">
        <v>72</v>
      </c>
      <c r="IC11" s="34" t="s">
        <v>96</v>
      </c>
      <c r="ID11" s="34" t="s">
        <v>96</v>
      </c>
      <c r="IE11" s="31" t="s">
        <v>97</v>
      </c>
      <c r="IF11" s="31" t="s">
        <v>98</v>
      </c>
      <c r="IG11" s="31" t="s">
        <v>71</v>
      </c>
      <c r="IH11" s="31" t="s">
        <v>73</v>
      </c>
    </row>
    <row r="12" spans="1:242" s="26" customFormat="1" ht="39" customHeight="1" x14ac:dyDescent="0.25">
      <c r="A12" s="170" t="str">
        <f>'Leerdoelen,Kennisbasis,Toetsing'!B9</f>
        <v>geel</v>
      </c>
      <c r="B12" s="169" t="str">
        <f>IF(NOT(ISBLANK('Leerdoelen,Kennisbasis,Toetsing'!C9)),'Leerdoelen,Kennisbasis,Toetsing'!C9,"")</f>
        <v>LSC</v>
      </c>
      <c r="C12" s="137" t="str">
        <f>IF(NOT(ISBLANK('Leerdoelen,Kennisbasis,Toetsing'!D9)),'Leerdoelen,Kennisbasis,Toetsing'!D9,"")</f>
        <v>T</v>
      </c>
      <c r="D12" s="138" t="s">
        <v>104</v>
      </c>
      <c r="E12" s="139" t="str">
        <f>IF(NOT(ISBLANK('Leerdoelen,Kennisbasis,Toetsing'!F9)),'Leerdoelen,Kennisbasis,Toetsing'!F9,"")</f>
        <v>SW</v>
      </c>
      <c r="F12" s="171" t="str">
        <f>IF(NOT(ISBLANK('Leerdoelen,Kennisbasis,Toetsing'!G9)),'Leerdoelen,Kennisbasis,Toetsing'!G9,"")</f>
        <v>1</v>
      </c>
      <c r="G12" s="348" t="str">
        <f>IF(NOT(ISBLANK('Leerdoelen,Kennisbasis,Toetsing'!H9)),'Leerdoelen,Kennisbasis,Toetsing'!H9,"")</f>
        <v>De keuze van de eigen rol binnen de projectgroep verantwoorden in relatie tot het eigen ontwikkelingsplan</v>
      </c>
      <c r="H12" s="107" t="str">
        <f>IF(NOT(ISBLANK('Leerdoelen,Kennisbasis,Toetsing'!I9)),'Leerdoelen,Kennisbasis,Toetsing'!I9,"")</f>
        <v>A</v>
      </c>
      <c r="I12" s="68">
        <v>0.05</v>
      </c>
      <c r="J12" s="9" t="str">
        <f t="shared" ref="J12:J26" si="2">IF(OR(M12="C",P12="C"),"C",IF(OR(M12="E",P12="E"),"E",IF(OR(M12="A",P12="A"),"A",IF(OR(M12="T",P12="T"),"T",IF(OR(M12="B",P12="B"),"B",IF(OR(M12="K",P12="K"),"K",IF(OR(M12="?",P12="?"),"?","")))))))</f>
        <v>E</v>
      </c>
      <c r="K12" s="69" t="str">
        <f t="shared" ref="K12:K26" si="3">IF(OR(N12="ja",Q12="ja"),"ja",IF(OR(N12="nee",Q12="nee"),"nee",""))</f>
        <v>ja</v>
      </c>
      <c r="L12" s="70">
        <f t="shared" ref="L12:L26" si="4">IF(OR(ISNUMBER(O12),ISNUMBER(R12)),IF(ISNUMBER(O12),O12*IF(ISNUMBER($M$10),$M$10,0),0)+IF(ISNUMBER(R12),R12*IF(ISNUMBER($P$10),$P$10,0),0),"")</f>
        <v>0.05</v>
      </c>
      <c r="M12" s="9" t="str">
        <f>IF(OR(AC12="C",DS12="C"),"C",IF(OR(AC12="E",DS12="E"),"E",IF(OR(AC12="A",DS12="A"),"A",IF(OR(AC12="T",DS12="T"),"T",IF(OR(AC12="B",DS12="B"),"B",IF(OR(AC12="K",DS12="K"),"K",IF(OR(AC12&lt;&gt;"",DS12&lt;&gt;""),"?","")))))))</f>
        <v/>
      </c>
      <c r="N12" s="69" t="str">
        <f>IF(DT12&lt;&gt;"",IF(DT12="J","ja","nee"),IF(ISNUMBER(AE12),"nee",""))</f>
        <v/>
      </c>
      <c r="O12" s="70" t="str">
        <f>IF(OR(ISNUMBER(AD12),ISNUMBER(DU12)),IF(ISNUMBER(AD12),(AD12*$AA$6),0)+IF(ISNUMBER(DU12),(DU12*$AM$6),0),"")</f>
        <v/>
      </c>
      <c r="P12" s="9" t="str">
        <f>IF(HC12&lt;&gt;"",HC12,"")</f>
        <v>E</v>
      </c>
      <c r="Q12" s="69" t="str">
        <f>IF(HD12&lt;&gt;"",IF(HD12="J","ja","nee"),"")</f>
        <v>ja</v>
      </c>
      <c r="R12" s="71">
        <f>IF(ISNUMBER(HE12),HE12,"")</f>
        <v>0.05</v>
      </c>
      <c r="S12" s="24"/>
      <c r="T12" s="49"/>
      <c r="U12" s="50"/>
      <c r="V12" s="50"/>
      <c r="W12" s="50"/>
      <c r="X12" s="50"/>
      <c r="Y12" s="51"/>
      <c r="Z12" s="49"/>
      <c r="AA12" s="50"/>
      <c r="AB12" s="10" t="str">
        <f>IF(AND(AE12&lt;&gt;0,AE12&lt;&gt;""),IF(AE12-(Z12+AA12)&lt;&gt;0,AE12-(Z12+AA12),""),"")</f>
        <v/>
      </c>
      <c r="AC12" s="9" t="str">
        <f>IF(Y12&gt;0,"C",IF(X12&gt;0,"E",IF(W12&gt;0,"A",IF(V12&gt;0,"T",IF(U12&gt;0,"B",IF(T12&gt;0,"K",""))))))</f>
        <v/>
      </c>
      <c r="AD12" s="28" t="str">
        <f t="shared" ref="AD12:AD26" si="5">IF(AE12&lt;&gt;"",AE12/AE$27,"")</f>
        <v/>
      </c>
      <c r="AE12" s="10" t="str">
        <f>IF(SUM(T12:Y12)&gt;0,SUM(T12:Y12),"")</f>
        <v/>
      </c>
      <c r="AF12" s="25"/>
      <c r="AG12" s="53"/>
      <c r="AH12" s="63"/>
      <c r="AI12" s="54"/>
      <c r="AJ12" s="53"/>
      <c r="AK12" s="63"/>
      <c r="AL12" s="54"/>
      <c r="AM12" s="53"/>
      <c r="AN12" s="63"/>
      <c r="AO12" s="54"/>
      <c r="AP12" s="53"/>
      <c r="AQ12" s="63"/>
      <c r="AR12" s="54"/>
      <c r="AS12" s="53"/>
      <c r="AT12" s="63"/>
      <c r="AU12" s="54"/>
      <c r="AV12" s="53"/>
      <c r="AW12" s="63"/>
      <c r="AX12" s="54"/>
      <c r="AY12" s="53"/>
      <c r="AZ12" s="63"/>
      <c r="BA12" s="54"/>
      <c r="BB12" s="53"/>
      <c r="BC12" s="63"/>
      <c r="BD12" s="54"/>
      <c r="BE12" s="53"/>
      <c r="BF12" s="63"/>
      <c r="BG12" s="54"/>
      <c r="BH12" s="53"/>
      <c r="BI12" s="63"/>
      <c r="BJ12" s="54"/>
      <c r="BK12" s="53"/>
      <c r="BL12" s="63"/>
      <c r="BM12" s="54"/>
      <c r="BN12" s="53"/>
      <c r="BO12" s="63"/>
      <c r="BP12" s="54"/>
      <c r="BQ12" s="53"/>
      <c r="BR12" s="63"/>
      <c r="BS12" s="54"/>
      <c r="BT12" s="53"/>
      <c r="BU12" s="63"/>
      <c r="BV12" s="54"/>
      <c r="BW12" s="53"/>
      <c r="BX12" s="63"/>
      <c r="BY12" s="54"/>
      <c r="BZ12" s="53"/>
      <c r="CA12" s="63"/>
      <c r="CB12" s="54"/>
      <c r="CC12" s="53"/>
      <c r="CD12" s="63"/>
      <c r="CE12" s="54"/>
      <c r="CF12" s="53"/>
      <c r="CG12" s="63"/>
      <c r="CH12" s="54"/>
      <c r="CI12" s="53"/>
      <c r="CJ12" s="63"/>
      <c r="CK12" s="54"/>
      <c r="CL12" s="53"/>
      <c r="CM12" s="63"/>
      <c r="CN12" s="54"/>
      <c r="CO12" s="53"/>
      <c r="CP12" s="63"/>
      <c r="CQ12" s="54"/>
      <c r="CR12" s="53"/>
      <c r="CS12" s="63"/>
      <c r="CT12" s="54"/>
      <c r="CU12" s="53"/>
      <c r="CV12" s="63"/>
      <c r="CW12" s="54"/>
      <c r="CX12" s="53"/>
      <c r="CY12" s="63"/>
      <c r="CZ12" s="54"/>
      <c r="DA12" s="53"/>
      <c r="DB12" s="63"/>
      <c r="DC12" s="54"/>
      <c r="DD12" s="53"/>
      <c r="DE12" s="63"/>
      <c r="DF12" s="54"/>
      <c r="DG12" s="53"/>
      <c r="DH12" s="63"/>
      <c r="DI12" s="54"/>
      <c r="DJ12" s="53"/>
      <c r="DK12" s="63"/>
      <c r="DL12" s="54"/>
      <c r="DM12" s="53"/>
      <c r="DN12" s="63"/>
      <c r="DO12" s="54"/>
      <c r="DP12" s="53"/>
      <c r="DQ12" s="63"/>
      <c r="DR12" s="54"/>
      <c r="DS12" s="18" t="str">
        <f>IF(AND(SUM(HH12:HM12)=0,HO12=0,HP12=0,HR12=0),"",HN12)</f>
        <v/>
      </c>
      <c r="DT12" s="64" t="str">
        <f>IF(AND(SUM(HH12:HM12)=0,HO12=0,HP12=0,HR12=0),"",IF(HO12&gt;0,$IC$9,$ID$10))</f>
        <v/>
      </c>
      <c r="DU12" s="38" t="str">
        <f>IF(AND(SUM(HH12:HM12)=0,HO12=0,HP12=0,HR12=0),"",HT12)</f>
        <v/>
      </c>
      <c r="DW12" s="53" t="s">
        <v>63</v>
      </c>
      <c r="DX12" s="63" t="s">
        <v>90</v>
      </c>
      <c r="DY12" s="54">
        <v>1</v>
      </c>
      <c r="DZ12" s="53"/>
      <c r="EA12" s="63"/>
      <c r="EB12" s="54"/>
      <c r="EC12" s="53"/>
      <c r="ED12" s="63"/>
      <c r="EE12" s="54"/>
      <c r="EF12" s="53"/>
      <c r="EG12" s="63"/>
      <c r="EH12" s="54"/>
      <c r="EI12" s="53"/>
      <c r="EJ12" s="63"/>
      <c r="EK12" s="54"/>
      <c r="EL12" s="53"/>
      <c r="EM12" s="63"/>
      <c r="EN12" s="54"/>
      <c r="EO12" s="53"/>
      <c r="EP12" s="63"/>
      <c r="EQ12" s="54"/>
      <c r="ER12" s="53"/>
      <c r="ES12" s="63"/>
      <c r="ET12" s="54"/>
      <c r="EU12" s="53"/>
      <c r="EV12" s="63"/>
      <c r="EW12" s="54"/>
      <c r="EX12" s="53"/>
      <c r="EY12" s="63"/>
      <c r="EZ12" s="54"/>
      <c r="FA12" s="53"/>
      <c r="FB12" s="63"/>
      <c r="FC12" s="54"/>
      <c r="FD12" s="53"/>
      <c r="FE12" s="63"/>
      <c r="FF12" s="54"/>
      <c r="FG12" s="53"/>
      <c r="FH12" s="63"/>
      <c r="FI12" s="54"/>
      <c r="FJ12" s="53"/>
      <c r="FK12" s="63"/>
      <c r="FL12" s="54"/>
      <c r="FM12" s="53"/>
      <c r="FN12" s="63"/>
      <c r="FO12" s="54"/>
      <c r="FP12" s="53"/>
      <c r="FQ12" s="63"/>
      <c r="FR12" s="54"/>
      <c r="FS12" s="53"/>
      <c r="FT12" s="63"/>
      <c r="FU12" s="54"/>
      <c r="FV12" s="53"/>
      <c r="FW12" s="63"/>
      <c r="FX12" s="54"/>
      <c r="FY12" s="53"/>
      <c r="FZ12" s="63"/>
      <c r="GA12" s="54"/>
      <c r="GB12" s="53"/>
      <c r="GC12" s="63"/>
      <c r="GD12" s="54"/>
      <c r="GE12" s="53"/>
      <c r="GF12" s="63"/>
      <c r="GG12" s="54"/>
      <c r="GH12" s="53"/>
      <c r="GI12" s="63"/>
      <c r="GJ12" s="54"/>
      <c r="GK12" s="53"/>
      <c r="GL12" s="63"/>
      <c r="GM12" s="54"/>
      <c r="GN12" s="53"/>
      <c r="GO12" s="63"/>
      <c r="GP12" s="54"/>
      <c r="GQ12" s="53"/>
      <c r="GR12" s="63"/>
      <c r="GS12" s="54"/>
      <c r="GT12" s="53"/>
      <c r="GU12" s="63"/>
      <c r="GV12" s="54"/>
      <c r="GW12" s="53"/>
      <c r="GX12" s="63"/>
      <c r="GY12" s="54"/>
      <c r="GZ12" s="53"/>
      <c r="HA12" s="63"/>
      <c r="HB12" s="54"/>
      <c r="HC12" s="18" t="str">
        <f>IF(AND(SUM(HV12:IA12)=0,IC12=0,ID12=0,IF12=0),"",IB12)</f>
        <v>E</v>
      </c>
      <c r="HD12" s="64" t="str">
        <f>IF(AND(SUM(HV12:IA12)=0,IC12=0,ID12=0,IF12=0),"",IF(IC12&gt;0,$IC$9,$ID$10))</f>
        <v>J</v>
      </c>
      <c r="HE12" s="38">
        <f>IF(AND(SUM(HV12:IA12)=0,IC12=0,ID12=0,IF12=0),"",IH12)</f>
        <v>0.05</v>
      </c>
      <c r="HF12" s="92"/>
      <c r="HG12" s="92"/>
      <c r="HH12" s="33">
        <f t="array" ref="HH12">SUM(IF($AD$1:$DR$1=HH$1,IF(NOT(ISBLANK($AD12:$DR12)),IF(LEFT(UPPER(SUBSTITUTE($AD12:$DR12," ","")),1)=HH$9,1,0),0),0))</f>
        <v>0</v>
      </c>
      <c r="HI12" s="33">
        <f t="array" ref="HI12">SUM(IF($AD$1:$DR$1=HI$1,IF(NOT(ISBLANK($AD12:$DR12)),IF(LEFT(UPPER(SUBSTITUTE($AD12:$DR12," ","")),1)=HI$9,1,0),0),0))</f>
        <v>0</v>
      </c>
      <c r="HJ12" s="33">
        <f t="array" ref="HJ12">SUM(IF($AD$1:$DR$1=HJ$1,IF(NOT(ISBLANK($AD12:$DR12)),IF(LEFT(UPPER(SUBSTITUTE($AD12:$DR12," ","")),1)=HJ$9,1,0),0),0))</f>
        <v>0</v>
      </c>
      <c r="HK12" s="33">
        <f t="array" ref="HK12">SUM(IF($AD$1:$DR$1=HK$1,IF(NOT(ISBLANK($AD12:$DR12)),IF(LEFT(UPPER(SUBSTITUTE($AD12:$DR12," ","")),1)=HK$9,1,0),0),0))</f>
        <v>0</v>
      </c>
      <c r="HL12" s="33">
        <f t="array" ref="HL12">SUM(IF($AD$1:$DR$1=HL$1,IF(NOT(ISBLANK($AD12:$DR12)),IF(LEFT(UPPER(SUBSTITUTE($AD12:$DR12," ","")),1)=HL$9,1,0),0),0))</f>
        <v>0</v>
      </c>
      <c r="HM12" s="33">
        <f t="array" ref="HM12">SUM(IF($AD$1:$DR$1=HM$1,IF(NOT(ISBLANK($AD12:$DR12)),IF(LEFT(UPPER(SUBSTITUTE($AD12:$DR12," ","")),1)=HM$9,1,0),0),0))</f>
        <v>0</v>
      </c>
      <c r="HN12" s="33" t="str">
        <f>IF(HM12&gt;0,HM$9,IF(HL12&gt;0,HL$9,IF(HK12&gt;0,HK$9,IF(HJ12&gt;0,HJ$9,IF(HI12&gt;0,HI$9,IF(HH12&gt;0,HH$9,"?"))))))</f>
        <v>?</v>
      </c>
      <c r="HO12" s="33">
        <f t="array" ref="HO12">SUM(IF($AD$1:$DR$1=HO$1,IF(LEFT(UPPER(SUBSTITUTE($AD12:$DR12," ","")),1)=HO$9,1,0),0))</f>
        <v>0</v>
      </c>
      <c r="HP12" s="33">
        <f t="array" ref="HP12">SUM(IF($AD$1:$DR$1=HP$1,IF(LEFT(UPPER(SUBSTITUTE($AD12:$DR12," ","")),1)=HP$10,1,0),0))</f>
        <v>0</v>
      </c>
      <c r="HQ12" s="33">
        <f t="array" ref="HQ12">SUM(IF($AD$1:$DR$1=HQ$1,IF(ISBLANK($AD12:$DR12),0,IF($AD12:$DR12="",0,IF($AD12:$DR12=" ",0,1))),0))</f>
        <v>0</v>
      </c>
      <c r="HR12" s="33">
        <f t="array" ref="HR12">SUM(IF($AD$1:$DR$1=HR$1,IF(ISNUMBER($AD12:$DR12),$AD12:$DR12,0),0))</f>
        <v>0</v>
      </c>
      <c r="HS12" s="33">
        <f t="array" ref="HS12">SUM(IF($AD$1:$DR$1=HS$1,IF(ISNUMBER($AD12:$DR12),$AD12:$DR12*$AD$9:$DR$9,0),0))</f>
        <v>0</v>
      </c>
      <c r="HT12" s="37">
        <f>IF(OR(HO$3&gt;0,HQ$3&gt;0),IF(HS$3&gt;0,HS12/HS$3,0),0)</f>
        <v>0</v>
      </c>
      <c r="HU12" s="92"/>
      <c r="HV12" s="33">
        <f t="array" ref="HV12">SUM(IF($DW$1:$HB$1=HV$1,IF(NOT(ISBLANK($DW12:$HB12)),IF(LEFT(UPPER(SUBSTITUTE($DW12:$HB12," ","")),1)=HV$9,1,0),0),0))</f>
        <v>0</v>
      </c>
      <c r="HW12" s="33">
        <f t="array" ref="HW12">SUM(IF($DW$1:$HB$1=HW$1,IF(NOT(ISBLANK($DW12:$HB12)),IF(LEFT(UPPER(SUBSTITUTE($DW12:$HB12," ","")),1)=HW$9,1,0),0),0))</f>
        <v>0</v>
      </c>
      <c r="HX12" s="33">
        <f t="array" ref="HX12">SUM(IF($DW$1:$HB$1=HX$1,IF(NOT(ISBLANK($DW12:$HB12)),IF(LEFT(UPPER(SUBSTITUTE($DW12:$HB12," ","")),1)=HX$9,1,0),0),0))</f>
        <v>0</v>
      </c>
      <c r="HY12" s="33">
        <f t="array" ref="HY12">SUM(IF($DW$1:$HB$1=HY$1,IF(NOT(ISBLANK($DW12:$HB12)),IF(LEFT(UPPER(SUBSTITUTE($DW12:$HB12," ","")),1)=HY$9,1,0),0),0))</f>
        <v>0</v>
      </c>
      <c r="HZ12" s="33">
        <f t="array" ref="HZ12">SUM(IF($DW$1:$HB$1=HZ$1,IF(NOT(ISBLANK($DW12:$HB12)),IF(LEFT(UPPER(SUBSTITUTE($DW12:$HB12," ","")),1)=HZ$9,1,0),0),0))</f>
        <v>1</v>
      </c>
      <c r="IA12" s="33">
        <f t="array" ref="IA12">SUM(IF($DW$1:$HB$1=IA$1,IF(NOT(ISBLANK($DW12:$HB12)),IF(LEFT(UPPER(SUBSTITUTE($DW12:$HB12," ","")),1)=IA$9,1,0),0),0))</f>
        <v>0</v>
      </c>
      <c r="IB12" s="33" t="str">
        <f>IF(IA12&gt;0,IA$9,IF(HZ12&gt;0,HZ$9,IF(HY12&gt;0,HY$9,IF(HX12&gt;0,HX$9,IF(HW12&gt;0,HW$9,IF(HV12&gt;0,HV$9,"?"))))))</f>
        <v>E</v>
      </c>
      <c r="IC12" s="33">
        <f t="array" ref="IC12">SUM(IF($DW$1:$HB$1=IC$1,IF(LEFT(UPPER(SUBSTITUTE($DW12:$HB12," ","")),1)=IC$9,1,0),0))</f>
        <v>1</v>
      </c>
      <c r="ID12" s="33">
        <f t="array" ref="ID12">SUM(IF($DW$1:$HB$1=ID$1,IF(LEFT(UPPER(SUBSTITUTE($DW12:$HB12," ","")),1)=ID$10,1,0),0))</f>
        <v>0</v>
      </c>
      <c r="IE12" s="33">
        <f t="array" ref="IE12">SUM(IF($DW$1:$HB$1=IE$1,IF(ISBLANK($DW12:$HB12),0,IF($DW12:$HB12="",0,IF($DW12:$HB12=" ",0,1))),0))</f>
        <v>1</v>
      </c>
      <c r="IF12" s="33">
        <f t="array" ref="IF12">SUM(IF($DW$1:$HB$1=IF$1,IF(ISNUMBER($DW12:$HB12),$DW12:$HB12,0),0))</f>
        <v>1</v>
      </c>
      <c r="IG12" s="33">
        <f t="array" ref="IG12">SUM(IF($DW$1:$HB$1=IG$1,IF(ISNUMBER($DW12:$HB12),$DW12:$HB12*$DW$9:$HB$9,0),0))</f>
        <v>1</v>
      </c>
      <c r="IH12" s="37">
        <f>IF(OR(IC$3&gt;0,IE$3&gt;0),IF(IG$3&gt;0,IG12/IG$3,0),0)</f>
        <v>0.05</v>
      </c>
    </row>
    <row r="13" spans="1:242" s="26" customFormat="1" ht="39" customHeight="1" x14ac:dyDescent="0.25">
      <c r="A13" s="170" t="str">
        <f>'Leerdoelen,Kennisbasis,Toetsing'!B10</f>
        <v>geel</v>
      </c>
      <c r="B13" s="169" t="str">
        <f>IF(NOT(ISBLANK('Leerdoelen,Kennisbasis,Toetsing'!C10)),'Leerdoelen,Kennisbasis,Toetsing'!C10,"")</f>
        <v>LSC</v>
      </c>
      <c r="C13" s="137" t="str">
        <f>IF(NOT(ISBLANK('Leerdoelen,Kennisbasis,Toetsing'!D10)),'Leerdoelen,Kennisbasis,Toetsing'!D10,"")</f>
        <v>T</v>
      </c>
      <c r="D13" s="138" t="s">
        <v>104</v>
      </c>
      <c r="E13" s="139" t="str">
        <f>IF(NOT(ISBLANK('Leerdoelen,Kennisbasis,Toetsing'!F10)),'Leerdoelen,Kennisbasis,Toetsing'!F10,"")</f>
        <v>SW</v>
      </c>
      <c r="F13" s="171" t="str">
        <f>IF(NOT(ISBLANK('Leerdoelen,Kennisbasis,Toetsing'!G10)),'Leerdoelen,Kennisbasis,Toetsing'!G10,"")</f>
        <v>1</v>
      </c>
      <c r="G13" s="140" t="str">
        <f>IF(NOT(ISBLANK('Leerdoelen,Kennisbasis,Toetsing'!H10)),'Leerdoelen,Kennisbasis,Toetsing'!H10,"")</f>
        <v>Op een gestructureerde manier een vergadering voorbereiden en hieraan deelnemen</v>
      </c>
      <c r="H13" s="107" t="str">
        <f>IF(NOT(ISBLANK('Leerdoelen,Kennisbasis,Toetsing'!I10)),'Leerdoelen,Kennisbasis,Toetsing'!I10,"")</f>
        <v>T</v>
      </c>
      <c r="I13" s="68">
        <v>0.1</v>
      </c>
      <c r="J13" s="9" t="str">
        <f t="shared" si="2"/>
        <v>T</v>
      </c>
      <c r="K13" s="69" t="str">
        <f t="shared" si="3"/>
        <v>ja</v>
      </c>
      <c r="L13" s="70">
        <f t="shared" si="4"/>
        <v>0.1</v>
      </c>
      <c r="M13" s="9" t="str">
        <f t="shared" ref="M13:M26" si="6">IF(OR(AC13="C",DS13="C"),"C",IF(OR(AC13="E",DS13="E"),"E",IF(OR(AC13="A",DS13="A"),"A",IF(OR(AC13="T",DS13="T"),"T",IF(OR(AC13="B",DS13="B"),"B",IF(OR(AC13="K",DS13="K"),"K",IF(OR(AC13&lt;&gt;"",DS13&lt;&gt;""),"?","")))))))</f>
        <v/>
      </c>
      <c r="N13" s="69" t="str">
        <f t="shared" ref="N13:N26" si="7">IF(DT13&lt;&gt;"",IF(DT13="J","ja","nee"),IF(ISNUMBER(AE13),"nee",""))</f>
        <v/>
      </c>
      <c r="O13" s="70" t="str">
        <f t="shared" ref="O13:O26" si="8">IF(OR(ISNUMBER(AD13),ISNUMBER(DU13)),IF(ISNUMBER(AD13),(AD13*$AA$6),0)+IF(ISNUMBER(DU13),(DU13*$AM$6),0),"")</f>
        <v/>
      </c>
      <c r="P13" s="9" t="str">
        <f t="shared" ref="P13:P26" si="9">IF(HC13&lt;&gt;"",HC13,"")</f>
        <v>T</v>
      </c>
      <c r="Q13" s="69" t="str">
        <f t="shared" ref="Q13:Q26" si="10">IF(HD13&lt;&gt;"",IF(HD13="J","ja","nee"),"")</f>
        <v>ja</v>
      </c>
      <c r="R13" s="71">
        <f t="shared" ref="R13:R26" si="11">IF(ISNUMBER(HE13),HE13,"")</f>
        <v>0.1</v>
      </c>
      <c r="S13" s="24"/>
      <c r="T13" s="49"/>
      <c r="U13" s="50"/>
      <c r="V13" s="50"/>
      <c r="W13" s="50"/>
      <c r="X13" s="50"/>
      <c r="Y13" s="51"/>
      <c r="Z13" s="49"/>
      <c r="AA13" s="50"/>
      <c r="AB13" s="10" t="str">
        <f t="shared" ref="AB13:AB26" si="12">IF(AND(AE13&lt;&gt;0,AE13&lt;&gt;""),IF(AE13-(Z13+AA13)&lt;&gt;0,AE13-(Z13+AA13),""),"")</f>
        <v/>
      </c>
      <c r="AC13" s="9" t="str">
        <f t="shared" ref="AC13:AC26" si="13">IF(Y13&gt;0,"C",IF(X13&gt;0,"E",IF(W13&gt;0,"A",IF(V13&gt;0,"T",IF(U13&gt;0,"B",IF(T13&gt;0,"K",""))))))</f>
        <v/>
      </c>
      <c r="AD13" s="28" t="str">
        <f t="shared" si="5"/>
        <v/>
      </c>
      <c r="AE13" s="10" t="str">
        <f t="shared" ref="AE13:AE26" si="14">IF(SUM(T13:Y13)&gt;0,SUM(T13:Y13),"")</f>
        <v/>
      </c>
      <c r="AF13" s="25"/>
      <c r="AG13" s="53"/>
      <c r="AH13" s="63"/>
      <c r="AI13" s="54"/>
      <c r="AJ13" s="53"/>
      <c r="AK13" s="63"/>
      <c r="AL13" s="54"/>
      <c r="AM13" s="53"/>
      <c r="AN13" s="63"/>
      <c r="AO13" s="54"/>
      <c r="AP13" s="53"/>
      <c r="AQ13" s="63"/>
      <c r="AR13" s="54"/>
      <c r="AS13" s="53"/>
      <c r="AT13" s="63"/>
      <c r="AU13" s="54"/>
      <c r="AV13" s="53"/>
      <c r="AW13" s="63"/>
      <c r="AX13" s="54"/>
      <c r="AY13" s="53"/>
      <c r="AZ13" s="63"/>
      <c r="BA13" s="54"/>
      <c r="BB13" s="53"/>
      <c r="BC13" s="63"/>
      <c r="BD13" s="54"/>
      <c r="BE13" s="53"/>
      <c r="BF13" s="63"/>
      <c r="BG13" s="54"/>
      <c r="BH13" s="53"/>
      <c r="BI13" s="63"/>
      <c r="BJ13" s="54"/>
      <c r="BK13" s="53"/>
      <c r="BL13" s="63"/>
      <c r="BM13" s="54"/>
      <c r="BN13" s="53"/>
      <c r="BO13" s="63"/>
      <c r="BP13" s="54"/>
      <c r="BQ13" s="53"/>
      <c r="BR13" s="63"/>
      <c r="BS13" s="54"/>
      <c r="BT13" s="53"/>
      <c r="BU13" s="63"/>
      <c r="BV13" s="54"/>
      <c r="BW13" s="53"/>
      <c r="BX13" s="63"/>
      <c r="BY13" s="54"/>
      <c r="BZ13" s="53"/>
      <c r="CA13" s="63"/>
      <c r="CB13" s="54"/>
      <c r="CC13" s="53"/>
      <c r="CD13" s="63"/>
      <c r="CE13" s="54"/>
      <c r="CF13" s="53"/>
      <c r="CG13" s="63"/>
      <c r="CH13" s="54"/>
      <c r="CI13" s="53"/>
      <c r="CJ13" s="63"/>
      <c r="CK13" s="54"/>
      <c r="CL13" s="53"/>
      <c r="CM13" s="63"/>
      <c r="CN13" s="54"/>
      <c r="CO13" s="53"/>
      <c r="CP13" s="63"/>
      <c r="CQ13" s="54"/>
      <c r="CR13" s="53"/>
      <c r="CS13" s="63"/>
      <c r="CT13" s="54"/>
      <c r="CU13" s="53"/>
      <c r="CV13" s="63"/>
      <c r="CW13" s="54"/>
      <c r="CX13" s="53"/>
      <c r="CY13" s="63"/>
      <c r="CZ13" s="54"/>
      <c r="DA13" s="53"/>
      <c r="DB13" s="63"/>
      <c r="DC13" s="54"/>
      <c r="DD13" s="53"/>
      <c r="DE13" s="63"/>
      <c r="DF13" s="54"/>
      <c r="DG13" s="53"/>
      <c r="DH13" s="63"/>
      <c r="DI13" s="54"/>
      <c r="DJ13" s="53"/>
      <c r="DK13" s="63"/>
      <c r="DL13" s="54"/>
      <c r="DM13" s="53"/>
      <c r="DN13" s="63"/>
      <c r="DO13" s="54"/>
      <c r="DP13" s="53"/>
      <c r="DQ13" s="63"/>
      <c r="DR13" s="54"/>
      <c r="DS13" s="18" t="str">
        <f t="shared" ref="DS13:DS26" si="15">IF(AND(SUM(HH13:HM13)=0,HO13=0,HP13=0,HR13=0),"",HN13)</f>
        <v/>
      </c>
      <c r="DT13" s="64" t="str">
        <f t="shared" ref="DT13:DT26" si="16">IF(AND(SUM(HH13:HM13)=0,HO13=0,HP13=0,HR13=0),"",IF(HO13&gt;0,$IC$9,$ID$10))</f>
        <v/>
      </c>
      <c r="DU13" s="38" t="str">
        <f t="shared" ref="DU13:DU26" si="17">IF(AND(SUM(HH13:HM13)=0,HO13=0,HP13=0,HR13=0),"",HT13)</f>
        <v/>
      </c>
      <c r="DW13" s="53"/>
      <c r="DX13" s="63"/>
      <c r="DY13" s="54"/>
      <c r="DZ13" s="53" t="s">
        <v>61</v>
      </c>
      <c r="EA13" s="63" t="s">
        <v>90</v>
      </c>
      <c r="EB13" s="54">
        <v>2</v>
      </c>
      <c r="EC13" s="53"/>
      <c r="ED13" s="63"/>
      <c r="EE13" s="54"/>
      <c r="EF13" s="53"/>
      <c r="EG13" s="63"/>
      <c r="EH13" s="54"/>
      <c r="EI13" s="53"/>
      <c r="EJ13" s="63"/>
      <c r="EK13" s="54"/>
      <c r="EL13" s="53"/>
      <c r="EM13" s="63"/>
      <c r="EN13" s="54"/>
      <c r="EO13" s="53"/>
      <c r="EP13" s="63"/>
      <c r="EQ13" s="54"/>
      <c r="ER13" s="53"/>
      <c r="ES13" s="63"/>
      <c r="ET13" s="54"/>
      <c r="EU13" s="53"/>
      <c r="EV13" s="63"/>
      <c r="EW13" s="54"/>
      <c r="EX13" s="53"/>
      <c r="EY13" s="63"/>
      <c r="EZ13" s="54"/>
      <c r="FA13" s="53"/>
      <c r="FB13" s="63"/>
      <c r="FC13" s="54"/>
      <c r="FD13" s="53"/>
      <c r="FE13" s="63"/>
      <c r="FF13" s="54"/>
      <c r="FG13" s="53"/>
      <c r="FH13" s="63"/>
      <c r="FI13" s="54"/>
      <c r="FJ13" s="53"/>
      <c r="FK13" s="63"/>
      <c r="FL13" s="54"/>
      <c r="FM13" s="53"/>
      <c r="FN13" s="63"/>
      <c r="FO13" s="54"/>
      <c r="FP13" s="53"/>
      <c r="FQ13" s="63"/>
      <c r="FR13" s="54"/>
      <c r="FS13" s="53"/>
      <c r="FT13" s="63"/>
      <c r="FU13" s="54"/>
      <c r="FV13" s="53"/>
      <c r="FW13" s="63"/>
      <c r="FX13" s="54"/>
      <c r="FY13" s="53"/>
      <c r="FZ13" s="63"/>
      <c r="GA13" s="54"/>
      <c r="GB13" s="53"/>
      <c r="GC13" s="63"/>
      <c r="GD13" s="54"/>
      <c r="GE13" s="53"/>
      <c r="GF13" s="63"/>
      <c r="GG13" s="54"/>
      <c r="GH13" s="53"/>
      <c r="GI13" s="63"/>
      <c r="GJ13" s="54"/>
      <c r="GK13" s="53"/>
      <c r="GL13" s="63"/>
      <c r="GM13" s="54"/>
      <c r="GN13" s="53"/>
      <c r="GO13" s="63"/>
      <c r="GP13" s="54"/>
      <c r="GQ13" s="53"/>
      <c r="GR13" s="63"/>
      <c r="GS13" s="54"/>
      <c r="GT13" s="53"/>
      <c r="GU13" s="63"/>
      <c r="GV13" s="54"/>
      <c r="GW13" s="53"/>
      <c r="GX13" s="63"/>
      <c r="GY13" s="54"/>
      <c r="GZ13" s="53"/>
      <c r="HA13" s="63"/>
      <c r="HB13" s="54"/>
      <c r="HC13" s="18" t="str">
        <f t="shared" ref="HC13:HC26" si="18">IF(AND(SUM(HV13:IA13)=0,IC13=0,ID13=0,IF13=0),"",IB13)</f>
        <v>T</v>
      </c>
      <c r="HD13" s="64" t="str">
        <f t="shared" ref="HD13:HD26" si="19">IF(AND(SUM(HV13:IA13)=0,IC13=0,ID13=0,IF13=0),"",IF(IC13&gt;0,$IC$9,$ID$10))</f>
        <v>J</v>
      </c>
      <c r="HE13" s="38">
        <f t="shared" ref="HE13:HE26" si="20">IF(AND(SUM(HV13:IA13)=0,IC13=0,ID13=0,IF13=0),"",IH13)</f>
        <v>0.1</v>
      </c>
      <c r="HF13" s="92"/>
      <c r="HG13" s="92"/>
      <c r="HH13" s="33">
        <f t="array" ref="HH13">SUM(IF($AD$1:$DR$1=HH$1,IF(NOT(ISBLANK($AD13:$DR13)),IF(LEFT(UPPER(SUBSTITUTE($AD13:$DR13," ","")),1)=HH$9,1,0),0),0))</f>
        <v>0</v>
      </c>
      <c r="HI13" s="33">
        <f t="array" ref="HI13">SUM(IF($AD$1:$DR$1=HI$1,IF(NOT(ISBLANK($AD13:$DR13)),IF(LEFT(UPPER(SUBSTITUTE($AD13:$DR13," ","")),1)=HI$9,1,0),0),0))</f>
        <v>0</v>
      </c>
      <c r="HJ13" s="33">
        <f t="array" ref="HJ13">SUM(IF($AD$1:$DR$1=HJ$1,IF(NOT(ISBLANK($AD13:$DR13)),IF(LEFT(UPPER(SUBSTITUTE($AD13:$DR13," ","")),1)=HJ$9,1,0),0),0))</f>
        <v>0</v>
      </c>
      <c r="HK13" s="33">
        <f t="array" ref="HK13">SUM(IF($AD$1:$DR$1=HK$1,IF(NOT(ISBLANK($AD13:$DR13)),IF(LEFT(UPPER(SUBSTITUTE($AD13:$DR13," ","")),1)=HK$9,1,0),0),0))</f>
        <v>0</v>
      </c>
      <c r="HL13" s="33">
        <f t="array" ref="HL13">SUM(IF($AD$1:$DR$1=HL$1,IF(NOT(ISBLANK($AD13:$DR13)),IF(LEFT(UPPER(SUBSTITUTE($AD13:$DR13," ","")),1)=HL$9,1,0),0),0))</f>
        <v>0</v>
      </c>
      <c r="HM13" s="33">
        <f t="array" ref="HM13">SUM(IF($AD$1:$DR$1=HM$1,IF(NOT(ISBLANK($AD13:$DR13)),IF(LEFT(UPPER(SUBSTITUTE($AD13:$DR13," ","")),1)=HM$9,1,0),0),0))</f>
        <v>0</v>
      </c>
      <c r="HN13" s="33" t="str">
        <f t="shared" ref="HN13:HN26" si="21">IF(HM13&gt;0,HM$9,IF(HL13&gt;0,HL$9,IF(HK13&gt;0,HK$9,IF(HJ13&gt;0,HJ$9,IF(HI13&gt;0,HI$9,IF(HH13&gt;0,HH$9,"?"))))))</f>
        <v>?</v>
      </c>
      <c r="HO13" s="33">
        <f t="array" ref="HO13">SUM(IF($AD$1:$DR$1=HO$1,IF(LEFT(UPPER(SUBSTITUTE($AD13:$DR13," ","")),1)=HO$9,1,0),0))</f>
        <v>0</v>
      </c>
      <c r="HP13" s="33">
        <f t="array" ref="HP13">SUM(IF($AD$1:$DR$1=HP$1,IF(LEFT(UPPER(SUBSTITUTE($AD13:$DR13," ","")),1)=HP$10,1,0),0))</f>
        <v>0</v>
      </c>
      <c r="HQ13" s="33">
        <f t="array" ref="HQ13">SUM(IF($AD$1:$DR$1=HQ$1,IF(ISBLANK($AD13:$DR13),0,IF($AD13:$DR13="",0,IF($AD13:$DR13=" ",0,1))),0))</f>
        <v>0</v>
      </c>
      <c r="HR13" s="33">
        <f t="array" ref="HR13">SUM(IF($AD$1:$DR$1=HR$1,IF(ISNUMBER($AD13:$DR13),$AD13:$DR13,0),0))</f>
        <v>0</v>
      </c>
      <c r="HS13" s="33">
        <f t="array" ref="HS13">SUM(IF($AD$1:$DR$1=HS$1,IF(ISNUMBER($AD13:$DR13),$AD13:$DR13*$AD$9:$DR$9,0),0))</f>
        <v>0</v>
      </c>
      <c r="HT13" s="37">
        <f t="shared" ref="HT13:HT26" si="22">IF(OR(HO$3&gt;0,HQ$3&gt;0),IF(HS$3&gt;0,HS13/HS$3,0),0)</f>
        <v>0</v>
      </c>
      <c r="HU13" s="92"/>
      <c r="HV13" s="33">
        <f t="array" ref="HV13">SUM(IF($DW$1:$HB$1=HV$1,IF(NOT(ISBLANK($DW13:$HB13)),IF(LEFT(UPPER(SUBSTITUTE($DW13:$HB13," ","")),1)=HV$9,1,0),0),0))</f>
        <v>0</v>
      </c>
      <c r="HW13" s="33">
        <f t="array" ref="HW13">SUM(IF($DW$1:$HB$1=HW$1,IF(NOT(ISBLANK($DW13:$HB13)),IF(LEFT(UPPER(SUBSTITUTE($DW13:$HB13," ","")),1)=HW$9,1,0),0),0))</f>
        <v>0</v>
      </c>
      <c r="HX13" s="33">
        <f t="array" ref="HX13">SUM(IF($DW$1:$HB$1=HX$1,IF(NOT(ISBLANK($DW13:$HB13)),IF(LEFT(UPPER(SUBSTITUTE($DW13:$HB13," ","")),1)=HX$9,1,0),0),0))</f>
        <v>1</v>
      </c>
      <c r="HY13" s="33">
        <f t="array" ref="HY13">SUM(IF($DW$1:$HB$1=HY$1,IF(NOT(ISBLANK($DW13:$HB13)),IF(LEFT(UPPER(SUBSTITUTE($DW13:$HB13," ","")),1)=HY$9,1,0),0),0))</f>
        <v>0</v>
      </c>
      <c r="HZ13" s="33">
        <f t="array" ref="HZ13">SUM(IF($DW$1:$HB$1=HZ$1,IF(NOT(ISBLANK($DW13:$HB13)),IF(LEFT(UPPER(SUBSTITUTE($DW13:$HB13," ","")),1)=HZ$9,1,0),0),0))</f>
        <v>0</v>
      </c>
      <c r="IA13" s="33">
        <f t="array" ref="IA13">SUM(IF($DW$1:$HB$1=IA$1,IF(NOT(ISBLANK($DW13:$HB13)),IF(LEFT(UPPER(SUBSTITUTE($DW13:$HB13," ","")),1)=IA$9,1,0),0),0))</f>
        <v>0</v>
      </c>
      <c r="IB13" s="33" t="str">
        <f t="shared" ref="IB13:IB26" si="23">IF(IA13&gt;0,IA$9,IF(HZ13&gt;0,HZ$9,IF(HY13&gt;0,HY$9,IF(HX13&gt;0,HX$9,IF(HW13&gt;0,HW$9,IF(HV13&gt;0,HV$9,"?"))))))</f>
        <v>T</v>
      </c>
      <c r="IC13" s="33">
        <f t="array" ref="IC13">SUM(IF($DW$1:$HB$1=IC$1,IF(LEFT(UPPER(SUBSTITUTE($DW13:$HB13," ","")),1)=IC$9,1,0),0))</f>
        <v>1</v>
      </c>
      <c r="ID13" s="33">
        <f t="array" ref="ID13">SUM(IF($DW$1:$HB$1=ID$1,IF(LEFT(UPPER(SUBSTITUTE($DW13:$HB13," ","")),1)=ID$10,1,0),0))</f>
        <v>0</v>
      </c>
      <c r="IE13" s="33">
        <f t="array" ref="IE13">SUM(IF($DW$1:$HB$1=IE$1,IF(ISBLANK($DW13:$HB13),0,IF($DW13:$HB13="",0,IF($DW13:$HB13=" ",0,1))),0))</f>
        <v>1</v>
      </c>
      <c r="IF13" s="33">
        <f t="array" ref="IF13">SUM(IF($DW$1:$HB$1=IF$1,IF(ISNUMBER($DW13:$HB13),$DW13:$HB13,0),0))</f>
        <v>2</v>
      </c>
      <c r="IG13" s="33">
        <f t="array" ref="IG13">SUM(IF($DW$1:$HB$1=IG$1,IF(ISNUMBER($DW13:$HB13),$DW13:$HB13*$DW$9:$HB$9,0),0))</f>
        <v>2</v>
      </c>
      <c r="IH13" s="37">
        <f t="shared" ref="IH13:IH26" si="24">IF(OR(IC$3&gt;0,IE$3&gt;0),IF(IG$3&gt;0,IG13/IG$3,0),0)</f>
        <v>0.1</v>
      </c>
    </row>
    <row r="14" spans="1:242" s="26" customFormat="1" ht="39" customHeight="1" x14ac:dyDescent="0.25">
      <c r="A14" s="170" t="str">
        <f>'Leerdoelen,Kennisbasis,Toetsing'!B11</f>
        <v>geel</v>
      </c>
      <c r="B14" s="169" t="str">
        <f>IF(NOT(ISBLANK('Leerdoelen,Kennisbasis,Toetsing'!C11)),'Leerdoelen,Kennisbasis,Toetsing'!C11,"")</f>
        <v>LSC</v>
      </c>
      <c r="C14" s="137" t="str">
        <f>IF(NOT(ISBLANK('Leerdoelen,Kennisbasis,Toetsing'!D11)),'Leerdoelen,Kennisbasis,Toetsing'!D11,"")</f>
        <v>T</v>
      </c>
      <c r="D14" s="138" t="s">
        <v>104</v>
      </c>
      <c r="E14" s="139" t="str">
        <f>IF(NOT(ISBLANK('Leerdoelen,Kennisbasis,Toetsing'!F11)),'Leerdoelen,Kennisbasis,Toetsing'!F11,"")</f>
        <v>SW</v>
      </c>
      <c r="F14" s="171" t="str">
        <f>IF(NOT(ISBLANK('Leerdoelen,Kennisbasis,Toetsing'!G11)),'Leerdoelen,Kennisbasis,Toetsing'!G11,"")</f>
        <v>1</v>
      </c>
      <c r="G14" s="140" t="str">
        <f>IF(NOT(ISBLANK('Leerdoelen,Kennisbasis,Toetsing'!H11)),'Leerdoelen,Kennisbasis,Toetsing'!H11,"")</f>
        <v>Op constructieve wijze samenwerken met de projectgenoten ten behoeve van het eindproduct</v>
      </c>
      <c r="H14" s="107" t="str">
        <f>IF(NOT(ISBLANK('Leerdoelen,Kennisbasis,Toetsing'!I11)),'Leerdoelen,Kennisbasis,Toetsing'!I11,"")</f>
        <v>C</v>
      </c>
      <c r="I14" s="68">
        <v>0.1</v>
      </c>
      <c r="J14" s="9" t="str">
        <f t="shared" si="2"/>
        <v>C</v>
      </c>
      <c r="K14" s="69" t="str">
        <f t="shared" si="3"/>
        <v>ja</v>
      </c>
      <c r="L14" s="70">
        <f t="shared" si="4"/>
        <v>0.1</v>
      </c>
      <c r="M14" s="9" t="str">
        <f t="shared" si="6"/>
        <v/>
      </c>
      <c r="N14" s="69" t="str">
        <f t="shared" si="7"/>
        <v/>
      </c>
      <c r="O14" s="70" t="str">
        <f t="shared" si="8"/>
        <v/>
      </c>
      <c r="P14" s="9" t="str">
        <f t="shared" si="9"/>
        <v>C</v>
      </c>
      <c r="Q14" s="69" t="str">
        <f t="shared" si="10"/>
        <v>ja</v>
      </c>
      <c r="R14" s="71">
        <f t="shared" si="11"/>
        <v>0.1</v>
      </c>
      <c r="S14" s="24"/>
      <c r="T14" s="49"/>
      <c r="U14" s="50"/>
      <c r="V14" s="50"/>
      <c r="W14" s="50"/>
      <c r="X14" s="50"/>
      <c r="Y14" s="51"/>
      <c r="Z14" s="49"/>
      <c r="AA14" s="50"/>
      <c r="AB14" s="10" t="str">
        <f t="shared" si="12"/>
        <v/>
      </c>
      <c r="AC14" s="9" t="str">
        <f t="shared" si="13"/>
        <v/>
      </c>
      <c r="AD14" s="28" t="str">
        <f t="shared" si="5"/>
        <v/>
      </c>
      <c r="AE14" s="10" t="str">
        <f t="shared" si="14"/>
        <v/>
      </c>
      <c r="AF14" s="25"/>
      <c r="AG14" s="53"/>
      <c r="AH14" s="63"/>
      <c r="AI14" s="54"/>
      <c r="AJ14" s="53"/>
      <c r="AK14" s="63"/>
      <c r="AL14" s="54"/>
      <c r="AM14" s="53"/>
      <c r="AN14" s="63"/>
      <c r="AO14" s="54"/>
      <c r="AP14" s="53"/>
      <c r="AQ14" s="63"/>
      <c r="AR14" s="54"/>
      <c r="AS14" s="53"/>
      <c r="AT14" s="63"/>
      <c r="AU14" s="54"/>
      <c r="AV14" s="53"/>
      <c r="AW14" s="63"/>
      <c r="AX14" s="54"/>
      <c r="AY14" s="53"/>
      <c r="AZ14" s="63"/>
      <c r="BA14" s="54"/>
      <c r="BB14" s="53"/>
      <c r="BC14" s="63"/>
      <c r="BD14" s="54"/>
      <c r="BE14" s="53"/>
      <c r="BF14" s="63"/>
      <c r="BG14" s="54"/>
      <c r="BH14" s="53"/>
      <c r="BI14" s="63"/>
      <c r="BJ14" s="54"/>
      <c r="BK14" s="53"/>
      <c r="BL14" s="63"/>
      <c r="BM14" s="54"/>
      <c r="BN14" s="53"/>
      <c r="BO14" s="63"/>
      <c r="BP14" s="54"/>
      <c r="BQ14" s="53"/>
      <c r="BR14" s="63"/>
      <c r="BS14" s="54"/>
      <c r="BT14" s="53"/>
      <c r="BU14" s="63"/>
      <c r="BV14" s="54"/>
      <c r="BW14" s="53"/>
      <c r="BX14" s="63"/>
      <c r="BY14" s="54"/>
      <c r="BZ14" s="53"/>
      <c r="CA14" s="63"/>
      <c r="CB14" s="54"/>
      <c r="CC14" s="53"/>
      <c r="CD14" s="63"/>
      <c r="CE14" s="54"/>
      <c r="CF14" s="53"/>
      <c r="CG14" s="63"/>
      <c r="CH14" s="54"/>
      <c r="CI14" s="53"/>
      <c r="CJ14" s="63"/>
      <c r="CK14" s="54"/>
      <c r="CL14" s="53"/>
      <c r="CM14" s="63"/>
      <c r="CN14" s="54"/>
      <c r="CO14" s="53"/>
      <c r="CP14" s="63"/>
      <c r="CQ14" s="54"/>
      <c r="CR14" s="53"/>
      <c r="CS14" s="63"/>
      <c r="CT14" s="54"/>
      <c r="CU14" s="53"/>
      <c r="CV14" s="63"/>
      <c r="CW14" s="54"/>
      <c r="CX14" s="53"/>
      <c r="CY14" s="63"/>
      <c r="CZ14" s="54"/>
      <c r="DA14" s="53"/>
      <c r="DB14" s="63"/>
      <c r="DC14" s="54"/>
      <c r="DD14" s="53"/>
      <c r="DE14" s="63"/>
      <c r="DF14" s="54"/>
      <c r="DG14" s="53"/>
      <c r="DH14" s="63"/>
      <c r="DI14" s="54"/>
      <c r="DJ14" s="53"/>
      <c r="DK14" s="63"/>
      <c r="DL14" s="54"/>
      <c r="DM14" s="53"/>
      <c r="DN14" s="63"/>
      <c r="DO14" s="54"/>
      <c r="DP14" s="53"/>
      <c r="DQ14" s="63"/>
      <c r="DR14" s="54"/>
      <c r="DS14" s="18" t="str">
        <f t="shared" si="15"/>
        <v/>
      </c>
      <c r="DT14" s="64" t="str">
        <f t="shared" si="16"/>
        <v/>
      </c>
      <c r="DU14" s="38" t="str">
        <f t="shared" si="17"/>
        <v/>
      </c>
      <c r="DW14" s="53" t="s">
        <v>64</v>
      </c>
      <c r="DX14" s="63" t="s">
        <v>90</v>
      </c>
      <c r="DY14" s="54">
        <v>2</v>
      </c>
      <c r="DZ14" s="53"/>
      <c r="EA14" s="63"/>
      <c r="EB14" s="54"/>
      <c r="EC14" s="53"/>
      <c r="ED14" s="63"/>
      <c r="EE14" s="54"/>
      <c r="EF14" s="53"/>
      <c r="EG14" s="63"/>
      <c r="EH14" s="54"/>
      <c r="EI14" s="53"/>
      <c r="EJ14" s="63"/>
      <c r="EK14" s="54"/>
      <c r="EL14" s="53"/>
      <c r="EM14" s="63"/>
      <c r="EN14" s="54"/>
      <c r="EO14" s="53"/>
      <c r="EP14" s="63"/>
      <c r="EQ14" s="54"/>
      <c r="ER14" s="53"/>
      <c r="ES14" s="63"/>
      <c r="ET14" s="54"/>
      <c r="EU14" s="53"/>
      <c r="EV14" s="63"/>
      <c r="EW14" s="54"/>
      <c r="EX14" s="53"/>
      <c r="EY14" s="63"/>
      <c r="EZ14" s="54"/>
      <c r="FA14" s="53"/>
      <c r="FB14" s="63"/>
      <c r="FC14" s="54"/>
      <c r="FD14" s="53"/>
      <c r="FE14" s="63"/>
      <c r="FF14" s="54"/>
      <c r="FG14" s="53"/>
      <c r="FH14" s="63"/>
      <c r="FI14" s="54"/>
      <c r="FJ14" s="53"/>
      <c r="FK14" s="63"/>
      <c r="FL14" s="54"/>
      <c r="FM14" s="53"/>
      <c r="FN14" s="63"/>
      <c r="FO14" s="54"/>
      <c r="FP14" s="53"/>
      <c r="FQ14" s="63"/>
      <c r="FR14" s="54"/>
      <c r="FS14" s="53"/>
      <c r="FT14" s="63"/>
      <c r="FU14" s="54"/>
      <c r="FV14" s="53"/>
      <c r="FW14" s="63"/>
      <c r="FX14" s="54"/>
      <c r="FY14" s="53"/>
      <c r="FZ14" s="63"/>
      <c r="GA14" s="54"/>
      <c r="GB14" s="53"/>
      <c r="GC14" s="63"/>
      <c r="GD14" s="54"/>
      <c r="GE14" s="53"/>
      <c r="GF14" s="63"/>
      <c r="GG14" s="54"/>
      <c r="GH14" s="53"/>
      <c r="GI14" s="63"/>
      <c r="GJ14" s="54"/>
      <c r="GK14" s="53"/>
      <c r="GL14" s="63"/>
      <c r="GM14" s="54"/>
      <c r="GN14" s="53"/>
      <c r="GO14" s="63"/>
      <c r="GP14" s="54"/>
      <c r="GQ14" s="53"/>
      <c r="GR14" s="63"/>
      <c r="GS14" s="54"/>
      <c r="GT14" s="53"/>
      <c r="GU14" s="63"/>
      <c r="GV14" s="54"/>
      <c r="GW14" s="53"/>
      <c r="GX14" s="63"/>
      <c r="GY14" s="54"/>
      <c r="GZ14" s="53"/>
      <c r="HA14" s="63"/>
      <c r="HB14" s="54"/>
      <c r="HC14" s="18" t="str">
        <f t="shared" si="18"/>
        <v>C</v>
      </c>
      <c r="HD14" s="64" t="str">
        <f t="shared" si="19"/>
        <v>J</v>
      </c>
      <c r="HE14" s="38">
        <f t="shared" si="20"/>
        <v>0.1</v>
      </c>
      <c r="HF14" s="92"/>
      <c r="HG14" s="92"/>
      <c r="HH14" s="33">
        <f t="array" ref="HH14">SUM(IF($AD$1:$DR$1=HH$1,IF(NOT(ISBLANK($AD14:$DR14)),IF(LEFT(UPPER(SUBSTITUTE($AD14:$DR14," ","")),1)=HH$9,1,0),0),0))</f>
        <v>0</v>
      </c>
      <c r="HI14" s="33">
        <f t="array" ref="HI14">SUM(IF($AD$1:$DR$1=HI$1,IF(NOT(ISBLANK($AD14:$DR14)),IF(LEFT(UPPER(SUBSTITUTE($AD14:$DR14," ","")),1)=HI$9,1,0),0),0))</f>
        <v>0</v>
      </c>
      <c r="HJ14" s="33">
        <f t="array" ref="HJ14">SUM(IF($AD$1:$DR$1=HJ$1,IF(NOT(ISBLANK($AD14:$DR14)),IF(LEFT(UPPER(SUBSTITUTE($AD14:$DR14," ","")),1)=HJ$9,1,0),0),0))</f>
        <v>0</v>
      </c>
      <c r="HK14" s="33">
        <f t="array" ref="HK14">SUM(IF($AD$1:$DR$1=HK$1,IF(NOT(ISBLANK($AD14:$DR14)),IF(LEFT(UPPER(SUBSTITUTE($AD14:$DR14," ","")),1)=HK$9,1,0),0),0))</f>
        <v>0</v>
      </c>
      <c r="HL14" s="33">
        <f t="array" ref="HL14">SUM(IF($AD$1:$DR$1=HL$1,IF(NOT(ISBLANK($AD14:$DR14)),IF(LEFT(UPPER(SUBSTITUTE($AD14:$DR14," ","")),1)=HL$9,1,0),0),0))</f>
        <v>0</v>
      </c>
      <c r="HM14" s="33">
        <f t="array" ref="HM14">SUM(IF($AD$1:$DR$1=HM$1,IF(NOT(ISBLANK($AD14:$DR14)),IF(LEFT(UPPER(SUBSTITUTE($AD14:$DR14," ","")),1)=HM$9,1,0),0),0))</f>
        <v>0</v>
      </c>
      <c r="HN14" s="33" t="str">
        <f t="shared" si="21"/>
        <v>?</v>
      </c>
      <c r="HO14" s="33">
        <f t="array" ref="HO14">SUM(IF($AD$1:$DR$1=HO$1,IF(LEFT(UPPER(SUBSTITUTE($AD14:$DR14," ","")),1)=HO$9,1,0),0))</f>
        <v>0</v>
      </c>
      <c r="HP14" s="33">
        <f t="array" ref="HP14">SUM(IF($AD$1:$DR$1=HP$1,IF(LEFT(UPPER(SUBSTITUTE($AD14:$DR14," ","")),1)=HP$10,1,0),0))</f>
        <v>0</v>
      </c>
      <c r="HQ14" s="33">
        <f t="array" ref="HQ14">SUM(IF($AD$1:$DR$1=HQ$1,IF(ISBLANK($AD14:$DR14),0,IF($AD14:$DR14="",0,IF($AD14:$DR14=" ",0,1))),0))</f>
        <v>0</v>
      </c>
      <c r="HR14" s="33">
        <f t="array" ref="HR14">SUM(IF($AD$1:$DR$1=HR$1,IF(ISNUMBER($AD14:$DR14),$AD14:$DR14,0),0))</f>
        <v>0</v>
      </c>
      <c r="HS14" s="33">
        <f t="array" ref="HS14">SUM(IF($AD$1:$DR$1=HS$1,IF(ISNUMBER($AD14:$DR14),$AD14:$DR14*$AD$9:$DR$9,0),0))</f>
        <v>0</v>
      </c>
      <c r="HT14" s="37">
        <f t="shared" si="22"/>
        <v>0</v>
      </c>
      <c r="HU14" s="92"/>
      <c r="HV14" s="33">
        <f t="array" ref="HV14">SUM(IF($DW$1:$HB$1=HV$1,IF(NOT(ISBLANK($DW14:$HB14)),IF(LEFT(UPPER(SUBSTITUTE($DW14:$HB14," ","")),1)=HV$9,1,0),0),0))</f>
        <v>0</v>
      </c>
      <c r="HW14" s="33">
        <f t="array" ref="HW14">SUM(IF($DW$1:$HB$1=HW$1,IF(NOT(ISBLANK($DW14:$HB14)),IF(LEFT(UPPER(SUBSTITUTE($DW14:$HB14," ","")),1)=HW$9,1,0),0),0))</f>
        <v>0</v>
      </c>
      <c r="HX14" s="33">
        <f t="array" ref="HX14">SUM(IF($DW$1:$HB$1=HX$1,IF(NOT(ISBLANK($DW14:$HB14)),IF(LEFT(UPPER(SUBSTITUTE($DW14:$HB14," ","")),1)=HX$9,1,0),0),0))</f>
        <v>0</v>
      </c>
      <c r="HY14" s="33">
        <f t="array" ref="HY14">SUM(IF($DW$1:$HB$1=HY$1,IF(NOT(ISBLANK($DW14:$HB14)),IF(LEFT(UPPER(SUBSTITUTE($DW14:$HB14," ","")),1)=HY$9,1,0),0),0))</f>
        <v>0</v>
      </c>
      <c r="HZ14" s="33">
        <f t="array" ref="HZ14">SUM(IF($DW$1:$HB$1=HZ$1,IF(NOT(ISBLANK($DW14:$HB14)),IF(LEFT(UPPER(SUBSTITUTE($DW14:$HB14," ","")),1)=HZ$9,1,0),0),0))</f>
        <v>0</v>
      </c>
      <c r="IA14" s="33">
        <f t="array" ref="IA14">SUM(IF($DW$1:$HB$1=IA$1,IF(NOT(ISBLANK($DW14:$HB14)),IF(LEFT(UPPER(SUBSTITUTE($DW14:$HB14," ","")),1)=IA$9,1,0),0),0))</f>
        <v>1</v>
      </c>
      <c r="IB14" s="33" t="str">
        <f t="shared" si="23"/>
        <v>C</v>
      </c>
      <c r="IC14" s="33">
        <f t="array" ref="IC14">SUM(IF($DW$1:$HB$1=IC$1,IF(LEFT(UPPER(SUBSTITUTE($DW14:$HB14," ","")),1)=IC$9,1,0),0))</f>
        <v>1</v>
      </c>
      <c r="ID14" s="33">
        <f t="array" ref="ID14">SUM(IF($DW$1:$HB$1=ID$1,IF(LEFT(UPPER(SUBSTITUTE($DW14:$HB14," ","")),1)=ID$10,1,0),0))</f>
        <v>0</v>
      </c>
      <c r="IE14" s="33">
        <f t="array" ref="IE14">SUM(IF($DW$1:$HB$1=IE$1,IF(ISBLANK($DW14:$HB14),0,IF($DW14:$HB14="",0,IF($DW14:$HB14=" ",0,1))),0))</f>
        <v>1</v>
      </c>
      <c r="IF14" s="33">
        <f t="array" ref="IF14">SUM(IF($DW$1:$HB$1=IF$1,IF(ISNUMBER($DW14:$HB14),$DW14:$HB14,0),0))</f>
        <v>2</v>
      </c>
      <c r="IG14" s="33">
        <f t="array" ref="IG14">SUM(IF($DW$1:$HB$1=IG$1,IF(ISNUMBER($DW14:$HB14),$DW14:$HB14*$DW$9:$HB$9,0),0))</f>
        <v>2</v>
      </c>
      <c r="IH14" s="37">
        <f t="shared" si="24"/>
        <v>0.1</v>
      </c>
    </row>
    <row r="15" spans="1:242" s="26" customFormat="1" ht="39" customHeight="1" x14ac:dyDescent="0.25">
      <c r="A15" s="170" t="str">
        <f>'Leerdoelen,Kennisbasis,Toetsing'!B12</f>
        <v>abrikoos</v>
      </c>
      <c r="B15" s="169" t="str">
        <f>IF(NOT(ISBLANK('Leerdoelen,Kennisbasis,Toetsing'!C12)),'Leerdoelen,Kennisbasis,Toetsing'!C12,"")</f>
        <v>POKe</v>
      </c>
      <c r="C15" s="137" t="str">
        <f>IF(NOT(ISBLANK('Leerdoelen,Kennisbasis,Toetsing'!D12)),'Leerdoelen,Kennisbasis,Toetsing'!D12,"")</f>
        <v>T</v>
      </c>
      <c r="D15" s="138" t="s">
        <v>104</v>
      </c>
      <c r="E15" s="139" t="str">
        <f>IF(NOT(ISBLANK('Leerdoelen,Kennisbasis,Toetsing'!F12)),'Leerdoelen,Kennisbasis,Toetsing'!F12,"")</f>
        <v>SW</v>
      </c>
      <c r="F15" s="171" t="s">
        <v>167</v>
      </c>
      <c r="G15" s="140" t="str">
        <f>IF(NOT(ISBLANK('Leerdoelen,Kennisbasis,Toetsing'!H12)),'Leerdoelen,Kennisbasis,Toetsing'!H12,"")</f>
        <v>Op systematische manier (bijv. Gantt) een realistische planning maken rekening houdend met de aan het project gestelde eisen</v>
      </c>
      <c r="H15" s="107" t="str">
        <f>IF(NOT(ISBLANK('Leerdoelen,Kennisbasis,Toetsing'!I12)),'Leerdoelen,Kennisbasis,Toetsing'!I12,"")</f>
        <v>C</v>
      </c>
      <c r="I15" s="68">
        <v>0.1</v>
      </c>
      <c r="J15" s="9" t="str">
        <f t="shared" si="2"/>
        <v>C</v>
      </c>
      <c r="K15" s="69" t="str">
        <f t="shared" si="3"/>
        <v>ja</v>
      </c>
      <c r="L15" s="70">
        <f t="shared" si="4"/>
        <v>0.1</v>
      </c>
      <c r="M15" s="9" t="str">
        <f t="shared" si="6"/>
        <v/>
      </c>
      <c r="N15" s="69" t="str">
        <f t="shared" si="7"/>
        <v/>
      </c>
      <c r="O15" s="70" t="str">
        <f t="shared" si="8"/>
        <v/>
      </c>
      <c r="P15" s="9" t="str">
        <f t="shared" si="9"/>
        <v>C</v>
      </c>
      <c r="Q15" s="69" t="str">
        <f t="shared" si="10"/>
        <v>ja</v>
      </c>
      <c r="R15" s="71">
        <f t="shared" si="11"/>
        <v>0.1</v>
      </c>
      <c r="S15" s="24"/>
      <c r="T15" s="49"/>
      <c r="U15" s="50"/>
      <c r="V15" s="50"/>
      <c r="W15" s="50"/>
      <c r="X15" s="50"/>
      <c r="Y15" s="51"/>
      <c r="Z15" s="49"/>
      <c r="AA15" s="50"/>
      <c r="AB15" s="10" t="str">
        <f t="shared" si="12"/>
        <v/>
      </c>
      <c r="AC15" s="9" t="str">
        <f t="shared" si="13"/>
        <v/>
      </c>
      <c r="AD15" s="28" t="str">
        <f t="shared" si="5"/>
        <v/>
      </c>
      <c r="AE15" s="10" t="str">
        <f t="shared" si="14"/>
        <v/>
      </c>
      <c r="AF15" s="25"/>
      <c r="AG15" s="53"/>
      <c r="AH15" s="63"/>
      <c r="AI15" s="54"/>
      <c r="AJ15" s="53"/>
      <c r="AK15" s="63"/>
      <c r="AL15" s="54"/>
      <c r="AM15" s="53"/>
      <c r="AN15" s="63"/>
      <c r="AO15" s="54"/>
      <c r="AP15" s="53"/>
      <c r="AQ15" s="63"/>
      <c r="AR15" s="54"/>
      <c r="AS15" s="53"/>
      <c r="AT15" s="63"/>
      <c r="AU15" s="54"/>
      <c r="AV15" s="53"/>
      <c r="AW15" s="63"/>
      <c r="AX15" s="54"/>
      <c r="AY15" s="53"/>
      <c r="AZ15" s="63"/>
      <c r="BA15" s="54"/>
      <c r="BB15" s="53"/>
      <c r="BC15" s="63"/>
      <c r="BD15" s="54"/>
      <c r="BE15" s="53"/>
      <c r="BF15" s="63"/>
      <c r="BG15" s="54"/>
      <c r="BH15" s="53"/>
      <c r="BI15" s="63"/>
      <c r="BJ15" s="54"/>
      <c r="BK15" s="53"/>
      <c r="BL15" s="63"/>
      <c r="BM15" s="54"/>
      <c r="BN15" s="53"/>
      <c r="BO15" s="63"/>
      <c r="BP15" s="54"/>
      <c r="BQ15" s="53"/>
      <c r="BR15" s="63"/>
      <c r="BS15" s="54"/>
      <c r="BT15" s="53"/>
      <c r="BU15" s="63"/>
      <c r="BV15" s="54"/>
      <c r="BW15" s="53"/>
      <c r="BX15" s="63"/>
      <c r="BY15" s="54"/>
      <c r="BZ15" s="53"/>
      <c r="CA15" s="63"/>
      <c r="CB15" s="54"/>
      <c r="CC15" s="53"/>
      <c r="CD15" s="63"/>
      <c r="CE15" s="54"/>
      <c r="CF15" s="53"/>
      <c r="CG15" s="63"/>
      <c r="CH15" s="54"/>
      <c r="CI15" s="53"/>
      <c r="CJ15" s="63"/>
      <c r="CK15" s="54"/>
      <c r="CL15" s="53"/>
      <c r="CM15" s="63"/>
      <c r="CN15" s="54"/>
      <c r="CO15" s="53"/>
      <c r="CP15" s="63"/>
      <c r="CQ15" s="54"/>
      <c r="CR15" s="53"/>
      <c r="CS15" s="63"/>
      <c r="CT15" s="54"/>
      <c r="CU15" s="53"/>
      <c r="CV15" s="63"/>
      <c r="CW15" s="54"/>
      <c r="CX15" s="53"/>
      <c r="CY15" s="63"/>
      <c r="CZ15" s="54"/>
      <c r="DA15" s="53"/>
      <c r="DB15" s="63"/>
      <c r="DC15" s="54"/>
      <c r="DD15" s="53"/>
      <c r="DE15" s="63"/>
      <c r="DF15" s="54"/>
      <c r="DG15" s="53"/>
      <c r="DH15" s="63"/>
      <c r="DI15" s="54"/>
      <c r="DJ15" s="53"/>
      <c r="DK15" s="63"/>
      <c r="DL15" s="54"/>
      <c r="DM15" s="53"/>
      <c r="DN15" s="63"/>
      <c r="DO15" s="54"/>
      <c r="DP15" s="53"/>
      <c r="DQ15" s="63"/>
      <c r="DR15" s="54"/>
      <c r="DS15" s="18" t="str">
        <f t="shared" si="15"/>
        <v/>
      </c>
      <c r="DT15" s="64" t="str">
        <f t="shared" si="16"/>
        <v/>
      </c>
      <c r="DU15" s="38" t="str">
        <f t="shared" si="17"/>
        <v/>
      </c>
      <c r="DW15" s="53"/>
      <c r="DX15" s="63"/>
      <c r="DY15" s="54"/>
      <c r="DZ15" s="53"/>
      <c r="EA15" s="63"/>
      <c r="EB15" s="54"/>
      <c r="EC15" s="53" t="s">
        <v>64</v>
      </c>
      <c r="ED15" s="63" t="s">
        <v>90</v>
      </c>
      <c r="EE15" s="54">
        <v>2</v>
      </c>
      <c r="EF15" s="53"/>
      <c r="EG15" s="63"/>
      <c r="EH15" s="54"/>
      <c r="EI15" s="53"/>
      <c r="EJ15" s="63"/>
      <c r="EK15" s="54"/>
      <c r="EL15" s="53"/>
      <c r="EM15" s="63"/>
      <c r="EN15" s="54"/>
      <c r="EO15" s="53"/>
      <c r="EP15" s="63"/>
      <c r="EQ15" s="54"/>
      <c r="ER15" s="53"/>
      <c r="ES15" s="63"/>
      <c r="ET15" s="54"/>
      <c r="EU15" s="53"/>
      <c r="EV15" s="63"/>
      <c r="EW15" s="54"/>
      <c r="EX15" s="53"/>
      <c r="EY15" s="63"/>
      <c r="EZ15" s="54"/>
      <c r="FA15" s="53"/>
      <c r="FB15" s="63"/>
      <c r="FC15" s="54"/>
      <c r="FD15" s="53"/>
      <c r="FE15" s="63"/>
      <c r="FF15" s="54"/>
      <c r="FG15" s="53"/>
      <c r="FH15" s="63"/>
      <c r="FI15" s="54"/>
      <c r="FJ15" s="53"/>
      <c r="FK15" s="63"/>
      <c r="FL15" s="54"/>
      <c r="FM15" s="53"/>
      <c r="FN15" s="63"/>
      <c r="FO15" s="54"/>
      <c r="FP15" s="53"/>
      <c r="FQ15" s="63"/>
      <c r="FR15" s="54"/>
      <c r="FS15" s="53"/>
      <c r="FT15" s="63"/>
      <c r="FU15" s="54"/>
      <c r="FV15" s="53"/>
      <c r="FW15" s="63"/>
      <c r="FX15" s="54"/>
      <c r="FY15" s="53"/>
      <c r="FZ15" s="63"/>
      <c r="GA15" s="54"/>
      <c r="GB15" s="53"/>
      <c r="GC15" s="63"/>
      <c r="GD15" s="54"/>
      <c r="GE15" s="53"/>
      <c r="GF15" s="63"/>
      <c r="GG15" s="54"/>
      <c r="GH15" s="53"/>
      <c r="GI15" s="63"/>
      <c r="GJ15" s="54"/>
      <c r="GK15" s="53"/>
      <c r="GL15" s="63"/>
      <c r="GM15" s="54"/>
      <c r="GN15" s="53"/>
      <c r="GO15" s="63"/>
      <c r="GP15" s="54"/>
      <c r="GQ15" s="53"/>
      <c r="GR15" s="63"/>
      <c r="GS15" s="54"/>
      <c r="GT15" s="53"/>
      <c r="GU15" s="63"/>
      <c r="GV15" s="54"/>
      <c r="GW15" s="53"/>
      <c r="GX15" s="63"/>
      <c r="GY15" s="54"/>
      <c r="GZ15" s="53"/>
      <c r="HA15" s="63"/>
      <c r="HB15" s="54"/>
      <c r="HC15" s="18" t="str">
        <f t="shared" si="18"/>
        <v>C</v>
      </c>
      <c r="HD15" s="64" t="str">
        <f t="shared" si="19"/>
        <v>J</v>
      </c>
      <c r="HE15" s="38">
        <f t="shared" si="20"/>
        <v>0.1</v>
      </c>
      <c r="HF15" s="92"/>
      <c r="HG15" s="92"/>
      <c r="HH15" s="33">
        <f t="array" ref="HH15">SUM(IF($AD$1:$DR$1=HH$1,IF(NOT(ISBLANK($AD15:$DR15)),IF(LEFT(UPPER(SUBSTITUTE($AD15:$DR15," ","")),1)=HH$9,1,0),0),0))</f>
        <v>0</v>
      </c>
      <c r="HI15" s="33">
        <f t="array" ref="HI15">SUM(IF($AD$1:$DR$1=HI$1,IF(NOT(ISBLANK($AD15:$DR15)),IF(LEFT(UPPER(SUBSTITUTE($AD15:$DR15," ","")),1)=HI$9,1,0),0),0))</f>
        <v>0</v>
      </c>
      <c r="HJ15" s="33">
        <f t="array" ref="HJ15">SUM(IF($AD$1:$DR$1=HJ$1,IF(NOT(ISBLANK($AD15:$DR15)),IF(LEFT(UPPER(SUBSTITUTE($AD15:$DR15," ","")),1)=HJ$9,1,0),0),0))</f>
        <v>0</v>
      </c>
      <c r="HK15" s="33">
        <f t="array" ref="HK15">SUM(IF($AD$1:$DR$1=HK$1,IF(NOT(ISBLANK($AD15:$DR15)),IF(LEFT(UPPER(SUBSTITUTE($AD15:$DR15," ","")),1)=HK$9,1,0),0),0))</f>
        <v>0</v>
      </c>
      <c r="HL15" s="33">
        <f t="array" ref="HL15">SUM(IF($AD$1:$DR$1=HL$1,IF(NOT(ISBLANK($AD15:$DR15)),IF(LEFT(UPPER(SUBSTITUTE($AD15:$DR15," ","")),1)=HL$9,1,0),0),0))</f>
        <v>0</v>
      </c>
      <c r="HM15" s="33">
        <f t="array" ref="HM15">SUM(IF($AD$1:$DR$1=HM$1,IF(NOT(ISBLANK($AD15:$DR15)),IF(LEFT(UPPER(SUBSTITUTE($AD15:$DR15," ","")),1)=HM$9,1,0),0),0))</f>
        <v>0</v>
      </c>
      <c r="HN15" s="33" t="str">
        <f t="shared" si="21"/>
        <v>?</v>
      </c>
      <c r="HO15" s="33">
        <f t="array" ref="HO15">SUM(IF($AD$1:$DR$1=HO$1,IF(LEFT(UPPER(SUBSTITUTE($AD15:$DR15," ","")),1)=HO$9,1,0),0))</f>
        <v>0</v>
      </c>
      <c r="HP15" s="33">
        <f t="array" ref="HP15">SUM(IF($AD$1:$DR$1=HP$1,IF(LEFT(UPPER(SUBSTITUTE($AD15:$DR15," ","")),1)=HP$10,1,0),0))</f>
        <v>0</v>
      </c>
      <c r="HQ15" s="33">
        <f t="array" ref="HQ15">SUM(IF($AD$1:$DR$1=HQ$1,IF(ISBLANK($AD15:$DR15),0,IF($AD15:$DR15="",0,IF($AD15:$DR15=" ",0,1))),0))</f>
        <v>0</v>
      </c>
      <c r="HR15" s="33">
        <f t="array" ref="HR15">SUM(IF($AD$1:$DR$1=HR$1,IF(ISNUMBER($AD15:$DR15),$AD15:$DR15,0),0))</f>
        <v>0</v>
      </c>
      <c r="HS15" s="33">
        <f t="array" ref="HS15">SUM(IF($AD$1:$DR$1=HS$1,IF(ISNUMBER($AD15:$DR15),$AD15:$DR15*$AD$9:$DR$9,0),0))</f>
        <v>0</v>
      </c>
      <c r="HT15" s="37">
        <f t="shared" si="22"/>
        <v>0</v>
      </c>
      <c r="HU15" s="92"/>
      <c r="HV15" s="33">
        <f t="array" ref="HV15">SUM(IF($DW$1:$HB$1=HV$1,IF(NOT(ISBLANK($DW15:$HB15)),IF(LEFT(UPPER(SUBSTITUTE($DW15:$HB15," ","")),1)=HV$9,1,0),0),0))</f>
        <v>0</v>
      </c>
      <c r="HW15" s="33">
        <f t="array" ref="HW15">SUM(IF($DW$1:$HB$1=HW$1,IF(NOT(ISBLANK($DW15:$HB15)),IF(LEFT(UPPER(SUBSTITUTE($DW15:$HB15," ","")),1)=HW$9,1,0),0),0))</f>
        <v>0</v>
      </c>
      <c r="HX15" s="33">
        <f t="array" ref="HX15">SUM(IF($DW$1:$HB$1=HX$1,IF(NOT(ISBLANK($DW15:$HB15)),IF(LEFT(UPPER(SUBSTITUTE($DW15:$HB15," ","")),1)=HX$9,1,0),0),0))</f>
        <v>0</v>
      </c>
      <c r="HY15" s="33">
        <f t="array" ref="HY15">SUM(IF($DW$1:$HB$1=HY$1,IF(NOT(ISBLANK($DW15:$HB15)),IF(LEFT(UPPER(SUBSTITUTE($DW15:$HB15," ","")),1)=HY$9,1,0),0),0))</f>
        <v>0</v>
      </c>
      <c r="HZ15" s="33">
        <f t="array" ref="HZ15">SUM(IF($DW$1:$HB$1=HZ$1,IF(NOT(ISBLANK($DW15:$HB15)),IF(LEFT(UPPER(SUBSTITUTE($DW15:$HB15," ","")),1)=HZ$9,1,0),0),0))</f>
        <v>0</v>
      </c>
      <c r="IA15" s="33">
        <f t="array" ref="IA15">SUM(IF($DW$1:$HB$1=IA$1,IF(NOT(ISBLANK($DW15:$HB15)),IF(LEFT(UPPER(SUBSTITUTE($DW15:$HB15," ","")),1)=IA$9,1,0),0),0))</f>
        <v>1</v>
      </c>
      <c r="IB15" s="33" t="str">
        <f t="shared" si="23"/>
        <v>C</v>
      </c>
      <c r="IC15" s="33">
        <f t="array" ref="IC15">SUM(IF($DW$1:$HB$1=IC$1,IF(LEFT(UPPER(SUBSTITUTE($DW15:$HB15," ","")),1)=IC$9,1,0),0))</f>
        <v>1</v>
      </c>
      <c r="ID15" s="33">
        <f t="array" ref="ID15">SUM(IF($DW$1:$HB$1=ID$1,IF(LEFT(UPPER(SUBSTITUTE($DW15:$HB15," ","")),1)=ID$10,1,0),0))</f>
        <v>0</v>
      </c>
      <c r="IE15" s="33">
        <f t="array" ref="IE15">SUM(IF($DW$1:$HB$1=IE$1,IF(ISBLANK($DW15:$HB15),0,IF($DW15:$HB15="",0,IF($DW15:$HB15=" ",0,1))),0))</f>
        <v>1</v>
      </c>
      <c r="IF15" s="33">
        <f t="array" ref="IF15">SUM(IF($DW$1:$HB$1=IF$1,IF(ISNUMBER($DW15:$HB15),$DW15:$HB15,0),0))</f>
        <v>2</v>
      </c>
      <c r="IG15" s="33">
        <f t="array" ref="IG15">SUM(IF($DW$1:$HB$1=IG$1,IF(ISNUMBER($DW15:$HB15),$DW15:$HB15*$DW$9:$HB$9,0),0))</f>
        <v>2</v>
      </c>
      <c r="IH15" s="37">
        <f t="shared" si="24"/>
        <v>0.1</v>
      </c>
    </row>
    <row r="16" spans="1:242" s="26" customFormat="1" ht="39" customHeight="1" x14ac:dyDescent="0.25">
      <c r="A16" s="170" t="str">
        <f>'Leerdoelen,Kennisbasis,Toetsing'!B13</f>
        <v>abrikoos</v>
      </c>
      <c r="B16" s="169" t="str">
        <f>IF(NOT(ISBLANK('Leerdoelen,Kennisbasis,Toetsing'!C13)),'Leerdoelen,Kennisbasis,Toetsing'!C13,"")</f>
        <v>POKe</v>
      </c>
      <c r="C16" s="137" t="str">
        <f>IF(NOT(ISBLANK('Leerdoelen,Kennisbasis,Toetsing'!D13)),'Leerdoelen,Kennisbasis,Toetsing'!D13,"")</f>
        <v>T</v>
      </c>
      <c r="D16" s="138" t="s">
        <v>104</v>
      </c>
      <c r="E16" s="139" t="str">
        <f>IF(NOT(ISBLANK('Leerdoelen,Kennisbasis,Toetsing'!F13)),'Leerdoelen,Kennisbasis,Toetsing'!F13,"")</f>
        <v>SW</v>
      </c>
      <c r="F16" s="171" t="s">
        <v>167</v>
      </c>
      <c r="G16" s="140" t="str">
        <f>IF(NOT(ISBLANK('Leerdoelen,Kennisbasis,Toetsing'!H13)),'Leerdoelen,Kennisbasis,Toetsing'!H13,"")</f>
        <v>Een verantwoording van de bestede uren opstellen</v>
      </c>
      <c r="H16" s="107" t="str">
        <f>IF(NOT(ISBLANK('Leerdoelen,Kennisbasis,Toetsing'!I13)),'Leerdoelen,Kennisbasis,Toetsing'!I13,"")</f>
        <v>T</v>
      </c>
      <c r="I16" s="68">
        <v>0.1</v>
      </c>
      <c r="J16" s="9" t="str">
        <f t="shared" si="2"/>
        <v>T</v>
      </c>
      <c r="K16" s="69" t="str">
        <f t="shared" si="3"/>
        <v>ja</v>
      </c>
      <c r="L16" s="70">
        <f t="shared" si="4"/>
        <v>0.1</v>
      </c>
      <c r="M16" s="9" t="str">
        <f t="shared" si="6"/>
        <v/>
      </c>
      <c r="N16" s="69" t="str">
        <f t="shared" si="7"/>
        <v/>
      </c>
      <c r="O16" s="70" t="str">
        <f t="shared" si="8"/>
        <v/>
      </c>
      <c r="P16" s="9" t="str">
        <f t="shared" si="9"/>
        <v>T</v>
      </c>
      <c r="Q16" s="69" t="str">
        <f t="shared" si="10"/>
        <v>ja</v>
      </c>
      <c r="R16" s="71">
        <f t="shared" si="11"/>
        <v>0.1</v>
      </c>
      <c r="S16" s="24"/>
      <c r="T16" s="49"/>
      <c r="U16" s="50"/>
      <c r="V16" s="50"/>
      <c r="W16" s="50"/>
      <c r="X16" s="50"/>
      <c r="Y16" s="51"/>
      <c r="Z16" s="49"/>
      <c r="AA16" s="50"/>
      <c r="AB16" s="10" t="str">
        <f t="shared" si="12"/>
        <v/>
      </c>
      <c r="AC16" s="9" t="str">
        <f t="shared" si="13"/>
        <v/>
      </c>
      <c r="AD16" s="28" t="str">
        <f t="shared" si="5"/>
        <v/>
      </c>
      <c r="AE16" s="10" t="str">
        <f t="shared" si="14"/>
        <v/>
      </c>
      <c r="AF16" s="25"/>
      <c r="AG16" s="53"/>
      <c r="AH16" s="63"/>
      <c r="AI16" s="54"/>
      <c r="AJ16" s="53"/>
      <c r="AK16" s="63"/>
      <c r="AL16" s="54"/>
      <c r="AM16" s="53"/>
      <c r="AN16" s="63"/>
      <c r="AO16" s="54"/>
      <c r="AP16" s="53"/>
      <c r="AQ16" s="63"/>
      <c r="AR16" s="54"/>
      <c r="AS16" s="53"/>
      <c r="AT16" s="63"/>
      <c r="AU16" s="54"/>
      <c r="AV16" s="53"/>
      <c r="AW16" s="63"/>
      <c r="AX16" s="54"/>
      <c r="AY16" s="53"/>
      <c r="AZ16" s="63"/>
      <c r="BA16" s="54"/>
      <c r="BB16" s="53"/>
      <c r="BC16" s="63"/>
      <c r="BD16" s="54"/>
      <c r="BE16" s="53"/>
      <c r="BF16" s="63"/>
      <c r="BG16" s="54"/>
      <c r="BH16" s="53"/>
      <c r="BI16" s="63"/>
      <c r="BJ16" s="54"/>
      <c r="BK16" s="53"/>
      <c r="BL16" s="63"/>
      <c r="BM16" s="54"/>
      <c r="BN16" s="53"/>
      <c r="BO16" s="63"/>
      <c r="BP16" s="54"/>
      <c r="BQ16" s="53"/>
      <c r="BR16" s="63"/>
      <c r="BS16" s="54"/>
      <c r="BT16" s="53"/>
      <c r="BU16" s="63"/>
      <c r="BV16" s="54"/>
      <c r="BW16" s="53"/>
      <c r="BX16" s="63"/>
      <c r="BY16" s="54"/>
      <c r="BZ16" s="53"/>
      <c r="CA16" s="63"/>
      <c r="CB16" s="54"/>
      <c r="CC16" s="53"/>
      <c r="CD16" s="63"/>
      <c r="CE16" s="54"/>
      <c r="CF16" s="53"/>
      <c r="CG16" s="63"/>
      <c r="CH16" s="54"/>
      <c r="CI16" s="53"/>
      <c r="CJ16" s="63"/>
      <c r="CK16" s="54"/>
      <c r="CL16" s="53"/>
      <c r="CM16" s="63"/>
      <c r="CN16" s="54"/>
      <c r="CO16" s="53"/>
      <c r="CP16" s="63"/>
      <c r="CQ16" s="54"/>
      <c r="CR16" s="53"/>
      <c r="CS16" s="63"/>
      <c r="CT16" s="54"/>
      <c r="CU16" s="53"/>
      <c r="CV16" s="63"/>
      <c r="CW16" s="54"/>
      <c r="CX16" s="53"/>
      <c r="CY16" s="63"/>
      <c r="CZ16" s="54"/>
      <c r="DA16" s="53"/>
      <c r="DB16" s="63"/>
      <c r="DC16" s="54"/>
      <c r="DD16" s="53"/>
      <c r="DE16" s="63"/>
      <c r="DF16" s="54"/>
      <c r="DG16" s="53"/>
      <c r="DH16" s="63"/>
      <c r="DI16" s="54"/>
      <c r="DJ16" s="53"/>
      <c r="DK16" s="63"/>
      <c r="DL16" s="54"/>
      <c r="DM16" s="53"/>
      <c r="DN16" s="63"/>
      <c r="DO16" s="54"/>
      <c r="DP16" s="53"/>
      <c r="DQ16" s="63"/>
      <c r="DR16" s="54"/>
      <c r="DS16" s="18" t="str">
        <f t="shared" si="15"/>
        <v/>
      </c>
      <c r="DT16" s="64" t="str">
        <f t="shared" si="16"/>
        <v/>
      </c>
      <c r="DU16" s="38" t="str">
        <f t="shared" si="17"/>
        <v/>
      </c>
      <c r="DW16" s="53" t="s">
        <v>61</v>
      </c>
      <c r="DX16" s="63" t="s">
        <v>90</v>
      </c>
      <c r="DY16" s="54">
        <v>1</v>
      </c>
      <c r="DZ16" s="53"/>
      <c r="EA16" s="63"/>
      <c r="EB16" s="54"/>
      <c r="EC16" s="53" t="s">
        <v>61</v>
      </c>
      <c r="ED16" s="63" t="s">
        <v>90</v>
      </c>
      <c r="EE16" s="54">
        <v>1</v>
      </c>
      <c r="EF16" s="53"/>
      <c r="EG16" s="63"/>
      <c r="EH16" s="54"/>
      <c r="EI16" s="53"/>
      <c r="EJ16" s="63"/>
      <c r="EK16" s="54"/>
      <c r="EL16" s="53"/>
      <c r="EM16" s="63"/>
      <c r="EN16" s="54"/>
      <c r="EO16" s="53"/>
      <c r="EP16" s="63"/>
      <c r="EQ16" s="54"/>
      <c r="ER16" s="53"/>
      <c r="ES16" s="63"/>
      <c r="ET16" s="54"/>
      <c r="EU16" s="53"/>
      <c r="EV16" s="63"/>
      <c r="EW16" s="54"/>
      <c r="EX16" s="53"/>
      <c r="EY16" s="63"/>
      <c r="EZ16" s="54"/>
      <c r="FA16" s="53"/>
      <c r="FB16" s="63"/>
      <c r="FC16" s="54"/>
      <c r="FD16" s="53"/>
      <c r="FE16" s="63"/>
      <c r="FF16" s="54"/>
      <c r="FG16" s="53"/>
      <c r="FH16" s="63"/>
      <c r="FI16" s="54"/>
      <c r="FJ16" s="53"/>
      <c r="FK16" s="63"/>
      <c r="FL16" s="54"/>
      <c r="FM16" s="53"/>
      <c r="FN16" s="63"/>
      <c r="FO16" s="54"/>
      <c r="FP16" s="53"/>
      <c r="FQ16" s="63"/>
      <c r="FR16" s="54"/>
      <c r="FS16" s="53"/>
      <c r="FT16" s="63"/>
      <c r="FU16" s="54"/>
      <c r="FV16" s="53"/>
      <c r="FW16" s="63"/>
      <c r="FX16" s="54"/>
      <c r="FY16" s="53"/>
      <c r="FZ16" s="63"/>
      <c r="GA16" s="54"/>
      <c r="GB16" s="53"/>
      <c r="GC16" s="63"/>
      <c r="GD16" s="54"/>
      <c r="GE16" s="53"/>
      <c r="GF16" s="63"/>
      <c r="GG16" s="54"/>
      <c r="GH16" s="53"/>
      <c r="GI16" s="63"/>
      <c r="GJ16" s="54"/>
      <c r="GK16" s="53"/>
      <c r="GL16" s="63"/>
      <c r="GM16" s="54"/>
      <c r="GN16" s="53"/>
      <c r="GO16" s="63"/>
      <c r="GP16" s="54"/>
      <c r="GQ16" s="53"/>
      <c r="GR16" s="63"/>
      <c r="GS16" s="54"/>
      <c r="GT16" s="53"/>
      <c r="GU16" s="63"/>
      <c r="GV16" s="54"/>
      <c r="GW16" s="53"/>
      <c r="GX16" s="63"/>
      <c r="GY16" s="54"/>
      <c r="GZ16" s="53"/>
      <c r="HA16" s="63"/>
      <c r="HB16" s="54"/>
      <c r="HC16" s="18" t="str">
        <f t="shared" si="18"/>
        <v>T</v>
      </c>
      <c r="HD16" s="64" t="str">
        <f t="shared" si="19"/>
        <v>J</v>
      </c>
      <c r="HE16" s="38">
        <f t="shared" si="20"/>
        <v>0.1</v>
      </c>
      <c r="HF16" s="92"/>
      <c r="HG16" s="92"/>
      <c r="HH16" s="33">
        <f t="array" ref="HH16">SUM(IF($AD$1:$DR$1=HH$1,IF(NOT(ISBLANK($AD16:$DR16)),IF(LEFT(UPPER(SUBSTITUTE($AD16:$DR16," ","")),1)=HH$9,1,0),0),0))</f>
        <v>0</v>
      </c>
      <c r="HI16" s="33">
        <f t="array" ref="HI16">SUM(IF($AD$1:$DR$1=HI$1,IF(NOT(ISBLANK($AD16:$DR16)),IF(LEFT(UPPER(SUBSTITUTE($AD16:$DR16," ","")),1)=HI$9,1,0),0),0))</f>
        <v>0</v>
      </c>
      <c r="HJ16" s="33">
        <f t="array" ref="HJ16">SUM(IF($AD$1:$DR$1=HJ$1,IF(NOT(ISBLANK($AD16:$DR16)),IF(LEFT(UPPER(SUBSTITUTE($AD16:$DR16," ","")),1)=HJ$9,1,0),0),0))</f>
        <v>0</v>
      </c>
      <c r="HK16" s="33">
        <f t="array" ref="HK16">SUM(IF($AD$1:$DR$1=HK$1,IF(NOT(ISBLANK($AD16:$DR16)),IF(LEFT(UPPER(SUBSTITUTE($AD16:$DR16," ","")),1)=HK$9,1,0),0),0))</f>
        <v>0</v>
      </c>
      <c r="HL16" s="33">
        <f t="array" ref="HL16">SUM(IF($AD$1:$DR$1=HL$1,IF(NOT(ISBLANK($AD16:$DR16)),IF(LEFT(UPPER(SUBSTITUTE($AD16:$DR16," ","")),1)=HL$9,1,0),0),0))</f>
        <v>0</v>
      </c>
      <c r="HM16" s="33">
        <f t="array" ref="HM16">SUM(IF($AD$1:$DR$1=HM$1,IF(NOT(ISBLANK($AD16:$DR16)),IF(LEFT(UPPER(SUBSTITUTE($AD16:$DR16," ","")),1)=HM$9,1,0),0),0))</f>
        <v>0</v>
      </c>
      <c r="HN16" s="33" t="str">
        <f t="shared" si="21"/>
        <v>?</v>
      </c>
      <c r="HO16" s="33">
        <f t="array" ref="HO16">SUM(IF($AD$1:$DR$1=HO$1,IF(LEFT(UPPER(SUBSTITUTE($AD16:$DR16," ","")),1)=HO$9,1,0),0))</f>
        <v>0</v>
      </c>
      <c r="HP16" s="33">
        <f t="array" ref="HP16">SUM(IF($AD$1:$DR$1=HP$1,IF(LEFT(UPPER(SUBSTITUTE($AD16:$DR16," ","")),1)=HP$10,1,0),0))</f>
        <v>0</v>
      </c>
      <c r="HQ16" s="33">
        <f t="array" ref="HQ16">SUM(IF($AD$1:$DR$1=HQ$1,IF(ISBLANK($AD16:$DR16),0,IF($AD16:$DR16="",0,IF($AD16:$DR16=" ",0,1))),0))</f>
        <v>0</v>
      </c>
      <c r="HR16" s="33">
        <f t="array" ref="HR16">SUM(IF($AD$1:$DR$1=HR$1,IF(ISNUMBER($AD16:$DR16),$AD16:$DR16,0),0))</f>
        <v>0</v>
      </c>
      <c r="HS16" s="33">
        <f t="array" ref="HS16">SUM(IF($AD$1:$DR$1=HS$1,IF(ISNUMBER($AD16:$DR16),$AD16:$DR16*$AD$9:$DR$9,0),0))</f>
        <v>0</v>
      </c>
      <c r="HT16" s="37">
        <f t="shared" si="22"/>
        <v>0</v>
      </c>
      <c r="HU16" s="92"/>
      <c r="HV16" s="33">
        <f t="array" ref="HV16">SUM(IF($DW$1:$HB$1=HV$1,IF(NOT(ISBLANK($DW16:$HB16)),IF(LEFT(UPPER(SUBSTITUTE($DW16:$HB16," ","")),1)=HV$9,1,0),0),0))</f>
        <v>0</v>
      </c>
      <c r="HW16" s="33">
        <f t="array" ref="HW16">SUM(IF($DW$1:$HB$1=HW$1,IF(NOT(ISBLANK($DW16:$HB16)),IF(LEFT(UPPER(SUBSTITUTE($DW16:$HB16," ","")),1)=HW$9,1,0),0),0))</f>
        <v>0</v>
      </c>
      <c r="HX16" s="33">
        <f t="array" ref="HX16">SUM(IF($DW$1:$HB$1=HX$1,IF(NOT(ISBLANK($DW16:$HB16)),IF(LEFT(UPPER(SUBSTITUTE($DW16:$HB16," ","")),1)=HX$9,1,0),0),0))</f>
        <v>2</v>
      </c>
      <c r="HY16" s="33">
        <f t="array" ref="HY16">SUM(IF($DW$1:$HB$1=HY$1,IF(NOT(ISBLANK($DW16:$HB16)),IF(LEFT(UPPER(SUBSTITUTE($DW16:$HB16," ","")),1)=HY$9,1,0),0),0))</f>
        <v>0</v>
      </c>
      <c r="HZ16" s="33">
        <f t="array" ref="HZ16">SUM(IF($DW$1:$HB$1=HZ$1,IF(NOT(ISBLANK($DW16:$HB16)),IF(LEFT(UPPER(SUBSTITUTE($DW16:$HB16," ","")),1)=HZ$9,1,0),0),0))</f>
        <v>0</v>
      </c>
      <c r="IA16" s="33">
        <f t="array" ref="IA16">SUM(IF($DW$1:$HB$1=IA$1,IF(NOT(ISBLANK($DW16:$HB16)),IF(LEFT(UPPER(SUBSTITUTE($DW16:$HB16," ","")),1)=IA$9,1,0),0),0))</f>
        <v>0</v>
      </c>
      <c r="IB16" s="33" t="str">
        <f t="shared" si="23"/>
        <v>T</v>
      </c>
      <c r="IC16" s="33">
        <f t="array" ref="IC16">SUM(IF($DW$1:$HB$1=IC$1,IF(LEFT(UPPER(SUBSTITUTE($DW16:$HB16," ","")),1)=IC$9,1,0),0))</f>
        <v>2</v>
      </c>
      <c r="ID16" s="33">
        <f t="array" ref="ID16">SUM(IF($DW$1:$HB$1=ID$1,IF(LEFT(UPPER(SUBSTITUTE($DW16:$HB16," ","")),1)=ID$10,1,0),0))</f>
        <v>0</v>
      </c>
      <c r="IE16" s="33">
        <f t="array" ref="IE16">SUM(IF($DW$1:$HB$1=IE$1,IF(ISBLANK($DW16:$HB16),0,IF($DW16:$HB16="",0,IF($DW16:$HB16=" ",0,1))),0))</f>
        <v>2</v>
      </c>
      <c r="IF16" s="33">
        <f t="array" ref="IF16">SUM(IF($DW$1:$HB$1=IF$1,IF(ISNUMBER($DW16:$HB16),$DW16:$HB16,0),0))</f>
        <v>2</v>
      </c>
      <c r="IG16" s="33">
        <f t="array" ref="IG16">SUM(IF($DW$1:$HB$1=IG$1,IF(ISNUMBER($DW16:$HB16),$DW16:$HB16*$DW$9:$HB$9,0),0))</f>
        <v>2</v>
      </c>
      <c r="IH16" s="37">
        <f t="shared" si="24"/>
        <v>0.1</v>
      </c>
    </row>
    <row r="17" spans="1:242" s="375" customFormat="1" ht="39" customHeight="1" x14ac:dyDescent="0.25">
      <c r="A17" s="349" t="str">
        <f>'Leerdoelen,Kennisbasis,Toetsing'!B14</f>
        <v>blauw</v>
      </c>
      <c r="B17" s="350" t="s">
        <v>80</v>
      </c>
      <c r="C17" s="351" t="s">
        <v>61</v>
      </c>
      <c r="D17" s="352" t="s">
        <v>104</v>
      </c>
      <c r="E17" s="353" t="str">
        <f>IF(NOT(ISBLANK('Leerdoelen,Kennisbasis,Toetsing'!F14)),'Leerdoelen,Kennisbasis,Toetsing'!F14,"")</f>
        <v>SW</v>
      </c>
      <c r="F17" s="354" t="s">
        <v>167</v>
      </c>
      <c r="G17" s="355" t="s">
        <v>336</v>
      </c>
      <c r="H17" s="356" t="str">
        <f>IF(NOT(ISBLANK('Leerdoelen,Kennisbasis,Toetsing'!I14)),'Leerdoelen,Kennisbasis,Toetsing'!I14,"")</f>
        <v>T</v>
      </c>
      <c r="I17" s="357">
        <v>0.1</v>
      </c>
      <c r="J17" s="358" t="str">
        <f t="shared" si="2"/>
        <v>T</v>
      </c>
      <c r="K17" s="359" t="str">
        <f t="shared" si="3"/>
        <v>ja</v>
      </c>
      <c r="L17" s="360">
        <f t="shared" si="4"/>
        <v>0.1</v>
      </c>
      <c r="M17" s="358" t="str">
        <f t="shared" si="6"/>
        <v/>
      </c>
      <c r="N17" s="359" t="str">
        <f t="shared" si="7"/>
        <v/>
      </c>
      <c r="O17" s="360" t="str">
        <f t="shared" si="8"/>
        <v/>
      </c>
      <c r="P17" s="358" t="str">
        <f t="shared" si="9"/>
        <v>T</v>
      </c>
      <c r="Q17" s="359" t="str">
        <f t="shared" si="10"/>
        <v>ja</v>
      </c>
      <c r="R17" s="361">
        <f t="shared" si="11"/>
        <v>0.1</v>
      </c>
      <c r="S17" s="362"/>
      <c r="T17" s="363"/>
      <c r="U17" s="364"/>
      <c r="V17" s="364"/>
      <c r="W17" s="364"/>
      <c r="X17" s="364"/>
      <c r="Y17" s="365"/>
      <c r="Z17" s="363"/>
      <c r="AA17" s="364"/>
      <c r="AB17" s="366" t="str">
        <f t="shared" si="12"/>
        <v/>
      </c>
      <c r="AC17" s="358" t="str">
        <f t="shared" si="13"/>
        <v/>
      </c>
      <c r="AD17" s="367" t="str">
        <f t="shared" si="5"/>
        <v/>
      </c>
      <c r="AE17" s="366" t="str">
        <f t="shared" si="14"/>
        <v/>
      </c>
      <c r="AF17" s="368"/>
      <c r="AG17" s="369"/>
      <c r="AH17" s="370"/>
      <c r="AI17" s="371"/>
      <c r="AJ17" s="369"/>
      <c r="AK17" s="370"/>
      <c r="AL17" s="371"/>
      <c r="AM17" s="369"/>
      <c r="AN17" s="370"/>
      <c r="AO17" s="371"/>
      <c r="AP17" s="369"/>
      <c r="AQ17" s="370"/>
      <c r="AR17" s="371"/>
      <c r="AS17" s="369"/>
      <c r="AT17" s="370"/>
      <c r="AU17" s="371"/>
      <c r="AV17" s="369"/>
      <c r="AW17" s="370"/>
      <c r="AX17" s="371"/>
      <c r="AY17" s="369"/>
      <c r="AZ17" s="370"/>
      <c r="BA17" s="371"/>
      <c r="BB17" s="369"/>
      <c r="BC17" s="370"/>
      <c r="BD17" s="371"/>
      <c r="BE17" s="369"/>
      <c r="BF17" s="370"/>
      <c r="BG17" s="371"/>
      <c r="BH17" s="369"/>
      <c r="BI17" s="370"/>
      <c r="BJ17" s="371"/>
      <c r="BK17" s="369"/>
      <c r="BL17" s="370"/>
      <c r="BM17" s="371"/>
      <c r="BN17" s="369"/>
      <c r="BO17" s="370"/>
      <c r="BP17" s="371"/>
      <c r="BQ17" s="369"/>
      <c r="BR17" s="370"/>
      <c r="BS17" s="371"/>
      <c r="BT17" s="369"/>
      <c r="BU17" s="370"/>
      <c r="BV17" s="371"/>
      <c r="BW17" s="369"/>
      <c r="BX17" s="370"/>
      <c r="BY17" s="371"/>
      <c r="BZ17" s="369"/>
      <c r="CA17" s="370"/>
      <c r="CB17" s="371"/>
      <c r="CC17" s="369"/>
      <c r="CD17" s="370"/>
      <c r="CE17" s="371"/>
      <c r="CF17" s="369"/>
      <c r="CG17" s="370"/>
      <c r="CH17" s="371"/>
      <c r="CI17" s="369"/>
      <c r="CJ17" s="370"/>
      <c r="CK17" s="371"/>
      <c r="CL17" s="369"/>
      <c r="CM17" s="370"/>
      <c r="CN17" s="371"/>
      <c r="CO17" s="369"/>
      <c r="CP17" s="370"/>
      <c r="CQ17" s="371"/>
      <c r="CR17" s="369"/>
      <c r="CS17" s="370"/>
      <c r="CT17" s="371"/>
      <c r="CU17" s="369"/>
      <c r="CV17" s="370"/>
      <c r="CW17" s="371"/>
      <c r="CX17" s="369"/>
      <c r="CY17" s="370"/>
      <c r="CZ17" s="371"/>
      <c r="DA17" s="369"/>
      <c r="DB17" s="370"/>
      <c r="DC17" s="371"/>
      <c r="DD17" s="369"/>
      <c r="DE17" s="370"/>
      <c r="DF17" s="371"/>
      <c r="DG17" s="369"/>
      <c r="DH17" s="370"/>
      <c r="DI17" s="371"/>
      <c r="DJ17" s="369"/>
      <c r="DK17" s="370"/>
      <c r="DL17" s="371"/>
      <c r="DM17" s="369"/>
      <c r="DN17" s="370"/>
      <c r="DO17" s="371"/>
      <c r="DP17" s="369"/>
      <c r="DQ17" s="370"/>
      <c r="DR17" s="371"/>
      <c r="DS17" s="372" t="str">
        <f t="shared" si="15"/>
        <v/>
      </c>
      <c r="DT17" s="373" t="str">
        <f t="shared" si="16"/>
        <v/>
      </c>
      <c r="DU17" s="374" t="str">
        <f t="shared" si="17"/>
        <v/>
      </c>
      <c r="DW17" s="369"/>
      <c r="DX17" s="370"/>
      <c r="DY17" s="371"/>
      <c r="DZ17" s="369"/>
      <c r="EA17" s="370"/>
      <c r="EB17" s="371"/>
      <c r="EC17" s="369"/>
      <c r="ED17" s="370"/>
      <c r="EE17" s="371"/>
      <c r="EF17" s="369"/>
      <c r="EG17" s="370"/>
      <c r="EH17" s="371"/>
      <c r="EI17" s="369" t="s">
        <v>61</v>
      </c>
      <c r="EJ17" s="370" t="s">
        <v>90</v>
      </c>
      <c r="EK17" s="371">
        <v>2</v>
      </c>
      <c r="EL17" s="369"/>
      <c r="EM17" s="370"/>
      <c r="EN17" s="371"/>
      <c r="EO17" s="369"/>
      <c r="EP17" s="370"/>
      <c r="EQ17" s="371"/>
      <c r="ER17" s="369"/>
      <c r="ES17" s="370"/>
      <c r="ET17" s="371"/>
      <c r="EU17" s="369"/>
      <c r="EV17" s="370"/>
      <c r="EW17" s="371"/>
      <c r="EX17" s="369"/>
      <c r="EY17" s="370"/>
      <c r="EZ17" s="371"/>
      <c r="FA17" s="369"/>
      <c r="FB17" s="370"/>
      <c r="FC17" s="371"/>
      <c r="FD17" s="369"/>
      <c r="FE17" s="370"/>
      <c r="FF17" s="371"/>
      <c r="FG17" s="369"/>
      <c r="FH17" s="370"/>
      <c r="FI17" s="371"/>
      <c r="FJ17" s="369"/>
      <c r="FK17" s="370"/>
      <c r="FL17" s="371"/>
      <c r="FM17" s="369"/>
      <c r="FN17" s="370"/>
      <c r="FO17" s="371"/>
      <c r="FP17" s="369"/>
      <c r="FQ17" s="370"/>
      <c r="FR17" s="371"/>
      <c r="FS17" s="369"/>
      <c r="FT17" s="370"/>
      <c r="FU17" s="371"/>
      <c r="FV17" s="369"/>
      <c r="FW17" s="370"/>
      <c r="FX17" s="371"/>
      <c r="FY17" s="369"/>
      <c r="FZ17" s="370"/>
      <c r="GA17" s="371"/>
      <c r="GB17" s="369"/>
      <c r="GC17" s="370"/>
      <c r="GD17" s="371"/>
      <c r="GE17" s="369"/>
      <c r="GF17" s="370"/>
      <c r="GG17" s="371"/>
      <c r="GH17" s="369"/>
      <c r="GI17" s="370"/>
      <c r="GJ17" s="371"/>
      <c r="GK17" s="369"/>
      <c r="GL17" s="370"/>
      <c r="GM17" s="371"/>
      <c r="GN17" s="369"/>
      <c r="GO17" s="370"/>
      <c r="GP17" s="371"/>
      <c r="GQ17" s="369"/>
      <c r="GR17" s="370"/>
      <c r="GS17" s="371"/>
      <c r="GT17" s="369"/>
      <c r="GU17" s="370"/>
      <c r="GV17" s="371"/>
      <c r="GW17" s="369"/>
      <c r="GX17" s="370"/>
      <c r="GY17" s="371"/>
      <c r="GZ17" s="369"/>
      <c r="HA17" s="370"/>
      <c r="HB17" s="371"/>
      <c r="HC17" s="372" t="str">
        <f t="shared" si="18"/>
        <v>T</v>
      </c>
      <c r="HD17" s="373" t="str">
        <f t="shared" si="19"/>
        <v>J</v>
      </c>
      <c r="HE17" s="374">
        <f t="shared" si="20"/>
        <v>0.1</v>
      </c>
      <c r="HF17" s="84"/>
      <c r="HG17" s="84"/>
      <c r="HH17" s="376">
        <f t="array" ref="HH17">SUM(IF($AD$1:$DR$1=HH$1,IF(NOT(ISBLANK($AD17:$DR17)),IF(LEFT(UPPER(SUBSTITUTE($AD17:$DR17," ","")),1)=HH$9,1,0),0),0))</f>
        <v>0</v>
      </c>
      <c r="HI17" s="376">
        <f t="array" ref="HI17">SUM(IF($AD$1:$DR$1=HI$1,IF(NOT(ISBLANK($AD17:$DR17)),IF(LEFT(UPPER(SUBSTITUTE($AD17:$DR17," ","")),1)=HI$9,1,0),0),0))</f>
        <v>0</v>
      </c>
      <c r="HJ17" s="376">
        <f t="array" ref="HJ17">SUM(IF($AD$1:$DR$1=HJ$1,IF(NOT(ISBLANK($AD17:$DR17)),IF(LEFT(UPPER(SUBSTITUTE($AD17:$DR17," ","")),1)=HJ$9,1,0),0),0))</f>
        <v>0</v>
      </c>
      <c r="HK17" s="376">
        <f t="array" ref="HK17">SUM(IF($AD$1:$DR$1=HK$1,IF(NOT(ISBLANK($AD17:$DR17)),IF(LEFT(UPPER(SUBSTITUTE($AD17:$DR17," ","")),1)=HK$9,1,0),0),0))</f>
        <v>0</v>
      </c>
      <c r="HL17" s="376">
        <f t="array" ref="HL17">SUM(IF($AD$1:$DR$1=HL$1,IF(NOT(ISBLANK($AD17:$DR17)),IF(LEFT(UPPER(SUBSTITUTE($AD17:$DR17," ","")),1)=HL$9,1,0),0),0))</f>
        <v>0</v>
      </c>
      <c r="HM17" s="376">
        <f t="array" ref="HM17">SUM(IF($AD$1:$DR$1=HM$1,IF(NOT(ISBLANK($AD17:$DR17)),IF(LEFT(UPPER(SUBSTITUTE($AD17:$DR17," ","")),1)=HM$9,1,0),0),0))</f>
        <v>0</v>
      </c>
      <c r="HN17" s="376" t="str">
        <f t="shared" si="21"/>
        <v>?</v>
      </c>
      <c r="HO17" s="376">
        <f t="array" ref="HO17">SUM(IF($AD$1:$DR$1=HO$1,IF(LEFT(UPPER(SUBSTITUTE($AD17:$DR17," ","")),1)=HO$9,1,0),0))</f>
        <v>0</v>
      </c>
      <c r="HP17" s="376">
        <f t="array" ref="HP17">SUM(IF($AD$1:$DR$1=HP$1,IF(LEFT(UPPER(SUBSTITUTE($AD17:$DR17," ","")),1)=HP$10,1,0),0))</f>
        <v>0</v>
      </c>
      <c r="HQ17" s="376">
        <f t="array" ref="HQ17">SUM(IF($AD$1:$DR$1=HQ$1,IF(ISBLANK($AD17:$DR17),0,IF($AD17:$DR17="",0,IF($AD17:$DR17=" ",0,1))),0))</f>
        <v>0</v>
      </c>
      <c r="HR17" s="376">
        <f t="array" ref="HR17">SUM(IF($AD$1:$DR$1=HR$1,IF(ISNUMBER($AD17:$DR17),$AD17:$DR17,0),0))</f>
        <v>0</v>
      </c>
      <c r="HS17" s="376">
        <f t="array" ref="HS17">SUM(IF($AD$1:$DR$1=HS$1,IF(ISNUMBER($AD17:$DR17),$AD17:$DR17*$AD$9:$DR$9,0),0))</f>
        <v>0</v>
      </c>
      <c r="HT17" s="377">
        <f t="shared" si="22"/>
        <v>0</v>
      </c>
      <c r="HU17" s="84"/>
      <c r="HV17" s="376">
        <f t="array" ref="HV17">SUM(IF($DW$1:$HB$1=HV$1,IF(NOT(ISBLANK($DW17:$HB17)),IF(LEFT(UPPER(SUBSTITUTE($DW17:$HB17," ","")),1)=HV$9,1,0),0),0))</f>
        <v>0</v>
      </c>
      <c r="HW17" s="376">
        <f t="array" ref="HW17">SUM(IF($DW$1:$HB$1=HW$1,IF(NOT(ISBLANK($DW17:$HB17)),IF(LEFT(UPPER(SUBSTITUTE($DW17:$HB17," ","")),1)=HW$9,1,0),0),0))</f>
        <v>0</v>
      </c>
      <c r="HX17" s="376">
        <f t="array" ref="HX17">SUM(IF($DW$1:$HB$1=HX$1,IF(NOT(ISBLANK($DW17:$HB17)),IF(LEFT(UPPER(SUBSTITUTE($DW17:$HB17," ","")),1)=HX$9,1,0),0),0))</f>
        <v>1</v>
      </c>
      <c r="HY17" s="376">
        <f t="array" ref="HY17">SUM(IF($DW$1:$HB$1=HY$1,IF(NOT(ISBLANK($DW17:$HB17)),IF(LEFT(UPPER(SUBSTITUTE($DW17:$HB17," ","")),1)=HY$9,1,0),0),0))</f>
        <v>0</v>
      </c>
      <c r="HZ17" s="376">
        <f t="array" ref="HZ17">SUM(IF($DW$1:$HB$1=HZ$1,IF(NOT(ISBLANK($DW17:$HB17)),IF(LEFT(UPPER(SUBSTITUTE($DW17:$HB17," ","")),1)=HZ$9,1,0),0),0))</f>
        <v>0</v>
      </c>
      <c r="IA17" s="376">
        <f t="array" ref="IA17">SUM(IF($DW$1:$HB$1=IA$1,IF(NOT(ISBLANK($DW17:$HB17)),IF(LEFT(UPPER(SUBSTITUTE($DW17:$HB17," ","")),1)=IA$9,1,0),0),0))</f>
        <v>0</v>
      </c>
      <c r="IB17" s="376" t="str">
        <f t="shared" si="23"/>
        <v>T</v>
      </c>
      <c r="IC17" s="376">
        <f t="array" ref="IC17">SUM(IF($DW$1:$HB$1=IC$1,IF(LEFT(UPPER(SUBSTITUTE($DW17:$HB17," ","")),1)=IC$9,1,0),0))</f>
        <v>1</v>
      </c>
      <c r="ID17" s="376">
        <f t="array" ref="ID17">SUM(IF($DW$1:$HB$1=ID$1,IF(LEFT(UPPER(SUBSTITUTE($DW17:$HB17," ","")),1)=ID$10,1,0),0))</f>
        <v>0</v>
      </c>
      <c r="IE17" s="376">
        <f t="array" ref="IE17">SUM(IF($DW$1:$HB$1=IE$1,IF(ISBLANK($DW17:$HB17),0,IF($DW17:$HB17="",0,IF($DW17:$HB17=" ",0,1))),0))</f>
        <v>1</v>
      </c>
      <c r="IF17" s="376">
        <f t="array" ref="IF17">SUM(IF($DW$1:$HB$1=IF$1,IF(ISNUMBER($DW17:$HB17),$DW17:$HB17,0),0))</f>
        <v>2</v>
      </c>
      <c r="IG17" s="376">
        <f t="array" ref="IG17">SUM(IF($DW$1:$HB$1=IG$1,IF(ISNUMBER($DW17:$HB17),$DW17:$HB17*$DW$9:$HB$9,0),0))</f>
        <v>2</v>
      </c>
      <c r="IH17" s="377">
        <f t="shared" si="24"/>
        <v>0.1</v>
      </c>
    </row>
    <row r="18" spans="1:242" s="26" customFormat="1" ht="39" customHeight="1" x14ac:dyDescent="0.25">
      <c r="A18" s="170" t="str">
        <f>'Leerdoelen,Kennisbasis,Toetsing'!B15</f>
        <v>blauw</v>
      </c>
      <c r="B18" s="169" t="str">
        <f>IF(NOT(ISBLANK('Leerdoelen,Kennisbasis,Toetsing'!C15)),'Leerdoelen,Kennisbasis,Toetsing'!C15,"")</f>
        <v>CPO</v>
      </c>
      <c r="C18" s="137" t="s">
        <v>61</v>
      </c>
      <c r="D18" s="138" t="str">
        <f>IF(NOT(ISBLANK('Leerdoelen,Kennisbasis,Toetsing'!E15)),'Leerdoelen,Kennisbasis,Toetsing'!E15,"")</f>
        <v>ONT</v>
      </c>
      <c r="E18" s="139" t="str">
        <f>IF(NOT(ISBLANK('Leerdoelen,Kennisbasis,Toetsing'!F15)),'Leerdoelen,Kennisbasis,Toetsing'!F15,"")</f>
        <v>SW</v>
      </c>
      <c r="F18" s="171" t="s">
        <v>167</v>
      </c>
      <c r="G18" s="140" t="str">
        <f>IF(NOT(ISBLANK('Leerdoelen,Kennisbasis,Toetsing'!H15)),'Leerdoelen,Kennisbasis,Toetsing'!H15,"")</f>
        <v>Een ontwerp maken voor een algoritme onder andere met behulp van activity diagram.</v>
      </c>
      <c r="H18" s="107" t="str">
        <f>IF(NOT(ISBLANK('Leerdoelen,Kennisbasis,Toetsing'!I15)),'Leerdoelen,Kennisbasis,Toetsing'!I15,"")</f>
        <v>C</v>
      </c>
      <c r="I18" s="68">
        <v>0.15</v>
      </c>
      <c r="J18" s="9" t="str">
        <f t="shared" si="2"/>
        <v>C</v>
      </c>
      <c r="K18" s="69" t="str">
        <f t="shared" si="3"/>
        <v>ja</v>
      </c>
      <c r="L18" s="70">
        <f t="shared" si="4"/>
        <v>0.15</v>
      </c>
      <c r="M18" s="9" t="str">
        <f t="shared" si="6"/>
        <v/>
      </c>
      <c r="N18" s="69" t="str">
        <f t="shared" si="7"/>
        <v/>
      </c>
      <c r="O18" s="70" t="str">
        <f t="shared" si="8"/>
        <v/>
      </c>
      <c r="P18" s="9" t="str">
        <f t="shared" si="9"/>
        <v>C</v>
      </c>
      <c r="Q18" s="69" t="str">
        <f t="shared" si="10"/>
        <v>ja</v>
      </c>
      <c r="R18" s="71">
        <f t="shared" si="11"/>
        <v>0.15</v>
      </c>
      <c r="S18" s="24"/>
      <c r="T18" s="49"/>
      <c r="U18" s="50"/>
      <c r="V18" s="50"/>
      <c r="W18" s="50"/>
      <c r="X18" s="50"/>
      <c r="Y18" s="51"/>
      <c r="Z18" s="49"/>
      <c r="AA18" s="50"/>
      <c r="AB18" s="10" t="str">
        <f t="shared" si="12"/>
        <v/>
      </c>
      <c r="AC18" s="9" t="str">
        <f t="shared" si="13"/>
        <v/>
      </c>
      <c r="AD18" s="28" t="str">
        <f t="shared" si="5"/>
        <v/>
      </c>
      <c r="AE18" s="10" t="str">
        <f t="shared" si="14"/>
        <v/>
      </c>
      <c r="AF18" s="25"/>
      <c r="AG18" s="53"/>
      <c r="AH18" s="63"/>
      <c r="AI18" s="54"/>
      <c r="AJ18" s="53"/>
      <c r="AK18" s="63"/>
      <c r="AL18" s="54"/>
      <c r="AM18" s="53"/>
      <c r="AN18" s="63"/>
      <c r="AO18" s="54"/>
      <c r="AP18" s="53"/>
      <c r="AQ18" s="63"/>
      <c r="AR18" s="54"/>
      <c r="AS18" s="53"/>
      <c r="AT18" s="63"/>
      <c r="AU18" s="54"/>
      <c r="AV18" s="53"/>
      <c r="AW18" s="63"/>
      <c r="AX18" s="54"/>
      <c r="AY18" s="53"/>
      <c r="AZ18" s="63"/>
      <c r="BA18" s="54"/>
      <c r="BB18" s="53"/>
      <c r="BC18" s="63"/>
      <c r="BD18" s="54"/>
      <c r="BE18" s="53"/>
      <c r="BF18" s="63"/>
      <c r="BG18" s="54"/>
      <c r="BH18" s="53"/>
      <c r="BI18" s="63"/>
      <c r="BJ18" s="54"/>
      <c r="BK18" s="53"/>
      <c r="BL18" s="63"/>
      <c r="BM18" s="54"/>
      <c r="BN18" s="53"/>
      <c r="BO18" s="63"/>
      <c r="BP18" s="54"/>
      <c r="BQ18" s="53"/>
      <c r="BR18" s="63"/>
      <c r="BS18" s="54"/>
      <c r="BT18" s="53"/>
      <c r="BU18" s="63"/>
      <c r="BV18" s="54"/>
      <c r="BW18" s="53"/>
      <c r="BX18" s="63"/>
      <c r="BY18" s="54"/>
      <c r="BZ18" s="53"/>
      <c r="CA18" s="63"/>
      <c r="CB18" s="54"/>
      <c r="CC18" s="53"/>
      <c r="CD18" s="63"/>
      <c r="CE18" s="54"/>
      <c r="CF18" s="53"/>
      <c r="CG18" s="63"/>
      <c r="CH18" s="54"/>
      <c r="CI18" s="53"/>
      <c r="CJ18" s="63"/>
      <c r="CK18" s="54"/>
      <c r="CL18" s="53"/>
      <c r="CM18" s="63"/>
      <c r="CN18" s="54"/>
      <c r="CO18" s="53"/>
      <c r="CP18" s="63"/>
      <c r="CQ18" s="54"/>
      <c r="CR18" s="53"/>
      <c r="CS18" s="63"/>
      <c r="CT18" s="54"/>
      <c r="CU18" s="53"/>
      <c r="CV18" s="63"/>
      <c r="CW18" s="54"/>
      <c r="CX18" s="53"/>
      <c r="CY18" s="63"/>
      <c r="CZ18" s="54"/>
      <c r="DA18" s="53"/>
      <c r="DB18" s="63"/>
      <c r="DC18" s="54"/>
      <c r="DD18" s="53"/>
      <c r="DE18" s="63"/>
      <c r="DF18" s="54"/>
      <c r="DG18" s="53"/>
      <c r="DH18" s="63"/>
      <c r="DI18" s="54"/>
      <c r="DJ18" s="53"/>
      <c r="DK18" s="63"/>
      <c r="DL18" s="54"/>
      <c r="DM18" s="53"/>
      <c r="DN18" s="63"/>
      <c r="DO18" s="54"/>
      <c r="DP18" s="53"/>
      <c r="DQ18" s="63"/>
      <c r="DR18" s="54"/>
      <c r="DS18" s="18" t="str">
        <f t="shared" si="15"/>
        <v/>
      </c>
      <c r="DT18" s="64" t="str">
        <f t="shared" si="16"/>
        <v/>
      </c>
      <c r="DU18" s="38" t="str">
        <f t="shared" si="17"/>
        <v/>
      </c>
      <c r="DW18" s="53"/>
      <c r="DX18" s="63"/>
      <c r="DY18" s="54"/>
      <c r="DZ18" s="53"/>
      <c r="EA18" s="63"/>
      <c r="EB18" s="54"/>
      <c r="EC18" s="53"/>
      <c r="ED18" s="63"/>
      <c r="EE18" s="54"/>
      <c r="EF18" s="53" t="s">
        <v>64</v>
      </c>
      <c r="EG18" s="63" t="s">
        <v>90</v>
      </c>
      <c r="EH18" s="54">
        <v>3</v>
      </c>
      <c r="EI18" s="53"/>
      <c r="EJ18" s="63"/>
      <c r="EK18" s="54"/>
      <c r="EL18" s="53"/>
      <c r="EM18" s="63"/>
      <c r="EN18" s="54"/>
      <c r="EO18" s="53"/>
      <c r="EP18" s="63"/>
      <c r="EQ18" s="54"/>
      <c r="ER18" s="53"/>
      <c r="ES18" s="63"/>
      <c r="ET18" s="54"/>
      <c r="EU18" s="53"/>
      <c r="EV18" s="63"/>
      <c r="EW18" s="54"/>
      <c r="EX18" s="53"/>
      <c r="EY18" s="63"/>
      <c r="EZ18" s="54"/>
      <c r="FA18" s="53"/>
      <c r="FB18" s="63"/>
      <c r="FC18" s="54"/>
      <c r="FD18" s="53"/>
      <c r="FE18" s="63"/>
      <c r="FF18" s="54"/>
      <c r="FG18" s="53"/>
      <c r="FH18" s="63"/>
      <c r="FI18" s="54"/>
      <c r="FJ18" s="53"/>
      <c r="FK18" s="63"/>
      <c r="FL18" s="54"/>
      <c r="FM18" s="53"/>
      <c r="FN18" s="63"/>
      <c r="FO18" s="54"/>
      <c r="FP18" s="53"/>
      <c r="FQ18" s="63"/>
      <c r="FR18" s="54"/>
      <c r="FS18" s="53"/>
      <c r="FT18" s="63"/>
      <c r="FU18" s="54"/>
      <c r="FV18" s="53"/>
      <c r="FW18" s="63"/>
      <c r="FX18" s="54"/>
      <c r="FY18" s="53"/>
      <c r="FZ18" s="63"/>
      <c r="GA18" s="54"/>
      <c r="GB18" s="53"/>
      <c r="GC18" s="63"/>
      <c r="GD18" s="54"/>
      <c r="GE18" s="53"/>
      <c r="GF18" s="63"/>
      <c r="GG18" s="54"/>
      <c r="GH18" s="53"/>
      <c r="GI18" s="63"/>
      <c r="GJ18" s="54"/>
      <c r="GK18" s="53"/>
      <c r="GL18" s="63"/>
      <c r="GM18" s="54"/>
      <c r="GN18" s="53"/>
      <c r="GO18" s="63"/>
      <c r="GP18" s="54"/>
      <c r="GQ18" s="53"/>
      <c r="GR18" s="63"/>
      <c r="GS18" s="54"/>
      <c r="GT18" s="53"/>
      <c r="GU18" s="63"/>
      <c r="GV18" s="54"/>
      <c r="GW18" s="53"/>
      <c r="GX18" s="63"/>
      <c r="GY18" s="54"/>
      <c r="GZ18" s="53"/>
      <c r="HA18" s="63"/>
      <c r="HB18" s="54"/>
      <c r="HC18" s="18" t="str">
        <f t="shared" si="18"/>
        <v>C</v>
      </c>
      <c r="HD18" s="64" t="str">
        <f t="shared" si="19"/>
        <v>J</v>
      </c>
      <c r="HE18" s="38">
        <f t="shared" si="20"/>
        <v>0.15</v>
      </c>
      <c r="HF18" s="92"/>
      <c r="HG18" s="92"/>
      <c r="HH18" s="33">
        <f t="array" ref="HH18">SUM(IF($AD$1:$DR$1=HH$1,IF(NOT(ISBLANK($AD18:$DR18)),IF(LEFT(UPPER(SUBSTITUTE($AD18:$DR18," ","")),1)=HH$9,1,0),0),0))</f>
        <v>0</v>
      </c>
      <c r="HI18" s="33">
        <f t="array" ref="HI18">SUM(IF($AD$1:$DR$1=HI$1,IF(NOT(ISBLANK($AD18:$DR18)),IF(LEFT(UPPER(SUBSTITUTE($AD18:$DR18," ","")),1)=HI$9,1,0),0),0))</f>
        <v>0</v>
      </c>
      <c r="HJ18" s="33">
        <f t="array" ref="HJ18">SUM(IF($AD$1:$DR$1=HJ$1,IF(NOT(ISBLANK($AD18:$DR18)),IF(LEFT(UPPER(SUBSTITUTE($AD18:$DR18," ","")),1)=HJ$9,1,0),0),0))</f>
        <v>0</v>
      </c>
      <c r="HK18" s="33">
        <f t="array" ref="HK18">SUM(IF($AD$1:$DR$1=HK$1,IF(NOT(ISBLANK($AD18:$DR18)),IF(LEFT(UPPER(SUBSTITUTE($AD18:$DR18," ","")),1)=HK$9,1,0),0),0))</f>
        <v>0</v>
      </c>
      <c r="HL18" s="33">
        <f t="array" ref="HL18">SUM(IF($AD$1:$DR$1=HL$1,IF(NOT(ISBLANK($AD18:$DR18)),IF(LEFT(UPPER(SUBSTITUTE($AD18:$DR18," ","")),1)=HL$9,1,0),0),0))</f>
        <v>0</v>
      </c>
      <c r="HM18" s="33">
        <f t="array" ref="HM18">SUM(IF($AD$1:$DR$1=HM$1,IF(NOT(ISBLANK($AD18:$DR18)),IF(LEFT(UPPER(SUBSTITUTE($AD18:$DR18," ","")),1)=HM$9,1,0),0),0))</f>
        <v>0</v>
      </c>
      <c r="HN18" s="33" t="str">
        <f t="shared" si="21"/>
        <v>?</v>
      </c>
      <c r="HO18" s="33">
        <f t="array" ref="HO18">SUM(IF($AD$1:$DR$1=HO$1,IF(LEFT(UPPER(SUBSTITUTE($AD18:$DR18," ","")),1)=HO$9,1,0),0))</f>
        <v>0</v>
      </c>
      <c r="HP18" s="33">
        <f t="array" ref="HP18">SUM(IF($AD$1:$DR$1=HP$1,IF(LEFT(UPPER(SUBSTITUTE($AD18:$DR18," ","")),1)=HP$10,1,0),0))</f>
        <v>0</v>
      </c>
      <c r="HQ18" s="33">
        <f t="array" ref="HQ18">SUM(IF($AD$1:$DR$1=HQ$1,IF(ISBLANK($AD18:$DR18),0,IF($AD18:$DR18="",0,IF($AD18:$DR18=" ",0,1))),0))</f>
        <v>0</v>
      </c>
      <c r="HR18" s="33">
        <f t="array" ref="HR18">SUM(IF($AD$1:$DR$1=HR$1,IF(ISNUMBER($AD18:$DR18),$AD18:$DR18,0),0))</f>
        <v>0</v>
      </c>
      <c r="HS18" s="33">
        <f t="array" ref="HS18">SUM(IF($AD$1:$DR$1=HS$1,IF(ISNUMBER($AD18:$DR18),$AD18:$DR18*$AD$9:$DR$9,0),0))</f>
        <v>0</v>
      </c>
      <c r="HT18" s="37">
        <f t="shared" si="22"/>
        <v>0</v>
      </c>
      <c r="HU18" s="92"/>
      <c r="HV18" s="33">
        <f t="array" ref="HV18">SUM(IF($DW$1:$HB$1=HV$1,IF(NOT(ISBLANK($DW18:$HB18)),IF(LEFT(UPPER(SUBSTITUTE($DW18:$HB18," ","")),1)=HV$9,1,0),0),0))</f>
        <v>0</v>
      </c>
      <c r="HW18" s="33">
        <f t="array" ref="HW18">SUM(IF($DW$1:$HB$1=HW$1,IF(NOT(ISBLANK($DW18:$HB18)),IF(LEFT(UPPER(SUBSTITUTE($DW18:$HB18," ","")),1)=HW$9,1,0),0),0))</f>
        <v>0</v>
      </c>
      <c r="HX18" s="33">
        <f t="array" ref="HX18">SUM(IF($DW$1:$HB$1=HX$1,IF(NOT(ISBLANK($DW18:$HB18)),IF(LEFT(UPPER(SUBSTITUTE($DW18:$HB18," ","")),1)=HX$9,1,0),0),0))</f>
        <v>0</v>
      </c>
      <c r="HY18" s="33">
        <f t="array" ref="HY18">SUM(IF($DW$1:$HB$1=HY$1,IF(NOT(ISBLANK($DW18:$HB18)),IF(LEFT(UPPER(SUBSTITUTE($DW18:$HB18," ","")),1)=HY$9,1,0),0),0))</f>
        <v>0</v>
      </c>
      <c r="HZ18" s="33">
        <f t="array" ref="HZ18">SUM(IF($DW$1:$HB$1=HZ$1,IF(NOT(ISBLANK($DW18:$HB18)),IF(LEFT(UPPER(SUBSTITUTE($DW18:$HB18," ","")),1)=HZ$9,1,0),0),0))</f>
        <v>0</v>
      </c>
      <c r="IA18" s="33">
        <f t="array" ref="IA18">SUM(IF($DW$1:$HB$1=IA$1,IF(NOT(ISBLANK($DW18:$HB18)),IF(LEFT(UPPER(SUBSTITUTE($DW18:$HB18," ","")),1)=IA$9,1,0),0),0))</f>
        <v>1</v>
      </c>
      <c r="IB18" s="33" t="str">
        <f t="shared" si="23"/>
        <v>C</v>
      </c>
      <c r="IC18" s="33">
        <f t="array" ref="IC18">SUM(IF($DW$1:$HB$1=IC$1,IF(LEFT(UPPER(SUBSTITUTE($DW18:$HB18," ","")),1)=IC$9,1,0),0))</f>
        <v>1</v>
      </c>
      <c r="ID18" s="33">
        <f t="array" ref="ID18">SUM(IF($DW$1:$HB$1=ID$1,IF(LEFT(UPPER(SUBSTITUTE($DW18:$HB18," ","")),1)=ID$10,1,0),0))</f>
        <v>0</v>
      </c>
      <c r="IE18" s="33">
        <f t="array" ref="IE18">SUM(IF($DW$1:$HB$1=IE$1,IF(ISBLANK($DW18:$HB18),0,IF($DW18:$HB18="",0,IF($DW18:$HB18=" ",0,1))),0))</f>
        <v>1</v>
      </c>
      <c r="IF18" s="33">
        <f t="array" ref="IF18">SUM(IF($DW$1:$HB$1=IF$1,IF(ISNUMBER($DW18:$HB18),$DW18:$HB18,0),0))</f>
        <v>3</v>
      </c>
      <c r="IG18" s="33">
        <f t="array" ref="IG18">SUM(IF($DW$1:$HB$1=IG$1,IF(ISNUMBER($DW18:$HB18),$DW18:$HB18*$DW$9:$HB$9,0),0))</f>
        <v>3</v>
      </c>
      <c r="IH18" s="37">
        <f t="shared" si="24"/>
        <v>0.15</v>
      </c>
    </row>
    <row r="19" spans="1:242" s="26" customFormat="1" ht="39" customHeight="1" x14ac:dyDescent="0.25">
      <c r="A19" s="170" t="str">
        <f>'Leerdoelen,Kennisbasis,Toetsing'!B16</f>
        <v>blauw</v>
      </c>
      <c r="B19" s="169" t="str">
        <f>IF(NOT(ISBLANK('Leerdoelen,Kennisbasis,Toetsing'!C16)),'Leerdoelen,Kennisbasis,Toetsing'!C16,"")</f>
        <v>CPO</v>
      </c>
      <c r="C19" s="137" t="s">
        <v>61</v>
      </c>
      <c r="D19" s="138" t="str">
        <f>IF(NOT(ISBLANK('Leerdoelen,Kennisbasis,Toetsing'!E16)),'Leerdoelen,Kennisbasis,Toetsing'!E16,"")</f>
        <v>REA</v>
      </c>
      <c r="E19" s="139" t="str">
        <f>IF(NOT(ISBLANK('Leerdoelen,Kennisbasis,Toetsing'!F16)),'Leerdoelen,Kennisbasis,Toetsing'!F16,"")</f>
        <v>SW</v>
      </c>
      <c r="F19" s="171" t="s">
        <v>167</v>
      </c>
      <c r="G19" s="140" t="str">
        <f>IF(NOT(ISBLANK('Leerdoelen,Kennisbasis,Toetsing'!H16)),'Leerdoelen,Kennisbasis,Toetsing'!H16,"")</f>
        <v>Een softwaresysteem voor Lego Mindstorms bouwen met behulp van de taal C++.</v>
      </c>
      <c r="H19" s="107" t="s">
        <v>63</v>
      </c>
      <c r="I19" s="68">
        <v>0.3</v>
      </c>
      <c r="J19" s="9" t="str">
        <f t="shared" si="2"/>
        <v>C</v>
      </c>
      <c r="K19" s="69" t="str">
        <f t="shared" si="3"/>
        <v>ja</v>
      </c>
      <c r="L19" s="70">
        <f t="shared" si="4"/>
        <v>0.3</v>
      </c>
      <c r="M19" s="9" t="str">
        <f t="shared" si="6"/>
        <v/>
      </c>
      <c r="N19" s="69" t="str">
        <f t="shared" si="7"/>
        <v/>
      </c>
      <c r="O19" s="70" t="str">
        <f t="shared" si="8"/>
        <v/>
      </c>
      <c r="P19" s="9" t="str">
        <f t="shared" si="9"/>
        <v>C</v>
      </c>
      <c r="Q19" s="69" t="str">
        <f t="shared" si="10"/>
        <v>ja</v>
      </c>
      <c r="R19" s="71">
        <f t="shared" si="11"/>
        <v>0.3</v>
      </c>
      <c r="S19" s="24"/>
      <c r="T19" s="49"/>
      <c r="U19" s="50"/>
      <c r="V19" s="50"/>
      <c r="W19" s="50"/>
      <c r="X19" s="50"/>
      <c r="Y19" s="51"/>
      <c r="Z19" s="49"/>
      <c r="AA19" s="50"/>
      <c r="AB19" s="10" t="str">
        <f t="shared" si="12"/>
        <v/>
      </c>
      <c r="AC19" s="9" t="str">
        <f t="shared" si="13"/>
        <v/>
      </c>
      <c r="AD19" s="28" t="str">
        <f t="shared" si="5"/>
        <v/>
      </c>
      <c r="AE19" s="10" t="str">
        <f t="shared" si="14"/>
        <v/>
      </c>
      <c r="AF19" s="25"/>
      <c r="AG19" s="53"/>
      <c r="AH19" s="63"/>
      <c r="AI19" s="54"/>
      <c r="AJ19" s="53"/>
      <c r="AK19" s="63"/>
      <c r="AL19" s="54"/>
      <c r="AM19" s="53"/>
      <c r="AN19" s="63"/>
      <c r="AO19" s="54"/>
      <c r="AP19" s="53"/>
      <c r="AQ19" s="63"/>
      <c r="AR19" s="54"/>
      <c r="AS19" s="53"/>
      <c r="AT19" s="63"/>
      <c r="AU19" s="54"/>
      <c r="AV19" s="53"/>
      <c r="AW19" s="63"/>
      <c r="AX19" s="54"/>
      <c r="AY19" s="53"/>
      <c r="AZ19" s="63"/>
      <c r="BA19" s="54"/>
      <c r="BB19" s="53"/>
      <c r="BC19" s="63"/>
      <c r="BD19" s="54"/>
      <c r="BE19" s="53"/>
      <c r="BF19" s="63"/>
      <c r="BG19" s="54"/>
      <c r="BH19" s="53"/>
      <c r="BI19" s="63"/>
      <c r="BJ19" s="54"/>
      <c r="BK19" s="53"/>
      <c r="BL19" s="63"/>
      <c r="BM19" s="54"/>
      <c r="BN19" s="53"/>
      <c r="BO19" s="63"/>
      <c r="BP19" s="54"/>
      <c r="BQ19" s="53"/>
      <c r="BR19" s="63"/>
      <c r="BS19" s="54"/>
      <c r="BT19" s="53"/>
      <c r="BU19" s="63"/>
      <c r="BV19" s="54"/>
      <c r="BW19" s="53"/>
      <c r="BX19" s="63"/>
      <c r="BY19" s="54"/>
      <c r="BZ19" s="53"/>
      <c r="CA19" s="63"/>
      <c r="CB19" s="54"/>
      <c r="CC19" s="53"/>
      <c r="CD19" s="63"/>
      <c r="CE19" s="54"/>
      <c r="CF19" s="53"/>
      <c r="CG19" s="63"/>
      <c r="CH19" s="54"/>
      <c r="CI19" s="53"/>
      <c r="CJ19" s="63"/>
      <c r="CK19" s="54"/>
      <c r="CL19" s="53"/>
      <c r="CM19" s="63"/>
      <c r="CN19" s="54"/>
      <c r="CO19" s="53"/>
      <c r="CP19" s="63"/>
      <c r="CQ19" s="54"/>
      <c r="CR19" s="53"/>
      <c r="CS19" s="63"/>
      <c r="CT19" s="54"/>
      <c r="CU19" s="53"/>
      <c r="CV19" s="63"/>
      <c r="CW19" s="54"/>
      <c r="CX19" s="53"/>
      <c r="CY19" s="63"/>
      <c r="CZ19" s="54"/>
      <c r="DA19" s="53"/>
      <c r="DB19" s="63"/>
      <c r="DC19" s="54"/>
      <c r="DD19" s="53"/>
      <c r="DE19" s="63"/>
      <c r="DF19" s="54"/>
      <c r="DG19" s="53"/>
      <c r="DH19" s="63"/>
      <c r="DI19" s="54"/>
      <c r="DJ19" s="53"/>
      <c r="DK19" s="63"/>
      <c r="DL19" s="54"/>
      <c r="DM19" s="53"/>
      <c r="DN19" s="63"/>
      <c r="DO19" s="54"/>
      <c r="DP19" s="53"/>
      <c r="DQ19" s="63"/>
      <c r="DR19" s="54"/>
      <c r="DS19" s="18" t="str">
        <f t="shared" si="15"/>
        <v/>
      </c>
      <c r="DT19" s="64" t="str">
        <f t="shared" si="16"/>
        <v/>
      </c>
      <c r="DU19" s="38" t="str">
        <f t="shared" si="17"/>
        <v/>
      </c>
      <c r="DW19" s="53"/>
      <c r="DX19" s="63"/>
      <c r="DY19" s="54"/>
      <c r="DZ19" s="53"/>
      <c r="EA19" s="63"/>
      <c r="EB19" s="54"/>
      <c r="EC19" s="53"/>
      <c r="ED19" s="63"/>
      <c r="EE19" s="54"/>
      <c r="EF19" s="53"/>
      <c r="EG19" s="63"/>
      <c r="EH19" s="54"/>
      <c r="EI19" s="53" t="s">
        <v>64</v>
      </c>
      <c r="EJ19" s="63" t="s">
        <v>90</v>
      </c>
      <c r="EK19" s="54">
        <v>6</v>
      </c>
      <c r="EL19" s="53"/>
      <c r="EM19" s="63"/>
      <c r="EN19" s="54"/>
      <c r="EO19" s="53"/>
      <c r="EP19" s="63"/>
      <c r="EQ19" s="54"/>
      <c r="ER19" s="53"/>
      <c r="ES19" s="63"/>
      <c r="ET19" s="54"/>
      <c r="EU19" s="53"/>
      <c r="EV19" s="63"/>
      <c r="EW19" s="54"/>
      <c r="EX19" s="53"/>
      <c r="EY19" s="63"/>
      <c r="EZ19" s="54"/>
      <c r="FA19" s="53"/>
      <c r="FB19" s="63"/>
      <c r="FC19" s="54"/>
      <c r="FD19" s="53"/>
      <c r="FE19" s="63"/>
      <c r="FF19" s="54"/>
      <c r="FG19" s="53"/>
      <c r="FH19" s="63"/>
      <c r="FI19" s="54"/>
      <c r="FJ19" s="53"/>
      <c r="FK19" s="63"/>
      <c r="FL19" s="54"/>
      <c r="FM19" s="53"/>
      <c r="FN19" s="63"/>
      <c r="FO19" s="54"/>
      <c r="FP19" s="53"/>
      <c r="FQ19" s="63"/>
      <c r="FR19" s="54"/>
      <c r="FS19" s="53"/>
      <c r="FT19" s="63"/>
      <c r="FU19" s="54"/>
      <c r="FV19" s="53"/>
      <c r="FW19" s="63"/>
      <c r="FX19" s="54"/>
      <c r="FY19" s="53"/>
      <c r="FZ19" s="63"/>
      <c r="GA19" s="54"/>
      <c r="GB19" s="53"/>
      <c r="GC19" s="63"/>
      <c r="GD19" s="54"/>
      <c r="GE19" s="53"/>
      <c r="GF19" s="63"/>
      <c r="GG19" s="54"/>
      <c r="GH19" s="53"/>
      <c r="GI19" s="63"/>
      <c r="GJ19" s="54"/>
      <c r="GK19" s="53"/>
      <c r="GL19" s="63"/>
      <c r="GM19" s="54"/>
      <c r="GN19" s="53"/>
      <c r="GO19" s="63"/>
      <c r="GP19" s="54"/>
      <c r="GQ19" s="53"/>
      <c r="GR19" s="63"/>
      <c r="GS19" s="54"/>
      <c r="GT19" s="53"/>
      <c r="GU19" s="63"/>
      <c r="GV19" s="54"/>
      <c r="GW19" s="53"/>
      <c r="GX19" s="63"/>
      <c r="GY19" s="54"/>
      <c r="GZ19" s="53"/>
      <c r="HA19" s="63"/>
      <c r="HB19" s="54"/>
      <c r="HC19" s="18" t="str">
        <f t="shared" si="18"/>
        <v>C</v>
      </c>
      <c r="HD19" s="64" t="str">
        <f t="shared" si="19"/>
        <v>J</v>
      </c>
      <c r="HE19" s="38">
        <f t="shared" si="20"/>
        <v>0.3</v>
      </c>
      <c r="HF19" s="92"/>
      <c r="HG19" s="92"/>
      <c r="HH19" s="33">
        <f t="array" ref="HH19">SUM(IF($AD$1:$DR$1=HH$1,IF(NOT(ISBLANK($AD19:$DR19)),IF(LEFT(UPPER(SUBSTITUTE($AD19:$DR19," ","")),1)=HH$9,1,0),0),0))</f>
        <v>0</v>
      </c>
      <c r="HI19" s="33">
        <f t="array" ref="HI19">SUM(IF($AD$1:$DR$1=HI$1,IF(NOT(ISBLANK($AD19:$DR19)),IF(LEFT(UPPER(SUBSTITUTE($AD19:$DR19," ","")),1)=HI$9,1,0),0),0))</f>
        <v>0</v>
      </c>
      <c r="HJ19" s="33">
        <f t="array" ref="HJ19">SUM(IF($AD$1:$DR$1=HJ$1,IF(NOT(ISBLANK($AD19:$DR19)),IF(LEFT(UPPER(SUBSTITUTE($AD19:$DR19," ","")),1)=HJ$9,1,0),0),0))</f>
        <v>0</v>
      </c>
      <c r="HK19" s="33">
        <f t="array" ref="HK19">SUM(IF($AD$1:$DR$1=HK$1,IF(NOT(ISBLANK($AD19:$DR19)),IF(LEFT(UPPER(SUBSTITUTE($AD19:$DR19," ","")),1)=HK$9,1,0),0),0))</f>
        <v>0</v>
      </c>
      <c r="HL19" s="33">
        <f t="array" ref="HL19">SUM(IF($AD$1:$DR$1=HL$1,IF(NOT(ISBLANK($AD19:$DR19)),IF(LEFT(UPPER(SUBSTITUTE($AD19:$DR19," ","")),1)=HL$9,1,0),0),0))</f>
        <v>0</v>
      </c>
      <c r="HM19" s="33">
        <f t="array" ref="HM19">SUM(IF($AD$1:$DR$1=HM$1,IF(NOT(ISBLANK($AD19:$DR19)),IF(LEFT(UPPER(SUBSTITUTE($AD19:$DR19," ","")),1)=HM$9,1,0),0),0))</f>
        <v>0</v>
      </c>
      <c r="HN19" s="33" t="str">
        <f t="shared" si="21"/>
        <v>?</v>
      </c>
      <c r="HO19" s="33">
        <f t="array" ref="HO19">SUM(IF($AD$1:$DR$1=HO$1,IF(LEFT(UPPER(SUBSTITUTE($AD19:$DR19," ","")),1)=HO$9,1,0),0))</f>
        <v>0</v>
      </c>
      <c r="HP19" s="33">
        <f t="array" ref="HP19">SUM(IF($AD$1:$DR$1=HP$1,IF(LEFT(UPPER(SUBSTITUTE($AD19:$DR19," ","")),1)=HP$10,1,0),0))</f>
        <v>0</v>
      </c>
      <c r="HQ19" s="33">
        <f t="array" ref="HQ19">SUM(IF($AD$1:$DR$1=HQ$1,IF(ISBLANK($AD19:$DR19),0,IF($AD19:$DR19="",0,IF($AD19:$DR19=" ",0,1))),0))</f>
        <v>0</v>
      </c>
      <c r="HR19" s="33">
        <f t="array" ref="HR19">SUM(IF($AD$1:$DR$1=HR$1,IF(ISNUMBER($AD19:$DR19),$AD19:$DR19,0),0))</f>
        <v>0</v>
      </c>
      <c r="HS19" s="33">
        <f t="array" ref="HS19">SUM(IF($AD$1:$DR$1=HS$1,IF(ISNUMBER($AD19:$DR19),$AD19:$DR19*$AD$9:$DR$9,0),0))</f>
        <v>0</v>
      </c>
      <c r="HT19" s="37">
        <f t="shared" si="22"/>
        <v>0</v>
      </c>
      <c r="HU19" s="92"/>
      <c r="HV19" s="33">
        <f t="array" ref="HV19">SUM(IF($DW$1:$HB$1=HV$1,IF(NOT(ISBLANK($DW19:$HB19)),IF(LEFT(UPPER(SUBSTITUTE($DW19:$HB19," ","")),1)=HV$9,1,0),0),0))</f>
        <v>0</v>
      </c>
      <c r="HW19" s="33">
        <f t="array" ref="HW19">SUM(IF($DW$1:$HB$1=HW$1,IF(NOT(ISBLANK($DW19:$HB19)),IF(LEFT(UPPER(SUBSTITUTE($DW19:$HB19," ","")),1)=HW$9,1,0),0),0))</f>
        <v>0</v>
      </c>
      <c r="HX19" s="33">
        <f t="array" ref="HX19">SUM(IF($DW$1:$HB$1=HX$1,IF(NOT(ISBLANK($DW19:$HB19)),IF(LEFT(UPPER(SUBSTITUTE($DW19:$HB19," ","")),1)=HX$9,1,0),0),0))</f>
        <v>0</v>
      </c>
      <c r="HY19" s="33">
        <f t="array" ref="HY19">SUM(IF($DW$1:$HB$1=HY$1,IF(NOT(ISBLANK($DW19:$HB19)),IF(LEFT(UPPER(SUBSTITUTE($DW19:$HB19," ","")),1)=HY$9,1,0),0),0))</f>
        <v>0</v>
      </c>
      <c r="HZ19" s="33">
        <f t="array" ref="HZ19">SUM(IF($DW$1:$HB$1=HZ$1,IF(NOT(ISBLANK($DW19:$HB19)),IF(LEFT(UPPER(SUBSTITUTE($DW19:$HB19," ","")),1)=HZ$9,1,0),0),0))</f>
        <v>0</v>
      </c>
      <c r="IA19" s="33">
        <f t="array" ref="IA19">SUM(IF($DW$1:$HB$1=IA$1,IF(NOT(ISBLANK($DW19:$HB19)),IF(LEFT(UPPER(SUBSTITUTE($DW19:$HB19," ","")),1)=IA$9,1,0),0),0))</f>
        <v>1</v>
      </c>
      <c r="IB19" s="33" t="str">
        <f t="shared" si="23"/>
        <v>C</v>
      </c>
      <c r="IC19" s="33">
        <f t="array" ref="IC19">SUM(IF($DW$1:$HB$1=IC$1,IF(LEFT(UPPER(SUBSTITUTE($DW19:$HB19," ","")),1)=IC$9,1,0),0))</f>
        <v>1</v>
      </c>
      <c r="ID19" s="33">
        <f t="array" ref="ID19">SUM(IF($DW$1:$HB$1=ID$1,IF(LEFT(UPPER(SUBSTITUTE($DW19:$HB19," ","")),1)=ID$10,1,0),0))</f>
        <v>0</v>
      </c>
      <c r="IE19" s="33">
        <f t="array" ref="IE19">SUM(IF($DW$1:$HB$1=IE$1,IF(ISBLANK($DW19:$HB19),0,IF($DW19:$HB19="",0,IF($DW19:$HB19=" ",0,1))),0))</f>
        <v>1</v>
      </c>
      <c r="IF19" s="33">
        <f t="array" ref="IF19">SUM(IF($DW$1:$HB$1=IF$1,IF(ISNUMBER($DW19:$HB19),$DW19:$HB19,0),0))</f>
        <v>6</v>
      </c>
      <c r="IG19" s="33">
        <f t="array" ref="IG19">SUM(IF($DW$1:$HB$1=IG$1,IF(ISNUMBER($DW19:$HB19),$DW19:$HB19*$DW$9:$HB$9,0),0))</f>
        <v>6</v>
      </c>
      <c r="IH19" s="37">
        <f t="shared" si="24"/>
        <v>0.3</v>
      </c>
    </row>
    <row r="20" spans="1:242" s="26" customFormat="1" ht="39" customHeight="1" x14ac:dyDescent="0.25">
      <c r="A20" s="170"/>
      <c r="B20" s="169"/>
      <c r="C20" s="137"/>
      <c r="D20" s="138"/>
      <c r="E20" s="139"/>
      <c r="F20" s="171"/>
      <c r="G20" s="140"/>
      <c r="H20" s="107"/>
      <c r="I20" s="68"/>
      <c r="J20" s="9"/>
      <c r="K20" s="69"/>
      <c r="L20" s="70"/>
      <c r="M20" s="9"/>
      <c r="N20" s="69"/>
      <c r="O20" s="70"/>
      <c r="P20" s="9"/>
      <c r="Q20" s="69"/>
      <c r="R20" s="71"/>
      <c r="S20" s="24"/>
      <c r="T20" s="49"/>
      <c r="U20" s="50"/>
      <c r="V20" s="50"/>
      <c r="W20" s="50"/>
      <c r="X20" s="50"/>
      <c r="Y20" s="51"/>
      <c r="Z20" s="49"/>
      <c r="AA20" s="50"/>
      <c r="AB20" s="10"/>
      <c r="AC20" s="9"/>
      <c r="AD20" s="28"/>
      <c r="AE20" s="10"/>
      <c r="AF20" s="25"/>
      <c r="AG20" s="53"/>
      <c r="AH20" s="63"/>
      <c r="AI20" s="54"/>
      <c r="AJ20" s="53"/>
      <c r="AK20" s="63"/>
      <c r="AL20" s="54"/>
      <c r="AM20" s="53"/>
      <c r="AN20" s="63"/>
      <c r="AO20" s="54"/>
      <c r="AP20" s="53"/>
      <c r="AQ20" s="63"/>
      <c r="AR20" s="54"/>
      <c r="AS20" s="53"/>
      <c r="AT20" s="63"/>
      <c r="AU20" s="54"/>
      <c r="AV20" s="53"/>
      <c r="AW20" s="63"/>
      <c r="AX20" s="54"/>
      <c r="AY20" s="53"/>
      <c r="AZ20" s="63"/>
      <c r="BA20" s="54"/>
      <c r="BB20" s="53"/>
      <c r="BC20" s="63"/>
      <c r="BD20" s="54"/>
      <c r="BE20" s="53"/>
      <c r="BF20" s="63"/>
      <c r="BG20" s="54"/>
      <c r="BH20" s="53"/>
      <c r="BI20" s="63"/>
      <c r="BJ20" s="54"/>
      <c r="BK20" s="53"/>
      <c r="BL20" s="63"/>
      <c r="BM20" s="54"/>
      <c r="BN20" s="53"/>
      <c r="BO20" s="63"/>
      <c r="BP20" s="54"/>
      <c r="BQ20" s="53"/>
      <c r="BR20" s="63"/>
      <c r="BS20" s="54"/>
      <c r="BT20" s="53"/>
      <c r="BU20" s="63"/>
      <c r="BV20" s="54"/>
      <c r="BW20" s="53"/>
      <c r="BX20" s="63"/>
      <c r="BY20" s="54"/>
      <c r="BZ20" s="53"/>
      <c r="CA20" s="63"/>
      <c r="CB20" s="54"/>
      <c r="CC20" s="53"/>
      <c r="CD20" s="63"/>
      <c r="CE20" s="54"/>
      <c r="CF20" s="53"/>
      <c r="CG20" s="63"/>
      <c r="CH20" s="54"/>
      <c r="CI20" s="53"/>
      <c r="CJ20" s="63"/>
      <c r="CK20" s="54"/>
      <c r="CL20" s="53"/>
      <c r="CM20" s="63"/>
      <c r="CN20" s="54"/>
      <c r="CO20" s="53"/>
      <c r="CP20" s="63"/>
      <c r="CQ20" s="54"/>
      <c r="CR20" s="53"/>
      <c r="CS20" s="63"/>
      <c r="CT20" s="54"/>
      <c r="CU20" s="53"/>
      <c r="CV20" s="63"/>
      <c r="CW20" s="54"/>
      <c r="CX20" s="53"/>
      <c r="CY20" s="63"/>
      <c r="CZ20" s="54"/>
      <c r="DA20" s="53"/>
      <c r="DB20" s="63"/>
      <c r="DC20" s="54"/>
      <c r="DD20" s="53"/>
      <c r="DE20" s="63"/>
      <c r="DF20" s="54"/>
      <c r="DG20" s="53"/>
      <c r="DH20" s="63"/>
      <c r="DI20" s="54"/>
      <c r="DJ20" s="53"/>
      <c r="DK20" s="63"/>
      <c r="DL20" s="54"/>
      <c r="DM20" s="53"/>
      <c r="DN20" s="63"/>
      <c r="DO20" s="54"/>
      <c r="DP20" s="53"/>
      <c r="DQ20" s="63"/>
      <c r="DR20" s="54"/>
      <c r="DS20" s="18"/>
      <c r="DT20" s="64"/>
      <c r="DU20" s="38"/>
      <c r="DW20" s="53"/>
      <c r="DX20" s="63"/>
      <c r="DY20" s="54"/>
      <c r="DZ20" s="53"/>
      <c r="EA20" s="63"/>
      <c r="EB20" s="54"/>
      <c r="EC20" s="53"/>
      <c r="ED20" s="63"/>
      <c r="EE20" s="54"/>
      <c r="EF20" s="53"/>
      <c r="EG20" s="63"/>
      <c r="EH20" s="54"/>
      <c r="EI20" s="53"/>
      <c r="EJ20" s="63"/>
      <c r="EK20" s="54"/>
      <c r="EL20" s="53"/>
      <c r="EM20" s="63"/>
      <c r="EN20" s="54"/>
      <c r="EO20" s="53"/>
      <c r="EP20" s="63"/>
      <c r="EQ20" s="54"/>
      <c r="ER20" s="53"/>
      <c r="ES20" s="63"/>
      <c r="ET20" s="54"/>
      <c r="EU20" s="53"/>
      <c r="EV20" s="63"/>
      <c r="EW20" s="54"/>
      <c r="EX20" s="53"/>
      <c r="EY20" s="63"/>
      <c r="EZ20" s="54"/>
      <c r="FA20" s="53"/>
      <c r="FB20" s="63"/>
      <c r="FC20" s="54"/>
      <c r="FD20" s="53"/>
      <c r="FE20" s="63"/>
      <c r="FF20" s="54"/>
      <c r="FG20" s="53"/>
      <c r="FH20" s="63"/>
      <c r="FI20" s="54"/>
      <c r="FJ20" s="53"/>
      <c r="FK20" s="63"/>
      <c r="FL20" s="54"/>
      <c r="FM20" s="53"/>
      <c r="FN20" s="63"/>
      <c r="FO20" s="54"/>
      <c r="FP20" s="53"/>
      <c r="FQ20" s="63"/>
      <c r="FR20" s="54"/>
      <c r="FS20" s="53"/>
      <c r="FT20" s="63"/>
      <c r="FU20" s="54"/>
      <c r="FV20" s="53"/>
      <c r="FW20" s="63"/>
      <c r="FX20" s="54"/>
      <c r="FY20" s="53"/>
      <c r="FZ20" s="63"/>
      <c r="GA20" s="54"/>
      <c r="GB20" s="53"/>
      <c r="GC20" s="63"/>
      <c r="GD20" s="54"/>
      <c r="GE20" s="53"/>
      <c r="GF20" s="63"/>
      <c r="GG20" s="54"/>
      <c r="GH20" s="53"/>
      <c r="GI20" s="63"/>
      <c r="GJ20" s="54"/>
      <c r="GK20" s="53"/>
      <c r="GL20" s="63"/>
      <c r="GM20" s="54"/>
      <c r="GN20" s="53"/>
      <c r="GO20" s="63"/>
      <c r="GP20" s="54"/>
      <c r="GQ20" s="53"/>
      <c r="GR20" s="63"/>
      <c r="GS20" s="54"/>
      <c r="GT20" s="53"/>
      <c r="GU20" s="63"/>
      <c r="GV20" s="54"/>
      <c r="GW20" s="53"/>
      <c r="GX20" s="63"/>
      <c r="GY20" s="54"/>
      <c r="GZ20" s="53"/>
      <c r="HA20" s="63"/>
      <c r="HB20" s="54"/>
      <c r="HC20" s="18"/>
      <c r="HD20" s="64"/>
      <c r="HE20" s="38"/>
      <c r="HF20" s="92"/>
      <c r="HG20" s="92"/>
      <c r="HH20" s="33"/>
      <c r="HI20" s="33"/>
      <c r="HJ20" s="33"/>
      <c r="HK20" s="33"/>
      <c r="HL20" s="33"/>
      <c r="HM20" s="33"/>
      <c r="HN20" s="33"/>
      <c r="HO20" s="33"/>
      <c r="HP20" s="33"/>
      <c r="HQ20" s="33"/>
      <c r="HR20" s="33"/>
      <c r="HS20" s="33"/>
      <c r="HT20" s="37"/>
      <c r="HU20" s="92"/>
      <c r="HV20" s="33"/>
      <c r="HW20" s="33"/>
      <c r="HX20" s="33"/>
      <c r="HY20" s="33"/>
      <c r="HZ20" s="33"/>
      <c r="IA20" s="33"/>
      <c r="IB20" s="33"/>
      <c r="IC20" s="33"/>
      <c r="ID20" s="33"/>
      <c r="IE20" s="33"/>
      <c r="IF20" s="33"/>
      <c r="IG20" s="33"/>
      <c r="IH20" s="37"/>
    </row>
    <row r="21" spans="1:242" s="26" customFormat="1" ht="39" customHeight="1" x14ac:dyDescent="0.25">
      <c r="A21" s="170" t="str">
        <f>'Leerdoelen,Kennisbasis,Toetsing'!B18</f>
        <v/>
      </c>
      <c r="B21" s="169" t="str">
        <f>IF(NOT(ISBLANK('Leerdoelen,Kennisbasis,Toetsing'!C18)),'Leerdoelen,Kennisbasis,Toetsing'!C18,"")</f>
        <v/>
      </c>
      <c r="C21" s="137" t="str">
        <f>IF(NOT(ISBLANK('Leerdoelen,Kennisbasis,Toetsing'!D18)),'Leerdoelen,Kennisbasis,Toetsing'!D18,"")</f>
        <v/>
      </c>
      <c r="D21" s="138" t="str">
        <f>IF(NOT(ISBLANK('Leerdoelen,Kennisbasis,Toetsing'!E18)),'Leerdoelen,Kennisbasis,Toetsing'!E18,"")</f>
        <v/>
      </c>
      <c r="E21" s="139" t="str">
        <f>IF(NOT(ISBLANK('Leerdoelen,Kennisbasis,Toetsing'!F18)),'Leerdoelen,Kennisbasis,Toetsing'!F18,"")</f>
        <v/>
      </c>
      <c r="F21" s="171" t="str">
        <f>IF(NOT(ISBLANK('Leerdoelen,Kennisbasis,Toetsing'!G18)),'Leerdoelen,Kennisbasis,Toetsing'!G18,"")</f>
        <v/>
      </c>
      <c r="G21" s="140" t="str">
        <f>IF(NOT(ISBLANK('Leerdoelen,Kennisbasis,Toetsing'!H18)),'Leerdoelen,Kennisbasis,Toetsing'!H18,"")</f>
        <v/>
      </c>
      <c r="H21" s="107" t="str">
        <f>IF(NOT(ISBLANK('Leerdoelen,Kennisbasis,Toetsing'!I18)),'Leerdoelen,Kennisbasis,Toetsing'!I18,"")</f>
        <v/>
      </c>
      <c r="I21" s="68"/>
      <c r="J21" s="9" t="str">
        <f t="shared" si="2"/>
        <v/>
      </c>
      <c r="K21" s="69" t="str">
        <f t="shared" si="3"/>
        <v/>
      </c>
      <c r="L21" s="70" t="str">
        <f t="shared" si="4"/>
        <v/>
      </c>
      <c r="M21" s="9" t="str">
        <f t="shared" si="6"/>
        <v/>
      </c>
      <c r="N21" s="69" t="str">
        <f t="shared" si="7"/>
        <v/>
      </c>
      <c r="O21" s="70" t="str">
        <f t="shared" si="8"/>
        <v/>
      </c>
      <c r="P21" s="9" t="str">
        <f t="shared" si="9"/>
        <v/>
      </c>
      <c r="Q21" s="69" t="str">
        <f t="shared" si="10"/>
        <v/>
      </c>
      <c r="R21" s="71" t="str">
        <f t="shared" si="11"/>
        <v/>
      </c>
      <c r="S21" s="24"/>
      <c r="T21" s="49"/>
      <c r="U21" s="50"/>
      <c r="V21" s="50"/>
      <c r="W21" s="50"/>
      <c r="X21" s="50"/>
      <c r="Y21" s="51"/>
      <c r="Z21" s="49"/>
      <c r="AA21" s="50"/>
      <c r="AB21" s="10" t="str">
        <f t="shared" si="12"/>
        <v/>
      </c>
      <c r="AC21" s="9" t="str">
        <f t="shared" si="13"/>
        <v/>
      </c>
      <c r="AD21" s="28" t="str">
        <f t="shared" si="5"/>
        <v/>
      </c>
      <c r="AE21" s="10" t="str">
        <f t="shared" si="14"/>
        <v/>
      </c>
      <c r="AF21" s="25"/>
      <c r="AG21" s="53"/>
      <c r="AH21" s="63"/>
      <c r="AI21" s="54"/>
      <c r="AJ21" s="53"/>
      <c r="AK21" s="63"/>
      <c r="AL21" s="54"/>
      <c r="AM21" s="53"/>
      <c r="AN21" s="63"/>
      <c r="AO21" s="54"/>
      <c r="AP21" s="53"/>
      <c r="AQ21" s="63"/>
      <c r="AR21" s="54"/>
      <c r="AS21" s="53"/>
      <c r="AT21" s="63"/>
      <c r="AU21" s="54"/>
      <c r="AV21" s="53"/>
      <c r="AW21" s="63"/>
      <c r="AX21" s="54"/>
      <c r="AY21" s="53"/>
      <c r="AZ21" s="63"/>
      <c r="BA21" s="54"/>
      <c r="BB21" s="53"/>
      <c r="BC21" s="63"/>
      <c r="BD21" s="54"/>
      <c r="BE21" s="53"/>
      <c r="BF21" s="63"/>
      <c r="BG21" s="54"/>
      <c r="BH21" s="53"/>
      <c r="BI21" s="63"/>
      <c r="BJ21" s="54"/>
      <c r="BK21" s="53"/>
      <c r="BL21" s="63"/>
      <c r="BM21" s="54"/>
      <c r="BN21" s="53"/>
      <c r="BO21" s="63"/>
      <c r="BP21" s="54"/>
      <c r="BQ21" s="53"/>
      <c r="BR21" s="63"/>
      <c r="BS21" s="54"/>
      <c r="BT21" s="53"/>
      <c r="BU21" s="63"/>
      <c r="BV21" s="54"/>
      <c r="BW21" s="53"/>
      <c r="BX21" s="63"/>
      <c r="BY21" s="54"/>
      <c r="BZ21" s="53"/>
      <c r="CA21" s="63"/>
      <c r="CB21" s="54"/>
      <c r="CC21" s="53"/>
      <c r="CD21" s="63"/>
      <c r="CE21" s="54"/>
      <c r="CF21" s="53"/>
      <c r="CG21" s="63"/>
      <c r="CH21" s="54"/>
      <c r="CI21" s="53"/>
      <c r="CJ21" s="63"/>
      <c r="CK21" s="54"/>
      <c r="CL21" s="53"/>
      <c r="CM21" s="63"/>
      <c r="CN21" s="54"/>
      <c r="CO21" s="53"/>
      <c r="CP21" s="63"/>
      <c r="CQ21" s="54"/>
      <c r="CR21" s="53"/>
      <c r="CS21" s="63"/>
      <c r="CT21" s="54"/>
      <c r="CU21" s="53"/>
      <c r="CV21" s="63"/>
      <c r="CW21" s="54"/>
      <c r="CX21" s="53"/>
      <c r="CY21" s="63"/>
      <c r="CZ21" s="54"/>
      <c r="DA21" s="53"/>
      <c r="DB21" s="63"/>
      <c r="DC21" s="54"/>
      <c r="DD21" s="53"/>
      <c r="DE21" s="63"/>
      <c r="DF21" s="54"/>
      <c r="DG21" s="53"/>
      <c r="DH21" s="63"/>
      <c r="DI21" s="54"/>
      <c r="DJ21" s="53"/>
      <c r="DK21" s="63"/>
      <c r="DL21" s="54"/>
      <c r="DM21" s="53"/>
      <c r="DN21" s="63"/>
      <c r="DO21" s="54"/>
      <c r="DP21" s="53"/>
      <c r="DQ21" s="63"/>
      <c r="DR21" s="54"/>
      <c r="DS21" s="18" t="str">
        <f t="shared" si="15"/>
        <v/>
      </c>
      <c r="DT21" s="64" t="str">
        <f t="shared" si="16"/>
        <v/>
      </c>
      <c r="DU21" s="38" t="str">
        <f t="shared" si="17"/>
        <v/>
      </c>
      <c r="DW21" s="53"/>
      <c r="DX21" s="63"/>
      <c r="DY21" s="54"/>
      <c r="DZ21" s="53"/>
      <c r="EA21" s="63"/>
      <c r="EB21" s="54"/>
      <c r="EC21" s="53"/>
      <c r="ED21" s="63"/>
      <c r="EE21" s="54"/>
      <c r="EF21" s="53"/>
      <c r="EG21" s="63"/>
      <c r="EH21" s="54"/>
      <c r="EI21" s="53"/>
      <c r="EJ21" s="63"/>
      <c r="EK21" s="54"/>
      <c r="EL21" s="53"/>
      <c r="EM21" s="63"/>
      <c r="EN21" s="54"/>
      <c r="EO21" s="53"/>
      <c r="EP21" s="63"/>
      <c r="EQ21" s="54"/>
      <c r="ER21" s="53"/>
      <c r="ES21" s="63"/>
      <c r="ET21" s="54"/>
      <c r="EU21" s="53"/>
      <c r="EV21" s="63"/>
      <c r="EW21" s="54"/>
      <c r="EX21" s="53"/>
      <c r="EY21" s="63"/>
      <c r="EZ21" s="54"/>
      <c r="FA21" s="53"/>
      <c r="FB21" s="63"/>
      <c r="FC21" s="54"/>
      <c r="FD21" s="53"/>
      <c r="FE21" s="63"/>
      <c r="FF21" s="54"/>
      <c r="FG21" s="53"/>
      <c r="FH21" s="63"/>
      <c r="FI21" s="54"/>
      <c r="FJ21" s="53"/>
      <c r="FK21" s="63"/>
      <c r="FL21" s="54"/>
      <c r="FM21" s="53"/>
      <c r="FN21" s="63"/>
      <c r="FO21" s="54"/>
      <c r="FP21" s="53"/>
      <c r="FQ21" s="63"/>
      <c r="FR21" s="54"/>
      <c r="FS21" s="53"/>
      <c r="FT21" s="63"/>
      <c r="FU21" s="54"/>
      <c r="FV21" s="53"/>
      <c r="FW21" s="63"/>
      <c r="FX21" s="54"/>
      <c r="FY21" s="53"/>
      <c r="FZ21" s="63"/>
      <c r="GA21" s="54"/>
      <c r="GB21" s="53"/>
      <c r="GC21" s="63"/>
      <c r="GD21" s="54"/>
      <c r="GE21" s="53"/>
      <c r="GF21" s="63"/>
      <c r="GG21" s="54"/>
      <c r="GH21" s="53"/>
      <c r="GI21" s="63"/>
      <c r="GJ21" s="54"/>
      <c r="GK21" s="53"/>
      <c r="GL21" s="63"/>
      <c r="GM21" s="54"/>
      <c r="GN21" s="53"/>
      <c r="GO21" s="63"/>
      <c r="GP21" s="54"/>
      <c r="GQ21" s="53"/>
      <c r="GR21" s="63"/>
      <c r="GS21" s="54"/>
      <c r="GT21" s="53"/>
      <c r="GU21" s="63"/>
      <c r="GV21" s="54"/>
      <c r="GW21" s="53"/>
      <c r="GX21" s="63"/>
      <c r="GY21" s="54"/>
      <c r="GZ21" s="53"/>
      <c r="HA21" s="63"/>
      <c r="HB21" s="54"/>
      <c r="HC21" s="18" t="str">
        <f t="shared" si="18"/>
        <v/>
      </c>
      <c r="HD21" s="64" t="str">
        <f t="shared" si="19"/>
        <v/>
      </c>
      <c r="HE21" s="38" t="str">
        <f t="shared" si="20"/>
        <v/>
      </c>
      <c r="HF21" s="92"/>
      <c r="HG21" s="92"/>
      <c r="HH21" s="33">
        <f t="array" ref="HH21">SUM(IF($AD$1:$DR$1=HH$1,IF(NOT(ISBLANK($AD21:$DR21)),IF(LEFT(UPPER(SUBSTITUTE($AD21:$DR21," ","")),1)=HH$9,1,0),0),0))</f>
        <v>0</v>
      </c>
      <c r="HI21" s="33">
        <f t="array" ref="HI21">SUM(IF($AD$1:$DR$1=HI$1,IF(NOT(ISBLANK($AD21:$DR21)),IF(LEFT(UPPER(SUBSTITUTE($AD21:$DR21," ","")),1)=HI$9,1,0),0),0))</f>
        <v>0</v>
      </c>
      <c r="HJ21" s="33">
        <f t="array" ref="HJ21">SUM(IF($AD$1:$DR$1=HJ$1,IF(NOT(ISBLANK($AD21:$DR21)),IF(LEFT(UPPER(SUBSTITUTE($AD21:$DR21," ","")),1)=HJ$9,1,0),0),0))</f>
        <v>0</v>
      </c>
      <c r="HK21" s="33">
        <f t="array" ref="HK21">SUM(IF($AD$1:$DR$1=HK$1,IF(NOT(ISBLANK($AD21:$DR21)),IF(LEFT(UPPER(SUBSTITUTE($AD21:$DR21," ","")),1)=HK$9,1,0),0),0))</f>
        <v>0</v>
      </c>
      <c r="HL21" s="33">
        <f t="array" ref="HL21">SUM(IF($AD$1:$DR$1=HL$1,IF(NOT(ISBLANK($AD21:$DR21)),IF(LEFT(UPPER(SUBSTITUTE($AD21:$DR21," ","")),1)=HL$9,1,0),0),0))</f>
        <v>0</v>
      </c>
      <c r="HM21" s="33">
        <f t="array" ref="HM21">SUM(IF($AD$1:$DR$1=HM$1,IF(NOT(ISBLANK($AD21:$DR21)),IF(LEFT(UPPER(SUBSTITUTE($AD21:$DR21," ","")),1)=HM$9,1,0),0),0))</f>
        <v>0</v>
      </c>
      <c r="HN21" s="33" t="str">
        <f t="shared" si="21"/>
        <v>?</v>
      </c>
      <c r="HO21" s="33">
        <f t="array" ref="HO21">SUM(IF($AD$1:$DR$1=HO$1,IF(LEFT(UPPER(SUBSTITUTE($AD21:$DR21," ","")),1)=HO$9,1,0),0))</f>
        <v>0</v>
      </c>
      <c r="HP21" s="33">
        <f t="array" ref="HP21">SUM(IF($AD$1:$DR$1=HP$1,IF(LEFT(UPPER(SUBSTITUTE($AD21:$DR21," ","")),1)=HP$10,1,0),0))</f>
        <v>0</v>
      </c>
      <c r="HQ21" s="33">
        <f t="array" ref="HQ21">SUM(IF($AD$1:$DR$1=HQ$1,IF(ISBLANK($AD21:$DR21),0,IF($AD21:$DR21="",0,IF($AD21:$DR21=" ",0,1))),0))</f>
        <v>0</v>
      </c>
      <c r="HR21" s="33">
        <f t="array" ref="HR21">SUM(IF($AD$1:$DR$1=HR$1,IF(ISNUMBER($AD21:$DR21),$AD21:$DR21,0),0))</f>
        <v>0</v>
      </c>
      <c r="HS21" s="33">
        <f t="array" ref="HS21">SUM(IF($AD$1:$DR$1=HS$1,IF(ISNUMBER($AD21:$DR21),$AD21:$DR21*$AD$9:$DR$9,0),0))</f>
        <v>0</v>
      </c>
      <c r="HT21" s="37">
        <f t="shared" si="22"/>
        <v>0</v>
      </c>
      <c r="HU21" s="92"/>
      <c r="HV21" s="33">
        <f t="array" ref="HV21">SUM(IF($DW$1:$HB$1=HV$1,IF(NOT(ISBLANK($DW21:$HB21)),IF(LEFT(UPPER(SUBSTITUTE($DW21:$HB21," ","")),1)=HV$9,1,0),0),0))</f>
        <v>0</v>
      </c>
      <c r="HW21" s="33">
        <f t="array" ref="HW21">SUM(IF($DW$1:$HB$1=HW$1,IF(NOT(ISBLANK($DW21:$HB21)),IF(LEFT(UPPER(SUBSTITUTE($DW21:$HB21," ","")),1)=HW$9,1,0),0),0))</f>
        <v>0</v>
      </c>
      <c r="HX21" s="33">
        <f t="array" ref="HX21">SUM(IF($DW$1:$HB$1=HX$1,IF(NOT(ISBLANK($DW21:$HB21)),IF(LEFT(UPPER(SUBSTITUTE($DW21:$HB21," ","")),1)=HX$9,1,0),0),0))</f>
        <v>0</v>
      </c>
      <c r="HY21" s="33">
        <f t="array" ref="HY21">SUM(IF($DW$1:$HB$1=HY$1,IF(NOT(ISBLANK($DW21:$HB21)),IF(LEFT(UPPER(SUBSTITUTE($DW21:$HB21," ","")),1)=HY$9,1,0),0),0))</f>
        <v>0</v>
      </c>
      <c r="HZ21" s="33">
        <f t="array" ref="HZ21">SUM(IF($DW$1:$HB$1=HZ$1,IF(NOT(ISBLANK($DW21:$HB21)),IF(LEFT(UPPER(SUBSTITUTE($DW21:$HB21," ","")),1)=HZ$9,1,0),0),0))</f>
        <v>0</v>
      </c>
      <c r="IA21" s="33">
        <f t="array" ref="IA21">SUM(IF($DW$1:$HB$1=IA$1,IF(NOT(ISBLANK($DW21:$HB21)),IF(LEFT(UPPER(SUBSTITUTE($DW21:$HB21," ","")),1)=IA$9,1,0),0),0))</f>
        <v>0</v>
      </c>
      <c r="IB21" s="33" t="str">
        <f t="shared" si="23"/>
        <v>?</v>
      </c>
      <c r="IC21" s="33">
        <f t="array" ref="IC21">SUM(IF($DW$1:$HB$1=IC$1,IF(LEFT(UPPER(SUBSTITUTE($DW21:$HB21," ","")),1)=IC$9,1,0),0))</f>
        <v>0</v>
      </c>
      <c r="ID21" s="33">
        <f t="array" ref="ID21">SUM(IF($DW$1:$HB$1=ID$1,IF(LEFT(UPPER(SUBSTITUTE($DW21:$HB21," ","")),1)=ID$10,1,0),0))</f>
        <v>0</v>
      </c>
      <c r="IE21" s="33">
        <f t="array" ref="IE21">SUM(IF($DW$1:$HB$1=IE$1,IF(ISBLANK($DW21:$HB21),0,IF($DW21:$HB21="",0,IF($DW21:$HB21=" ",0,1))),0))</f>
        <v>0</v>
      </c>
      <c r="IF21" s="33">
        <f t="array" ref="IF21">SUM(IF($DW$1:$HB$1=IF$1,IF(ISNUMBER($DW21:$HB21),$DW21:$HB21,0),0))</f>
        <v>0</v>
      </c>
      <c r="IG21" s="33">
        <f t="array" ref="IG21">SUM(IF($DW$1:$HB$1=IG$1,IF(ISNUMBER($DW21:$HB21),$DW21:$HB21*$DW$9:$HB$9,0),0))</f>
        <v>0</v>
      </c>
      <c r="IH21" s="37">
        <f t="shared" si="24"/>
        <v>0</v>
      </c>
    </row>
    <row r="22" spans="1:242" s="26" customFormat="1" ht="39" customHeight="1" x14ac:dyDescent="0.25">
      <c r="A22" s="170" t="str">
        <f>'Leerdoelen,Kennisbasis,Toetsing'!B19</f>
        <v/>
      </c>
      <c r="B22" s="169" t="str">
        <f>IF(NOT(ISBLANK('Leerdoelen,Kennisbasis,Toetsing'!C19)),'Leerdoelen,Kennisbasis,Toetsing'!C19,"")</f>
        <v/>
      </c>
      <c r="C22" s="137" t="str">
        <f>IF(NOT(ISBLANK('Leerdoelen,Kennisbasis,Toetsing'!D19)),'Leerdoelen,Kennisbasis,Toetsing'!D19,"")</f>
        <v/>
      </c>
      <c r="D22" s="138" t="str">
        <f>IF(NOT(ISBLANK('Leerdoelen,Kennisbasis,Toetsing'!E19)),'Leerdoelen,Kennisbasis,Toetsing'!E19,"")</f>
        <v/>
      </c>
      <c r="E22" s="139" t="str">
        <f>IF(NOT(ISBLANK('Leerdoelen,Kennisbasis,Toetsing'!F19)),'Leerdoelen,Kennisbasis,Toetsing'!F19,"")</f>
        <v/>
      </c>
      <c r="F22" s="171" t="str">
        <f>IF(NOT(ISBLANK('Leerdoelen,Kennisbasis,Toetsing'!G19)),'Leerdoelen,Kennisbasis,Toetsing'!G19,"")</f>
        <v/>
      </c>
      <c r="G22" s="140" t="str">
        <f>IF(NOT(ISBLANK('Leerdoelen,Kennisbasis,Toetsing'!H19)),'Leerdoelen,Kennisbasis,Toetsing'!H19,"")</f>
        <v/>
      </c>
      <c r="H22" s="107" t="str">
        <f>IF(NOT(ISBLANK('Leerdoelen,Kennisbasis,Toetsing'!I19)),'Leerdoelen,Kennisbasis,Toetsing'!I19,"")</f>
        <v/>
      </c>
      <c r="I22" s="68"/>
      <c r="J22" s="9" t="str">
        <f t="shared" si="2"/>
        <v/>
      </c>
      <c r="K22" s="69" t="str">
        <f t="shared" si="3"/>
        <v/>
      </c>
      <c r="L22" s="70" t="str">
        <f t="shared" si="4"/>
        <v/>
      </c>
      <c r="M22" s="9" t="str">
        <f t="shared" si="6"/>
        <v/>
      </c>
      <c r="N22" s="69" t="str">
        <f t="shared" si="7"/>
        <v/>
      </c>
      <c r="O22" s="70" t="str">
        <f t="shared" si="8"/>
        <v/>
      </c>
      <c r="P22" s="9" t="str">
        <f t="shared" si="9"/>
        <v/>
      </c>
      <c r="Q22" s="69" t="str">
        <f t="shared" si="10"/>
        <v/>
      </c>
      <c r="R22" s="71" t="str">
        <f t="shared" si="11"/>
        <v/>
      </c>
      <c r="S22" s="24"/>
      <c r="T22" s="49"/>
      <c r="U22" s="50"/>
      <c r="V22" s="50"/>
      <c r="W22" s="50"/>
      <c r="X22" s="50"/>
      <c r="Y22" s="51"/>
      <c r="Z22" s="49"/>
      <c r="AA22" s="50"/>
      <c r="AB22" s="10" t="str">
        <f t="shared" si="12"/>
        <v/>
      </c>
      <c r="AC22" s="9" t="str">
        <f t="shared" si="13"/>
        <v/>
      </c>
      <c r="AD22" s="28" t="str">
        <f t="shared" si="5"/>
        <v/>
      </c>
      <c r="AE22" s="10" t="str">
        <f t="shared" si="14"/>
        <v/>
      </c>
      <c r="AF22" s="25"/>
      <c r="AG22" s="53"/>
      <c r="AH22" s="63"/>
      <c r="AI22" s="54"/>
      <c r="AJ22" s="53"/>
      <c r="AK22" s="63"/>
      <c r="AL22" s="54"/>
      <c r="AM22" s="53"/>
      <c r="AN22" s="63"/>
      <c r="AO22" s="54"/>
      <c r="AP22" s="53"/>
      <c r="AQ22" s="63"/>
      <c r="AR22" s="54"/>
      <c r="AS22" s="53"/>
      <c r="AT22" s="63"/>
      <c r="AU22" s="54"/>
      <c r="AV22" s="53"/>
      <c r="AW22" s="63"/>
      <c r="AX22" s="54"/>
      <c r="AY22" s="53"/>
      <c r="AZ22" s="63"/>
      <c r="BA22" s="54"/>
      <c r="BB22" s="53"/>
      <c r="BC22" s="63"/>
      <c r="BD22" s="54"/>
      <c r="BE22" s="53"/>
      <c r="BF22" s="63"/>
      <c r="BG22" s="54"/>
      <c r="BH22" s="53"/>
      <c r="BI22" s="63"/>
      <c r="BJ22" s="54"/>
      <c r="BK22" s="53"/>
      <c r="BL22" s="63"/>
      <c r="BM22" s="54"/>
      <c r="BN22" s="53"/>
      <c r="BO22" s="63"/>
      <c r="BP22" s="54"/>
      <c r="BQ22" s="53"/>
      <c r="BR22" s="63"/>
      <c r="BS22" s="54"/>
      <c r="BT22" s="53"/>
      <c r="BU22" s="63"/>
      <c r="BV22" s="54"/>
      <c r="BW22" s="53"/>
      <c r="BX22" s="63"/>
      <c r="BY22" s="54"/>
      <c r="BZ22" s="53"/>
      <c r="CA22" s="63"/>
      <c r="CB22" s="54"/>
      <c r="CC22" s="53"/>
      <c r="CD22" s="63"/>
      <c r="CE22" s="54"/>
      <c r="CF22" s="53"/>
      <c r="CG22" s="63"/>
      <c r="CH22" s="54"/>
      <c r="CI22" s="53"/>
      <c r="CJ22" s="63"/>
      <c r="CK22" s="54"/>
      <c r="CL22" s="53"/>
      <c r="CM22" s="63"/>
      <c r="CN22" s="54"/>
      <c r="CO22" s="53"/>
      <c r="CP22" s="63"/>
      <c r="CQ22" s="54"/>
      <c r="CR22" s="53"/>
      <c r="CS22" s="63"/>
      <c r="CT22" s="54"/>
      <c r="CU22" s="53"/>
      <c r="CV22" s="63"/>
      <c r="CW22" s="54"/>
      <c r="CX22" s="53"/>
      <c r="CY22" s="63"/>
      <c r="CZ22" s="54"/>
      <c r="DA22" s="53"/>
      <c r="DB22" s="63"/>
      <c r="DC22" s="54"/>
      <c r="DD22" s="53"/>
      <c r="DE22" s="63"/>
      <c r="DF22" s="54"/>
      <c r="DG22" s="53"/>
      <c r="DH22" s="63"/>
      <c r="DI22" s="54"/>
      <c r="DJ22" s="53"/>
      <c r="DK22" s="63"/>
      <c r="DL22" s="54"/>
      <c r="DM22" s="53"/>
      <c r="DN22" s="63"/>
      <c r="DO22" s="54"/>
      <c r="DP22" s="53"/>
      <c r="DQ22" s="63"/>
      <c r="DR22" s="54"/>
      <c r="DS22" s="18" t="str">
        <f t="shared" si="15"/>
        <v/>
      </c>
      <c r="DT22" s="64" t="str">
        <f t="shared" si="16"/>
        <v/>
      </c>
      <c r="DU22" s="38" t="str">
        <f t="shared" si="17"/>
        <v/>
      </c>
      <c r="DW22" s="53"/>
      <c r="DX22" s="63"/>
      <c r="DY22" s="54"/>
      <c r="DZ22" s="53"/>
      <c r="EA22" s="63"/>
      <c r="EB22" s="54"/>
      <c r="EC22" s="53"/>
      <c r="ED22" s="63"/>
      <c r="EE22" s="54"/>
      <c r="EF22" s="53"/>
      <c r="EG22" s="63"/>
      <c r="EH22" s="54"/>
      <c r="EI22" s="53"/>
      <c r="EJ22" s="63"/>
      <c r="EK22" s="54"/>
      <c r="EL22" s="53"/>
      <c r="EM22" s="63"/>
      <c r="EN22" s="54"/>
      <c r="EO22" s="53"/>
      <c r="EP22" s="63"/>
      <c r="EQ22" s="54"/>
      <c r="ER22" s="53"/>
      <c r="ES22" s="63"/>
      <c r="ET22" s="54"/>
      <c r="EU22" s="53"/>
      <c r="EV22" s="63"/>
      <c r="EW22" s="54"/>
      <c r="EX22" s="53"/>
      <c r="EY22" s="63"/>
      <c r="EZ22" s="54"/>
      <c r="FA22" s="53"/>
      <c r="FB22" s="63"/>
      <c r="FC22" s="54"/>
      <c r="FD22" s="53"/>
      <c r="FE22" s="63"/>
      <c r="FF22" s="54"/>
      <c r="FG22" s="53"/>
      <c r="FH22" s="63"/>
      <c r="FI22" s="54"/>
      <c r="FJ22" s="53"/>
      <c r="FK22" s="63"/>
      <c r="FL22" s="54"/>
      <c r="FM22" s="53"/>
      <c r="FN22" s="63"/>
      <c r="FO22" s="54"/>
      <c r="FP22" s="53"/>
      <c r="FQ22" s="63"/>
      <c r="FR22" s="54"/>
      <c r="FS22" s="53"/>
      <c r="FT22" s="63"/>
      <c r="FU22" s="54"/>
      <c r="FV22" s="53"/>
      <c r="FW22" s="63"/>
      <c r="FX22" s="54"/>
      <c r="FY22" s="53"/>
      <c r="FZ22" s="63"/>
      <c r="GA22" s="54"/>
      <c r="GB22" s="53"/>
      <c r="GC22" s="63"/>
      <c r="GD22" s="54"/>
      <c r="GE22" s="53"/>
      <c r="GF22" s="63"/>
      <c r="GG22" s="54"/>
      <c r="GH22" s="53"/>
      <c r="GI22" s="63"/>
      <c r="GJ22" s="54"/>
      <c r="GK22" s="53"/>
      <c r="GL22" s="63"/>
      <c r="GM22" s="54"/>
      <c r="GN22" s="53"/>
      <c r="GO22" s="63"/>
      <c r="GP22" s="54"/>
      <c r="GQ22" s="53"/>
      <c r="GR22" s="63"/>
      <c r="GS22" s="54"/>
      <c r="GT22" s="53"/>
      <c r="GU22" s="63"/>
      <c r="GV22" s="54"/>
      <c r="GW22" s="53"/>
      <c r="GX22" s="63"/>
      <c r="GY22" s="54"/>
      <c r="GZ22" s="53"/>
      <c r="HA22" s="63"/>
      <c r="HB22" s="54"/>
      <c r="HC22" s="18" t="str">
        <f t="shared" si="18"/>
        <v/>
      </c>
      <c r="HD22" s="64" t="str">
        <f t="shared" si="19"/>
        <v/>
      </c>
      <c r="HE22" s="38" t="str">
        <f t="shared" si="20"/>
        <v/>
      </c>
      <c r="HF22" s="92"/>
      <c r="HG22" s="92"/>
      <c r="HH22" s="33">
        <f t="array" ref="HH22">SUM(IF($AD$1:$DR$1=HH$1,IF(NOT(ISBLANK($AD22:$DR22)),IF(LEFT(UPPER(SUBSTITUTE($AD22:$DR22," ","")),1)=HH$9,1,0),0),0))</f>
        <v>0</v>
      </c>
      <c r="HI22" s="33">
        <f t="array" ref="HI22">SUM(IF($AD$1:$DR$1=HI$1,IF(NOT(ISBLANK($AD22:$DR22)),IF(LEFT(UPPER(SUBSTITUTE($AD22:$DR22," ","")),1)=HI$9,1,0),0),0))</f>
        <v>0</v>
      </c>
      <c r="HJ22" s="33">
        <f t="array" ref="HJ22">SUM(IF($AD$1:$DR$1=HJ$1,IF(NOT(ISBLANK($AD22:$DR22)),IF(LEFT(UPPER(SUBSTITUTE($AD22:$DR22," ","")),1)=HJ$9,1,0),0),0))</f>
        <v>0</v>
      </c>
      <c r="HK22" s="33">
        <f t="array" ref="HK22">SUM(IF($AD$1:$DR$1=HK$1,IF(NOT(ISBLANK($AD22:$DR22)),IF(LEFT(UPPER(SUBSTITUTE($AD22:$DR22," ","")),1)=HK$9,1,0),0),0))</f>
        <v>0</v>
      </c>
      <c r="HL22" s="33">
        <f t="array" ref="HL22">SUM(IF($AD$1:$DR$1=HL$1,IF(NOT(ISBLANK($AD22:$DR22)),IF(LEFT(UPPER(SUBSTITUTE($AD22:$DR22," ","")),1)=HL$9,1,0),0),0))</f>
        <v>0</v>
      </c>
      <c r="HM22" s="33">
        <f t="array" ref="HM22">SUM(IF($AD$1:$DR$1=HM$1,IF(NOT(ISBLANK($AD22:$DR22)),IF(LEFT(UPPER(SUBSTITUTE($AD22:$DR22," ","")),1)=HM$9,1,0),0),0))</f>
        <v>0</v>
      </c>
      <c r="HN22" s="33" t="str">
        <f t="shared" si="21"/>
        <v>?</v>
      </c>
      <c r="HO22" s="33">
        <f t="array" ref="HO22">SUM(IF($AD$1:$DR$1=HO$1,IF(LEFT(UPPER(SUBSTITUTE($AD22:$DR22," ","")),1)=HO$9,1,0),0))</f>
        <v>0</v>
      </c>
      <c r="HP22" s="33">
        <f t="array" ref="HP22">SUM(IF($AD$1:$DR$1=HP$1,IF(LEFT(UPPER(SUBSTITUTE($AD22:$DR22," ","")),1)=HP$10,1,0),0))</f>
        <v>0</v>
      </c>
      <c r="HQ22" s="33">
        <f t="array" ref="HQ22">SUM(IF($AD$1:$DR$1=HQ$1,IF(ISBLANK($AD22:$DR22),0,IF($AD22:$DR22="",0,IF($AD22:$DR22=" ",0,1))),0))</f>
        <v>0</v>
      </c>
      <c r="HR22" s="33">
        <f t="array" ref="HR22">SUM(IF($AD$1:$DR$1=HR$1,IF(ISNUMBER($AD22:$DR22),$AD22:$DR22,0),0))</f>
        <v>0</v>
      </c>
      <c r="HS22" s="33">
        <f t="array" ref="HS22">SUM(IF($AD$1:$DR$1=HS$1,IF(ISNUMBER($AD22:$DR22),$AD22:$DR22*$AD$9:$DR$9,0),0))</f>
        <v>0</v>
      </c>
      <c r="HT22" s="37">
        <f t="shared" si="22"/>
        <v>0</v>
      </c>
      <c r="HU22" s="92"/>
      <c r="HV22" s="33">
        <f t="array" ref="HV22">SUM(IF($DW$1:$HB$1=HV$1,IF(NOT(ISBLANK($DW22:$HB22)),IF(LEFT(UPPER(SUBSTITUTE($DW22:$HB22," ","")),1)=HV$9,1,0),0),0))</f>
        <v>0</v>
      </c>
      <c r="HW22" s="33">
        <f t="array" ref="HW22">SUM(IF($DW$1:$HB$1=HW$1,IF(NOT(ISBLANK($DW22:$HB22)),IF(LEFT(UPPER(SUBSTITUTE($DW22:$HB22," ","")),1)=HW$9,1,0),0),0))</f>
        <v>0</v>
      </c>
      <c r="HX22" s="33">
        <f t="array" ref="HX22">SUM(IF($DW$1:$HB$1=HX$1,IF(NOT(ISBLANK($DW22:$HB22)),IF(LEFT(UPPER(SUBSTITUTE($DW22:$HB22," ","")),1)=HX$9,1,0),0),0))</f>
        <v>0</v>
      </c>
      <c r="HY22" s="33">
        <f t="array" ref="HY22">SUM(IF($DW$1:$HB$1=HY$1,IF(NOT(ISBLANK($DW22:$HB22)),IF(LEFT(UPPER(SUBSTITUTE($DW22:$HB22," ","")),1)=HY$9,1,0),0),0))</f>
        <v>0</v>
      </c>
      <c r="HZ22" s="33">
        <f t="array" ref="HZ22">SUM(IF($DW$1:$HB$1=HZ$1,IF(NOT(ISBLANK($DW22:$HB22)),IF(LEFT(UPPER(SUBSTITUTE($DW22:$HB22," ","")),1)=HZ$9,1,0),0),0))</f>
        <v>0</v>
      </c>
      <c r="IA22" s="33">
        <f t="array" ref="IA22">SUM(IF($DW$1:$HB$1=IA$1,IF(NOT(ISBLANK($DW22:$HB22)),IF(LEFT(UPPER(SUBSTITUTE($DW22:$HB22," ","")),1)=IA$9,1,0),0),0))</f>
        <v>0</v>
      </c>
      <c r="IB22" s="33" t="str">
        <f t="shared" si="23"/>
        <v>?</v>
      </c>
      <c r="IC22" s="33">
        <f t="array" ref="IC22">SUM(IF($DW$1:$HB$1=IC$1,IF(LEFT(UPPER(SUBSTITUTE($DW22:$HB22," ","")),1)=IC$9,1,0),0))</f>
        <v>0</v>
      </c>
      <c r="ID22" s="33">
        <f t="array" ref="ID22">SUM(IF($DW$1:$HB$1=ID$1,IF(LEFT(UPPER(SUBSTITUTE($DW22:$HB22," ","")),1)=ID$10,1,0),0))</f>
        <v>0</v>
      </c>
      <c r="IE22" s="33">
        <f t="array" ref="IE22">SUM(IF($DW$1:$HB$1=IE$1,IF(ISBLANK($DW22:$HB22),0,IF($DW22:$HB22="",0,IF($DW22:$HB22=" ",0,1))),0))</f>
        <v>0</v>
      </c>
      <c r="IF22" s="33">
        <f t="array" ref="IF22">SUM(IF($DW$1:$HB$1=IF$1,IF(ISNUMBER($DW22:$HB22),$DW22:$HB22,0),0))</f>
        <v>0</v>
      </c>
      <c r="IG22" s="33">
        <f t="array" ref="IG22">SUM(IF($DW$1:$HB$1=IG$1,IF(ISNUMBER($DW22:$HB22),$DW22:$HB22*$DW$9:$HB$9,0),0))</f>
        <v>0</v>
      </c>
      <c r="IH22" s="37">
        <f t="shared" si="24"/>
        <v>0</v>
      </c>
    </row>
    <row r="23" spans="1:242" s="26" customFormat="1" ht="39" customHeight="1" x14ac:dyDescent="0.25">
      <c r="A23" s="170" t="str">
        <f>'Leerdoelen,Kennisbasis,Toetsing'!B20</f>
        <v/>
      </c>
      <c r="B23" s="169" t="str">
        <f>IF(NOT(ISBLANK('Leerdoelen,Kennisbasis,Toetsing'!C20)),'Leerdoelen,Kennisbasis,Toetsing'!C20,"")</f>
        <v/>
      </c>
      <c r="C23" s="137" t="str">
        <f>IF(NOT(ISBLANK('Leerdoelen,Kennisbasis,Toetsing'!D20)),'Leerdoelen,Kennisbasis,Toetsing'!D20,"")</f>
        <v/>
      </c>
      <c r="D23" s="138" t="str">
        <f>IF(NOT(ISBLANK('Leerdoelen,Kennisbasis,Toetsing'!E20)),'Leerdoelen,Kennisbasis,Toetsing'!E20,"")</f>
        <v/>
      </c>
      <c r="E23" s="139" t="str">
        <f>IF(NOT(ISBLANK('Leerdoelen,Kennisbasis,Toetsing'!F20)),'Leerdoelen,Kennisbasis,Toetsing'!F20,"")</f>
        <v/>
      </c>
      <c r="F23" s="171" t="str">
        <f>IF(NOT(ISBLANK('Leerdoelen,Kennisbasis,Toetsing'!G20)),'Leerdoelen,Kennisbasis,Toetsing'!G20,"")</f>
        <v/>
      </c>
      <c r="G23" s="140" t="str">
        <f>IF(NOT(ISBLANK('Leerdoelen,Kennisbasis,Toetsing'!H20)),'Leerdoelen,Kennisbasis,Toetsing'!H20,"")</f>
        <v/>
      </c>
      <c r="H23" s="107" t="str">
        <f>IF(NOT(ISBLANK('Leerdoelen,Kennisbasis,Toetsing'!I20)),'Leerdoelen,Kennisbasis,Toetsing'!I20,"")</f>
        <v/>
      </c>
      <c r="I23" s="68"/>
      <c r="J23" s="9" t="str">
        <f t="shared" si="2"/>
        <v/>
      </c>
      <c r="K23" s="69" t="str">
        <f t="shared" si="3"/>
        <v/>
      </c>
      <c r="L23" s="70" t="str">
        <f t="shared" si="4"/>
        <v/>
      </c>
      <c r="M23" s="9" t="str">
        <f t="shared" si="6"/>
        <v/>
      </c>
      <c r="N23" s="69" t="str">
        <f t="shared" si="7"/>
        <v/>
      </c>
      <c r="O23" s="70" t="str">
        <f t="shared" si="8"/>
        <v/>
      </c>
      <c r="P23" s="9" t="str">
        <f t="shared" si="9"/>
        <v/>
      </c>
      <c r="Q23" s="69" t="str">
        <f t="shared" si="10"/>
        <v/>
      </c>
      <c r="R23" s="71" t="str">
        <f t="shared" si="11"/>
        <v/>
      </c>
      <c r="S23" s="24"/>
      <c r="T23" s="49"/>
      <c r="U23" s="50"/>
      <c r="V23" s="50"/>
      <c r="W23" s="50"/>
      <c r="X23" s="50"/>
      <c r="Y23" s="51"/>
      <c r="Z23" s="49"/>
      <c r="AA23" s="50"/>
      <c r="AB23" s="10" t="str">
        <f t="shared" si="12"/>
        <v/>
      </c>
      <c r="AC23" s="9" t="str">
        <f t="shared" si="13"/>
        <v/>
      </c>
      <c r="AD23" s="28" t="str">
        <f t="shared" si="5"/>
        <v/>
      </c>
      <c r="AE23" s="10" t="str">
        <f t="shared" si="14"/>
        <v/>
      </c>
      <c r="AF23" s="25"/>
      <c r="AG23" s="53"/>
      <c r="AH23" s="63"/>
      <c r="AI23" s="54"/>
      <c r="AJ23" s="53"/>
      <c r="AK23" s="63"/>
      <c r="AL23" s="54"/>
      <c r="AM23" s="53"/>
      <c r="AN23" s="63"/>
      <c r="AO23" s="54"/>
      <c r="AP23" s="53"/>
      <c r="AQ23" s="63"/>
      <c r="AR23" s="54"/>
      <c r="AS23" s="53"/>
      <c r="AT23" s="63"/>
      <c r="AU23" s="54"/>
      <c r="AV23" s="53"/>
      <c r="AW23" s="63"/>
      <c r="AX23" s="54"/>
      <c r="AY23" s="53"/>
      <c r="AZ23" s="63"/>
      <c r="BA23" s="54"/>
      <c r="BB23" s="53"/>
      <c r="BC23" s="63"/>
      <c r="BD23" s="54"/>
      <c r="BE23" s="53"/>
      <c r="BF23" s="63"/>
      <c r="BG23" s="54"/>
      <c r="BH23" s="53"/>
      <c r="BI23" s="63"/>
      <c r="BJ23" s="54"/>
      <c r="BK23" s="53"/>
      <c r="BL23" s="63"/>
      <c r="BM23" s="54"/>
      <c r="BN23" s="53"/>
      <c r="BO23" s="63"/>
      <c r="BP23" s="54"/>
      <c r="BQ23" s="53"/>
      <c r="BR23" s="63"/>
      <c r="BS23" s="54"/>
      <c r="BT23" s="53"/>
      <c r="BU23" s="63"/>
      <c r="BV23" s="54"/>
      <c r="BW23" s="53"/>
      <c r="BX23" s="63"/>
      <c r="BY23" s="54"/>
      <c r="BZ23" s="53"/>
      <c r="CA23" s="63"/>
      <c r="CB23" s="54"/>
      <c r="CC23" s="53"/>
      <c r="CD23" s="63"/>
      <c r="CE23" s="54"/>
      <c r="CF23" s="53"/>
      <c r="CG23" s="63"/>
      <c r="CH23" s="54"/>
      <c r="CI23" s="53"/>
      <c r="CJ23" s="63"/>
      <c r="CK23" s="54"/>
      <c r="CL23" s="53"/>
      <c r="CM23" s="63"/>
      <c r="CN23" s="54"/>
      <c r="CO23" s="53"/>
      <c r="CP23" s="63"/>
      <c r="CQ23" s="54"/>
      <c r="CR23" s="53"/>
      <c r="CS23" s="63"/>
      <c r="CT23" s="54"/>
      <c r="CU23" s="53"/>
      <c r="CV23" s="63"/>
      <c r="CW23" s="54"/>
      <c r="CX23" s="53"/>
      <c r="CY23" s="63"/>
      <c r="CZ23" s="54"/>
      <c r="DA23" s="53"/>
      <c r="DB23" s="63"/>
      <c r="DC23" s="54"/>
      <c r="DD23" s="53"/>
      <c r="DE23" s="63"/>
      <c r="DF23" s="54"/>
      <c r="DG23" s="53"/>
      <c r="DH23" s="63"/>
      <c r="DI23" s="54"/>
      <c r="DJ23" s="53"/>
      <c r="DK23" s="63"/>
      <c r="DL23" s="54"/>
      <c r="DM23" s="53"/>
      <c r="DN23" s="63"/>
      <c r="DO23" s="54"/>
      <c r="DP23" s="53"/>
      <c r="DQ23" s="63"/>
      <c r="DR23" s="54"/>
      <c r="DS23" s="18" t="str">
        <f t="shared" si="15"/>
        <v/>
      </c>
      <c r="DT23" s="64" t="str">
        <f t="shared" si="16"/>
        <v/>
      </c>
      <c r="DU23" s="38" t="str">
        <f t="shared" si="17"/>
        <v/>
      </c>
      <c r="DW23" s="53"/>
      <c r="DX23" s="63"/>
      <c r="DY23" s="54"/>
      <c r="DZ23" s="53"/>
      <c r="EA23" s="63"/>
      <c r="EB23" s="54"/>
      <c r="EC23" s="53"/>
      <c r="ED23" s="63"/>
      <c r="EE23" s="54"/>
      <c r="EF23" s="53"/>
      <c r="EG23" s="63"/>
      <c r="EH23" s="54"/>
      <c r="EI23" s="53"/>
      <c r="EJ23" s="63"/>
      <c r="EK23" s="54"/>
      <c r="EL23" s="53"/>
      <c r="EM23" s="63"/>
      <c r="EN23" s="54"/>
      <c r="EO23" s="53"/>
      <c r="EP23" s="63"/>
      <c r="EQ23" s="54"/>
      <c r="ER23" s="53"/>
      <c r="ES23" s="63"/>
      <c r="ET23" s="54"/>
      <c r="EU23" s="53"/>
      <c r="EV23" s="63"/>
      <c r="EW23" s="54"/>
      <c r="EX23" s="53"/>
      <c r="EY23" s="63"/>
      <c r="EZ23" s="54"/>
      <c r="FA23" s="53"/>
      <c r="FB23" s="63"/>
      <c r="FC23" s="54"/>
      <c r="FD23" s="53"/>
      <c r="FE23" s="63"/>
      <c r="FF23" s="54"/>
      <c r="FG23" s="53"/>
      <c r="FH23" s="63"/>
      <c r="FI23" s="54"/>
      <c r="FJ23" s="53"/>
      <c r="FK23" s="63"/>
      <c r="FL23" s="54"/>
      <c r="FM23" s="53"/>
      <c r="FN23" s="63"/>
      <c r="FO23" s="54"/>
      <c r="FP23" s="53"/>
      <c r="FQ23" s="63"/>
      <c r="FR23" s="54"/>
      <c r="FS23" s="53"/>
      <c r="FT23" s="63"/>
      <c r="FU23" s="54"/>
      <c r="FV23" s="53"/>
      <c r="FW23" s="63"/>
      <c r="FX23" s="54"/>
      <c r="FY23" s="53"/>
      <c r="FZ23" s="63"/>
      <c r="GA23" s="54"/>
      <c r="GB23" s="53"/>
      <c r="GC23" s="63"/>
      <c r="GD23" s="54"/>
      <c r="GE23" s="53"/>
      <c r="GF23" s="63"/>
      <c r="GG23" s="54"/>
      <c r="GH23" s="53"/>
      <c r="GI23" s="63"/>
      <c r="GJ23" s="54"/>
      <c r="GK23" s="53"/>
      <c r="GL23" s="63"/>
      <c r="GM23" s="54"/>
      <c r="GN23" s="53"/>
      <c r="GO23" s="63"/>
      <c r="GP23" s="54"/>
      <c r="GQ23" s="53"/>
      <c r="GR23" s="63"/>
      <c r="GS23" s="54"/>
      <c r="GT23" s="53"/>
      <c r="GU23" s="63"/>
      <c r="GV23" s="54"/>
      <c r="GW23" s="53"/>
      <c r="GX23" s="63"/>
      <c r="GY23" s="54"/>
      <c r="GZ23" s="53"/>
      <c r="HA23" s="63"/>
      <c r="HB23" s="54"/>
      <c r="HC23" s="18" t="str">
        <f t="shared" si="18"/>
        <v/>
      </c>
      <c r="HD23" s="64" t="str">
        <f t="shared" si="19"/>
        <v/>
      </c>
      <c r="HE23" s="38" t="str">
        <f t="shared" si="20"/>
        <v/>
      </c>
      <c r="HF23" s="92"/>
      <c r="HG23" s="92"/>
      <c r="HH23" s="33">
        <f t="array" ref="HH23">SUM(IF($AD$1:$DR$1=HH$1,IF(NOT(ISBLANK($AD23:$DR23)),IF(LEFT(UPPER(SUBSTITUTE($AD23:$DR23," ","")),1)=HH$9,1,0),0),0))</f>
        <v>0</v>
      </c>
      <c r="HI23" s="33">
        <f t="array" ref="HI23">SUM(IF($AD$1:$DR$1=HI$1,IF(NOT(ISBLANK($AD23:$DR23)),IF(LEFT(UPPER(SUBSTITUTE($AD23:$DR23," ","")),1)=HI$9,1,0),0),0))</f>
        <v>0</v>
      </c>
      <c r="HJ23" s="33">
        <f t="array" ref="HJ23">SUM(IF($AD$1:$DR$1=HJ$1,IF(NOT(ISBLANK($AD23:$DR23)),IF(LEFT(UPPER(SUBSTITUTE($AD23:$DR23," ","")),1)=HJ$9,1,0),0),0))</f>
        <v>0</v>
      </c>
      <c r="HK23" s="33">
        <f t="array" ref="HK23">SUM(IF($AD$1:$DR$1=HK$1,IF(NOT(ISBLANK($AD23:$DR23)),IF(LEFT(UPPER(SUBSTITUTE($AD23:$DR23," ","")),1)=HK$9,1,0),0),0))</f>
        <v>0</v>
      </c>
      <c r="HL23" s="33">
        <f t="array" ref="HL23">SUM(IF($AD$1:$DR$1=HL$1,IF(NOT(ISBLANK($AD23:$DR23)),IF(LEFT(UPPER(SUBSTITUTE($AD23:$DR23," ","")),1)=HL$9,1,0),0),0))</f>
        <v>0</v>
      </c>
      <c r="HM23" s="33">
        <f t="array" ref="HM23">SUM(IF($AD$1:$DR$1=HM$1,IF(NOT(ISBLANK($AD23:$DR23)),IF(LEFT(UPPER(SUBSTITUTE($AD23:$DR23," ","")),1)=HM$9,1,0),0),0))</f>
        <v>0</v>
      </c>
      <c r="HN23" s="33" t="str">
        <f t="shared" si="21"/>
        <v>?</v>
      </c>
      <c r="HO23" s="33">
        <f t="array" ref="HO23">SUM(IF($AD$1:$DR$1=HO$1,IF(LEFT(UPPER(SUBSTITUTE($AD23:$DR23," ","")),1)=HO$9,1,0),0))</f>
        <v>0</v>
      </c>
      <c r="HP23" s="33">
        <f t="array" ref="HP23">SUM(IF($AD$1:$DR$1=HP$1,IF(LEFT(UPPER(SUBSTITUTE($AD23:$DR23," ","")),1)=HP$10,1,0),0))</f>
        <v>0</v>
      </c>
      <c r="HQ23" s="33">
        <f t="array" ref="HQ23">SUM(IF($AD$1:$DR$1=HQ$1,IF(ISBLANK($AD23:$DR23),0,IF($AD23:$DR23="",0,IF($AD23:$DR23=" ",0,1))),0))</f>
        <v>0</v>
      </c>
      <c r="HR23" s="33">
        <f t="array" ref="HR23">SUM(IF($AD$1:$DR$1=HR$1,IF(ISNUMBER($AD23:$DR23),$AD23:$DR23,0),0))</f>
        <v>0</v>
      </c>
      <c r="HS23" s="33">
        <f t="array" ref="HS23">SUM(IF($AD$1:$DR$1=HS$1,IF(ISNUMBER($AD23:$DR23),$AD23:$DR23*$AD$9:$DR$9,0),0))</f>
        <v>0</v>
      </c>
      <c r="HT23" s="37">
        <f t="shared" si="22"/>
        <v>0</v>
      </c>
      <c r="HU23" s="92"/>
      <c r="HV23" s="33">
        <f t="array" ref="HV23">SUM(IF($DW$1:$HB$1=HV$1,IF(NOT(ISBLANK($DW23:$HB23)),IF(LEFT(UPPER(SUBSTITUTE($DW23:$HB23," ","")),1)=HV$9,1,0),0),0))</f>
        <v>0</v>
      </c>
      <c r="HW23" s="33">
        <f t="array" ref="HW23">SUM(IF($DW$1:$HB$1=HW$1,IF(NOT(ISBLANK($DW23:$HB23)),IF(LEFT(UPPER(SUBSTITUTE($DW23:$HB23," ","")),1)=HW$9,1,0),0),0))</f>
        <v>0</v>
      </c>
      <c r="HX23" s="33">
        <f t="array" ref="HX23">SUM(IF($DW$1:$HB$1=HX$1,IF(NOT(ISBLANK($DW23:$HB23)),IF(LEFT(UPPER(SUBSTITUTE($DW23:$HB23," ","")),1)=HX$9,1,0),0),0))</f>
        <v>0</v>
      </c>
      <c r="HY23" s="33">
        <f t="array" ref="HY23">SUM(IF($DW$1:$HB$1=HY$1,IF(NOT(ISBLANK($DW23:$HB23)),IF(LEFT(UPPER(SUBSTITUTE($DW23:$HB23," ","")),1)=HY$9,1,0),0),0))</f>
        <v>0</v>
      </c>
      <c r="HZ23" s="33">
        <f t="array" ref="HZ23">SUM(IF($DW$1:$HB$1=HZ$1,IF(NOT(ISBLANK($DW23:$HB23)),IF(LEFT(UPPER(SUBSTITUTE($DW23:$HB23," ","")),1)=HZ$9,1,0),0),0))</f>
        <v>0</v>
      </c>
      <c r="IA23" s="33">
        <f t="array" ref="IA23">SUM(IF($DW$1:$HB$1=IA$1,IF(NOT(ISBLANK($DW23:$HB23)),IF(LEFT(UPPER(SUBSTITUTE($DW23:$HB23," ","")),1)=IA$9,1,0),0),0))</f>
        <v>0</v>
      </c>
      <c r="IB23" s="33" t="str">
        <f t="shared" si="23"/>
        <v>?</v>
      </c>
      <c r="IC23" s="33">
        <f t="array" ref="IC23">SUM(IF($DW$1:$HB$1=IC$1,IF(LEFT(UPPER(SUBSTITUTE($DW23:$HB23," ","")),1)=IC$9,1,0),0))</f>
        <v>0</v>
      </c>
      <c r="ID23" s="33">
        <f t="array" ref="ID23">SUM(IF($DW$1:$HB$1=ID$1,IF(LEFT(UPPER(SUBSTITUTE($DW23:$HB23," ","")),1)=ID$10,1,0),0))</f>
        <v>0</v>
      </c>
      <c r="IE23" s="33">
        <f t="array" ref="IE23">SUM(IF($DW$1:$HB$1=IE$1,IF(ISBLANK($DW23:$HB23),0,IF($DW23:$HB23="",0,IF($DW23:$HB23=" ",0,1))),0))</f>
        <v>0</v>
      </c>
      <c r="IF23" s="33">
        <f t="array" ref="IF23">SUM(IF($DW$1:$HB$1=IF$1,IF(ISNUMBER($DW23:$HB23),$DW23:$HB23,0),0))</f>
        <v>0</v>
      </c>
      <c r="IG23" s="33">
        <f t="array" ref="IG23">SUM(IF($DW$1:$HB$1=IG$1,IF(ISNUMBER($DW23:$HB23),$DW23:$HB23*$DW$9:$HB$9,0),0))</f>
        <v>0</v>
      </c>
      <c r="IH23" s="37">
        <f t="shared" si="24"/>
        <v>0</v>
      </c>
    </row>
    <row r="24" spans="1:242" s="26" customFormat="1" ht="39" customHeight="1" x14ac:dyDescent="0.25">
      <c r="A24" s="170" t="str">
        <f>'Leerdoelen,Kennisbasis,Toetsing'!B21</f>
        <v/>
      </c>
      <c r="B24" s="169" t="str">
        <f>IF(NOT(ISBLANK('Leerdoelen,Kennisbasis,Toetsing'!C21)),'Leerdoelen,Kennisbasis,Toetsing'!C21,"")</f>
        <v/>
      </c>
      <c r="C24" s="137" t="str">
        <f>IF(NOT(ISBLANK('Leerdoelen,Kennisbasis,Toetsing'!D21)),'Leerdoelen,Kennisbasis,Toetsing'!D21,"")</f>
        <v/>
      </c>
      <c r="D24" s="138" t="str">
        <f>IF(NOT(ISBLANK('Leerdoelen,Kennisbasis,Toetsing'!E21)),'Leerdoelen,Kennisbasis,Toetsing'!E21,"")</f>
        <v/>
      </c>
      <c r="E24" s="139" t="str">
        <f>IF(NOT(ISBLANK('Leerdoelen,Kennisbasis,Toetsing'!F21)),'Leerdoelen,Kennisbasis,Toetsing'!F21,"")</f>
        <v/>
      </c>
      <c r="F24" s="171" t="str">
        <f>IF(NOT(ISBLANK('Leerdoelen,Kennisbasis,Toetsing'!G21)),'Leerdoelen,Kennisbasis,Toetsing'!G21,"")</f>
        <v/>
      </c>
      <c r="G24" s="140" t="str">
        <f>IF(NOT(ISBLANK('Leerdoelen,Kennisbasis,Toetsing'!H21)),'Leerdoelen,Kennisbasis,Toetsing'!H21,"")</f>
        <v/>
      </c>
      <c r="H24" s="107" t="str">
        <f>IF(NOT(ISBLANK('Leerdoelen,Kennisbasis,Toetsing'!I21)),'Leerdoelen,Kennisbasis,Toetsing'!I21,"")</f>
        <v/>
      </c>
      <c r="I24" s="68"/>
      <c r="J24" s="9" t="str">
        <f t="shared" si="2"/>
        <v/>
      </c>
      <c r="K24" s="69" t="str">
        <f t="shared" si="3"/>
        <v/>
      </c>
      <c r="L24" s="70" t="str">
        <f t="shared" si="4"/>
        <v/>
      </c>
      <c r="M24" s="9" t="str">
        <f t="shared" si="6"/>
        <v/>
      </c>
      <c r="N24" s="69" t="str">
        <f t="shared" si="7"/>
        <v/>
      </c>
      <c r="O24" s="70" t="str">
        <f t="shared" si="8"/>
        <v/>
      </c>
      <c r="P24" s="9" t="str">
        <f t="shared" si="9"/>
        <v/>
      </c>
      <c r="Q24" s="69" t="str">
        <f t="shared" si="10"/>
        <v/>
      </c>
      <c r="R24" s="71" t="str">
        <f t="shared" si="11"/>
        <v/>
      </c>
      <c r="S24" s="24"/>
      <c r="T24" s="49"/>
      <c r="U24" s="50"/>
      <c r="V24" s="50"/>
      <c r="W24" s="50"/>
      <c r="X24" s="50"/>
      <c r="Y24" s="51"/>
      <c r="Z24" s="49"/>
      <c r="AA24" s="50"/>
      <c r="AB24" s="10" t="str">
        <f t="shared" si="12"/>
        <v/>
      </c>
      <c r="AC24" s="9" t="str">
        <f t="shared" si="13"/>
        <v/>
      </c>
      <c r="AD24" s="28" t="str">
        <f t="shared" si="5"/>
        <v/>
      </c>
      <c r="AE24" s="10" t="str">
        <f t="shared" si="14"/>
        <v/>
      </c>
      <c r="AF24" s="25"/>
      <c r="AG24" s="53"/>
      <c r="AH24" s="63"/>
      <c r="AI24" s="54"/>
      <c r="AJ24" s="53"/>
      <c r="AK24" s="63"/>
      <c r="AL24" s="54"/>
      <c r="AM24" s="53"/>
      <c r="AN24" s="63"/>
      <c r="AO24" s="54"/>
      <c r="AP24" s="53"/>
      <c r="AQ24" s="63"/>
      <c r="AR24" s="54"/>
      <c r="AS24" s="53"/>
      <c r="AT24" s="63"/>
      <c r="AU24" s="54"/>
      <c r="AV24" s="53"/>
      <c r="AW24" s="63"/>
      <c r="AX24" s="54"/>
      <c r="AY24" s="53"/>
      <c r="AZ24" s="63"/>
      <c r="BA24" s="54"/>
      <c r="BB24" s="53"/>
      <c r="BC24" s="63"/>
      <c r="BD24" s="54"/>
      <c r="BE24" s="53"/>
      <c r="BF24" s="63"/>
      <c r="BG24" s="54"/>
      <c r="BH24" s="53"/>
      <c r="BI24" s="63"/>
      <c r="BJ24" s="54"/>
      <c r="BK24" s="53"/>
      <c r="BL24" s="63"/>
      <c r="BM24" s="54"/>
      <c r="BN24" s="53"/>
      <c r="BO24" s="63"/>
      <c r="BP24" s="54"/>
      <c r="BQ24" s="53"/>
      <c r="BR24" s="63"/>
      <c r="BS24" s="54"/>
      <c r="BT24" s="53"/>
      <c r="BU24" s="63"/>
      <c r="BV24" s="54"/>
      <c r="BW24" s="53"/>
      <c r="BX24" s="63"/>
      <c r="BY24" s="54"/>
      <c r="BZ24" s="53"/>
      <c r="CA24" s="63"/>
      <c r="CB24" s="54"/>
      <c r="CC24" s="53"/>
      <c r="CD24" s="63"/>
      <c r="CE24" s="54"/>
      <c r="CF24" s="53"/>
      <c r="CG24" s="63"/>
      <c r="CH24" s="54"/>
      <c r="CI24" s="53"/>
      <c r="CJ24" s="63"/>
      <c r="CK24" s="54"/>
      <c r="CL24" s="53"/>
      <c r="CM24" s="63"/>
      <c r="CN24" s="54"/>
      <c r="CO24" s="53"/>
      <c r="CP24" s="63"/>
      <c r="CQ24" s="54"/>
      <c r="CR24" s="53"/>
      <c r="CS24" s="63"/>
      <c r="CT24" s="54"/>
      <c r="CU24" s="53"/>
      <c r="CV24" s="63"/>
      <c r="CW24" s="54"/>
      <c r="CX24" s="53"/>
      <c r="CY24" s="63"/>
      <c r="CZ24" s="54"/>
      <c r="DA24" s="53"/>
      <c r="DB24" s="63"/>
      <c r="DC24" s="54"/>
      <c r="DD24" s="53"/>
      <c r="DE24" s="63"/>
      <c r="DF24" s="54"/>
      <c r="DG24" s="53"/>
      <c r="DH24" s="63"/>
      <c r="DI24" s="54"/>
      <c r="DJ24" s="53"/>
      <c r="DK24" s="63"/>
      <c r="DL24" s="54"/>
      <c r="DM24" s="53"/>
      <c r="DN24" s="63"/>
      <c r="DO24" s="54"/>
      <c r="DP24" s="53"/>
      <c r="DQ24" s="63"/>
      <c r="DR24" s="54"/>
      <c r="DS24" s="18" t="str">
        <f t="shared" si="15"/>
        <v/>
      </c>
      <c r="DT24" s="64" t="str">
        <f t="shared" si="16"/>
        <v/>
      </c>
      <c r="DU24" s="38" t="str">
        <f t="shared" si="17"/>
        <v/>
      </c>
      <c r="DW24" s="53"/>
      <c r="DX24" s="63"/>
      <c r="DY24" s="54"/>
      <c r="DZ24" s="53"/>
      <c r="EA24" s="63"/>
      <c r="EB24" s="54"/>
      <c r="EC24" s="53"/>
      <c r="ED24" s="63"/>
      <c r="EE24" s="54"/>
      <c r="EF24" s="53"/>
      <c r="EG24" s="63"/>
      <c r="EH24" s="54"/>
      <c r="EI24" s="53"/>
      <c r="EJ24" s="63"/>
      <c r="EK24" s="54"/>
      <c r="EL24" s="53"/>
      <c r="EM24" s="63"/>
      <c r="EN24" s="54"/>
      <c r="EO24" s="53"/>
      <c r="EP24" s="63"/>
      <c r="EQ24" s="54"/>
      <c r="ER24" s="53"/>
      <c r="ES24" s="63"/>
      <c r="ET24" s="54"/>
      <c r="EU24" s="53"/>
      <c r="EV24" s="63"/>
      <c r="EW24" s="54"/>
      <c r="EX24" s="53"/>
      <c r="EY24" s="63"/>
      <c r="EZ24" s="54"/>
      <c r="FA24" s="53"/>
      <c r="FB24" s="63"/>
      <c r="FC24" s="54"/>
      <c r="FD24" s="53"/>
      <c r="FE24" s="63"/>
      <c r="FF24" s="54"/>
      <c r="FG24" s="53"/>
      <c r="FH24" s="63"/>
      <c r="FI24" s="54"/>
      <c r="FJ24" s="53"/>
      <c r="FK24" s="63"/>
      <c r="FL24" s="54"/>
      <c r="FM24" s="53"/>
      <c r="FN24" s="63"/>
      <c r="FO24" s="54"/>
      <c r="FP24" s="53"/>
      <c r="FQ24" s="63"/>
      <c r="FR24" s="54"/>
      <c r="FS24" s="53"/>
      <c r="FT24" s="63"/>
      <c r="FU24" s="54"/>
      <c r="FV24" s="53"/>
      <c r="FW24" s="63"/>
      <c r="FX24" s="54"/>
      <c r="FY24" s="53"/>
      <c r="FZ24" s="63"/>
      <c r="GA24" s="54"/>
      <c r="GB24" s="53"/>
      <c r="GC24" s="63"/>
      <c r="GD24" s="54"/>
      <c r="GE24" s="53"/>
      <c r="GF24" s="63"/>
      <c r="GG24" s="54"/>
      <c r="GH24" s="53"/>
      <c r="GI24" s="63"/>
      <c r="GJ24" s="54"/>
      <c r="GK24" s="53"/>
      <c r="GL24" s="63"/>
      <c r="GM24" s="54"/>
      <c r="GN24" s="53"/>
      <c r="GO24" s="63"/>
      <c r="GP24" s="54"/>
      <c r="GQ24" s="53"/>
      <c r="GR24" s="63"/>
      <c r="GS24" s="54"/>
      <c r="GT24" s="53"/>
      <c r="GU24" s="63"/>
      <c r="GV24" s="54"/>
      <c r="GW24" s="53"/>
      <c r="GX24" s="63"/>
      <c r="GY24" s="54"/>
      <c r="GZ24" s="53"/>
      <c r="HA24" s="63"/>
      <c r="HB24" s="54"/>
      <c r="HC24" s="18" t="str">
        <f t="shared" si="18"/>
        <v/>
      </c>
      <c r="HD24" s="64" t="str">
        <f t="shared" si="19"/>
        <v/>
      </c>
      <c r="HE24" s="38" t="str">
        <f t="shared" si="20"/>
        <v/>
      </c>
      <c r="HF24" s="92"/>
      <c r="HG24" s="92"/>
      <c r="HH24" s="33">
        <f t="array" ref="HH24">SUM(IF($AD$1:$DR$1=HH$1,IF(NOT(ISBLANK($AD24:$DR24)),IF(LEFT(UPPER(SUBSTITUTE($AD24:$DR24," ","")),1)=HH$9,1,0),0),0))</f>
        <v>0</v>
      </c>
      <c r="HI24" s="33">
        <f t="array" ref="HI24">SUM(IF($AD$1:$DR$1=HI$1,IF(NOT(ISBLANK($AD24:$DR24)),IF(LEFT(UPPER(SUBSTITUTE($AD24:$DR24," ","")),1)=HI$9,1,0),0),0))</f>
        <v>0</v>
      </c>
      <c r="HJ24" s="33">
        <f t="array" ref="HJ24">SUM(IF($AD$1:$DR$1=HJ$1,IF(NOT(ISBLANK($AD24:$DR24)),IF(LEFT(UPPER(SUBSTITUTE($AD24:$DR24," ","")),1)=HJ$9,1,0),0),0))</f>
        <v>0</v>
      </c>
      <c r="HK24" s="33">
        <f t="array" ref="HK24">SUM(IF($AD$1:$DR$1=HK$1,IF(NOT(ISBLANK($AD24:$DR24)),IF(LEFT(UPPER(SUBSTITUTE($AD24:$DR24," ","")),1)=HK$9,1,0),0),0))</f>
        <v>0</v>
      </c>
      <c r="HL24" s="33">
        <f t="array" ref="HL24">SUM(IF($AD$1:$DR$1=HL$1,IF(NOT(ISBLANK($AD24:$DR24)),IF(LEFT(UPPER(SUBSTITUTE($AD24:$DR24," ","")),1)=HL$9,1,0),0),0))</f>
        <v>0</v>
      </c>
      <c r="HM24" s="33">
        <f t="array" ref="HM24">SUM(IF($AD$1:$DR$1=HM$1,IF(NOT(ISBLANK($AD24:$DR24)),IF(LEFT(UPPER(SUBSTITUTE($AD24:$DR24," ","")),1)=HM$9,1,0),0),0))</f>
        <v>0</v>
      </c>
      <c r="HN24" s="33" t="str">
        <f t="shared" si="21"/>
        <v>?</v>
      </c>
      <c r="HO24" s="33">
        <f t="array" ref="HO24">SUM(IF($AD$1:$DR$1=HO$1,IF(LEFT(UPPER(SUBSTITUTE($AD24:$DR24," ","")),1)=HO$9,1,0),0))</f>
        <v>0</v>
      </c>
      <c r="HP24" s="33">
        <f t="array" ref="HP24">SUM(IF($AD$1:$DR$1=HP$1,IF(LEFT(UPPER(SUBSTITUTE($AD24:$DR24," ","")),1)=HP$10,1,0),0))</f>
        <v>0</v>
      </c>
      <c r="HQ24" s="33">
        <f t="array" ref="HQ24">SUM(IF($AD$1:$DR$1=HQ$1,IF(ISBLANK($AD24:$DR24),0,IF($AD24:$DR24="",0,IF($AD24:$DR24=" ",0,1))),0))</f>
        <v>0</v>
      </c>
      <c r="HR24" s="33">
        <f t="array" ref="HR24">SUM(IF($AD$1:$DR$1=HR$1,IF(ISNUMBER($AD24:$DR24),$AD24:$DR24,0),0))</f>
        <v>0</v>
      </c>
      <c r="HS24" s="33">
        <f t="array" ref="HS24">SUM(IF($AD$1:$DR$1=HS$1,IF(ISNUMBER($AD24:$DR24),$AD24:$DR24*$AD$9:$DR$9,0),0))</f>
        <v>0</v>
      </c>
      <c r="HT24" s="37">
        <f t="shared" si="22"/>
        <v>0</v>
      </c>
      <c r="HU24" s="92"/>
      <c r="HV24" s="33">
        <f t="array" ref="HV24">SUM(IF($DW$1:$HB$1=HV$1,IF(NOT(ISBLANK($DW24:$HB24)),IF(LEFT(UPPER(SUBSTITUTE($DW24:$HB24," ","")),1)=HV$9,1,0),0),0))</f>
        <v>0</v>
      </c>
      <c r="HW24" s="33">
        <f t="array" ref="HW24">SUM(IF($DW$1:$HB$1=HW$1,IF(NOT(ISBLANK($DW24:$HB24)),IF(LEFT(UPPER(SUBSTITUTE($DW24:$HB24," ","")),1)=HW$9,1,0),0),0))</f>
        <v>0</v>
      </c>
      <c r="HX24" s="33">
        <f t="array" ref="HX24">SUM(IF($DW$1:$HB$1=HX$1,IF(NOT(ISBLANK($DW24:$HB24)),IF(LEFT(UPPER(SUBSTITUTE($DW24:$HB24," ","")),1)=HX$9,1,0),0),0))</f>
        <v>0</v>
      </c>
      <c r="HY24" s="33">
        <f t="array" ref="HY24">SUM(IF($DW$1:$HB$1=HY$1,IF(NOT(ISBLANK($DW24:$HB24)),IF(LEFT(UPPER(SUBSTITUTE($DW24:$HB24," ","")),1)=HY$9,1,0),0),0))</f>
        <v>0</v>
      </c>
      <c r="HZ24" s="33">
        <f t="array" ref="HZ24">SUM(IF($DW$1:$HB$1=HZ$1,IF(NOT(ISBLANK($DW24:$HB24)),IF(LEFT(UPPER(SUBSTITUTE($DW24:$HB24," ","")),1)=HZ$9,1,0),0),0))</f>
        <v>0</v>
      </c>
      <c r="IA24" s="33">
        <f t="array" ref="IA24">SUM(IF($DW$1:$HB$1=IA$1,IF(NOT(ISBLANK($DW24:$HB24)),IF(LEFT(UPPER(SUBSTITUTE($DW24:$HB24," ","")),1)=IA$9,1,0),0),0))</f>
        <v>0</v>
      </c>
      <c r="IB24" s="33" t="str">
        <f t="shared" si="23"/>
        <v>?</v>
      </c>
      <c r="IC24" s="33">
        <f t="array" ref="IC24">SUM(IF($DW$1:$HB$1=IC$1,IF(LEFT(UPPER(SUBSTITUTE($DW24:$HB24," ","")),1)=IC$9,1,0),0))</f>
        <v>0</v>
      </c>
      <c r="ID24" s="33">
        <f t="array" ref="ID24">SUM(IF($DW$1:$HB$1=ID$1,IF(LEFT(UPPER(SUBSTITUTE($DW24:$HB24," ","")),1)=ID$10,1,0),0))</f>
        <v>0</v>
      </c>
      <c r="IE24" s="33">
        <f t="array" ref="IE24">SUM(IF($DW$1:$HB$1=IE$1,IF(ISBLANK($DW24:$HB24),0,IF($DW24:$HB24="",0,IF($DW24:$HB24=" ",0,1))),0))</f>
        <v>0</v>
      </c>
      <c r="IF24" s="33">
        <f t="array" ref="IF24">SUM(IF($DW$1:$HB$1=IF$1,IF(ISNUMBER($DW24:$HB24),$DW24:$HB24,0),0))</f>
        <v>0</v>
      </c>
      <c r="IG24" s="33">
        <f t="array" ref="IG24">SUM(IF($DW$1:$HB$1=IG$1,IF(ISNUMBER($DW24:$HB24),$DW24:$HB24*$DW$9:$HB$9,0),0))</f>
        <v>0</v>
      </c>
      <c r="IH24" s="37">
        <f t="shared" si="24"/>
        <v>0</v>
      </c>
    </row>
    <row r="25" spans="1:242" s="26" customFormat="1" ht="39" customHeight="1" x14ac:dyDescent="0.25">
      <c r="A25" s="170" t="str">
        <f>'Leerdoelen,Kennisbasis,Toetsing'!B22</f>
        <v/>
      </c>
      <c r="B25" s="169" t="str">
        <f>IF(NOT(ISBLANK('Leerdoelen,Kennisbasis,Toetsing'!C22)),'Leerdoelen,Kennisbasis,Toetsing'!C22,"")</f>
        <v/>
      </c>
      <c r="C25" s="137" t="str">
        <f>IF(NOT(ISBLANK('Leerdoelen,Kennisbasis,Toetsing'!D22)),'Leerdoelen,Kennisbasis,Toetsing'!D22,"")</f>
        <v/>
      </c>
      <c r="D25" s="138" t="str">
        <f>IF(NOT(ISBLANK('Leerdoelen,Kennisbasis,Toetsing'!E22)),'Leerdoelen,Kennisbasis,Toetsing'!E22,"")</f>
        <v/>
      </c>
      <c r="E25" s="139" t="str">
        <f>IF(NOT(ISBLANK('Leerdoelen,Kennisbasis,Toetsing'!F22)),'Leerdoelen,Kennisbasis,Toetsing'!F22,"")</f>
        <v/>
      </c>
      <c r="F25" s="171" t="str">
        <f>IF(NOT(ISBLANK('Leerdoelen,Kennisbasis,Toetsing'!G22)),'Leerdoelen,Kennisbasis,Toetsing'!G22,"")</f>
        <v/>
      </c>
      <c r="G25" s="140" t="str">
        <f>IF(NOT(ISBLANK('Leerdoelen,Kennisbasis,Toetsing'!H22)),'Leerdoelen,Kennisbasis,Toetsing'!H22,"")</f>
        <v/>
      </c>
      <c r="H25" s="107" t="str">
        <f>IF(NOT(ISBLANK('Leerdoelen,Kennisbasis,Toetsing'!I22)),'Leerdoelen,Kennisbasis,Toetsing'!I22,"")</f>
        <v/>
      </c>
      <c r="I25" s="68"/>
      <c r="J25" s="9" t="str">
        <f t="shared" si="2"/>
        <v/>
      </c>
      <c r="K25" s="69" t="str">
        <f t="shared" si="3"/>
        <v/>
      </c>
      <c r="L25" s="70" t="str">
        <f t="shared" si="4"/>
        <v/>
      </c>
      <c r="M25" s="9" t="str">
        <f t="shared" si="6"/>
        <v/>
      </c>
      <c r="N25" s="69" t="str">
        <f t="shared" si="7"/>
        <v/>
      </c>
      <c r="O25" s="70" t="str">
        <f t="shared" si="8"/>
        <v/>
      </c>
      <c r="P25" s="9" t="str">
        <f t="shared" si="9"/>
        <v/>
      </c>
      <c r="Q25" s="69" t="str">
        <f t="shared" si="10"/>
        <v/>
      </c>
      <c r="R25" s="71" t="str">
        <f t="shared" si="11"/>
        <v/>
      </c>
      <c r="S25" s="24"/>
      <c r="T25" s="49"/>
      <c r="U25" s="50"/>
      <c r="V25" s="50"/>
      <c r="W25" s="50"/>
      <c r="X25" s="50"/>
      <c r="Y25" s="51"/>
      <c r="Z25" s="49"/>
      <c r="AA25" s="50"/>
      <c r="AB25" s="10" t="str">
        <f t="shared" si="12"/>
        <v/>
      </c>
      <c r="AC25" s="9" t="str">
        <f t="shared" si="13"/>
        <v/>
      </c>
      <c r="AD25" s="28" t="str">
        <f t="shared" si="5"/>
        <v/>
      </c>
      <c r="AE25" s="10" t="str">
        <f t="shared" si="14"/>
        <v/>
      </c>
      <c r="AF25" s="25"/>
      <c r="AG25" s="53"/>
      <c r="AH25" s="63"/>
      <c r="AI25" s="54"/>
      <c r="AJ25" s="53"/>
      <c r="AK25" s="63"/>
      <c r="AL25" s="54"/>
      <c r="AM25" s="53"/>
      <c r="AN25" s="63"/>
      <c r="AO25" s="54"/>
      <c r="AP25" s="53"/>
      <c r="AQ25" s="63"/>
      <c r="AR25" s="54"/>
      <c r="AS25" s="53"/>
      <c r="AT25" s="63"/>
      <c r="AU25" s="54"/>
      <c r="AV25" s="53"/>
      <c r="AW25" s="63"/>
      <c r="AX25" s="54"/>
      <c r="AY25" s="53"/>
      <c r="AZ25" s="63"/>
      <c r="BA25" s="54"/>
      <c r="BB25" s="53"/>
      <c r="BC25" s="63"/>
      <c r="BD25" s="54"/>
      <c r="BE25" s="53"/>
      <c r="BF25" s="63"/>
      <c r="BG25" s="54"/>
      <c r="BH25" s="53"/>
      <c r="BI25" s="63"/>
      <c r="BJ25" s="54"/>
      <c r="BK25" s="53"/>
      <c r="BL25" s="63"/>
      <c r="BM25" s="54"/>
      <c r="BN25" s="53"/>
      <c r="BO25" s="63"/>
      <c r="BP25" s="54"/>
      <c r="BQ25" s="53"/>
      <c r="BR25" s="63"/>
      <c r="BS25" s="54"/>
      <c r="BT25" s="53"/>
      <c r="BU25" s="63"/>
      <c r="BV25" s="54"/>
      <c r="BW25" s="53"/>
      <c r="BX25" s="63"/>
      <c r="BY25" s="54"/>
      <c r="BZ25" s="53"/>
      <c r="CA25" s="63"/>
      <c r="CB25" s="54"/>
      <c r="CC25" s="53"/>
      <c r="CD25" s="63"/>
      <c r="CE25" s="54"/>
      <c r="CF25" s="53"/>
      <c r="CG25" s="63"/>
      <c r="CH25" s="54"/>
      <c r="CI25" s="53"/>
      <c r="CJ25" s="63"/>
      <c r="CK25" s="54"/>
      <c r="CL25" s="53"/>
      <c r="CM25" s="63"/>
      <c r="CN25" s="54"/>
      <c r="CO25" s="53"/>
      <c r="CP25" s="63"/>
      <c r="CQ25" s="54"/>
      <c r="CR25" s="53"/>
      <c r="CS25" s="63"/>
      <c r="CT25" s="54"/>
      <c r="CU25" s="53"/>
      <c r="CV25" s="63"/>
      <c r="CW25" s="54"/>
      <c r="CX25" s="53"/>
      <c r="CY25" s="63"/>
      <c r="CZ25" s="54"/>
      <c r="DA25" s="53"/>
      <c r="DB25" s="63"/>
      <c r="DC25" s="54"/>
      <c r="DD25" s="53"/>
      <c r="DE25" s="63"/>
      <c r="DF25" s="54"/>
      <c r="DG25" s="53"/>
      <c r="DH25" s="63"/>
      <c r="DI25" s="54"/>
      <c r="DJ25" s="53"/>
      <c r="DK25" s="63"/>
      <c r="DL25" s="54"/>
      <c r="DM25" s="53"/>
      <c r="DN25" s="63"/>
      <c r="DO25" s="54"/>
      <c r="DP25" s="53"/>
      <c r="DQ25" s="63"/>
      <c r="DR25" s="54"/>
      <c r="DS25" s="18" t="str">
        <f t="shared" si="15"/>
        <v/>
      </c>
      <c r="DT25" s="64" t="str">
        <f t="shared" si="16"/>
        <v/>
      </c>
      <c r="DU25" s="38" t="str">
        <f t="shared" si="17"/>
        <v/>
      </c>
      <c r="DW25" s="53"/>
      <c r="DX25" s="63"/>
      <c r="DY25" s="54"/>
      <c r="DZ25" s="53"/>
      <c r="EA25" s="63"/>
      <c r="EB25" s="54"/>
      <c r="EC25" s="53"/>
      <c r="ED25" s="63"/>
      <c r="EE25" s="54"/>
      <c r="EF25" s="53"/>
      <c r="EG25" s="63"/>
      <c r="EH25" s="54"/>
      <c r="EI25" s="53"/>
      <c r="EJ25" s="63"/>
      <c r="EK25" s="54"/>
      <c r="EL25" s="53"/>
      <c r="EM25" s="63"/>
      <c r="EN25" s="54"/>
      <c r="EO25" s="53"/>
      <c r="EP25" s="63"/>
      <c r="EQ25" s="54"/>
      <c r="ER25" s="53"/>
      <c r="ES25" s="63"/>
      <c r="ET25" s="54"/>
      <c r="EU25" s="53"/>
      <c r="EV25" s="63"/>
      <c r="EW25" s="54"/>
      <c r="EX25" s="53"/>
      <c r="EY25" s="63"/>
      <c r="EZ25" s="54"/>
      <c r="FA25" s="53"/>
      <c r="FB25" s="63"/>
      <c r="FC25" s="54"/>
      <c r="FD25" s="53"/>
      <c r="FE25" s="63"/>
      <c r="FF25" s="54"/>
      <c r="FG25" s="53"/>
      <c r="FH25" s="63"/>
      <c r="FI25" s="54"/>
      <c r="FJ25" s="53"/>
      <c r="FK25" s="63"/>
      <c r="FL25" s="54"/>
      <c r="FM25" s="53"/>
      <c r="FN25" s="63"/>
      <c r="FO25" s="54"/>
      <c r="FP25" s="53"/>
      <c r="FQ25" s="63"/>
      <c r="FR25" s="54"/>
      <c r="FS25" s="53"/>
      <c r="FT25" s="63"/>
      <c r="FU25" s="54"/>
      <c r="FV25" s="53"/>
      <c r="FW25" s="63"/>
      <c r="FX25" s="54"/>
      <c r="FY25" s="53"/>
      <c r="FZ25" s="63"/>
      <c r="GA25" s="54"/>
      <c r="GB25" s="53"/>
      <c r="GC25" s="63"/>
      <c r="GD25" s="54"/>
      <c r="GE25" s="53"/>
      <c r="GF25" s="63"/>
      <c r="GG25" s="54"/>
      <c r="GH25" s="53"/>
      <c r="GI25" s="63"/>
      <c r="GJ25" s="54"/>
      <c r="GK25" s="53"/>
      <c r="GL25" s="63"/>
      <c r="GM25" s="54"/>
      <c r="GN25" s="53"/>
      <c r="GO25" s="63"/>
      <c r="GP25" s="54"/>
      <c r="GQ25" s="53"/>
      <c r="GR25" s="63"/>
      <c r="GS25" s="54"/>
      <c r="GT25" s="53"/>
      <c r="GU25" s="63"/>
      <c r="GV25" s="54"/>
      <c r="GW25" s="53"/>
      <c r="GX25" s="63"/>
      <c r="GY25" s="54"/>
      <c r="GZ25" s="53"/>
      <c r="HA25" s="63"/>
      <c r="HB25" s="54"/>
      <c r="HC25" s="18" t="str">
        <f t="shared" si="18"/>
        <v/>
      </c>
      <c r="HD25" s="64" t="str">
        <f t="shared" si="19"/>
        <v/>
      </c>
      <c r="HE25" s="38" t="str">
        <f t="shared" si="20"/>
        <v/>
      </c>
      <c r="HF25" s="92"/>
      <c r="HG25" s="92"/>
      <c r="HH25" s="33">
        <f t="array" ref="HH25">SUM(IF($AD$1:$DR$1=HH$1,IF(NOT(ISBLANK($AD25:$DR25)),IF(LEFT(UPPER(SUBSTITUTE($AD25:$DR25," ","")),1)=HH$9,1,0),0),0))</f>
        <v>0</v>
      </c>
      <c r="HI25" s="33">
        <f t="array" ref="HI25">SUM(IF($AD$1:$DR$1=HI$1,IF(NOT(ISBLANK($AD25:$DR25)),IF(LEFT(UPPER(SUBSTITUTE($AD25:$DR25," ","")),1)=HI$9,1,0),0),0))</f>
        <v>0</v>
      </c>
      <c r="HJ25" s="33">
        <f t="array" ref="HJ25">SUM(IF($AD$1:$DR$1=HJ$1,IF(NOT(ISBLANK($AD25:$DR25)),IF(LEFT(UPPER(SUBSTITUTE($AD25:$DR25," ","")),1)=HJ$9,1,0),0),0))</f>
        <v>0</v>
      </c>
      <c r="HK25" s="33">
        <f t="array" ref="HK25">SUM(IF($AD$1:$DR$1=HK$1,IF(NOT(ISBLANK($AD25:$DR25)),IF(LEFT(UPPER(SUBSTITUTE($AD25:$DR25," ","")),1)=HK$9,1,0),0),0))</f>
        <v>0</v>
      </c>
      <c r="HL25" s="33">
        <f t="array" ref="HL25">SUM(IF($AD$1:$DR$1=HL$1,IF(NOT(ISBLANK($AD25:$DR25)),IF(LEFT(UPPER(SUBSTITUTE($AD25:$DR25," ","")),1)=HL$9,1,0),0),0))</f>
        <v>0</v>
      </c>
      <c r="HM25" s="33">
        <f t="array" ref="HM25">SUM(IF($AD$1:$DR$1=HM$1,IF(NOT(ISBLANK($AD25:$DR25)),IF(LEFT(UPPER(SUBSTITUTE($AD25:$DR25," ","")),1)=HM$9,1,0),0),0))</f>
        <v>0</v>
      </c>
      <c r="HN25" s="33" t="str">
        <f t="shared" si="21"/>
        <v>?</v>
      </c>
      <c r="HO25" s="33">
        <f t="array" ref="HO25">SUM(IF($AD$1:$DR$1=HO$1,IF(LEFT(UPPER(SUBSTITUTE($AD25:$DR25," ","")),1)=HO$9,1,0),0))</f>
        <v>0</v>
      </c>
      <c r="HP25" s="33">
        <f t="array" ref="HP25">SUM(IF($AD$1:$DR$1=HP$1,IF(LEFT(UPPER(SUBSTITUTE($AD25:$DR25," ","")),1)=HP$10,1,0),0))</f>
        <v>0</v>
      </c>
      <c r="HQ25" s="33">
        <f t="array" ref="HQ25">SUM(IF($AD$1:$DR$1=HQ$1,IF(ISBLANK($AD25:$DR25),0,IF($AD25:$DR25="",0,IF($AD25:$DR25=" ",0,1))),0))</f>
        <v>0</v>
      </c>
      <c r="HR25" s="33">
        <f t="array" ref="HR25">SUM(IF($AD$1:$DR$1=HR$1,IF(ISNUMBER($AD25:$DR25),$AD25:$DR25,0),0))</f>
        <v>0</v>
      </c>
      <c r="HS25" s="33">
        <f t="array" ref="HS25">SUM(IF($AD$1:$DR$1=HS$1,IF(ISNUMBER($AD25:$DR25),$AD25:$DR25*$AD$9:$DR$9,0),0))</f>
        <v>0</v>
      </c>
      <c r="HT25" s="37">
        <f t="shared" si="22"/>
        <v>0</v>
      </c>
      <c r="HU25" s="92"/>
      <c r="HV25" s="33">
        <f t="array" ref="HV25">SUM(IF($DW$1:$HB$1=HV$1,IF(NOT(ISBLANK($DW25:$HB25)),IF(LEFT(UPPER(SUBSTITUTE($DW25:$HB25," ","")),1)=HV$9,1,0),0),0))</f>
        <v>0</v>
      </c>
      <c r="HW25" s="33">
        <f t="array" ref="HW25">SUM(IF($DW$1:$HB$1=HW$1,IF(NOT(ISBLANK($DW25:$HB25)),IF(LEFT(UPPER(SUBSTITUTE($DW25:$HB25," ","")),1)=HW$9,1,0),0),0))</f>
        <v>0</v>
      </c>
      <c r="HX25" s="33">
        <f t="array" ref="HX25">SUM(IF($DW$1:$HB$1=HX$1,IF(NOT(ISBLANK($DW25:$HB25)),IF(LEFT(UPPER(SUBSTITUTE($DW25:$HB25," ","")),1)=HX$9,1,0),0),0))</f>
        <v>0</v>
      </c>
      <c r="HY25" s="33">
        <f t="array" ref="HY25">SUM(IF($DW$1:$HB$1=HY$1,IF(NOT(ISBLANK($DW25:$HB25)),IF(LEFT(UPPER(SUBSTITUTE($DW25:$HB25," ","")),1)=HY$9,1,0),0),0))</f>
        <v>0</v>
      </c>
      <c r="HZ25" s="33">
        <f t="array" ref="HZ25">SUM(IF($DW$1:$HB$1=HZ$1,IF(NOT(ISBLANK($DW25:$HB25)),IF(LEFT(UPPER(SUBSTITUTE($DW25:$HB25," ","")),1)=HZ$9,1,0),0),0))</f>
        <v>0</v>
      </c>
      <c r="IA25" s="33">
        <f t="array" ref="IA25">SUM(IF($DW$1:$HB$1=IA$1,IF(NOT(ISBLANK($DW25:$HB25)),IF(LEFT(UPPER(SUBSTITUTE($DW25:$HB25," ","")),1)=IA$9,1,0),0),0))</f>
        <v>0</v>
      </c>
      <c r="IB25" s="33" t="str">
        <f t="shared" si="23"/>
        <v>?</v>
      </c>
      <c r="IC25" s="33">
        <f t="array" ref="IC25">SUM(IF($DW$1:$HB$1=IC$1,IF(LEFT(UPPER(SUBSTITUTE($DW25:$HB25," ","")),1)=IC$9,1,0),0))</f>
        <v>0</v>
      </c>
      <c r="ID25" s="33">
        <f t="array" ref="ID25">SUM(IF($DW$1:$HB$1=ID$1,IF(LEFT(UPPER(SUBSTITUTE($DW25:$HB25," ","")),1)=ID$10,1,0),0))</f>
        <v>0</v>
      </c>
      <c r="IE25" s="33">
        <f t="array" ref="IE25">SUM(IF($DW$1:$HB$1=IE$1,IF(ISBLANK($DW25:$HB25),0,IF($DW25:$HB25="",0,IF($DW25:$HB25=" ",0,1))),0))</f>
        <v>0</v>
      </c>
      <c r="IF25" s="33">
        <f t="array" ref="IF25">SUM(IF($DW$1:$HB$1=IF$1,IF(ISNUMBER($DW25:$HB25),$DW25:$HB25,0),0))</f>
        <v>0</v>
      </c>
      <c r="IG25" s="33">
        <f t="array" ref="IG25">SUM(IF($DW$1:$HB$1=IG$1,IF(ISNUMBER($DW25:$HB25),$DW25:$HB25*$DW$9:$HB$9,0),0))</f>
        <v>0</v>
      </c>
      <c r="IH25" s="37">
        <f t="shared" si="24"/>
        <v>0</v>
      </c>
    </row>
    <row r="26" spans="1:242" s="26" customFormat="1" ht="39" customHeight="1" thickBot="1" x14ac:dyDescent="0.3">
      <c r="A26" s="170" t="str">
        <f>'Leerdoelen,Kennisbasis,Toetsing'!B23</f>
        <v/>
      </c>
      <c r="B26" s="169" t="str">
        <f>IF(NOT(ISBLANK('Leerdoelen,Kennisbasis,Toetsing'!C23)),'Leerdoelen,Kennisbasis,Toetsing'!C23,"")</f>
        <v/>
      </c>
      <c r="C26" s="137" t="str">
        <f>IF(NOT(ISBLANK('Leerdoelen,Kennisbasis,Toetsing'!D23)),'Leerdoelen,Kennisbasis,Toetsing'!D23,"")</f>
        <v/>
      </c>
      <c r="D26" s="138" t="str">
        <f>IF(NOT(ISBLANK('Leerdoelen,Kennisbasis,Toetsing'!E23)),'Leerdoelen,Kennisbasis,Toetsing'!E23,"")</f>
        <v/>
      </c>
      <c r="E26" s="139" t="str">
        <f>IF(NOT(ISBLANK('Leerdoelen,Kennisbasis,Toetsing'!F23)),'Leerdoelen,Kennisbasis,Toetsing'!F23,"")</f>
        <v/>
      </c>
      <c r="F26" s="171" t="str">
        <f>IF(NOT(ISBLANK('Leerdoelen,Kennisbasis,Toetsing'!G23)),'Leerdoelen,Kennisbasis,Toetsing'!G23,"")</f>
        <v/>
      </c>
      <c r="G26" s="140" t="str">
        <f>IF(NOT(ISBLANK('Leerdoelen,Kennisbasis,Toetsing'!H23)),'Leerdoelen,Kennisbasis,Toetsing'!H23,"")</f>
        <v/>
      </c>
      <c r="H26" s="107" t="str">
        <f>IF(NOT(ISBLANK('Leerdoelen,Kennisbasis,Toetsing'!I23)),'Leerdoelen,Kennisbasis,Toetsing'!I23,"")</f>
        <v/>
      </c>
      <c r="I26" s="68"/>
      <c r="J26" s="9" t="str">
        <f t="shared" si="2"/>
        <v/>
      </c>
      <c r="K26" s="69" t="str">
        <f t="shared" si="3"/>
        <v/>
      </c>
      <c r="L26" s="70" t="str">
        <f t="shared" si="4"/>
        <v/>
      </c>
      <c r="M26" s="9" t="str">
        <f t="shared" si="6"/>
        <v/>
      </c>
      <c r="N26" s="69" t="str">
        <f t="shared" si="7"/>
        <v/>
      </c>
      <c r="O26" s="70" t="str">
        <f t="shared" si="8"/>
        <v/>
      </c>
      <c r="P26" s="9" t="str">
        <f t="shared" si="9"/>
        <v/>
      </c>
      <c r="Q26" s="69" t="str">
        <f t="shared" si="10"/>
        <v/>
      </c>
      <c r="R26" s="71" t="str">
        <f t="shared" si="11"/>
        <v/>
      </c>
      <c r="S26" s="24"/>
      <c r="T26" s="49"/>
      <c r="U26" s="50"/>
      <c r="V26" s="50"/>
      <c r="W26" s="50"/>
      <c r="X26" s="50"/>
      <c r="Y26" s="51"/>
      <c r="Z26" s="49"/>
      <c r="AA26" s="50"/>
      <c r="AB26" s="10" t="str">
        <f t="shared" si="12"/>
        <v/>
      </c>
      <c r="AC26" s="9" t="str">
        <f t="shared" si="13"/>
        <v/>
      </c>
      <c r="AD26" s="28" t="str">
        <f t="shared" si="5"/>
        <v/>
      </c>
      <c r="AE26" s="10" t="str">
        <f t="shared" si="14"/>
        <v/>
      </c>
      <c r="AF26" s="25"/>
      <c r="AG26" s="53"/>
      <c r="AH26" s="63"/>
      <c r="AI26" s="54"/>
      <c r="AJ26" s="53"/>
      <c r="AK26" s="63"/>
      <c r="AL26" s="54"/>
      <c r="AM26" s="53"/>
      <c r="AN26" s="63"/>
      <c r="AO26" s="54"/>
      <c r="AP26" s="53"/>
      <c r="AQ26" s="63"/>
      <c r="AR26" s="54"/>
      <c r="AS26" s="53"/>
      <c r="AT26" s="63"/>
      <c r="AU26" s="54"/>
      <c r="AV26" s="53"/>
      <c r="AW26" s="63"/>
      <c r="AX26" s="54"/>
      <c r="AY26" s="53"/>
      <c r="AZ26" s="63"/>
      <c r="BA26" s="54"/>
      <c r="BB26" s="53"/>
      <c r="BC26" s="63"/>
      <c r="BD26" s="54"/>
      <c r="BE26" s="53"/>
      <c r="BF26" s="63"/>
      <c r="BG26" s="54"/>
      <c r="BH26" s="53"/>
      <c r="BI26" s="63"/>
      <c r="BJ26" s="54"/>
      <c r="BK26" s="53"/>
      <c r="BL26" s="63"/>
      <c r="BM26" s="54"/>
      <c r="BN26" s="53"/>
      <c r="BO26" s="63"/>
      <c r="BP26" s="54"/>
      <c r="BQ26" s="53"/>
      <c r="BR26" s="63"/>
      <c r="BS26" s="54"/>
      <c r="BT26" s="53"/>
      <c r="BU26" s="63"/>
      <c r="BV26" s="54"/>
      <c r="BW26" s="53"/>
      <c r="BX26" s="63"/>
      <c r="BY26" s="54"/>
      <c r="BZ26" s="53"/>
      <c r="CA26" s="63"/>
      <c r="CB26" s="54"/>
      <c r="CC26" s="53"/>
      <c r="CD26" s="63"/>
      <c r="CE26" s="54"/>
      <c r="CF26" s="53"/>
      <c r="CG26" s="63"/>
      <c r="CH26" s="54"/>
      <c r="CI26" s="53"/>
      <c r="CJ26" s="63"/>
      <c r="CK26" s="54"/>
      <c r="CL26" s="53"/>
      <c r="CM26" s="63"/>
      <c r="CN26" s="54"/>
      <c r="CO26" s="53"/>
      <c r="CP26" s="63"/>
      <c r="CQ26" s="54"/>
      <c r="CR26" s="53"/>
      <c r="CS26" s="63"/>
      <c r="CT26" s="54"/>
      <c r="CU26" s="53"/>
      <c r="CV26" s="63"/>
      <c r="CW26" s="54"/>
      <c r="CX26" s="53"/>
      <c r="CY26" s="63"/>
      <c r="CZ26" s="54"/>
      <c r="DA26" s="53"/>
      <c r="DB26" s="63"/>
      <c r="DC26" s="54"/>
      <c r="DD26" s="53"/>
      <c r="DE26" s="63"/>
      <c r="DF26" s="54"/>
      <c r="DG26" s="53"/>
      <c r="DH26" s="63"/>
      <c r="DI26" s="54"/>
      <c r="DJ26" s="53"/>
      <c r="DK26" s="63"/>
      <c r="DL26" s="54"/>
      <c r="DM26" s="53"/>
      <c r="DN26" s="63"/>
      <c r="DO26" s="54"/>
      <c r="DP26" s="53"/>
      <c r="DQ26" s="63"/>
      <c r="DR26" s="54"/>
      <c r="DS26" s="18" t="str">
        <f t="shared" si="15"/>
        <v/>
      </c>
      <c r="DT26" s="64" t="str">
        <f t="shared" si="16"/>
        <v/>
      </c>
      <c r="DU26" s="38" t="str">
        <f t="shared" si="17"/>
        <v/>
      </c>
      <c r="DW26" s="53"/>
      <c r="DX26" s="63"/>
      <c r="DY26" s="54"/>
      <c r="DZ26" s="53"/>
      <c r="EA26" s="63"/>
      <c r="EB26" s="54"/>
      <c r="EC26" s="53"/>
      <c r="ED26" s="63"/>
      <c r="EE26" s="54"/>
      <c r="EF26" s="53"/>
      <c r="EG26" s="63"/>
      <c r="EH26" s="54"/>
      <c r="EI26" s="53"/>
      <c r="EJ26" s="63"/>
      <c r="EK26" s="54"/>
      <c r="EL26" s="53"/>
      <c r="EM26" s="63"/>
      <c r="EN26" s="54"/>
      <c r="EO26" s="53"/>
      <c r="EP26" s="63"/>
      <c r="EQ26" s="54"/>
      <c r="ER26" s="53"/>
      <c r="ES26" s="63"/>
      <c r="ET26" s="54"/>
      <c r="EU26" s="53"/>
      <c r="EV26" s="63"/>
      <c r="EW26" s="54"/>
      <c r="EX26" s="53"/>
      <c r="EY26" s="63"/>
      <c r="EZ26" s="54"/>
      <c r="FA26" s="53"/>
      <c r="FB26" s="63"/>
      <c r="FC26" s="54"/>
      <c r="FD26" s="53"/>
      <c r="FE26" s="63"/>
      <c r="FF26" s="54"/>
      <c r="FG26" s="53"/>
      <c r="FH26" s="63"/>
      <c r="FI26" s="54"/>
      <c r="FJ26" s="53"/>
      <c r="FK26" s="63"/>
      <c r="FL26" s="54"/>
      <c r="FM26" s="53"/>
      <c r="FN26" s="63"/>
      <c r="FO26" s="54"/>
      <c r="FP26" s="53"/>
      <c r="FQ26" s="63"/>
      <c r="FR26" s="54"/>
      <c r="FS26" s="53"/>
      <c r="FT26" s="63"/>
      <c r="FU26" s="54"/>
      <c r="FV26" s="53"/>
      <c r="FW26" s="63"/>
      <c r="FX26" s="54"/>
      <c r="FY26" s="53"/>
      <c r="FZ26" s="63"/>
      <c r="GA26" s="54"/>
      <c r="GB26" s="53"/>
      <c r="GC26" s="63"/>
      <c r="GD26" s="54"/>
      <c r="GE26" s="53"/>
      <c r="GF26" s="63"/>
      <c r="GG26" s="54"/>
      <c r="GH26" s="53"/>
      <c r="GI26" s="63"/>
      <c r="GJ26" s="54"/>
      <c r="GK26" s="53"/>
      <c r="GL26" s="63"/>
      <c r="GM26" s="54"/>
      <c r="GN26" s="53"/>
      <c r="GO26" s="63"/>
      <c r="GP26" s="54"/>
      <c r="GQ26" s="53"/>
      <c r="GR26" s="63"/>
      <c r="GS26" s="54"/>
      <c r="GT26" s="53"/>
      <c r="GU26" s="63"/>
      <c r="GV26" s="54"/>
      <c r="GW26" s="53"/>
      <c r="GX26" s="63"/>
      <c r="GY26" s="54"/>
      <c r="GZ26" s="53"/>
      <c r="HA26" s="63"/>
      <c r="HB26" s="54"/>
      <c r="HC26" s="18" t="str">
        <f t="shared" si="18"/>
        <v/>
      </c>
      <c r="HD26" s="64" t="str">
        <f t="shared" si="19"/>
        <v/>
      </c>
      <c r="HE26" s="38" t="str">
        <f t="shared" si="20"/>
        <v/>
      </c>
      <c r="HF26" s="92"/>
      <c r="HG26" s="92"/>
      <c r="HH26" s="33">
        <f t="array" ref="HH26">SUM(IF($AD$1:$DR$1=HH$1,IF(NOT(ISBLANK($AD26:$DR26)),IF(LEFT(UPPER(SUBSTITUTE($AD26:$DR26," ","")),1)=HH$9,1,0),0),0))</f>
        <v>0</v>
      </c>
      <c r="HI26" s="33">
        <f t="array" ref="HI26">SUM(IF($AD$1:$DR$1=HI$1,IF(NOT(ISBLANK($AD26:$DR26)),IF(LEFT(UPPER(SUBSTITUTE($AD26:$DR26," ","")),1)=HI$9,1,0),0),0))</f>
        <v>0</v>
      </c>
      <c r="HJ26" s="33">
        <f t="array" ref="HJ26">SUM(IF($AD$1:$DR$1=HJ$1,IF(NOT(ISBLANK($AD26:$DR26)),IF(LEFT(UPPER(SUBSTITUTE($AD26:$DR26," ","")),1)=HJ$9,1,0),0),0))</f>
        <v>0</v>
      </c>
      <c r="HK26" s="33">
        <f t="array" ref="HK26">SUM(IF($AD$1:$DR$1=HK$1,IF(NOT(ISBLANK($AD26:$DR26)),IF(LEFT(UPPER(SUBSTITUTE($AD26:$DR26," ","")),1)=HK$9,1,0),0),0))</f>
        <v>0</v>
      </c>
      <c r="HL26" s="33">
        <f t="array" ref="HL26">SUM(IF($AD$1:$DR$1=HL$1,IF(NOT(ISBLANK($AD26:$DR26)),IF(LEFT(UPPER(SUBSTITUTE($AD26:$DR26," ","")),1)=HL$9,1,0),0),0))</f>
        <v>0</v>
      </c>
      <c r="HM26" s="33">
        <f t="array" ref="HM26">SUM(IF($AD$1:$DR$1=HM$1,IF(NOT(ISBLANK($AD26:$DR26)),IF(LEFT(UPPER(SUBSTITUTE($AD26:$DR26," ","")),1)=HM$9,1,0),0),0))</f>
        <v>0</v>
      </c>
      <c r="HN26" s="33" t="str">
        <f t="shared" si="21"/>
        <v>?</v>
      </c>
      <c r="HO26" s="33">
        <f t="array" ref="HO26">SUM(IF($AD$1:$DR$1=HO$1,IF(LEFT(UPPER(SUBSTITUTE($AD26:$DR26," ","")),1)=HO$9,1,0),0))</f>
        <v>0</v>
      </c>
      <c r="HP26" s="33">
        <f t="array" ref="HP26">SUM(IF($AD$1:$DR$1=HP$1,IF(LEFT(UPPER(SUBSTITUTE($AD26:$DR26," ","")),1)=HP$10,1,0),0))</f>
        <v>0</v>
      </c>
      <c r="HQ26" s="33">
        <f t="array" ref="HQ26">SUM(IF($AD$1:$DR$1=HQ$1,IF(ISBLANK($AD26:$DR26),0,IF($AD26:$DR26="",0,IF($AD26:$DR26=" ",0,1))),0))</f>
        <v>0</v>
      </c>
      <c r="HR26" s="33">
        <f t="array" ref="HR26">SUM(IF($AD$1:$DR$1=HR$1,IF(ISNUMBER($AD26:$DR26),$AD26:$DR26,0),0))</f>
        <v>0</v>
      </c>
      <c r="HS26" s="33">
        <f t="array" ref="HS26">SUM(IF($AD$1:$DR$1=HS$1,IF(ISNUMBER($AD26:$DR26),$AD26:$DR26*$AD$9:$DR$9,0),0))</f>
        <v>0</v>
      </c>
      <c r="HT26" s="37">
        <f t="shared" si="22"/>
        <v>0</v>
      </c>
      <c r="HU26" s="92"/>
      <c r="HV26" s="33">
        <f t="array" ref="HV26">SUM(IF($DW$1:$HB$1=HV$1,IF(NOT(ISBLANK($DW26:$HB26)),IF(LEFT(UPPER(SUBSTITUTE($DW26:$HB26," ","")),1)=HV$9,1,0),0),0))</f>
        <v>0</v>
      </c>
      <c r="HW26" s="33">
        <f t="array" ref="HW26">SUM(IF($DW$1:$HB$1=HW$1,IF(NOT(ISBLANK($DW26:$HB26)),IF(LEFT(UPPER(SUBSTITUTE($DW26:$HB26," ","")),1)=HW$9,1,0),0),0))</f>
        <v>0</v>
      </c>
      <c r="HX26" s="33">
        <f t="array" ref="HX26">SUM(IF($DW$1:$HB$1=HX$1,IF(NOT(ISBLANK($DW26:$HB26)),IF(LEFT(UPPER(SUBSTITUTE($DW26:$HB26," ","")),1)=HX$9,1,0),0),0))</f>
        <v>0</v>
      </c>
      <c r="HY26" s="33">
        <f t="array" ref="HY26">SUM(IF($DW$1:$HB$1=HY$1,IF(NOT(ISBLANK($DW26:$HB26)),IF(LEFT(UPPER(SUBSTITUTE($DW26:$HB26," ","")),1)=HY$9,1,0),0),0))</f>
        <v>0</v>
      </c>
      <c r="HZ26" s="33">
        <f t="array" ref="HZ26">SUM(IF($DW$1:$HB$1=HZ$1,IF(NOT(ISBLANK($DW26:$HB26)),IF(LEFT(UPPER(SUBSTITUTE($DW26:$HB26," ","")),1)=HZ$9,1,0),0),0))</f>
        <v>0</v>
      </c>
      <c r="IA26" s="33">
        <f t="array" ref="IA26">SUM(IF($DW$1:$HB$1=IA$1,IF(NOT(ISBLANK($DW26:$HB26)),IF(LEFT(UPPER(SUBSTITUTE($DW26:$HB26," ","")),1)=IA$9,1,0),0),0))</f>
        <v>0</v>
      </c>
      <c r="IB26" s="33" t="str">
        <f t="shared" si="23"/>
        <v>?</v>
      </c>
      <c r="IC26" s="33">
        <f t="array" ref="IC26">SUM(IF($DW$1:$HB$1=IC$1,IF(LEFT(UPPER(SUBSTITUTE($DW26:$HB26," ","")),1)=IC$9,1,0),0))</f>
        <v>0</v>
      </c>
      <c r="ID26" s="33">
        <f t="array" ref="ID26">SUM(IF($DW$1:$HB$1=ID$1,IF(LEFT(UPPER(SUBSTITUTE($DW26:$HB26," ","")),1)=ID$10,1,0),0))</f>
        <v>0</v>
      </c>
      <c r="IE26" s="33">
        <f t="array" ref="IE26">SUM(IF($DW$1:$HB$1=IE$1,IF(ISBLANK($DW26:$HB26),0,IF($DW26:$HB26="",0,IF($DW26:$HB26=" ",0,1))),0))</f>
        <v>0</v>
      </c>
      <c r="IF26" s="33">
        <f t="array" ref="IF26">SUM(IF($DW$1:$HB$1=IF$1,IF(ISNUMBER($DW26:$HB26),$DW26:$HB26,0),0))</f>
        <v>0</v>
      </c>
      <c r="IG26" s="33">
        <f t="array" ref="IG26">SUM(IF($DW$1:$HB$1=IG$1,IF(ISNUMBER($DW26:$HB26),$DW26:$HB26*$DW$9:$HB$9,0),0))</f>
        <v>0</v>
      </c>
      <c r="IH26" s="37">
        <f t="shared" si="24"/>
        <v>0</v>
      </c>
    </row>
    <row r="27" spans="1:242" ht="18" customHeight="1" thickBot="1" x14ac:dyDescent="0.3">
      <c r="A27" s="170"/>
      <c r="B27" s="153" t="s">
        <v>74</v>
      </c>
      <c r="C27" s="153"/>
      <c r="D27" s="153"/>
      <c r="E27" s="153"/>
      <c r="F27" s="153"/>
      <c r="G27" s="153"/>
      <c r="H27" s="45"/>
      <c r="I27" s="45"/>
      <c r="J27" s="45"/>
      <c r="K27" s="45"/>
      <c r="L27" s="45"/>
      <c r="M27" s="45"/>
      <c r="N27" s="45"/>
      <c r="O27" s="45"/>
      <c r="P27" s="45"/>
      <c r="Q27" s="45"/>
      <c r="R27" s="66"/>
      <c r="S27" s="7"/>
      <c r="T27" s="3" t="str">
        <f t="shared" ref="T27:AB27" si="25">IF(SUM(T12:T26)&gt;0,SUM(T12:T26),"")</f>
        <v/>
      </c>
      <c r="U27" s="4" t="str">
        <f t="shared" si="25"/>
        <v/>
      </c>
      <c r="V27" s="4" t="str">
        <f t="shared" si="25"/>
        <v/>
      </c>
      <c r="W27" s="4" t="str">
        <f t="shared" si="25"/>
        <v/>
      </c>
      <c r="X27" s="4" t="str">
        <f t="shared" si="25"/>
        <v/>
      </c>
      <c r="Y27" s="5" t="str">
        <f t="shared" si="25"/>
        <v/>
      </c>
      <c r="Z27" s="3" t="str">
        <f t="shared" si="25"/>
        <v/>
      </c>
      <c r="AA27" s="4" t="str">
        <f t="shared" si="25"/>
        <v/>
      </c>
      <c r="AB27" s="5" t="str">
        <f t="shared" si="25"/>
        <v/>
      </c>
      <c r="AC27" s="86"/>
      <c r="AD27" s="29"/>
      <c r="AE27" s="11" t="str">
        <f>IF(SUM(AE12:AE26)&gt;0,SUM(AE12:AE26),"")</f>
        <v/>
      </c>
      <c r="AF27" s="8"/>
      <c r="AG27" s="458"/>
      <c r="AH27" s="459"/>
      <c r="AI27" s="5">
        <f>IF(AI2=0,AI3,"")</f>
        <v>0</v>
      </c>
      <c r="AJ27" s="458"/>
      <c r="AK27" s="460"/>
      <c r="AL27" s="5">
        <f>IF(AL2=0,AL3,"")</f>
        <v>0</v>
      </c>
      <c r="AM27" s="458"/>
      <c r="AN27" s="459"/>
      <c r="AO27" s="5">
        <f>IF(AO2=0,AO3,"")</f>
        <v>0</v>
      </c>
      <c r="AP27" s="458"/>
      <c r="AQ27" s="459"/>
      <c r="AR27" s="5">
        <f>IF(AR2=0,AR3,"")</f>
        <v>0</v>
      </c>
      <c r="AS27" s="458"/>
      <c r="AT27" s="459"/>
      <c r="AU27" s="5">
        <f>IF(AU2=0,AU3,"")</f>
        <v>0</v>
      </c>
      <c r="AV27" s="458"/>
      <c r="AW27" s="459"/>
      <c r="AX27" s="5">
        <f>IF(AX2=0,AX3,"")</f>
        <v>0</v>
      </c>
      <c r="AY27" s="458"/>
      <c r="AZ27" s="459"/>
      <c r="BA27" s="5">
        <f>IF(BA2=0,BA3,"")</f>
        <v>0</v>
      </c>
      <c r="BB27" s="458"/>
      <c r="BC27" s="459"/>
      <c r="BD27" s="5">
        <f>IF(BD2=0,BD3,"")</f>
        <v>0</v>
      </c>
      <c r="BE27" s="458"/>
      <c r="BF27" s="459"/>
      <c r="BG27" s="5">
        <f>IF(BG2=0,BG3,"")</f>
        <v>0</v>
      </c>
      <c r="BH27" s="458"/>
      <c r="BI27" s="459"/>
      <c r="BJ27" s="5">
        <f>IF(BJ2=0,BJ3,"")</f>
        <v>0</v>
      </c>
      <c r="BK27" s="458"/>
      <c r="BL27" s="459"/>
      <c r="BM27" s="5">
        <f>IF(BM2=0,BM3,"")</f>
        <v>0</v>
      </c>
      <c r="BN27" s="458"/>
      <c r="BO27" s="459"/>
      <c r="BP27" s="5">
        <f>IF(BP2=0,BP3,"")</f>
        <v>0</v>
      </c>
      <c r="BQ27" s="458"/>
      <c r="BR27" s="459"/>
      <c r="BS27" s="5">
        <f>IF(BS2=0,BS3,"")</f>
        <v>0</v>
      </c>
      <c r="BT27" s="458"/>
      <c r="BU27" s="459"/>
      <c r="BV27" s="5">
        <f>IF(BV2=0,BV3,"")</f>
        <v>0</v>
      </c>
      <c r="BW27" s="458"/>
      <c r="BX27" s="459"/>
      <c r="BY27" s="5">
        <f>IF(BY2=0,BY3,"")</f>
        <v>0</v>
      </c>
      <c r="BZ27" s="458"/>
      <c r="CA27" s="459"/>
      <c r="CB27" s="5">
        <f>IF(CB2=0,CB3,"")</f>
        <v>0</v>
      </c>
      <c r="CC27" s="458"/>
      <c r="CD27" s="459"/>
      <c r="CE27" s="5">
        <f>IF(CE2=0,CE3,"")</f>
        <v>0</v>
      </c>
      <c r="CF27" s="458"/>
      <c r="CG27" s="459"/>
      <c r="CH27" s="5">
        <f>IF(CH2=0,CH3,"")</f>
        <v>0</v>
      </c>
      <c r="CI27" s="458"/>
      <c r="CJ27" s="459"/>
      <c r="CK27" s="5">
        <f>IF(CK2=0,CK3,"")</f>
        <v>0</v>
      </c>
      <c r="CL27" s="458"/>
      <c r="CM27" s="459"/>
      <c r="CN27" s="5">
        <f>IF(CN2=0,CN3,"")</f>
        <v>0</v>
      </c>
      <c r="CO27" s="458"/>
      <c r="CP27" s="459"/>
      <c r="CQ27" s="5">
        <f>IF(CQ2=0,CQ3,"")</f>
        <v>0</v>
      </c>
      <c r="CR27" s="458"/>
      <c r="CS27" s="459"/>
      <c r="CT27" s="5">
        <f>IF(CT2=0,CT3,"")</f>
        <v>0</v>
      </c>
      <c r="CU27" s="458"/>
      <c r="CV27" s="459"/>
      <c r="CW27" s="5">
        <f>IF(CW2=0,CW3,"")</f>
        <v>0</v>
      </c>
      <c r="CX27" s="458"/>
      <c r="CY27" s="459"/>
      <c r="CZ27" s="5">
        <f>IF(CZ2=0,CZ3,"")</f>
        <v>0</v>
      </c>
      <c r="DA27" s="458"/>
      <c r="DB27" s="459"/>
      <c r="DC27" s="5">
        <f>IF(DC2=0,DC3,"")</f>
        <v>0</v>
      </c>
      <c r="DD27" s="458"/>
      <c r="DE27" s="459"/>
      <c r="DF27" s="5">
        <f>IF(DF2=0,DF3,"")</f>
        <v>0</v>
      </c>
      <c r="DG27" s="458"/>
      <c r="DH27" s="459"/>
      <c r="DI27" s="5">
        <f>IF(DI2=0,DI3,"")</f>
        <v>0</v>
      </c>
      <c r="DJ27" s="458"/>
      <c r="DK27" s="459"/>
      <c r="DL27" s="5">
        <f>IF(DL2=0,DL3,"")</f>
        <v>0</v>
      </c>
      <c r="DM27" s="458"/>
      <c r="DN27" s="459"/>
      <c r="DO27" s="5">
        <f>IF(DO2=0,DO3,"")</f>
        <v>0</v>
      </c>
      <c r="DP27" s="458"/>
      <c r="DQ27" s="459"/>
      <c r="DR27" s="5">
        <f>IF(DR2=0,DR3,"")</f>
        <v>0</v>
      </c>
      <c r="DS27" s="19"/>
      <c r="DT27" s="65"/>
      <c r="DU27" s="46"/>
      <c r="DW27" s="458"/>
      <c r="DX27" s="459"/>
      <c r="DY27" s="5">
        <f>IF(DY2=0,DY3,"")</f>
        <v>4</v>
      </c>
      <c r="DZ27" s="458"/>
      <c r="EA27" s="459"/>
      <c r="EB27" s="5">
        <f>IF(EB2=0,EB3,"")</f>
        <v>2</v>
      </c>
      <c r="EC27" s="458"/>
      <c r="ED27" s="459"/>
      <c r="EE27" s="5">
        <f>IF(EE2=0,EE3,"")</f>
        <v>3</v>
      </c>
      <c r="EF27" s="458"/>
      <c r="EG27" s="459"/>
      <c r="EH27" s="5">
        <f>IF(EH2=0,EH3,"")</f>
        <v>3</v>
      </c>
      <c r="EI27" s="458"/>
      <c r="EJ27" s="459"/>
      <c r="EK27" s="5">
        <f>IF(EK2=0,EK3,"")</f>
        <v>8</v>
      </c>
      <c r="EL27" s="458"/>
      <c r="EM27" s="459"/>
      <c r="EN27" s="5">
        <f>IF(EN2=0,EN3,"")</f>
        <v>0</v>
      </c>
      <c r="EO27" s="458"/>
      <c r="EP27" s="459"/>
      <c r="EQ27" s="5">
        <f>IF(EQ2=0,EQ3,"")</f>
        <v>0</v>
      </c>
      <c r="ER27" s="458"/>
      <c r="ES27" s="459"/>
      <c r="ET27" s="5">
        <f>IF(ET2=0,ET3,"")</f>
        <v>0</v>
      </c>
      <c r="EU27" s="458"/>
      <c r="EV27" s="459"/>
      <c r="EW27" s="5">
        <f>IF(EW2=0,EW3,"")</f>
        <v>0</v>
      </c>
      <c r="EX27" s="458"/>
      <c r="EY27" s="459"/>
      <c r="EZ27" s="5">
        <f>IF(EZ2=0,EZ3,"")</f>
        <v>0</v>
      </c>
      <c r="FA27" s="458"/>
      <c r="FB27" s="459"/>
      <c r="FC27" s="5">
        <f>IF(FC2=0,FC3,"")</f>
        <v>0</v>
      </c>
      <c r="FD27" s="458"/>
      <c r="FE27" s="459"/>
      <c r="FF27" s="5">
        <f>IF(FF2=0,FF3,"")</f>
        <v>0</v>
      </c>
      <c r="FG27" s="458"/>
      <c r="FH27" s="459"/>
      <c r="FI27" s="5">
        <f>IF(FI2=0,FI3,"")</f>
        <v>0</v>
      </c>
      <c r="FJ27" s="458"/>
      <c r="FK27" s="459"/>
      <c r="FL27" s="5">
        <f>IF(FL2=0,FL3,"")</f>
        <v>0</v>
      </c>
      <c r="FM27" s="458"/>
      <c r="FN27" s="459"/>
      <c r="FO27" s="5">
        <f>IF(FO2=0,FO3,"")</f>
        <v>0</v>
      </c>
      <c r="FP27" s="458"/>
      <c r="FQ27" s="459"/>
      <c r="FR27" s="5">
        <f>IF(FR2=0,FR3,"")</f>
        <v>0</v>
      </c>
      <c r="FS27" s="458"/>
      <c r="FT27" s="459"/>
      <c r="FU27" s="5">
        <f>IF(FU2=0,FU3,"")</f>
        <v>0</v>
      </c>
      <c r="FV27" s="458"/>
      <c r="FW27" s="459"/>
      <c r="FX27" s="5">
        <f>IF(FX2=0,FX3,"")</f>
        <v>0</v>
      </c>
      <c r="FY27" s="458"/>
      <c r="FZ27" s="459"/>
      <c r="GA27" s="5">
        <f>IF(GA2=0,GA3,"")</f>
        <v>0</v>
      </c>
      <c r="GB27" s="458"/>
      <c r="GC27" s="459"/>
      <c r="GD27" s="5">
        <f>IF(GD2=0,GD3,"")</f>
        <v>0</v>
      </c>
      <c r="GE27" s="458"/>
      <c r="GF27" s="459"/>
      <c r="GG27" s="5">
        <f>IF(GG2=0,GG3,"")</f>
        <v>0</v>
      </c>
      <c r="GH27" s="458"/>
      <c r="GI27" s="459"/>
      <c r="GJ27" s="5">
        <f>IF(GJ2=0,GJ3,"")</f>
        <v>0</v>
      </c>
      <c r="GK27" s="458"/>
      <c r="GL27" s="459"/>
      <c r="GM27" s="5">
        <f>IF(GM2=0,GM3,"")</f>
        <v>0</v>
      </c>
      <c r="GN27" s="458"/>
      <c r="GO27" s="459"/>
      <c r="GP27" s="5">
        <f>IF(GP2=0,GP3,"")</f>
        <v>0</v>
      </c>
      <c r="GQ27" s="458"/>
      <c r="GR27" s="459"/>
      <c r="GS27" s="5">
        <f>IF(GS2=0,GS3,"")</f>
        <v>0</v>
      </c>
      <c r="GT27" s="458"/>
      <c r="GU27" s="459"/>
      <c r="GV27" s="5">
        <f>IF(GV2=0,GV3,"")</f>
        <v>0</v>
      </c>
      <c r="GW27" s="458"/>
      <c r="GX27" s="459"/>
      <c r="GY27" s="5">
        <f>IF(GY2=0,GY3,"")</f>
        <v>0</v>
      </c>
      <c r="GZ27" s="458"/>
      <c r="HA27" s="459"/>
      <c r="HB27" s="5">
        <f>IF(HB2=0,HB3,"")</f>
        <v>0</v>
      </c>
      <c r="HC27" s="19"/>
      <c r="HD27" s="65"/>
      <c r="HE27" s="46"/>
      <c r="HH27" s="33"/>
      <c r="HI27" s="33"/>
      <c r="HJ27" s="33"/>
      <c r="HK27" s="33"/>
      <c r="HL27" s="33"/>
      <c r="HM27" s="33"/>
      <c r="HN27" s="33"/>
      <c r="HO27" s="33"/>
      <c r="HP27" s="33"/>
      <c r="HQ27" s="33"/>
      <c r="HR27" s="33"/>
      <c r="HS27" s="33"/>
      <c r="HT27" s="37"/>
      <c r="HV27" s="33"/>
      <c r="HW27" s="33"/>
      <c r="HX27" s="33"/>
      <c r="HY27" s="33"/>
      <c r="HZ27" s="33"/>
      <c r="IA27" s="33"/>
      <c r="IB27" s="33"/>
      <c r="IC27" s="33"/>
      <c r="ID27" s="33"/>
      <c r="IE27" s="33"/>
      <c r="IF27" s="33"/>
      <c r="IG27" s="33"/>
      <c r="IH27" s="37"/>
    </row>
    <row r="28" spans="1:242" s="32" customFormat="1" ht="20.25" customHeight="1" x14ac:dyDescent="0.25">
      <c r="A28" s="27"/>
      <c r="B28" s="40"/>
      <c r="C28" s="40"/>
      <c r="D28" s="40"/>
      <c r="E28" s="40"/>
      <c r="F28" s="40"/>
      <c r="G28" s="40"/>
      <c r="H28" s="40"/>
      <c r="I28" s="40"/>
      <c r="J28" s="40"/>
      <c r="K28" s="40"/>
      <c r="L28" s="40"/>
      <c r="M28" s="40"/>
      <c r="N28" s="40"/>
      <c r="O28" s="40"/>
      <c r="P28" s="40"/>
      <c r="Q28" s="40"/>
      <c r="R28" s="40"/>
      <c r="S28" s="41"/>
      <c r="T28" s="40"/>
      <c r="U28" s="40"/>
      <c r="V28" s="40"/>
      <c r="W28" s="40"/>
      <c r="X28" s="40"/>
      <c r="Y28" s="40"/>
      <c r="Z28" s="40"/>
      <c r="AA28" s="40"/>
      <c r="AB28" s="40"/>
      <c r="AC28" s="40"/>
      <c r="AD28" s="40"/>
      <c r="AE28" s="40"/>
      <c r="AF28" s="41"/>
      <c r="AJ28" s="73"/>
      <c r="AK28" s="73"/>
      <c r="AL28" s="73"/>
      <c r="DS28" s="41"/>
      <c r="DT28" s="41"/>
      <c r="DU28" s="41"/>
      <c r="HC28" s="41"/>
      <c r="HD28" s="41"/>
      <c r="HE28" s="41"/>
      <c r="HF28" s="41"/>
      <c r="HG28" s="41"/>
      <c r="HH28" s="39"/>
      <c r="HI28" s="39"/>
      <c r="HJ28" s="39"/>
      <c r="HK28" s="39"/>
      <c r="HL28" s="39"/>
      <c r="HM28" s="39"/>
      <c r="HN28" s="39"/>
      <c r="HO28" s="39"/>
      <c r="HP28" s="39"/>
      <c r="HQ28" s="39"/>
      <c r="HR28" s="39"/>
      <c r="HS28" s="39"/>
      <c r="HT28" s="39"/>
      <c r="HU28" s="41"/>
      <c r="HV28" s="39"/>
      <c r="HW28" s="39"/>
      <c r="HX28" s="39"/>
      <c r="HY28" s="39"/>
      <c r="HZ28" s="39"/>
      <c r="IA28" s="39"/>
      <c r="IB28" s="39"/>
      <c r="IC28" s="39"/>
      <c r="ID28" s="39"/>
      <c r="IE28" s="39"/>
      <c r="IF28" s="39"/>
      <c r="IG28" s="39"/>
      <c r="IH28" s="39"/>
    </row>
  </sheetData>
  <dataConsolidate/>
  <mergeCells count="345">
    <mergeCell ref="B8:C10"/>
    <mergeCell ref="D10:E10"/>
    <mergeCell ref="D8:F9"/>
    <mergeCell ref="G8:G10"/>
    <mergeCell ref="GK27:GL27"/>
    <mergeCell ref="GN27:GO27"/>
    <mergeCell ref="GQ27:GR27"/>
    <mergeCell ref="GT27:GU27"/>
    <mergeCell ref="GW27:GX27"/>
    <mergeCell ref="EL27:EM27"/>
    <mergeCell ref="EO27:EP27"/>
    <mergeCell ref="ER27:ES27"/>
    <mergeCell ref="EU27:EV27"/>
    <mergeCell ref="EX27:EY27"/>
    <mergeCell ref="CU27:CV27"/>
    <mergeCell ref="CX27:CY27"/>
    <mergeCell ref="DA27:DB27"/>
    <mergeCell ref="DD27:DE27"/>
    <mergeCell ref="DG27:DH27"/>
    <mergeCell ref="FA27:FB27"/>
    <mergeCell ref="FD27:FE27"/>
    <mergeCell ref="FG27:FH27"/>
    <mergeCell ref="DJ27:DK27"/>
    <mergeCell ref="BZ27:CA27"/>
    <mergeCell ref="CC27:CD27"/>
    <mergeCell ref="CF27:CG27"/>
    <mergeCell ref="CI27:CJ27"/>
    <mergeCell ref="CL27:CM27"/>
    <mergeCell ref="CO27:CP27"/>
    <mergeCell ref="CR27:CS27"/>
    <mergeCell ref="GZ27:HA27"/>
    <mergeCell ref="FJ27:FK27"/>
    <mergeCell ref="FM27:FN27"/>
    <mergeCell ref="FP27:FQ27"/>
    <mergeCell ref="FS27:FT27"/>
    <mergeCell ref="FV27:FW27"/>
    <mergeCell ref="FY27:FZ27"/>
    <mergeCell ref="GB27:GC27"/>
    <mergeCell ref="GE27:GF27"/>
    <mergeCell ref="GH27:GI27"/>
    <mergeCell ref="GZ10:GZ11"/>
    <mergeCell ref="HA10:HA11"/>
    <mergeCell ref="HB10:HB11"/>
    <mergeCell ref="HC10:HC11"/>
    <mergeCell ref="HD10:HD11"/>
    <mergeCell ref="HE10:HE11"/>
    <mergeCell ref="AS27:AT27"/>
    <mergeCell ref="AV27:AW27"/>
    <mergeCell ref="AY27:AZ27"/>
    <mergeCell ref="BB27:BC27"/>
    <mergeCell ref="BE27:BF27"/>
    <mergeCell ref="BH27:BI27"/>
    <mergeCell ref="BK27:BL27"/>
    <mergeCell ref="BN27:BO27"/>
    <mergeCell ref="BQ27:BR27"/>
    <mergeCell ref="DM27:DN27"/>
    <mergeCell ref="DP27:DQ27"/>
    <mergeCell ref="DW27:DX27"/>
    <mergeCell ref="DZ27:EA27"/>
    <mergeCell ref="EC27:ED27"/>
    <mergeCell ref="EF27:EG27"/>
    <mergeCell ref="EI27:EJ27"/>
    <mergeCell ref="BT27:BU27"/>
    <mergeCell ref="BW27:BX27"/>
    <mergeCell ref="GQ10:GQ11"/>
    <mergeCell ref="GR10:GR11"/>
    <mergeCell ref="GS10:GS11"/>
    <mergeCell ref="GT10:GT11"/>
    <mergeCell ref="GU10:GU11"/>
    <mergeCell ref="GV10:GV11"/>
    <mergeCell ref="GW10:GW11"/>
    <mergeCell ref="GX10:GX11"/>
    <mergeCell ref="GY10:GY11"/>
    <mergeCell ref="GH10:GH11"/>
    <mergeCell ref="GI10:GI11"/>
    <mergeCell ref="GJ10:GJ11"/>
    <mergeCell ref="GK10:GK11"/>
    <mergeCell ref="GL10:GL11"/>
    <mergeCell ref="GM10:GM11"/>
    <mergeCell ref="GN10:GN11"/>
    <mergeCell ref="GO10:GO11"/>
    <mergeCell ref="GP10:GP11"/>
    <mergeCell ref="FY10:FY11"/>
    <mergeCell ref="FZ10:FZ11"/>
    <mergeCell ref="GA10:GA11"/>
    <mergeCell ref="GB10:GB11"/>
    <mergeCell ref="GC10:GC11"/>
    <mergeCell ref="GD10:GD11"/>
    <mergeCell ref="GE10:GE11"/>
    <mergeCell ref="GF10:GF11"/>
    <mergeCell ref="GG10:GG11"/>
    <mergeCell ref="FP10:FP11"/>
    <mergeCell ref="FQ10:FQ11"/>
    <mergeCell ref="FR10:FR11"/>
    <mergeCell ref="FS10:FS11"/>
    <mergeCell ref="FT10:FT11"/>
    <mergeCell ref="FU10:FU11"/>
    <mergeCell ref="FV10:FV11"/>
    <mergeCell ref="FW10:FW11"/>
    <mergeCell ref="FX10:FX11"/>
    <mergeCell ref="FG10:FG11"/>
    <mergeCell ref="FH10:FH11"/>
    <mergeCell ref="FI10:FI11"/>
    <mergeCell ref="FJ10:FJ11"/>
    <mergeCell ref="FK10:FK11"/>
    <mergeCell ref="FL10:FL11"/>
    <mergeCell ref="FM10:FM11"/>
    <mergeCell ref="FN10:FN11"/>
    <mergeCell ref="FO10:FO11"/>
    <mergeCell ref="EX10:EX11"/>
    <mergeCell ref="EY10:EY11"/>
    <mergeCell ref="EZ10:EZ11"/>
    <mergeCell ref="FA10:FA11"/>
    <mergeCell ref="FB10:FB11"/>
    <mergeCell ref="FC10:FC11"/>
    <mergeCell ref="FD10:FD11"/>
    <mergeCell ref="FE10:FE11"/>
    <mergeCell ref="FF10:FF11"/>
    <mergeCell ref="EO10:EO11"/>
    <mergeCell ref="EP10:EP11"/>
    <mergeCell ref="EQ10:EQ11"/>
    <mergeCell ref="ER10:ER11"/>
    <mergeCell ref="ES10:ES11"/>
    <mergeCell ref="ET10:ET11"/>
    <mergeCell ref="EU10:EU11"/>
    <mergeCell ref="EV10:EV11"/>
    <mergeCell ref="EW10:EW11"/>
    <mergeCell ref="EF10:EF11"/>
    <mergeCell ref="EG10:EG11"/>
    <mergeCell ref="EH10:EH11"/>
    <mergeCell ref="EI10:EI11"/>
    <mergeCell ref="EJ10:EJ11"/>
    <mergeCell ref="EK10:EK11"/>
    <mergeCell ref="EL10:EL11"/>
    <mergeCell ref="EM10:EM11"/>
    <mergeCell ref="EN10:EN11"/>
    <mergeCell ref="EE10:EE11"/>
    <mergeCell ref="DA10:DA11"/>
    <mergeCell ref="DB10:DB11"/>
    <mergeCell ref="DC10:DC11"/>
    <mergeCell ref="DD10:DD11"/>
    <mergeCell ref="DE10:DE11"/>
    <mergeCell ref="DF10:DF11"/>
    <mergeCell ref="DG10:DG11"/>
    <mergeCell ref="DH10:DH11"/>
    <mergeCell ref="DI10:DI11"/>
    <mergeCell ref="DJ10:DJ11"/>
    <mergeCell ref="DK10:DK11"/>
    <mergeCell ref="DL10:DL11"/>
    <mergeCell ref="DM10:DM11"/>
    <mergeCell ref="DN10:DN11"/>
    <mergeCell ref="DO10:DO11"/>
    <mergeCell ref="HC7:HE8"/>
    <mergeCell ref="H8:I8"/>
    <mergeCell ref="J8:L8"/>
    <mergeCell ref="M8:O8"/>
    <mergeCell ref="P8:R8"/>
    <mergeCell ref="T8:Y9"/>
    <mergeCell ref="Z8:AB9"/>
    <mergeCell ref="H9:I9"/>
    <mergeCell ref="J9:L9"/>
    <mergeCell ref="M9:O9"/>
    <mergeCell ref="P9:R9"/>
    <mergeCell ref="DS9:DU9"/>
    <mergeCell ref="HC9:HE9"/>
    <mergeCell ref="GB7:GD8"/>
    <mergeCell ref="GE7:GG8"/>
    <mergeCell ref="GH7:GJ8"/>
    <mergeCell ref="GK7:GM8"/>
    <mergeCell ref="GN7:GP8"/>
    <mergeCell ref="GQ7:GS8"/>
    <mergeCell ref="GT7:GV8"/>
    <mergeCell ref="GW7:GY8"/>
    <mergeCell ref="GZ7:HB8"/>
    <mergeCell ref="FA7:FC8"/>
    <mergeCell ref="FD7:FF8"/>
    <mergeCell ref="FG7:FI8"/>
    <mergeCell ref="FJ7:FL8"/>
    <mergeCell ref="FM7:FO8"/>
    <mergeCell ref="FP7:FR8"/>
    <mergeCell ref="FS7:FU8"/>
    <mergeCell ref="FV7:FX8"/>
    <mergeCell ref="FY7:GA8"/>
    <mergeCell ref="EF7:EH8"/>
    <mergeCell ref="EI7:EK8"/>
    <mergeCell ref="EL7:EN8"/>
    <mergeCell ref="EO7:EQ8"/>
    <mergeCell ref="ER7:ET8"/>
    <mergeCell ref="EU7:EW8"/>
    <mergeCell ref="EX7:EZ8"/>
    <mergeCell ref="CO7:CQ8"/>
    <mergeCell ref="CR7:CT8"/>
    <mergeCell ref="CU7:CW8"/>
    <mergeCell ref="CX7:CZ8"/>
    <mergeCell ref="DA7:DC8"/>
    <mergeCell ref="DD7:DF8"/>
    <mergeCell ref="DG7:DI8"/>
    <mergeCell ref="DJ7:DL8"/>
    <mergeCell ref="DM7:DO8"/>
    <mergeCell ref="DW6:EB6"/>
    <mergeCell ref="EC6:ED6"/>
    <mergeCell ref="P7:R7"/>
    <mergeCell ref="T7:AB7"/>
    <mergeCell ref="AG7:AI8"/>
    <mergeCell ref="AJ7:AL8"/>
    <mergeCell ref="AM7:AO8"/>
    <mergeCell ref="AP7:AR8"/>
    <mergeCell ref="AS7:AU8"/>
    <mergeCell ref="AV7:AX8"/>
    <mergeCell ref="AY7:BA8"/>
    <mergeCell ref="BB7:BD8"/>
    <mergeCell ref="BE7:BG8"/>
    <mergeCell ref="BH7:BJ8"/>
    <mergeCell ref="BK7:BM8"/>
    <mergeCell ref="BN7:BP8"/>
    <mergeCell ref="BQ7:BS8"/>
    <mergeCell ref="BT7:BV8"/>
    <mergeCell ref="BW7:BY8"/>
    <mergeCell ref="BZ7:CB8"/>
    <mergeCell ref="CC7:CE8"/>
    <mergeCell ref="CF7:CH8"/>
    <mergeCell ref="CI7:CK8"/>
    <mergeCell ref="CL7:CN8"/>
    <mergeCell ref="H6:I6"/>
    <mergeCell ref="J6:L6"/>
    <mergeCell ref="M6:O6"/>
    <mergeCell ref="P6:R6"/>
    <mergeCell ref="T6:Z6"/>
    <mergeCell ref="AA6:AB6"/>
    <mergeCell ref="AG6:AL6"/>
    <mergeCell ref="AM6:AN6"/>
    <mergeCell ref="H10:I10"/>
    <mergeCell ref="J10:L10"/>
    <mergeCell ref="M10:O10"/>
    <mergeCell ref="P10:R10"/>
    <mergeCell ref="T10:T11"/>
    <mergeCell ref="U10:U11"/>
    <mergeCell ref="V10:V11"/>
    <mergeCell ref="W10:W11"/>
    <mergeCell ref="X10:X11"/>
    <mergeCell ref="AB10:AB11"/>
    <mergeCell ref="AE10:AE11"/>
    <mergeCell ref="AD10:AD11"/>
    <mergeCell ref="Z10:Z11"/>
    <mergeCell ref="Y10:Y11"/>
    <mergeCell ref="M7:O7"/>
    <mergeCell ref="BJ10:BJ11"/>
    <mergeCell ref="BK10:BK11"/>
    <mergeCell ref="BL10:BL11"/>
    <mergeCell ref="BM10:BM11"/>
    <mergeCell ref="CD10:CD11"/>
    <mergeCell ref="CE10:CE11"/>
    <mergeCell ref="CF10:CF11"/>
    <mergeCell ref="CG10:CG11"/>
    <mergeCell ref="CH10:CH11"/>
    <mergeCell ref="CW10:CW11"/>
    <mergeCell ref="BR10:BR11"/>
    <mergeCell ref="BS10:BS11"/>
    <mergeCell ref="BT10:BT11"/>
    <mergeCell ref="BU10:BU11"/>
    <mergeCell ref="BN10:BN11"/>
    <mergeCell ref="BO10:BO11"/>
    <mergeCell ref="BP10:BP11"/>
    <mergeCell ref="BQ10:BQ11"/>
    <mergeCell ref="CI10:CI11"/>
    <mergeCell ref="CJ10:CJ11"/>
    <mergeCell ref="CK10:CK11"/>
    <mergeCell ref="CL10:CL11"/>
    <mergeCell ref="CM10:CM11"/>
    <mergeCell ref="CN10:CN11"/>
    <mergeCell ref="CO10:CO11"/>
    <mergeCell ref="CP10:CP11"/>
    <mergeCell ref="CQ10:CQ11"/>
    <mergeCell ref="CX10:CX11"/>
    <mergeCell ref="CY10:CY11"/>
    <mergeCell ref="AQ10:AQ11"/>
    <mergeCell ref="AL10:AL11"/>
    <mergeCell ref="AM10:AM11"/>
    <mergeCell ref="AN10:AN11"/>
    <mergeCell ref="AO10:AO11"/>
    <mergeCell ref="AH10:AH11"/>
    <mergeCell ref="AI10:AI11"/>
    <mergeCell ref="AJ10:AJ11"/>
    <mergeCell ref="AK10:AK11"/>
    <mergeCell ref="BX10:BX11"/>
    <mergeCell ref="BY10:BY11"/>
    <mergeCell ref="AW10:AW11"/>
    <mergeCell ref="AP10:AP11"/>
    <mergeCell ref="AR10:AR11"/>
    <mergeCell ref="AS10:AS11"/>
    <mergeCell ref="CU10:CU11"/>
    <mergeCell ref="BH10:BH11"/>
    <mergeCell ref="BI10:BI11"/>
    <mergeCell ref="AT10:AT11"/>
    <mergeCell ref="AU10:AU11"/>
    <mergeCell ref="AV10:AV11"/>
    <mergeCell ref="CV10:CV11"/>
    <mergeCell ref="AG27:AH27"/>
    <mergeCell ref="AJ27:AK27"/>
    <mergeCell ref="AM27:AN27"/>
    <mergeCell ref="AP27:AQ27"/>
    <mergeCell ref="AA10:AA11"/>
    <mergeCell ref="BF10:BF11"/>
    <mergeCell ref="BG10:BG11"/>
    <mergeCell ref="CZ10:CZ11"/>
    <mergeCell ref="AC10:AC11"/>
    <mergeCell ref="CB10:CB11"/>
    <mergeCell ref="CC10:CC11"/>
    <mergeCell ref="AG10:AG11"/>
    <mergeCell ref="BB10:BB11"/>
    <mergeCell ref="BC10:BC11"/>
    <mergeCell ref="BD10:BD11"/>
    <mergeCell ref="BE10:BE11"/>
    <mergeCell ref="AX10:AX11"/>
    <mergeCell ref="AY10:AY11"/>
    <mergeCell ref="AZ10:AZ11"/>
    <mergeCell ref="BA10:BA11"/>
    <mergeCell ref="BZ10:BZ11"/>
    <mergeCell ref="CA10:CA11"/>
    <mergeCell ref="BV10:BV11"/>
    <mergeCell ref="BW10:BW11"/>
    <mergeCell ref="D6:G6"/>
    <mergeCell ref="D7:G7"/>
    <mergeCell ref="EA10:EA11"/>
    <mergeCell ref="EB10:EB11"/>
    <mergeCell ref="EC10:EC11"/>
    <mergeCell ref="ED10:ED11"/>
    <mergeCell ref="DP7:DR8"/>
    <mergeCell ref="DS7:DU8"/>
    <mergeCell ref="DW7:DY8"/>
    <mergeCell ref="DZ7:EB8"/>
    <mergeCell ref="EC7:EE8"/>
    <mergeCell ref="DQ10:DQ11"/>
    <mergeCell ref="DR10:DR11"/>
    <mergeCell ref="DS10:DS11"/>
    <mergeCell ref="DT10:DT11"/>
    <mergeCell ref="DU10:DU11"/>
    <mergeCell ref="DW10:DW11"/>
    <mergeCell ref="DX10:DX11"/>
    <mergeCell ref="DY10:DY11"/>
    <mergeCell ref="DZ10:DZ11"/>
    <mergeCell ref="DP10:DP11"/>
    <mergeCell ref="CR10:CR11"/>
    <mergeCell ref="CS10:CS11"/>
    <mergeCell ref="CT10:CT11"/>
  </mergeCells>
  <conditionalFormatting sqref="I12:I27 L12:L27 O12:O27 R12:R27 AI12:AI27 AL12:AL27 AO12:AO27 AR12:AR27 AU12:AU27 AX12:AX27 BA12:BA27 BD12:BD27 BG12:BG27 BJ12:BJ27 BM12:BM27 BP12:BP27 BS12:BS27 BV12:BV27 BY12:BY27 CB12:CB27 CE12:CE27 CH12:CH27 CK12:CK27 CN12:CN27 CQ12:CQ27 CT12:CT27 CW12:CW27 CZ12:CZ27 DC12:DC27 DF12:DF27 DI12:DI27 DL12:DL27 DO12:DO27 DR12:DR27 DU12:DU27 DY12:DY27 EB12:EB27 EE12:EE27 EH12:EH27 EK12:EK27 EN12:EN27 EQ12:EQ27 ET12:ET27 EW12:EW27 EZ12:EZ27 FC12:FC27 FF12:FF27 FI12:FI27 FL12:FL27 FO12:FO27 FR12:FR27 FU12:FU27 FX12:FX27 GA12:GA27 GD12:GD27 GG12:GG27 GJ12:GJ27 GM12:GM27 GP12:GP27 GS12:GS27 GV12:GV27 GY12:GY27 HB12:HB27 HE12:HE27">
    <cfRule type="cellIs" dxfId="13" priority="5" operator="greaterThan">
      <formula>0.999999999</formula>
    </cfRule>
    <cfRule type="cellIs" dxfId="12" priority="6" operator="between">
      <formula>0</formula>
      <formula>0.999999999</formula>
    </cfRule>
  </conditionalFormatting>
  <conditionalFormatting sqref="B12:G26">
    <cfRule type="expression" dxfId="11" priority="1">
      <formula>$A12="abrikoos"</formula>
    </cfRule>
    <cfRule type="expression" dxfId="10" priority="2">
      <formula>$A12="geel"</formula>
    </cfRule>
    <cfRule type="expression" dxfId="9" priority="3">
      <formula>$A12="groen"</formula>
    </cfRule>
    <cfRule type="expression" dxfId="8" priority="4">
      <formula>$A12="blauw"</formula>
    </cfRule>
  </conditionalFormatting>
  <dataValidations count="7">
    <dataValidation type="decimal" allowBlank="1" showInputMessage="1" showErrorMessage="1" sqref="AA6:AB6 M10:O10 I12:I26">
      <formula1>0</formula1>
      <formula2>1</formula2>
    </dataValidation>
    <dataValidation type="list" allowBlank="1" showInputMessage="1" showErrorMessage="1" errorTitle="Ongeldige invoer" error="Selecteer term uit vervolgkeuzelijst" sqref="DQ12:DQ26 HA12:HA26">
      <formula1>$HO$9:$HO$10</formula1>
    </dataValidation>
    <dataValidation type="list" allowBlank="1" showInputMessage="1" showErrorMessage="1" sqref="IC9:ID10">
      <formula1>$A$51:$A$52</formula1>
    </dataValidation>
    <dataValidation type="decimal" operator="greaterThanOrEqual" allowBlank="1" showInputMessage="1" showErrorMessage="1" sqref="DI12:DI26 DC12:DC26 DL12:DL26 DO12:DO26 CQ12:CQ26 GP12:GP26 GS12:GS26 GM12:GM26 AL12:AL26 AO12:AO26 AI12:AI26 AR12:AR26 AU12:AU26 BA12:BA26 BD12:BD26 AX12:AX26 BG12:BG26 BS12:BS26 BM12:BM26 BV12:BV26 BP12:BP26 CB12:CB26 CE12:CE26 BY12:BY26 CH12:CH26 CK12:CK26 CT12:CT26 CN12:CN26 CW12:CW26 CZ12:CZ26 BJ12:BJ26 EB12:EB26 DR12:DR26 HB12:HB26 EE12:EE26 DY12:DY26 EH12:EH26 GV12:GV26 GA12:GA26 GY12:GY26 GD12:GD26 EN12:EN26 EK12:EK26 EQ12:EQ26 ET12:ET26 EZ12:EZ26 FC12:FC26 EW12:EW26 FF12:FF26 FI12:FI26 FR12:FR26 FL12:FL26 FU12:FU26 FO12:FO26 FX12:FX26 GG12:GG26 GJ12:GJ26 DF12:DF26">
      <formula1>0</formula1>
    </dataValidation>
    <dataValidation type="whole" allowBlank="1" showInputMessage="1" showErrorMessage="1" sqref="T12:AA26">
      <formula1>0</formula1>
      <formula2>1000</formula2>
    </dataValidation>
    <dataValidation type="list" allowBlank="1" showInputMessage="1" showErrorMessage="1" errorTitle="Onbekend Bloom niveau" error="Selecteer term uit vervolgkeuzelijst" sqref="DP12:DP26 GZ12:GZ26">
      <formula1>$A$21:$A$26</formula1>
    </dataValidation>
    <dataValidation type="list" allowBlank="1" showInputMessage="1" showErrorMessage="1" sqref="HV9:IA9">
      <formula1>$A$21:$A$26</formula1>
    </dataValidation>
  </dataValidations>
  <pageMargins left="0.70866141732283472" right="0.70866141732283472" top="0.74803149606299213" bottom="0.74803149606299213" header="0.31496062992125984" footer="0.31496062992125984"/>
  <pageSetup paperSize="9" scale="53" fitToHeight="2" orientation="landscape"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Constanten!$A$26:$A$31</xm:f>
          </x14:formula1>
          <xm:sqref>HH9:HM9 DJ12:DJ26 DG12:DG26 DD12:DD26 DA12:DA26 CX12:CX26 CU12:CU26 CR12:CR26 CO12:CO26 CL12:CL26 CI12:CI26 CF12:CF26 CC12:CC26 BZ12:BZ26 BW12:BW26 BT12:BT26 BQ12:BQ26 BN12:BN26 BK12:BK26 BH12:BH26 BE12:BE26 BB12:BB26 AY12:AY26 AV12:AV26 AS12:AS26 AP12:AP26 AM12:AM26 AJ12:AJ26 AG12:AG26 GW12:GW26 GT12:GT26 GQ12:GQ26 GN12:GN26 GK12:GK26 GH12:GH26 GE12:GE26 GB12:GB26 FY12:FY26 FV12:FV26 FS12:FS26 FP12:FP26 FM12:FM26 FJ12:FJ26 FG12:FG26 FD12:FD26 FA12:FA26 EX12:EX26 EU12:EU26 ER12:ER26 EO12:EO26 EL12:EL26 EI12:EI26 EF12:EF26 EC12:EC26 DZ12:DZ26 DW12:DW26 DM12:DM26</xm:sqref>
        </x14:dataValidation>
        <x14:dataValidation type="list" allowBlank="1" showInputMessage="1" showErrorMessage="1">
          <x14:formula1>
            <xm:f>Constanten!$A$53:$A$54</xm:f>
          </x14:formula1>
          <xm:sqref>HO9:HP10 DK12:DK26 DH12:DH26 DE12:DE26 DB12:DB26 CY12:CY26 CV12:CV26 CS12:CS26 CP12:CP26 CM12:CM26 CJ12:CJ26 CG12:CG26 CD12:CD26 CA12:CA26 BX12:BX26 BU12:BU26 BR12:BR26 BO12:BO26 BL12:BL26 BI12:BI26 BF12:BF26 BC12:BC26 AZ12:AZ26 AW12:AW26 AT12:AT26 AQ12:AQ26 AN12:AN26 AK12:AK26 AH12:AH26 GX12:GX26 GU12:GU26 GR12:GR26 GO12:GO26 GL12:GL26 GI12:GI26 GF12:GF26 GC12:GC26 FZ12:FZ26 FW12:FW26 FT12:FT26 FQ12:FQ26 FN12:FN26 FK12:FK26 FH12:FH26 FE12:FE26 FB12:FB26 EY12:EY26 EV12:EV26 ES12:ES26 EP12:EP26 EM12:EM26 EJ12:EJ26 EG12:EG26 ED12:ED26 EA12:EA26 DX12:DX26 DN12:DN26</xm:sqref>
        </x14:dataValidation>
        <x14:dataValidation type="list" errorStyle="warning" allowBlank="1" showInputMessage="1" showErrorMessage="1" errorTitle="Onbekende skill" error="Selecteer term uit vervolgkeuzelijst">
          <x14:formula1>
            <xm:f>Constanten!$A$3:$A$7</xm:f>
          </x14:formula1>
          <xm:sqref>B12:B26</xm:sqref>
        </x14:dataValidation>
        <x14:dataValidation type="list" errorStyle="warning" allowBlank="1" showInputMessage="1" showErrorMessage="1" errorTitle="Onbekende fase" error="Selecteer term uit vervolgkeuzelijst">
          <x14:formula1>
            <xm:f>Constanten!$A$17:$A$21</xm:f>
          </x14:formula1>
          <xm:sqref>D12:D26</xm:sqref>
        </x14:dataValidation>
        <x14:dataValidation type="list" errorStyle="warning" allowBlank="1" showInputMessage="1" showErrorMessage="1" errorTitle="Onbekende architectuurlaag" error="Selecteer term uit vervolgkeuzelijst">
          <x14:formula1>
            <xm:f>Constanten!$B$17:$B$21</xm:f>
          </x14:formula1>
          <xm:sqref>E12:E26</xm:sqref>
        </x14:dataValidation>
        <x14:dataValidation type="list" allowBlank="1" showInputMessage="1" showErrorMessage="1">
          <x14:formula1>
            <xm:f>Constanten!$C$17:$C$22</xm:f>
          </x14:formula1>
          <xm:sqref>F12:F26</xm:sqref>
        </x14:dataValidation>
        <x14:dataValidation type="list" errorStyle="information" allowBlank="1" showInputMessage="1" showErrorMessage="1" errorTitle="Onbekend Bloom niveau" error="Selecteer term uit vervolgkeuzelijst">
          <x14:formula1>
            <xm:f>Constanten!$A$26:$A$31</xm:f>
          </x14:formula1>
          <xm:sqref>H12:H26</xm:sqref>
        </x14:dataValidation>
        <x14:dataValidation type="list" errorStyle="warning" allowBlank="1" showInputMessage="1" showErrorMessage="1" errorTitle="Ondbekend skill niveau" error="Selecteer term uit vervolgkeuzelijst">
          <x14:formula1>
            <xm:f>Constanten!$A$11:$A$13</xm:f>
          </x14:formula1>
          <xm:sqref>C12:C26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H41"/>
  <sheetViews>
    <sheetView tabSelected="1" topLeftCell="Y4" zoomScale="90" zoomScaleNormal="90" workbookViewId="0">
      <selection activeCell="AE12" sqref="AE12"/>
    </sheetView>
  </sheetViews>
  <sheetFormatPr defaultRowHeight="13.2" outlineLevelCol="1" x14ac:dyDescent="0.25"/>
  <cols>
    <col min="1" max="1" width="12.88671875" style="30" hidden="1" customWidth="1"/>
    <col min="2" max="2" width="23.88671875" style="30" hidden="1" customWidth="1"/>
    <col min="3" max="10" width="4.6640625" style="30" hidden="1" customWidth="1"/>
    <col min="11" max="11" width="12.88671875" style="30" hidden="1" customWidth="1"/>
    <col min="12" max="13" width="9.109375" style="30" hidden="1" customWidth="1"/>
    <col min="14" max="15" width="8.88671875" style="30" hidden="1" customWidth="1"/>
    <col min="16" max="16" width="5.33203125" style="30" hidden="1" customWidth="1"/>
    <col min="17" max="17" width="21.109375" customWidth="1"/>
    <col min="18" max="18" width="28.6640625" customWidth="1"/>
    <col min="19" max="19" width="10.6640625" customWidth="1"/>
    <col min="21" max="21" width="39.109375" customWidth="1" outlineLevel="1"/>
    <col min="22" max="22" width="10.44140625" customWidth="1" outlineLevel="1"/>
    <col min="23" max="23" width="21.5546875" customWidth="1" outlineLevel="1"/>
    <col min="24" max="24" width="26.33203125" customWidth="1"/>
    <col min="25" max="25" width="36.6640625" customWidth="1"/>
    <col min="26" max="26" width="11.109375" customWidth="1"/>
    <col min="27" max="27" width="47.6640625" bestFit="1" customWidth="1"/>
    <col min="28" max="28" width="3.33203125" customWidth="1"/>
    <col min="29" max="34" width="20.6640625" customWidth="1" outlineLevel="1"/>
  </cols>
  <sheetData>
    <row r="1" spans="1:34" x14ac:dyDescent="0.25">
      <c r="A1" s="30" t="s">
        <v>35</v>
      </c>
      <c r="B1" s="30" t="s">
        <v>35</v>
      </c>
      <c r="C1" s="30" t="s">
        <v>35</v>
      </c>
      <c r="D1" s="30" t="s">
        <v>35</v>
      </c>
      <c r="E1" s="30" t="s">
        <v>35</v>
      </c>
      <c r="F1" s="30" t="s">
        <v>35</v>
      </c>
      <c r="G1" s="30" t="s">
        <v>35</v>
      </c>
      <c r="H1" s="30" t="s">
        <v>35</v>
      </c>
      <c r="I1" s="30" t="s">
        <v>35</v>
      </c>
      <c r="J1" s="30" t="s">
        <v>35</v>
      </c>
      <c r="K1" s="30" t="s">
        <v>35</v>
      </c>
      <c r="L1" s="30" t="s">
        <v>35</v>
      </c>
      <c r="M1" s="30" t="s">
        <v>35</v>
      </c>
      <c r="N1" s="30" t="s">
        <v>35</v>
      </c>
      <c r="O1" s="30" t="s">
        <v>35</v>
      </c>
      <c r="P1" s="30" t="s">
        <v>35</v>
      </c>
      <c r="Q1" s="2" t="s">
        <v>173</v>
      </c>
      <c r="AA1" s="22" t="str">
        <f>'Cursusinfo (leerplanschema)'!V1</f>
        <v>v.23p-n</v>
      </c>
    </row>
    <row r="2" spans="1:34" ht="13.8" thickBot="1" x14ac:dyDescent="0.3"/>
    <row r="3" spans="1:34" ht="12.6" customHeight="1" x14ac:dyDescent="0.25">
      <c r="Q3" s="1" t="s">
        <v>3</v>
      </c>
      <c r="R3" s="532" t="str">
        <f>IF(NOT(ISBLANK('Cursusinfo (leerplanschema)'!C5)),'Cursusinfo (leerplanschema)'!C5,"")</f>
        <v>Group Project</v>
      </c>
      <c r="S3" s="533"/>
      <c r="T3" s="533"/>
      <c r="U3" s="533"/>
      <c r="V3" s="533"/>
      <c r="W3" s="533"/>
      <c r="X3" s="533"/>
      <c r="Y3" s="533"/>
      <c r="Z3" s="533"/>
      <c r="AA3" s="534"/>
    </row>
    <row r="4" spans="1:34" ht="13.8" thickBot="1" x14ac:dyDescent="0.3">
      <c r="Q4" s="232" t="s">
        <v>2</v>
      </c>
      <c r="R4" s="540" t="str">
        <f>IF(NOT(ISBLANK('Cursusinfo (leerplanschema)'!B5)),'Cursusinfo (leerplanschema)'!B5,"")</f>
        <v>TICT-V1GP-15</v>
      </c>
      <c r="S4" s="541"/>
      <c r="T4" s="541"/>
      <c r="U4" s="541"/>
      <c r="V4" s="541"/>
      <c r="W4" s="541"/>
      <c r="X4" s="541"/>
      <c r="Y4" s="541"/>
      <c r="Z4" s="541"/>
      <c r="AA4" s="542"/>
    </row>
    <row r="5" spans="1:34" ht="13.8" thickBot="1" x14ac:dyDescent="0.3"/>
    <row r="6" spans="1:34" x14ac:dyDescent="0.25">
      <c r="Q6" s="1" t="s">
        <v>255</v>
      </c>
      <c r="R6" s="519"/>
      <c r="S6" s="520"/>
      <c r="T6" s="520"/>
      <c r="U6" s="520"/>
      <c r="V6" s="520"/>
      <c r="W6" s="520"/>
      <c r="X6" s="520"/>
      <c r="Y6" s="520"/>
      <c r="Z6" s="520"/>
      <c r="AA6" s="521"/>
    </row>
    <row r="7" spans="1:34" ht="13.8" thickBot="1" x14ac:dyDescent="0.3">
      <c r="Q7" s="232" t="s">
        <v>256</v>
      </c>
      <c r="R7" s="522"/>
      <c r="S7" s="523"/>
      <c r="T7" s="204"/>
      <c r="U7" s="205"/>
      <c r="V7" s="205"/>
      <c r="W7" s="205"/>
      <c r="X7" s="205"/>
      <c r="Y7" s="206"/>
      <c r="Z7" s="206"/>
      <c r="AA7" s="207"/>
    </row>
    <row r="8" spans="1:34" ht="12.75" customHeight="1" thickBot="1" x14ac:dyDescent="0.3">
      <c r="A8" s="530" t="s">
        <v>206</v>
      </c>
      <c r="B8" s="530" t="s">
        <v>240</v>
      </c>
      <c r="C8" s="530" t="s">
        <v>223</v>
      </c>
      <c r="D8" s="530" t="s">
        <v>224</v>
      </c>
      <c r="E8" s="530" t="s">
        <v>225</v>
      </c>
      <c r="F8" s="530" t="s">
        <v>226</v>
      </c>
      <c r="G8" s="530" t="s">
        <v>227</v>
      </c>
      <c r="H8" s="530" t="s">
        <v>228</v>
      </c>
      <c r="I8" s="530" t="s">
        <v>260</v>
      </c>
      <c r="J8" s="530" t="s">
        <v>261</v>
      </c>
      <c r="K8" s="196"/>
      <c r="P8" s="196"/>
    </row>
    <row r="9" spans="1:34" ht="12.75" customHeight="1" x14ac:dyDescent="0.25">
      <c r="A9" s="530"/>
      <c r="B9" s="530"/>
      <c r="C9" s="530"/>
      <c r="D9" s="530"/>
      <c r="E9" s="530"/>
      <c r="F9" s="530"/>
      <c r="G9" s="530"/>
      <c r="H9" s="530"/>
      <c r="I9" s="530"/>
      <c r="J9" s="530"/>
      <c r="K9" s="196"/>
      <c r="P9" s="196"/>
      <c r="Q9" s="527" t="s">
        <v>174</v>
      </c>
      <c r="R9" s="525"/>
      <c r="S9" s="536" t="s">
        <v>254</v>
      </c>
      <c r="T9" s="538" t="s">
        <v>79</v>
      </c>
      <c r="U9" s="524" t="s">
        <v>198</v>
      </c>
      <c r="V9" s="525"/>
      <c r="W9" s="526"/>
      <c r="X9" s="527" t="s">
        <v>176</v>
      </c>
      <c r="Y9" s="525"/>
      <c r="Z9" s="528" t="s">
        <v>177</v>
      </c>
      <c r="AA9" s="538" t="s">
        <v>293</v>
      </c>
      <c r="AC9" s="527" t="s">
        <v>241</v>
      </c>
      <c r="AD9" s="525"/>
      <c r="AE9" s="525"/>
      <c r="AF9" s="525"/>
      <c r="AG9" s="525"/>
      <c r="AH9" s="535"/>
    </row>
    <row r="10" spans="1:34" ht="13.2" customHeight="1" thickBot="1" x14ac:dyDescent="0.3">
      <c r="A10" s="531"/>
      <c r="B10" s="531"/>
      <c r="C10" s="531"/>
      <c r="D10" s="531"/>
      <c r="E10" s="531"/>
      <c r="F10" s="531"/>
      <c r="G10" s="531"/>
      <c r="H10" s="531"/>
      <c r="I10" s="531"/>
      <c r="J10" s="531"/>
      <c r="K10" s="197"/>
      <c r="L10" s="197" t="s">
        <v>188</v>
      </c>
      <c r="M10" s="197" t="s">
        <v>196</v>
      </c>
      <c r="N10" s="197" t="s">
        <v>79</v>
      </c>
      <c r="O10" s="197" t="s">
        <v>197</v>
      </c>
      <c r="P10" s="197"/>
      <c r="Q10" s="194" t="s">
        <v>257</v>
      </c>
      <c r="R10" s="195" t="s">
        <v>292</v>
      </c>
      <c r="S10" s="537"/>
      <c r="T10" s="539"/>
      <c r="U10" s="161" t="s">
        <v>199</v>
      </c>
      <c r="V10" s="231" t="s">
        <v>264</v>
      </c>
      <c r="W10" s="162" t="s">
        <v>200</v>
      </c>
      <c r="X10" s="194" t="s">
        <v>175</v>
      </c>
      <c r="Y10" s="195" t="s">
        <v>239</v>
      </c>
      <c r="Z10" s="529"/>
      <c r="AA10" s="539"/>
      <c r="AC10" s="177" t="s">
        <v>242</v>
      </c>
      <c r="AD10" s="178" t="s">
        <v>243</v>
      </c>
      <c r="AE10" s="178" t="s">
        <v>244</v>
      </c>
      <c r="AF10" s="178" t="s">
        <v>245</v>
      </c>
      <c r="AG10" s="178" t="s">
        <v>246</v>
      </c>
      <c r="AH10" s="179" t="s">
        <v>263</v>
      </c>
    </row>
    <row r="11" spans="1:34" ht="28.2" customHeight="1" x14ac:dyDescent="0.25">
      <c r="A11" s="198" t="str">
        <f>IF(NOT(OR(ISBLANK($U11),$U11="")),VLOOKUP($U11,'Leerdoelen,Kennisbasis,Toetsing'!$A$9:$D$23,3,FALSE),"")</f>
        <v>LSC</v>
      </c>
      <c r="B11" s="198" t="str">
        <f>IF(NOT(OR(ISBLANK($A11),$A11="")),VLOOKUP($A11,Constanten!$A$3:$B$7,2,FALSE),"")</f>
        <v>geel</v>
      </c>
      <c r="C11" s="198" t="str">
        <f>IF(NOT($V11=""),VLOOKUP($V11,Constanten!$A$61:$I$65,2,FALSE),"")</f>
        <v>Afgebakend</v>
      </c>
      <c r="D11" s="198" t="str">
        <f>IF(NOT($V11=""),VLOOKUP($V11,Constanten!$A$61:$I$65,3,FALSE),"")</f>
        <v>Relevant</v>
      </c>
      <c r="E11" s="198" t="str">
        <f>IF(NOT($V11=""),VLOOKUP($V11,Constanten!$A$61:$I$65,4,FALSE),"")</f>
        <v>Specifiek (SMART)</v>
      </c>
      <c r="F11" s="198" t="str">
        <f>IF(NOT($V11=""),VLOOKUP($V11,Constanten!$A$61:$I$65,5,FALSE),"")</f>
        <v>Functioneel</v>
      </c>
      <c r="G11" s="198" t="str">
        <f>IF(NOT($V11=""),VLOOKUP($V11,Constanten!$A$61:$I$65,6,FALSE),"")</f>
        <v>Onderbouwd</v>
      </c>
      <c r="H11" s="198" t="str">
        <f>IF(NOT($V11=""),VLOOKUP($V11,Constanten!$A$61:$I$65,7,FALSE),"")</f>
        <v/>
      </c>
      <c r="I11" s="198" t="str">
        <f>IF(NOT($V11=""),VLOOKUP($V11,Constanten!$A$61:$I$65,8,FALSE),"")</f>
        <v/>
      </c>
      <c r="J11" s="198" t="str">
        <f>IF(NOT($V11=""),VLOOKUP($V11,Constanten!$A$61:$I$65,9,FALSE),"")</f>
        <v/>
      </c>
      <c r="K11" s="198" t="s">
        <v>112</v>
      </c>
      <c r="L11" s="199">
        <f>IF(NOT(ISBLANK($Z11)),VLOOKUP($Z11,Oordelen!$A$4:$O$9,15,FALSE))</f>
        <v>11</v>
      </c>
      <c r="M11" s="198">
        <f>IF(AND(UPPER($S11)="J",L11&lt;5.5),1,0)</f>
        <v>0</v>
      </c>
      <c r="N11" s="200">
        <f>IF(NOT(ISBLANK(Z11)),T11,0)</f>
        <v>1</v>
      </c>
      <c r="O11" s="201">
        <f>IF(AND(ISNUMBER(L11),ISNUMBER(N11)), L11*N11,0)</f>
        <v>11</v>
      </c>
      <c r="P11" s="198"/>
      <c r="Q11" s="233" t="s">
        <v>332</v>
      </c>
      <c r="R11" s="191" t="s">
        <v>393</v>
      </c>
      <c r="S11" s="174" t="s">
        <v>92</v>
      </c>
      <c r="T11" s="184">
        <v>1</v>
      </c>
      <c r="U11" s="269" t="s">
        <v>345</v>
      </c>
      <c r="V11" s="268" t="s">
        <v>209</v>
      </c>
      <c r="W11" s="180" t="s">
        <v>222</v>
      </c>
      <c r="X11" s="192" t="s">
        <v>321</v>
      </c>
      <c r="Y11" s="193" t="s">
        <v>346</v>
      </c>
      <c r="Z11" s="89" t="s">
        <v>249</v>
      </c>
      <c r="AA11" s="272"/>
      <c r="AC11" s="281" t="s">
        <v>357</v>
      </c>
      <c r="AD11" s="282" t="s">
        <v>359</v>
      </c>
      <c r="AE11" s="282" t="s">
        <v>360</v>
      </c>
      <c r="AF11" s="282" t="s">
        <v>358</v>
      </c>
      <c r="AG11" s="282" t="s">
        <v>361</v>
      </c>
      <c r="AH11" s="283" t="s">
        <v>362</v>
      </c>
    </row>
    <row r="12" spans="1:34" ht="28.2" customHeight="1" x14ac:dyDescent="0.25">
      <c r="A12" s="198" t="str">
        <f>IF(NOT(OR(ISBLANK($U12),$U12="")),VLOOKUP($U12,'Leerdoelen,Kennisbasis,Toetsing'!$A$9:$D$23,3,FALSE),"")</f>
        <v>LSC</v>
      </c>
      <c r="B12" s="198" t="str">
        <f>IF(NOT(OR(ISBLANK($A12),$A12="")),VLOOKUP($A12,Constanten!$A$3:$B$7,2,FALSE),"")</f>
        <v>geel</v>
      </c>
      <c r="C12" s="198" t="str">
        <f>IF(NOT($V12=""),VLOOKUP($V12,Constanten!$A$61:$I$65,2,FALSE),"")</f>
        <v>Afgebakend</v>
      </c>
      <c r="D12" s="198" t="str">
        <f>IF(NOT($V12=""),VLOOKUP($V12,Constanten!$A$61:$I$65,3,FALSE),"")</f>
        <v>Relevant</v>
      </c>
      <c r="E12" s="198" t="str">
        <f>IF(NOT($V12=""),VLOOKUP($V12,Constanten!$A$61:$I$65,4,FALSE),"")</f>
        <v>Specifiek (SMART)</v>
      </c>
      <c r="F12" s="198" t="str">
        <f>IF(NOT($V12=""),VLOOKUP($V12,Constanten!$A$61:$I$65,5,FALSE),"")</f>
        <v>Functioneel</v>
      </c>
      <c r="G12" s="198" t="str">
        <f>IF(NOT($V12=""),VLOOKUP($V12,Constanten!$A$61:$I$65,6,FALSE),"")</f>
        <v>Onderbouwd</v>
      </c>
      <c r="H12" s="198" t="str">
        <f>IF(NOT($V12=""),VLOOKUP($V12,Constanten!$A$61:$I$65,7,FALSE),"")</f>
        <v/>
      </c>
      <c r="I12" s="198" t="str">
        <f>IF(NOT($V12=""),VLOOKUP($V12,Constanten!$A$61:$I$65,8,FALSE),"")</f>
        <v/>
      </c>
      <c r="J12" s="198" t="str">
        <f>IF(NOT($V12=""),VLOOKUP($V12,Constanten!$A$61:$I$65,9,FALSE),"")</f>
        <v/>
      </c>
      <c r="K12" s="198" t="s">
        <v>112</v>
      </c>
      <c r="L12" s="199">
        <f>IF(NOT(ISBLANK($Z12)),VLOOKUP($Z12,Oordelen!$A$4:$O$9,15,FALSE))</f>
        <v>11</v>
      </c>
      <c r="M12" s="198">
        <f t="shared" ref="M12:M35" si="0">IF(AND(UPPER(S12)="J",L12&lt;5.5),1,0)</f>
        <v>0</v>
      </c>
      <c r="N12" s="200">
        <f>IF(NOT(ISBLANK(Z12)),T12,0)</f>
        <v>2</v>
      </c>
      <c r="O12" s="201">
        <f>IF(AND(ISNUMBER(L12),ISNUMBER(N12)), L12*N12,0)</f>
        <v>22</v>
      </c>
      <c r="P12" s="198"/>
      <c r="Q12" s="234" t="s">
        <v>332</v>
      </c>
      <c r="R12" s="185" t="s">
        <v>305</v>
      </c>
      <c r="S12" s="175" t="s">
        <v>92</v>
      </c>
      <c r="T12" s="183">
        <v>2</v>
      </c>
      <c r="U12" s="270" t="s">
        <v>343</v>
      </c>
      <c r="V12" s="268" t="s">
        <v>209</v>
      </c>
      <c r="W12" s="181" t="s">
        <v>221</v>
      </c>
      <c r="X12" s="186" t="s">
        <v>324</v>
      </c>
      <c r="Y12" s="187" t="s">
        <v>347</v>
      </c>
      <c r="Z12" s="271" t="s">
        <v>249</v>
      </c>
      <c r="AA12" s="273"/>
      <c r="AC12" s="284" t="s">
        <v>363</v>
      </c>
      <c r="AD12" s="285" t="s">
        <v>392</v>
      </c>
      <c r="AE12" s="285"/>
      <c r="AF12" s="187" t="s">
        <v>415</v>
      </c>
      <c r="AG12" s="285" t="s">
        <v>414</v>
      </c>
      <c r="AH12" s="286"/>
    </row>
    <row r="13" spans="1:34" ht="28.2" customHeight="1" x14ac:dyDescent="0.25">
      <c r="A13" s="198" t="str">
        <f>IF(NOT(OR(ISBLANK($U13),$U13="")),VLOOKUP($U13,'Leerdoelen,Kennisbasis,Toetsing'!$A$9:$D$23,3,FALSE),"")</f>
        <v>LSC</v>
      </c>
      <c r="B13" s="198" t="str">
        <f>IF(NOT(OR(ISBLANK($A13),$A13="")),VLOOKUP($A13,Constanten!$A$3:$B$7,2,FALSE),"")</f>
        <v>geel</v>
      </c>
      <c r="C13" s="198" t="str">
        <f>IF(NOT($V13=""),VLOOKUP($V13,Constanten!$A$61:$I$65,2,FALSE),"")</f>
        <v>Vakkundig</v>
      </c>
      <c r="D13" s="198" t="str">
        <f>IF(NOT($V13=""),VLOOKUP($V13,Constanten!$A$61:$I$65,3,FALSE),"")</f>
        <v>Creatief</v>
      </c>
      <c r="E13" s="198" t="str">
        <f>IF(NOT($V13=""),VLOOKUP($V13,Constanten!$A$61:$I$65,4,FALSE),"")</f>
        <v>Logisch</v>
      </c>
      <c r="F13" s="198" t="str">
        <f>IF(NOT($V13=""),VLOOKUP($V13,Constanten!$A$61:$I$65,5,FALSE),"")</f>
        <v>Transparant</v>
      </c>
      <c r="G13" s="198" t="str">
        <f>IF(NOT($V13=""),VLOOKUP($V13,Constanten!$A$61:$I$65,6,FALSE),"")</f>
        <v/>
      </c>
      <c r="H13" s="198" t="str">
        <f>IF(NOT($V13=""),VLOOKUP($V13,Constanten!$A$61:$I$65,7,FALSE),"")</f>
        <v/>
      </c>
      <c r="I13" s="198" t="str">
        <f>IF(NOT($V13=""),VLOOKUP($V13,Constanten!$A$61:$I$65,8,FALSE),"")</f>
        <v/>
      </c>
      <c r="J13" s="198" t="str">
        <f>IF(NOT($V13=""),VLOOKUP($V13,Constanten!$A$61:$I$65,9,FALSE),"")</f>
        <v/>
      </c>
      <c r="K13" s="198" t="s">
        <v>112</v>
      </c>
      <c r="L13" s="199">
        <f>IF(NOT(ISBLANK($Z13)),VLOOKUP($Z13,Oordelen!$A$4:$O$9,15,FALSE))</f>
        <v>11</v>
      </c>
      <c r="M13" s="198">
        <f t="shared" ref="M13:M21" si="1">IF(AND(UPPER(S13)="J",L13&lt;5.5),1,0)</f>
        <v>0</v>
      </c>
      <c r="N13" s="200">
        <f t="shared" ref="N13:N21" si="2">IF(NOT(ISBLANK(Z13)),T13,0)</f>
        <v>2</v>
      </c>
      <c r="O13" s="201">
        <f>IF(AND(ISNUMBER(L13),ISNUMBER(N13)), L13*N13,0)</f>
        <v>22</v>
      </c>
      <c r="P13" s="198"/>
      <c r="Q13" s="234" t="s">
        <v>332</v>
      </c>
      <c r="R13" s="185" t="s">
        <v>304</v>
      </c>
      <c r="S13" s="175" t="s">
        <v>92</v>
      </c>
      <c r="T13" s="183">
        <v>2</v>
      </c>
      <c r="U13" s="270" t="s">
        <v>343</v>
      </c>
      <c r="V13" s="268" t="s">
        <v>210</v>
      </c>
      <c r="W13" s="181" t="s">
        <v>232</v>
      </c>
      <c r="X13" s="186" t="s">
        <v>351</v>
      </c>
      <c r="Y13" s="187" t="s">
        <v>352</v>
      </c>
      <c r="Z13" s="271" t="s">
        <v>249</v>
      </c>
      <c r="AA13" s="273"/>
      <c r="AC13" s="284" t="s">
        <v>364</v>
      </c>
      <c r="AD13" s="285" t="s">
        <v>396</v>
      </c>
      <c r="AE13" s="285" t="s">
        <v>397</v>
      </c>
      <c r="AF13" s="285" t="s">
        <v>398</v>
      </c>
      <c r="AG13" s="285" t="s">
        <v>389</v>
      </c>
      <c r="AH13" s="286" t="s">
        <v>395</v>
      </c>
    </row>
    <row r="14" spans="1:34" ht="28.2" customHeight="1" x14ac:dyDescent="0.25">
      <c r="A14" s="198" t="str">
        <f>IF(NOT(OR(ISBLANK($U14),$U14="")),VLOOKUP($U14,'Leerdoelen,Kennisbasis,Toetsing'!$A$9:$D$23,3,FALSE),"")</f>
        <v>LSC</v>
      </c>
      <c r="B14" s="198" t="str">
        <f>IF(NOT(OR(ISBLANK($A14),$A14="")),VLOOKUP($A14,Constanten!$A$3:$B$7,2,FALSE),"")</f>
        <v>geel</v>
      </c>
      <c r="C14" s="198" t="str">
        <f>IF(NOT($V14=""),VLOOKUP($V14,Constanten!$A$61:$I$65,2,FALSE),"")</f>
        <v>Vakkundig</v>
      </c>
      <c r="D14" s="198" t="str">
        <f>IF(NOT($V14=""),VLOOKUP($V14,Constanten!$A$61:$I$65,3,FALSE),"")</f>
        <v>Creatief</v>
      </c>
      <c r="E14" s="198" t="str">
        <f>IF(NOT($V14=""),VLOOKUP($V14,Constanten!$A$61:$I$65,4,FALSE),"")</f>
        <v>Logisch</v>
      </c>
      <c r="F14" s="198" t="str">
        <f>IF(NOT($V14=""),VLOOKUP($V14,Constanten!$A$61:$I$65,5,FALSE),"")</f>
        <v>Transparant</v>
      </c>
      <c r="G14" s="198" t="str">
        <f>IF(NOT($V14=""),VLOOKUP($V14,Constanten!$A$61:$I$65,6,FALSE),"")</f>
        <v/>
      </c>
      <c r="H14" s="198" t="str">
        <f>IF(NOT($V14=""),VLOOKUP($V14,Constanten!$A$61:$I$65,7,FALSE),"")</f>
        <v/>
      </c>
      <c r="I14" s="198" t="str">
        <f>IF(NOT($V14=""),VLOOKUP($V14,Constanten!$A$61:$I$65,8,FALSE),"")</f>
        <v/>
      </c>
      <c r="J14" s="198" t="str">
        <f>IF(NOT($V14=""),VLOOKUP($V14,Constanten!$A$61:$I$65,9,FALSE),"")</f>
        <v/>
      </c>
      <c r="K14" s="198" t="s">
        <v>112</v>
      </c>
      <c r="L14" s="199">
        <f>IF(NOT(ISBLANK($Z14)),VLOOKUP($Z14,Oordelen!$A$4:$O$9,15,FALSE))</f>
        <v>11</v>
      </c>
      <c r="M14" s="198">
        <f t="shared" si="1"/>
        <v>0</v>
      </c>
      <c r="N14" s="200">
        <f t="shared" si="2"/>
        <v>2</v>
      </c>
      <c r="O14" s="201">
        <f t="shared" ref="O14:O21" si="3">IF(AND(ISNUMBER(L14),ISNUMBER(N14)), L14*N14,0)</f>
        <v>22</v>
      </c>
      <c r="P14" s="198"/>
      <c r="Q14" s="234" t="s">
        <v>306</v>
      </c>
      <c r="R14" s="185" t="s">
        <v>325</v>
      </c>
      <c r="S14" s="175" t="s">
        <v>92</v>
      </c>
      <c r="T14" s="183">
        <v>2</v>
      </c>
      <c r="U14" s="270" t="s">
        <v>344</v>
      </c>
      <c r="V14" s="268" t="s">
        <v>210</v>
      </c>
      <c r="W14" s="181" t="s">
        <v>229</v>
      </c>
      <c r="X14" s="186" t="s">
        <v>326</v>
      </c>
      <c r="Y14" s="187" t="s">
        <v>349</v>
      </c>
      <c r="Z14" s="271" t="s">
        <v>249</v>
      </c>
      <c r="AA14" s="273"/>
      <c r="AC14" s="284" t="s">
        <v>390</v>
      </c>
      <c r="AD14" s="285" t="s">
        <v>391</v>
      </c>
      <c r="AE14" s="285"/>
      <c r="AF14" s="285" t="s">
        <v>399</v>
      </c>
      <c r="AG14" s="285" t="s">
        <v>402</v>
      </c>
      <c r="AH14" s="286" t="s">
        <v>403</v>
      </c>
    </row>
    <row r="15" spans="1:34" ht="28.2" customHeight="1" x14ac:dyDescent="0.25">
      <c r="A15" s="198" t="str">
        <f>IF(NOT(OR(ISBLANK($U15),$U15="")),VLOOKUP($U15,'Leerdoelen,Kennisbasis,Toetsing'!$A$9:$D$23,3,FALSE),"")</f>
        <v>LSC</v>
      </c>
      <c r="B15" s="198" t="str">
        <f>IF(NOT(OR(ISBLANK($A15),$A15="")),VLOOKUP($A15,Constanten!$A$3:$B$7,2,FALSE),"")</f>
        <v>geel</v>
      </c>
      <c r="C15" s="198" t="str">
        <f>IF(NOT($V15=""),VLOOKUP($V15,Constanten!$A$61:$I$65,2,FALSE),"")</f>
        <v>Vakkundig</v>
      </c>
      <c r="D15" s="198" t="str">
        <f>IF(NOT($V15=""),VLOOKUP($V15,Constanten!$A$61:$I$65,3,FALSE),"")</f>
        <v>Creatief</v>
      </c>
      <c r="E15" s="198" t="str">
        <f>IF(NOT($V15=""),VLOOKUP($V15,Constanten!$A$61:$I$65,4,FALSE),"")</f>
        <v>Logisch</v>
      </c>
      <c r="F15" s="198" t="str">
        <f>IF(NOT($V15=""),VLOOKUP($V15,Constanten!$A$61:$I$65,5,FALSE),"")</f>
        <v>Transparant</v>
      </c>
      <c r="G15" s="198" t="str">
        <f>IF(NOT($V15=""),VLOOKUP($V15,Constanten!$A$61:$I$65,6,FALSE),"")</f>
        <v/>
      </c>
      <c r="H15" s="198" t="str">
        <f>IF(NOT($V15=""),VLOOKUP($V15,Constanten!$A$61:$I$65,7,FALSE),"")</f>
        <v/>
      </c>
      <c r="I15" s="198" t="str">
        <f>IF(NOT($V15=""),VLOOKUP($V15,Constanten!$A$61:$I$65,8,FALSE),"")</f>
        <v/>
      </c>
      <c r="J15" s="198" t="str">
        <f>IF(NOT($V15=""),VLOOKUP($V15,Constanten!$A$61:$I$65,9,FALSE),"")</f>
        <v/>
      </c>
      <c r="K15" s="198" t="s">
        <v>112</v>
      </c>
      <c r="L15" s="199">
        <f>IF(NOT(ISBLANK($Z15)),VLOOKUP($Z15,Oordelen!$A$4:$O$9,15,FALSE))</f>
        <v>11</v>
      </c>
      <c r="M15" s="198">
        <f t="shared" si="1"/>
        <v>0</v>
      </c>
      <c r="N15" s="200">
        <f t="shared" si="2"/>
        <v>2</v>
      </c>
      <c r="O15" s="201">
        <f t="shared" si="3"/>
        <v>22</v>
      </c>
      <c r="P15" s="198"/>
      <c r="Q15" s="234" t="s">
        <v>306</v>
      </c>
      <c r="R15" s="185" t="s">
        <v>327</v>
      </c>
      <c r="S15" s="175" t="s">
        <v>92</v>
      </c>
      <c r="T15" s="183">
        <v>2</v>
      </c>
      <c r="U15" s="270" t="s">
        <v>344</v>
      </c>
      <c r="V15" s="268" t="s">
        <v>210</v>
      </c>
      <c r="W15" s="181" t="s">
        <v>232</v>
      </c>
      <c r="X15" s="186" t="s">
        <v>322</v>
      </c>
      <c r="Y15" s="186" t="s">
        <v>348</v>
      </c>
      <c r="Z15" s="271" t="s">
        <v>249</v>
      </c>
      <c r="AA15" s="273"/>
      <c r="AC15" s="284" t="s">
        <v>400</v>
      </c>
      <c r="AD15" s="285" t="s">
        <v>405</v>
      </c>
      <c r="AE15" s="285"/>
      <c r="AF15" s="285" t="s">
        <v>401</v>
      </c>
      <c r="AG15" s="285"/>
      <c r="AH15" s="286" t="s">
        <v>404</v>
      </c>
    </row>
    <row r="16" spans="1:34" ht="28.2" customHeight="1" x14ac:dyDescent="0.25">
      <c r="A16" s="198" t="str">
        <f>IF(NOT(OR(ISBLANK($U16),$U16="")),VLOOKUP($U16,'Leerdoelen,Kennisbasis,Toetsing'!$A$9:$D$23,3,FALSE),"")</f>
        <v>POKe</v>
      </c>
      <c r="B16" s="198" t="str">
        <f>IF(NOT(OR(ISBLANK($A16),$A16="")),VLOOKUP($A16,Constanten!$A$3:$B$7,2,FALSE),"")</f>
        <v>abrikoos</v>
      </c>
      <c r="C16" s="198" t="str">
        <f>IF(NOT($V16=""),VLOOKUP($V16,Constanten!$A$61:$I$65,2,FALSE),"")</f>
        <v>Afgebakend</v>
      </c>
      <c r="D16" s="198" t="str">
        <f>IF(NOT($V16=""),VLOOKUP($V16,Constanten!$A$61:$I$65,3,FALSE),"")</f>
        <v>Relevant</v>
      </c>
      <c r="E16" s="198" t="str">
        <f>IF(NOT($V16=""),VLOOKUP($V16,Constanten!$A$61:$I$65,4,FALSE),"")</f>
        <v>Specifiek (SMART)</v>
      </c>
      <c r="F16" s="198" t="str">
        <f>IF(NOT($V16=""),VLOOKUP($V16,Constanten!$A$61:$I$65,5,FALSE),"")</f>
        <v>Functioneel</v>
      </c>
      <c r="G16" s="198" t="str">
        <f>IF(NOT($V16=""),VLOOKUP($V16,Constanten!$A$61:$I$65,6,FALSE),"")</f>
        <v>Onderbouwd</v>
      </c>
      <c r="H16" s="198" t="str">
        <f>IF(NOT($V16=""),VLOOKUP($V16,Constanten!$A$61:$I$65,7,FALSE),"")</f>
        <v/>
      </c>
      <c r="I16" s="198" t="str">
        <f>IF(NOT($V16=""),VLOOKUP($V16,Constanten!$A$61:$I$65,8,FALSE),"")</f>
        <v/>
      </c>
      <c r="J16" s="198" t="str">
        <f>IF(NOT($V16=""),VLOOKUP($V16,Constanten!$A$61:$I$65,9,FALSE),"")</f>
        <v/>
      </c>
      <c r="K16" s="198" t="s">
        <v>112</v>
      </c>
      <c r="L16" s="199">
        <f>IF(NOT(ISBLANK($Z16)),VLOOKUP($Z16,Oordelen!$A$4:$O$9,15,FALSE))</f>
        <v>11</v>
      </c>
      <c r="M16" s="198">
        <f t="shared" si="1"/>
        <v>0</v>
      </c>
      <c r="N16" s="200">
        <f t="shared" si="2"/>
        <v>2</v>
      </c>
      <c r="O16" s="201">
        <f t="shared" si="3"/>
        <v>22</v>
      </c>
      <c r="P16" s="198"/>
      <c r="Q16" s="234" t="s">
        <v>333</v>
      </c>
      <c r="R16" s="185" t="s">
        <v>303</v>
      </c>
      <c r="S16" s="175" t="s">
        <v>92</v>
      </c>
      <c r="T16" s="183">
        <v>2</v>
      </c>
      <c r="U16" s="270" t="s">
        <v>342</v>
      </c>
      <c r="V16" s="268" t="s">
        <v>209</v>
      </c>
      <c r="W16" s="181" t="s">
        <v>219</v>
      </c>
      <c r="X16" s="186" t="s">
        <v>326</v>
      </c>
      <c r="Y16" s="187" t="s">
        <v>394</v>
      </c>
      <c r="Z16" s="271" t="s">
        <v>249</v>
      </c>
      <c r="AA16" s="273"/>
      <c r="AC16" s="284" t="s">
        <v>413</v>
      </c>
      <c r="AD16" s="285"/>
      <c r="AE16" s="285" t="s">
        <v>410</v>
      </c>
      <c r="AF16" s="285"/>
      <c r="AG16" s="285" t="s">
        <v>411</v>
      </c>
      <c r="AH16" s="286" t="s">
        <v>412</v>
      </c>
    </row>
    <row r="17" spans="1:34" ht="28.2" customHeight="1" x14ac:dyDescent="0.25">
      <c r="A17" s="198" t="str">
        <f>IF(NOT(OR(ISBLANK($U17),$U17="")),VLOOKUP($U17,'Leerdoelen,Kennisbasis,Toetsing'!$A$9:$D$23,3,FALSE),"")</f>
        <v>POKe</v>
      </c>
      <c r="B17" s="198" t="str">
        <f>IF(NOT(OR(ISBLANK($A17),$A17="")),VLOOKUP($A17,Constanten!$A$3:$B$7,2,FALSE),"")</f>
        <v>abrikoos</v>
      </c>
      <c r="C17" s="198" t="str">
        <f>IF(NOT($V17=""),VLOOKUP($V17,Constanten!$A$61:$I$65,2,FALSE),"")</f>
        <v>Vakkundig</v>
      </c>
      <c r="D17" s="198" t="str">
        <f>IF(NOT($V17=""),VLOOKUP($V17,Constanten!$A$61:$I$65,3,FALSE),"")</f>
        <v>Creatief</v>
      </c>
      <c r="E17" s="198" t="str">
        <f>IF(NOT($V17=""),VLOOKUP($V17,Constanten!$A$61:$I$65,4,FALSE),"")</f>
        <v>Logisch</v>
      </c>
      <c r="F17" s="198" t="str">
        <f>IF(NOT($V17=""),VLOOKUP($V17,Constanten!$A$61:$I$65,5,FALSE),"")</f>
        <v>Transparant</v>
      </c>
      <c r="G17" s="198" t="str">
        <f>IF(NOT($V17=""),VLOOKUP($V17,Constanten!$A$61:$I$65,6,FALSE),"")</f>
        <v/>
      </c>
      <c r="H17" s="198" t="str">
        <f>IF(NOT($V17=""),VLOOKUP($V17,Constanten!$A$61:$I$65,7,FALSE),"")</f>
        <v/>
      </c>
      <c r="I17" s="198" t="str">
        <f>IF(NOT($V17=""),VLOOKUP($V17,Constanten!$A$61:$I$65,8,FALSE),"")</f>
        <v/>
      </c>
      <c r="J17" s="198" t="str">
        <f>IF(NOT($V17=""),VLOOKUP($V17,Constanten!$A$61:$I$65,9,FALSE),"")</f>
        <v/>
      </c>
      <c r="K17" s="198" t="s">
        <v>112</v>
      </c>
      <c r="L17" s="199">
        <f>IF(NOT(ISBLANK($Z17)),VLOOKUP($Z17,Oordelen!$A$4:$O$9,15,FALSE))</f>
        <v>11</v>
      </c>
      <c r="M17" s="198">
        <f t="shared" si="1"/>
        <v>0</v>
      </c>
      <c r="N17" s="200">
        <f t="shared" si="2"/>
        <v>2</v>
      </c>
      <c r="O17" s="201">
        <f t="shared" si="3"/>
        <v>22</v>
      </c>
      <c r="P17" s="198"/>
      <c r="Q17" s="234" t="s">
        <v>333</v>
      </c>
      <c r="R17" s="185" t="s">
        <v>304</v>
      </c>
      <c r="S17" s="175" t="s">
        <v>92</v>
      </c>
      <c r="T17" s="183">
        <v>2</v>
      </c>
      <c r="U17" s="270" t="s">
        <v>341</v>
      </c>
      <c r="V17" s="268" t="s">
        <v>210</v>
      </c>
      <c r="W17" s="181" t="s">
        <v>232</v>
      </c>
      <c r="X17" s="186" t="s">
        <v>322</v>
      </c>
      <c r="Y17" s="186" t="s">
        <v>323</v>
      </c>
      <c r="Z17" s="271" t="s">
        <v>249</v>
      </c>
      <c r="AA17" s="273"/>
      <c r="AC17" s="284" t="s">
        <v>406</v>
      </c>
      <c r="AD17" s="285"/>
      <c r="AE17" s="285" t="s">
        <v>407</v>
      </c>
      <c r="AF17" s="285" t="s">
        <v>409</v>
      </c>
      <c r="AG17" s="285"/>
      <c r="AH17" s="286" t="s">
        <v>408</v>
      </c>
    </row>
    <row r="18" spans="1:34" ht="28.2" customHeight="1" x14ac:dyDescent="0.25">
      <c r="A18" s="198" t="str">
        <f>IF(NOT(OR(ISBLANK($U18),$U18="")),VLOOKUP($U18,'Leerdoelen,Kennisbasis,Toetsing'!$A$9:$D$23,3,FALSE),"")</f>
        <v>CPO</v>
      </c>
      <c r="B18" s="198" t="str">
        <f>IF(NOT(OR(ISBLANK($A18),$A18="")),VLOOKUP($A18,Constanten!$A$3:$B$7,2,FALSE),"")</f>
        <v>blauw</v>
      </c>
      <c r="C18" s="198" t="str">
        <f>IF(NOT($V18=""),VLOOKUP($V18,Constanten!$A$61:$I$65,2,FALSE),"")</f>
        <v>Vakkundig</v>
      </c>
      <c r="D18" s="198" t="str">
        <f>IF(NOT($V18=""),VLOOKUP($V18,Constanten!$A$61:$I$65,3,FALSE),"")</f>
        <v>Creatief</v>
      </c>
      <c r="E18" s="198" t="str">
        <f>IF(NOT($V18=""),VLOOKUP($V18,Constanten!$A$61:$I$65,4,FALSE),"")</f>
        <v>Logisch</v>
      </c>
      <c r="F18" s="198" t="str">
        <f>IF(NOT($V18=""),VLOOKUP($V18,Constanten!$A$61:$I$65,5,FALSE),"")</f>
        <v>Transparant</v>
      </c>
      <c r="G18" s="198" t="str">
        <f>IF(NOT($V18=""),VLOOKUP($V18,Constanten!$A$61:$I$65,6,FALSE),"")</f>
        <v/>
      </c>
      <c r="H18" s="198" t="str">
        <f>IF(NOT($V18=""),VLOOKUP($V18,Constanten!$A$61:$I$65,7,FALSE),"")</f>
        <v/>
      </c>
      <c r="I18" s="198" t="str">
        <f>IF(NOT($V18=""),VLOOKUP($V18,Constanten!$A$61:$I$65,8,FALSE),"")</f>
        <v/>
      </c>
      <c r="J18" s="198" t="str">
        <f>IF(NOT($V18=""),VLOOKUP($V18,Constanten!$A$61:$I$65,9,FALSE),"")</f>
        <v/>
      </c>
      <c r="K18" s="198" t="s">
        <v>112</v>
      </c>
      <c r="L18" s="199">
        <f>IF(NOT(ISBLANK($Z18)),VLOOKUP($Z18,Oordelen!$A$4:$O$9,15,FALSE))</f>
        <v>11</v>
      </c>
      <c r="M18" s="198">
        <f t="shared" si="1"/>
        <v>0</v>
      </c>
      <c r="N18" s="200">
        <f t="shared" si="2"/>
        <v>3</v>
      </c>
      <c r="O18" s="201">
        <f t="shared" si="3"/>
        <v>33</v>
      </c>
      <c r="P18" s="198"/>
      <c r="Q18" s="234" t="s">
        <v>123</v>
      </c>
      <c r="R18" s="185" t="s">
        <v>318</v>
      </c>
      <c r="S18" s="175" t="s">
        <v>92</v>
      </c>
      <c r="T18" s="183">
        <v>3</v>
      </c>
      <c r="U18" s="270" t="s">
        <v>338</v>
      </c>
      <c r="V18" s="268" t="s">
        <v>210</v>
      </c>
      <c r="W18" s="181" t="s">
        <v>232</v>
      </c>
      <c r="X18" s="186" t="s">
        <v>350</v>
      </c>
      <c r="Y18" s="187" t="s">
        <v>329</v>
      </c>
      <c r="Z18" s="271" t="s">
        <v>249</v>
      </c>
      <c r="AA18" s="273"/>
      <c r="AC18" s="284" t="s">
        <v>383</v>
      </c>
      <c r="AD18" s="285" t="s">
        <v>384</v>
      </c>
      <c r="AE18" s="285" t="s">
        <v>385</v>
      </c>
      <c r="AF18" s="285" t="s">
        <v>386</v>
      </c>
      <c r="AG18" s="285" t="s">
        <v>387</v>
      </c>
      <c r="AH18" s="286" t="s">
        <v>388</v>
      </c>
    </row>
    <row r="19" spans="1:34" ht="28.2" customHeight="1" x14ac:dyDescent="0.25">
      <c r="A19" s="198" t="str">
        <f>IF(NOT(OR(ISBLANK($U19),$U19="")),VLOOKUP($U19,'Leerdoelen,Kennisbasis,Toetsing'!$A$9:$D$23,3,FALSE),"")</f>
        <v>CPO</v>
      </c>
      <c r="B19" s="198" t="str">
        <f>IF(NOT(OR(ISBLANK($A19),$A19="")),VLOOKUP($A19,Constanten!$A$3:$B$7,2,FALSE),"")</f>
        <v>blauw</v>
      </c>
      <c r="C19" s="198" t="str">
        <f>IF(NOT($V19=""),VLOOKUP($V19,Constanten!$A$61:$I$65,2,FALSE),"")</f>
        <v>Vakkundig</v>
      </c>
      <c r="D19" s="198" t="str">
        <f>IF(NOT($V19=""),VLOOKUP($V19,Constanten!$A$61:$I$65,3,FALSE),"")</f>
        <v>Creatief</v>
      </c>
      <c r="E19" s="198" t="str">
        <f>IF(NOT($V19=""),VLOOKUP($V19,Constanten!$A$61:$I$65,4,FALSE),"")</f>
        <v>Logisch</v>
      </c>
      <c r="F19" s="198" t="str">
        <f>IF(NOT($V19=""),VLOOKUP($V19,Constanten!$A$61:$I$65,5,FALSE),"")</f>
        <v>Transparant</v>
      </c>
      <c r="G19" s="198" t="str">
        <f>IF(NOT($V19=""),VLOOKUP($V19,Constanten!$A$61:$I$65,6,FALSE),"")</f>
        <v/>
      </c>
      <c r="H19" s="198" t="str">
        <f>IF(NOT($V19=""),VLOOKUP($V19,Constanten!$A$61:$I$65,7,FALSE),"")</f>
        <v/>
      </c>
      <c r="I19" s="198" t="str">
        <f>IF(NOT($V19=""),VLOOKUP($V19,Constanten!$A$61:$I$65,8,FALSE),"")</f>
        <v/>
      </c>
      <c r="J19" s="198" t="str">
        <f>IF(NOT($V19=""),VLOOKUP($V19,Constanten!$A$61:$I$65,9,FALSE),"")</f>
        <v/>
      </c>
      <c r="K19" s="198"/>
      <c r="L19" s="199">
        <f>IF(NOT(ISBLANK($Z19)),VLOOKUP($Z19,Oordelen!$A$4:$O$9,15,FALSE))</f>
        <v>11</v>
      </c>
      <c r="M19" s="198">
        <f t="shared" si="1"/>
        <v>0</v>
      </c>
      <c r="N19" s="200">
        <f t="shared" si="2"/>
        <v>2</v>
      </c>
      <c r="O19" s="201">
        <f t="shared" si="3"/>
        <v>22</v>
      </c>
      <c r="P19" s="198"/>
      <c r="Q19" s="234" t="s">
        <v>334</v>
      </c>
      <c r="R19" s="185" t="s">
        <v>317</v>
      </c>
      <c r="S19" s="175" t="s">
        <v>92</v>
      </c>
      <c r="T19" s="183">
        <v>2</v>
      </c>
      <c r="U19" s="270" t="s">
        <v>337</v>
      </c>
      <c r="V19" s="268" t="s">
        <v>210</v>
      </c>
      <c r="W19" s="181" t="s">
        <v>229</v>
      </c>
      <c r="X19" s="186" t="s">
        <v>324</v>
      </c>
      <c r="Y19" s="187" t="s">
        <v>353</v>
      </c>
      <c r="Z19" s="271" t="s">
        <v>249</v>
      </c>
      <c r="AA19" s="273"/>
      <c r="AC19" s="284" t="s">
        <v>377</v>
      </c>
      <c r="AD19" s="285" t="s">
        <v>378</v>
      </c>
      <c r="AE19" s="285" t="s">
        <v>379</v>
      </c>
      <c r="AF19" s="285" t="s">
        <v>380</v>
      </c>
      <c r="AG19" s="285" t="s">
        <v>381</v>
      </c>
      <c r="AH19" s="286" t="s">
        <v>382</v>
      </c>
    </row>
    <row r="20" spans="1:34" ht="28.2" customHeight="1" x14ac:dyDescent="0.25">
      <c r="A20" s="198" t="str">
        <f>IF(NOT(OR(ISBLANK($U20),$U20="")),VLOOKUP($U20,'Leerdoelen,Kennisbasis,Toetsing'!$A$9:$D$23,3,FALSE),"")</f>
        <v>CPO</v>
      </c>
      <c r="B20" s="198" t="str">
        <f>IF(NOT(OR(ISBLANK($A20),$A20="")),VLOOKUP($A20,Constanten!$A$3:$B$7,2,FALSE),"")</f>
        <v>blauw</v>
      </c>
      <c r="C20" s="198" t="str">
        <f>IF(NOT($V20=""),VLOOKUP($V20,Constanten!$A$61:$I$65,2,FALSE),"")</f>
        <v>Vakkundig</v>
      </c>
      <c r="D20" s="198" t="str">
        <f>IF(NOT($V20=""),VLOOKUP($V20,Constanten!$A$61:$I$65,3,FALSE),"")</f>
        <v>Creatief</v>
      </c>
      <c r="E20" s="198" t="str">
        <f>IF(NOT($V20=""),VLOOKUP($V20,Constanten!$A$61:$I$65,4,FALSE),"")</f>
        <v>Logisch</v>
      </c>
      <c r="F20" s="198" t="str">
        <f>IF(NOT($V20=""),VLOOKUP($V20,Constanten!$A$61:$I$65,5,FALSE),"")</f>
        <v>Transparant</v>
      </c>
      <c r="G20" s="198" t="str">
        <f>IF(NOT($V20=""),VLOOKUP($V20,Constanten!$A$61:$I$65,6,FALSE),"")</f>
        <v/>
      </c>
      <c r="H20" s="198" t="str">
        <f>IF(NOT($V20=""),VLOOKUP($V20,Constanten!$A$61:$I$65,7,FALSE),"")</f>
        <v/>
      </c>
      <c r="I20" s="198" t="str">
        <f>IF(NOT($V20=""),VLOOKUP($V20,Constanten!$A$61:$I$65,8,FALSE),"")</f>
        <v/>
      </c>
      <c r="J20" s="198" t="str">
        <f>IF(NOT($V20=""),VLOOKUP($V20,Constanten!$A$61:$I$65,9,FALSE),"")</f>
        <v/>
      </c>
      <c r="K20" s="198" t="s">
        <v>112</v>
      </c>
      <c r="L20" s="199">
        <f>IF(NOT(ISBLANK($Z20)),VLOOKUP($Z20,Oordelen!$A$4:$O$9,15,FALSE))</f>
        <v>11</v>
      </c>
      <c r="M20" s="198">
        <f t="shared" si="1"/>
        <v>0</v>
      </c>
      <c r="N20" s="200">
        <f t="shared" si="2"/>
        <v>3</v>
      </c>
      <c r="O20" s="201">
        <f t="shared" si="3"/>
        <v>33</v>
      </c>
      <c r="P20" s="198"/>
      <c r="Q20" s="234" t="s">
        <v>334</v>
      </c>
      <c r="R20" s="185" t="s">
        <v>339</v>
      </c>
      <c r="S20" s="175" t="s">
        <v>92</v>
      </c>
      <c r="T20" s="183">
        <v>3</v>
      </c>
      <c r="U20" s="270" t="s">
        <v>340</v>
      </c>
      <c r="V20" s="268" t="s">
        <v>210</v>
      </c>
      <c r="W20" s="181" t="s">
        <v>229</v>
      </c>
      <c r="X20" s="186" t="s">
        <v>330</v>
      </c>
      <c r="Y20" s="187" t="s">
        <v>354</v>
      </c>
      <c r="Z20" s="271" t="s">
        <v>249</v>
      </c>
      <c r="AA20" s="273"/>
      <c r="AC20" s="284" t="s">
        <v>371</v>
      </c>
      <c r="AD20" s="285" t="s">
        <v>372</v>
      </c>
      <c r="AE20" s="285" t="s">
        <v>373</v>
      </c>
      <c r="AF20" s="285" t="s">
        <v>374</v>
      </c>
      <c r="AG20" s="285" t="s">
        <v>376</v>
      </c>
      <c r="AH20" s="286" t="s">
        <v>375</v>
      </c>
    </row>
    <row r="21" spans="1:34" ht="28.2" customHeight="1" x14ac:dyDescent="0.25">
      <c r="A21" s="198" t="str">
        <f>IF(NOT(OR(ISBLANK($U21),$U21="")),VLOOKUP($U21,'Leerdoelen,Kennisbasis,Toetsing'!$A$9:$D$23,3,FALSE),"")</f>
        <v>CPO</v>
      </c>
      <c r="B21" s="198" t="str">
        <f>IF(NOT(OR(ISBLANK($A21),$A21="")),VLOOKUP($A21,Constanten!$A$3:$B$7,2,FALSE),"")</f>
        <v>blauw</v>
      </c>
      <c r="C21" s="198" t="str">
        <f>IF(NOT($V21=""),VLOOKUP($V21,Constanten!$A$61:$I$65,2,FALSE),"")</f>
        <v>Vakkundig</v>
      </c>
      <c r="D21" s="198" t="str">
        <f>IF(NOT($V21=""),VLOOKUP($V21,Constanten!$A$61:$I$65,3,FALSE),"")</f>
        <v>Creatief</v>
      </c>
      <c r="E21" s="198" t="str">
        <f>IF(NOT($V21=""),VLOOKUP($V21,Constanten!$A$61:$I$65,4,FALSE),"")</f>
        <v>Logisch</v>
      </c>
      <c r="F21" s="198" t="str">
        <f>IF(NOT($V21=""),VLOOKUP($V21,Constanten!$A$61:$I$65,5,FALSE),"")</f>
        <v>Transparant</v>
      </c>
      <c r="G21" s="198" t="str">
        <f>IF(NOT($V21=""),VLOOKUP($V21,Constanten!$A$61:$I$65,6,FALSE),"")</f>
        <v/>
      </c>
      <c r="H21" s="198" t="str">
        <f>IF(NOT($V21=""),VLOOKUP($V21,Constanten!$A$61:$I$65,7,FALSE),"")</f>
        <v/>
      </c>
      <c r="I21" s="198" t="str">
        <f>IF(NOT($V21=""),VLOOKUP($V21,Constanten!$A$61:$I$65,8,FALSE),"")</f>
        <v/>
      </c>
      <c r="J21" s="198" t="str">
        <f>IF(NOT($V21=""),VLOOKUP($V21,Constanten!$A$61:$I$65,9,FALSE),"")</f>
        <v/>
      </c>
      <c r="K21" s="198"/>
      <c r="L21" s="199">
        <f>IF(NOT(ISBLANK($Z21)),VLOOKUP($Z21,Oordelen!$A$4:$O$9,15,FALSE))</f>
        <v>11</v>
      </c>
      <c r="M21" s="198">
        <f t="shared" si="1"/>
        <v>0</v>
      </c>
      <c r="N21" s="200">
        <f t="shared" si="2"/>
        <v>3</v>
      </c>
      <c r="O21" s="201">
        <f t="shared" si="3"/>
        <v>33</v>
      </c>
      <c r="P21" s="198"/>
      <c r="Q21" s="234" t="s">
        <v>334</v>
      </c>
      <c r="R21" s="185" t="s">
        <v>355</v>
      </c>
      <c r="S21" s="175" t="s">
        <v>90</v>
      </c>
      <c r="T21" s="183">
        <v>3</v>
      </c>
      <c r="U21" s="270" t="s">
        <v>340</v>
      </c>
      <c r="V21" s="268" t="s">
        <v>210</v>
      </c>
      <c r="W21" s="181" t="s">
        <v>229</v>
      </c>
      <c r="X21" s="186" t="s">
        <v>350</v>
      </c>
      <c r="Y21" s="187" t="s">
        <v>356</v>
      </c>
      <c r="Z21" s="271" t="s">
        <v>249</v>
      </c>
      <c r="AA21" s="273"/>
      <c r="AC21" s="284" t="s">
        <v>365</v>
      </c>
      <c r="AD21" s="285" t="s">
        <v>366</v>
      </c>
      <c r="AE21" s="285" t="s">
        <v>367</v>
      </c>
      <c r="AF21" s="285" t="s">
        <v>368</v>
      </c>
      <c r="AG21" s="285" t="s">
        <v>369</v>
      </c>
      <c r="AH21" s="286" t="s">
        <v>370</v>
      </c>
    </row>
    <row r="22" spans="1:34" ht="28.2" customHeight="1" x14ac:dyDescent="0.25">
      <c r="A22" s="198" t="str">
        <f>IF(NOT(OR(ISBLANK($U22),$U22="")),VLOOKUP($U22,'Leerdoelen,Kennisbasis,Toetsing'!$A$9:$D$23,3,FALSE),"")</f>
        <v/>
      </c>
      <c r="B22" s="198" t="str">
        <f>IF(NOT(OR(ISBLANK($A22),$A22="")),VLOOKUP($A22,Constanten!$A$3:$B$7,2,FALSE),"")</f>
        <v/>
      </c>
      <c r="C22" s="198" t="str">
        <f>IF(NOT($V22=""),VLOOKUP($V22,Constanten!$A$61:$I$65,2,FALSE),"")</f>
        <v>Bruikbaar &amp; conform specificatie</v>
      </c>
      <c r="D22" s="198" t="str">
        <f>IF(NOT($V22=""),VLOOKUP($V22,Constanten!$A$61:$I$65,3,FALSE),"")</f>
        <v>Inzichtgevend &amp; onderbouwd</v>
      </c>
      <c r="E22" s="198" t="str">
        <f>IF(NOT($V22=""),VLOOKUP($V22,Constanten!$A$61:$I$65,4,FALSE),"")</f>
        <v>Activerend &amp; acceptabel</v>
      </c>
      <c r="F22" s="198" t="str">
        <f>IF(NOT($V22=""),VLOOKUP($V22,Constanten!$A$61:$I$65,5,FALSE),"")</f>
        <v>Duurzaam &amp; binnen tijd en geld &amp; Ethisch</v>
      </c>
      <c r="G22" s="198" t="str">
        <f>IF(NOT($V22=""),VLOOKUP($V22,Constanten!$A$61:$I$65,6,FALSE),"")</f>
        <v>Formatieve beoordeling geaccepteerd</v>
      </c>
      <c r="H22" s="198" t="str">
        <f>IF(NOT($V22=""),VLOOKUP($V22,Constanten!$A$61:$I$65,7,FALSE),"")</f>
        <v>Summatieve leerdoelen behaald</v>
      </c>
      <c r="I22" s="198" t="str">
        <f>IF(NOT($V22=""),VLOOKUP($V22,Constanten!$A$61:$I$65,8,FALSE),"")</f>
        <v/>
      </c>
      <c r="J22" s="198" t="str">
        <f>IF(NOT($V22=""),VLOOKUP($V22,Constanten!$A$61:$I$65,9,FALSE),"")</f>
        <v/>
      </c>
      <c r="K22" s="198" t="s">
        <v>112</v>
      </c>
      <c r="L22" s="199" t="b">
        <f>IF(NOT(ISBLANK($Z22)),VLOOKUP($Z22,Oordelen!$A$4:$O$9,15,FALSE))</f>
        <v>0</v>
      </c>
      <c r="M22" s="198">
        <f t="shared" si="0"/>
        <v>0</v>
      </c>
      <c r="N22" s="200">
        <f>IF(NOT(ISBLANK(Z22)),T22,0)</f>
        <v>0</v>
      </c>
      <c r="O22" s="201">
        <f>IF(AND(ISNUMBER(L22),ISNUMBER(N22)), L22*N22,0)</f>
        <v>0</v>
      </c>
      <c r="P22" s="198"/>
      <c r="Q22" s="234"/>
      <c r="R22" s="185"/>
      <c r="S22" s="175"/>
      <c r="T22" s="183"/>
      <c r="U22" s="270"/>
      <c r="V22" s="268" t="s">
        <v>211</v>
      </c>
      <c r="W22" s="181"/>
      <c r="X22" s="186"/>
      <c r="Y22" s="187"/>
      <c r="Z22" s="271"/>
      <c r="AA22" s="273"/>
      <c r="AC22" s="284"/>
      <c r="AD22" s="285"/>
      <c r="AE22" s="285"/>
      <c r="AF22" s="285"/>
      <c r="AG22" s="285"/>
      <c r="AH22" s="286"/>
    </row>
    <row r="23" spans="1:34" ht="28.2" customHeight="1" x14ac:dyDescent="0.25">
      <c r="A23" s="198" t="str">
        <f>IF(NOT(OR(ISBLANK($U23),$U23="")),VLOOKUP($U23,'Leerdoelen,Kennisbasis,Toetsing'!$A$9:$D$23,3,FALSE),"")</f>
        <v/>
      </c>
      <c r="B23" s="198" t="str">
        <f>IF(NOT(OR(ISBLANK($A23),$A23="")),VLOOKUP($A23,Constanten!$A$3:$B$7,2,FALSE),"")</f>
        <v/>
      </c>
      <c r="C23" s="198" t="str">
        <f>IF(NOT($V23=""),VLOOKUP($V23,Constanten!$A$61:$I$65,2,FALSE),"")</f>
        <v/>
      </c>
      <c r="D23" s="198" t="str">
        <f>IF(NOT($V23=""),VLOOKUP($V23,Constanten!$A$61:$I$65,3,FALSE),"")</f>
        <v/>
      </c>
      <c r="E23" s="198" t="str">
        <f>IF(NOT($V23=""),VLOOKUP($V23,Constanten!$A$61:$I$65,4,FALSE),"")</f>
        <v/>
      </c>
      <c r="F23" s="198" t="str">
        <f>IF(NOT($V23=""),VLOOKUP($V23,Constanten!$A$61:$I$65,5,FALSE),"")</f>
        <v/>
      </c>
      <c r="G23" s="198" t="str">
        <f>IF(NOT($V23=""),VLOOKUP($V23,Constanten!$A$61:$I$65,6,FALSE),"")</f>
        <v/>
      </c>
      <c r="H23" s="198" t="str">
        <f>IF(NOT($V23=""),VLOOKUP($V23,Constanten!$A$61:$I$65,7,FALSE),"")</f>
        <v/>
      </c>
      <c r="I23" s="198" t="str">
        <f>IF(NOT($V23=""),VLOOKUP($V23,Constanten!$A$61:$I$65,8,FALSE),"")</f>
        <v/>
      </c>
      <c r="J23" s="198" t="str">
        <f>IF(NOT($V23=""),VLOOKUP($V23,Constanten!$A$61:$I$65,9,FALSE),"")</f>
        <v/>
      </c>
      <c r="K23" s="198" t="s">
        <v>112</v>
      </c>
      <c r="L23" s="199" t="b">
        <f>IF(NOT(ISBLANK($Z23)),VLOOKUP($Z23,Oordelen!$A$4:$O$9,15,FALSE))</f>
        <v>0</v>
      </c>
      <c r="M23" s="198">
        <f t="shared" si="0"/>
        <v>0</v>
      </c>
      <c r="N23" s="200">
        <f>IF(NOT(ISBLANK(Z23)),T23,0)</f>
        <v>0</v>
      </c>
      <c r="O23" s="201">
        <f>IF(AND(ISNUMBER(L23),ISNUMBER(N23)), L23*N23,0)</f>
        <v>0</v>
      </c>
      <c r="P23" s="198"/>
      <c r="Q23" s="234"/>
      <c r="R23" s="185"/>
      <c r="S23" s="175"/>
      <c r="T23" s="183"/>
      <c r="U23" s="270"/>
      <c r="V23" s="268"/>
      <c r="W23" s="181"/>
      <c r="X23" s="186"/>
      <c r="Y23" s="187"/>
      <c r="Z23" s="271"/>
      <c r="AA23" s="273"/>
      <c r="AC23" s="284"/>
      <c r="AD23" s="285"/>
      <c r="AE23" s="285"/>
      <c r="AF23" s="285"/>
      <c r="AG23" s="285"/>
      <c r="AH23" s="286"/>
    </row>
    <row r="24" spans="1:34" ht="28.2" customHeight="1" x14ac:dyDescent="0.25">
      <c r="A24" s="198" t="str">
        <f>IF(NOT(OR(ISBLANK($U24),$U24="")),VLOOKUP($U24,'Leerdoelen,Kennisbasis,Toetsing'!$A$9:$D$23,3,FALSE),"")</f>
        <v/>
      </c>
      <c r="B24" s="198" t="str">
        <f>IF(NOT(OR(ISBLANK($A24),$A24="")),VLOOKUP($A24,Constanten!$A$3:$B$7,2,FALSE),"")</f>
        <v/>
      </c>
      <c r="C24" s="198" t="str">
        <f>IF(NOT($V24=""),VLOOKUP($V24,Constanten!$A$61:$I$65,2,FALSE),"")</f>
        <v/>
      </c>
      <c r="D24" s="198" t="str">
        <f>IF(NOT($V24=""),VLOOKUP($V24,Constanten!$A$61:$I$65,3,FALSE),"")</f>
        <v/>
      </c>
      <c r="E24" s="198" t="str">
        <f>IF(NOT($V24=""),VLOOKUP($V24,Constanten!$A$61:$I$65,4,FALSE),"")</f>
        <v/>
      </c>
      <c r="F24" s="198" t="str">
        <f>IF(NOT($V24=""),VLOOKUP($V24,Constanten!$A$61:$I$65,5,FALSE),"")</f>
        <v/>
      </c>
      <c r="G24" s="198" t="str">
        <f>IF(NOT($V24=""),VLOOKUP($V24,Constanten!$A$61:$I$65,6,FALSE),"")</f>
        <v/>
      </c>
      <c r="H24" s="198" t="str">
        <f>IF(NOT($V24=""),VLOOKUP($V24,Constanten!$A$61:$I$65,7,FALSE),"")</f>
        <v/>
      </c>
      <c r="I24" s="198" t="str">
        <f>IF(NOT($V24=""),VLOOKUP($V24,Constanten!$A$61:$I$65,8,FALSE),"")</f>
        <v/>
      </c>
      <c r="J24" s="198" t="str">
        <f>IF(NOT($V24=""),VLOOKUP($V24,Constanten!$A$61:$I$65,9,FALSE),"")</f>
        <v/>
      </c>
      <c r="K24" s="198" t="s">
        <v>112</v>
      </c>
      <c r="L24" s="199" t="b">
        <f>IF(NOT(ISBLANK($Z24)),VLOOKUP($Z24,Oordelen!$A$4:$O$9,15,FALSE))</f>
        <v>0</v>
      </c>
      <c r="M24" s="198">
        <f t="shared" si="0"/>
        <v>0</v>
      </c>
      <c r="N24" s="200">
        <f t="shared" ref="N24:N34" si="4">IF(NOT(ISBLANK(Z24)),T24,0)</f>
        <v>0</v>
      </c>
      <c r="O24" s="201">
        <f t="shared" ref="O24:O34" si="5">IF(AND(ISNUMBER(L24),ISNUMBER(N24)), L24*N24,0)</f>
        <v>0</v>
      </c>
      <c r="P24" s="198"/>
      <c r="Q24" s="234"/>
      <c r="R24" s="185"/>
      <c r="S24" s="175"/>
      <c r="T24" s="183"/>
      <c r="U24" s="270"/>
      <c r="V24" s="268"/>
      <c r="W24" s="181"/>
      <c r="X24" s="186"/>
      <c r="Y24" s="187"/>
      <c r="Z24" s="271"/>
      <c r="AA24" s="273"/>
      <c r="AC24" s="284"/>
      <c r="AD24" s="285"/>
      <c r="AE24" s="285"/>
      <c r="AF24" s="285"/>
      <c r="AG24" s="285"/>
      <c r="AH24" s="286"/>
    </row>
    <row r="25" spans="1:34" ht="28.2" customHeight="1" x14ac:dyDescent="0.25">
      <c r="A25" s="198" t="str">
        <f>IF(NOT(OR(ISBLANK($U25),$U25="")),VLOOKUP($U25,'Leerdoelen,Kennisbasis,Toetsing'!$A$9:$D$23,3,FALSE),"")</f>
        <v/>
      </c>
      <c r="B25" s="198" t="str">
        <f>IF(NOT(OR(ISBLANK($A25),$A25="")),VLOOKUP($A25,Constanten!$A$3:$B$7,2,FALSE),"")</f>
        <v/>
      </c>
      <c r="C25" s="198" t="str">
        <f>IF(NOT($V25=""),VLOOKUP($V25,Constanten!$A$61:$I$65,2,FALSE),"")</f>
        <v/>
      </c>
      <c r="D25" s="198" t="str">
        <f>IF(NOT($V25=""),VLOOKUP($V25,Constanten!$A$61:$I$65,3,FALSE),"")</f>
        <v/>
      </c>
      <c r="E25" s="198" t="str">
        <f>IF(NOT($V25=""),VLOOKUP($V25,Constanten!$A$61:$I$65,4,FALSE),"")</f>
        <v/>
      </c>
      <c r="F25" s="198" t="str">
        <f>IF(NOT($V25=""),VLOOKUP($V25,Constanten!$A$61:$I$65,5,FALSE),"")</f>
        <v/>
      </c>
      <c r="G25" s="198" t="str">
        <f>IF(NOT($V25=""),VLOOKUP($V25,Constanten!$A$61:$I$65,6,FALSE),"")</f>
        <v/>
      </c>
      <c r="H25" s="198" t="str">
        <f>IF(NOT($V25=""),VLOOKUP($V25,Constanten!$A$61:$I$65,7,FALSE),"")</f>
        <v/>
      </c>
      <c r="I25" s="198" t="str">
        <f>IF(NOT($V25=""),VLOOKUP($V25,Constanten!$A$61:$I$65,8,FALSE),"")</f>
        <v/>
      </c>
      <c r="J25" s="198" t="str">
        <f>IF(NOT($V25=""),VLOOKUP($V25,Constanten!$A$61:$I$65,9,FALSE),"")</f>
        <v/>
      </c>
      <c r="K25" s="198" t="s">
        <v>112</v>
      </c>
      <c r="L25" s="199" t="b">
        <f>IF(NOT(ISBLANK($Z25)),VLOOKUP($Z25,Oordelen!$A$4:$O$9,15,FALSE))</f>
        <v>0</v>
      </c>
      <c r="M25" s="198">
        <f t="shared" si="0"/>
        <v>0</v>
      </c>
      <c r="N25" s="200">
        <f t="shared" si="4"/>
        <v>0</v>
      </c>
      <c r="O25" s="201">
        <f t="shared" si="5"/>
        <v>0</v>
      </c>
      <c r="P25" s="198"/>
      <c r="Q25" s="234"/>
      <c r="R25" s="185"/>
      <c r="S25" s="175"/>
      <c r="T25" s="183"/>
      <c r="U25" s="270"/>
      <c r="V25" s="268"/>
      <c r="W25" s="181"/>
      <c r="X25" s="186"/>
      <c r="Y25" s="187"/>
      <c r="Z25" s="271"/>
      <c r="AA25" s="273"/>
      <c r="AC25" s="284"/>
      <c r="AD25" s="285"/>
      <c r="AE25" s="285"/>
      <c r="AF25" s="285"/>
      <c r="AG25" s="285"/>
      <c r="AH25" s="286"/>
    </row>
    <row r="26" spans="1:34" ht="28.2" customHeight="1" x14ac:dyDescent="0.25">
      <c r="A26" s="198" t="str">
        <f>IF(NOT(OR(ISBLANK($U26),$U26="")),VLOOKUP($U26,'Leerdoelen,Kennisbasis,Toetsing'!$A$9:$D$23,3,FALSE),"")</f>
        <v/>
      </c>
      <c r="B26" s="198" t="str">
        <f>IF(NOT(OR(ISBLANK($A26),$A26="")),VLOOKUP($A26,Constanten!$A$3:$B$7,2,FALSE),"")</f>
        <v/>
      </c>
      <c r="C26" s="198" t="str">
        <f>IF(NOT($V26=""),VLOOKUP($V26,Constanten!$A$61:$I$65,2,FALSE),"")</f>
        <v/>
      </c>
      <c r="D26" s="198" t="str">
        <f>IF(NOT($V26=""),VLOOKUP($V26,Constanten!$A$61:$I$65,3,FALSE),"")</f>
        <v/>
      </c>
      <c r="E26" s="198" t="str">
        <f>IF(NOT($V26=""),VLOOKUP($V26,Constanten!$A$61:$I$65,4,FALSE),"")</f>
        <v/>
      </c>
      <c r="F26" s="198" t="str">
        <f>IF(NOT($V26=""),VLOOKUP($V26,Constanten!$A$61:$I$65,5,FALSE),"")</f>
        <v/>
      </c>
      <c r="G26" s="198" t="str">
        <f>IF(NOT($V26=""),VLOOKUP($V26,Constanten!$A$61:$I$65,6,FALSE),"")</f>
        <v/>
      </c>
      <c r="H26" s="198" t="str">
        <f>IF(NOT($V26=""),VLOOKUP($V26,Constanten!$A$61:$I$65,7,FALSE),"")</f>
        <v/>
      </c>
      <c r="I26" s="198" t="str">
        <f>IF(NOT($V26=""),VLOOKUP($V26,Constanten!$A$61:$I$65,8,FALSE),"")</f>
        <v/>
      </c>
      <c r="J26" s="198" t="str">
        <f>IF(NOT($V26=""),VLOOKUP($V26,Constanten!$A$61:$I$65,9,FALSE),"")</f>
        <v/>
      </c>
      <c r="K26" s="198" t="s">
        <v>112</v>
      </c>
      <c r="L26" s="199" t="b">
        <f>IF(NOT(ISBLANK($Z26)),VLOOKUP($Z26,Oordelen!$A$4:$O$9,15,FALSE))</f>
        <v>0</v>
      </c>
      <c r="M26" s="198">
        <f t="shared" si="0"/>
        <v>0</v>
      </c>
      <c r="N26" s="200">
        <f t="shared" si="4"/>
        <v>0</v>
      </c>
      <c r="O26" s="201">
        <f t="shared" si="5"/>
        <v>0</v>
      </c>
      <c r="P26" s="198"/>
      <c r="Q26" s="234"/>
      <c r="R26" s="185"/>
      <c r="S26" s="175"/>
      <c r="T26" s="183"/>
      <c r="U26" s="270"/>
      <c r="V26" s="268"/>
      <c r="W26" s="181"/>
      <c r="X26" s="186"/>
      <c r="Y26" s="187"/>
      <c r="Z26" s="271"/>
      <c r="AA26" s="273"/>
      <c r="AC26" s="284"/>
      <c r="AD26" s="285"/>
      <c r="AE26" s="285"/>
      <c r="AF26" s="285"/>
      <c r="AG26" s="285"/>
      <c r="AH26" s="286"/>
    </row>
    <row r="27" spans="1:34" ht="28.2" customHeight="1" x14ac:dyDescent="0.25">
      <c r="A27" s="198" t="str">
        <f>IF(NOT(OR(ISBLANK($U27),$U27="")),VLOOKUP($U27,'Leerdoelen,Kennisbasis,Toetsing'!$A$9:$D$23,3,FALSE),"")</f>
        <v/>
      </c>
      <c r="B27" s="198" t="str">
        <f>IF(NOT(OR(ISBLANK($A27),$A27="")),VLOOKUP($A27,Constanten!$A$3:$B$7,2,FALSE),"")</f>
        <v/>
      </c>
      <c r="C27" s="198" t="str">
        <f>IF(NOT($V27=""),VLOOKUP($V27,Constanten!$A$61:$I$65,2,FALSE),"")</f>
        <v/>
      </c>
      <c r="D27" s="198" t="str">
        <f>IF(NOT($V27=""),VLOOKUP($V27,Constanten!$A$61:$I$65,3,FALSE),"")</f>
        <v/>
      </c>
      <c r="E27" s="198" t="str">
        <f>IF(NOT($V27=""),VLOOKUP($V27,Constanten!$A$61:$I$65,4,FALSE),"")</f>
        <v/>
      </c>
      <c r="F27" s="198" t="str">
        <f>IF(NOT($V27=""),VLOOKUP($V27,Constanten!$A$61:$I$65,5,FALSE),"")</f>
        <v/>
      </c>
      <c r="G27" s="198" t="str">
        <f>IF(NOT($V27=""),VLOOKUP($V27,Constanten!$A$61:$I$65,6,FALSE),"")</f>
        <v/>
      </c>
      <c r="H27" s="198" t="str">
        <f>IF(NOT($V27=""),VLOOKUP($V27,Constanten!$A$61:$I$65,7,FALSE),"")</f>
        <v/>
      </c>
      <c r="I27" s="198" t="str">
        <f>IF(NOT($V27=""),VLOOKUP($V27,Constanten!$A$61:$I$65,8,FALSE),"")</f>
        <v/>
      </c>
      <c r="J27" s="198" t="str">
        <f>IF(NOT($V27=""),VLOOKUP($V27,Constanten!$A$61:$I$65,9,FALSE),"")</f>
        <v/>
      </c>
      <c r="K27" s="198" t="s">
        <v>112</v>
      </c>
      <c r="L27" s="199" t="b">
        <f>IF(NOT(ISBLANK($Z27)),VLOOKUP($Z27,Oordelen!$A$4:$O$9,15,FALSE))</f>
        <v>0</v>
      </c>
      <c r="M27" s="198">
        <f t="shared" si="0"/>
        <v>0</v>
      </c>
      <c r="N27" s="200">
        <f t="shared" si="4"/>
        <v>0</v>
      </c>
      <c r="O27" s="201">
        <f t="shared" si="5"/>
        <v>0</v>
      </c>
      <c r="P27" s="198"/>
      <c r="Q27" s="234"/>
      <c r="R27" s="185"/>
      <c r="S27" s="175"/>
      <c r="T27" s="183"/>
      <c r="U27" s="270"/>
      <c r="V27" s="268"/>
      <c r="W27" s="181"/>
      <c r="X27" s="186"/>
      <c r="Y27" s="187"/>
      <c r="Z27" s="271"/>
      <c r="AA27" s="273"/>
      <c r="AC27" s="284"/>
      <c r="AD27" s="285"/>
      <c r="AE27" s="285"/>
      <c r="AF27" s="285"/>
      <c r="AG27" s="285"/>
      <c r="AH27" s="286"/>
    </row>
    <row r="28" spans="1:34" ht="28.2" customHeight="1" x14ac:dyDescent="0.25">
      <c r="A28" s="198" t="str">
        <f>IF(NOT(OR(ISBLANK($U28),$U28="")),VLOOKUP($U28,'Leerdoelen,Kennisbasis,Toetsing'!$A$9:$D$23,3,FALSE),"")</f>
        <v/>
      </c>
      <c r="B28" s="198" t="str">
        <f>IF(NOT(OR(ISBLANK($A28),$A28="")),VLOOKUP($A28,Constanten!$A$3:$B$7,2,FALSE),"")</f>
        <v/>
      </c>
      <c r="C28" s="198" t="str">
        <f>IF(NOT($V28=""),VLOOKUP($V28,Constanten!$A$61:$I$65,2,FALSE),"")</f>
        <v/>
      </c>
      <c r="D28" s="198" t="str">
        <f>IF(NOT($V28=""),VLOOKUP($V28,Constanten!$A$61:$I$65,3,FALSE),"")</f>
        <v/>
      </c>
      <c r="E28" s="198" t="str">
        <f>IF(NOT($V28=""),VLOOKUP($V28,Constanten!$A$61:$I$65,4,FALSE),"")</f>
        <v/>
      </c>
      <c r="F28" s="198" t="str">
        <f>IF(NOT($V28=""),VLOOKUP($V28,Constanten!$A$61:$I$65,5,FALSE),"")</f>
        <v/>
      </c>
      <c r="G28" s="198" t="str">
        <f>IF(NOT($V28=""),VLOOKUP($V28,Constanten!$A$61:$I$65,6,FALSE),"")</f>
        <v/>
      </c>
      <c r="H28" s="198" t="str">
        <f>IF(NOT($V28=""),VLOOKUP($V28,Constanten!$A$61:$I$65,7,FALSE),"")</f>
        <v/>
      </c>
      <c r="I28" s="198" t="str">
        <f>IF(NOT($V28=""),VLOOKUP($V28,Constanten!$A$61:$I$65,8,FALSE),"")</f>
        <v/>
      </c>
      <c r="J28" s="198" t="str">
        <f>IF(NOT($V28=""),VLOOKUP($V28,Constanten!$A$61:$I$65,9,FALSE),"")</f>
        <v/>
      </c>
      <c r="K28" s="198" t="s">
        <v>112</v>
      </c>
      <c r="L28" s="199" t="b">
        <f>IF(NOT(ISBLANK($Z28)),VLOOKUP($Z28,Oordelen!$A$4:$O$9,15,FALSE))</f>
        <v>0</v>
      </c>
      <c r="M28" s="198">
        <f t="shared" si="0"/>
        <v>0</v>
      </c>
      <c r="N28" s="200">
        <f t="shared" si="4"/>
        <v>0</v>
      </c>
      <c r="O28" s="201">
        <f t="shared" si="5"/>
        <v>0</v>
      </c>
      <c r="P28" s="198"/>
      <c r="Q28" s="234"/>
      <c r="R28" s="185"/>
      <c r="S28" s="175"/>
      <c r="T28" s="183"/>
      <c r="U28" s="270"/>
      <c r="V28" s="268"/>
      <c r="W28" s="181"/>
      <c r="X28" s="186"/>
      <c r="Y28" s="187"/>
      <c r="Z28" s="271"/>
      <c r="AA28" s="273"/>
      <c r="AC28" s="284"/>
      <c r="AD28" s="285"/>
      <c r="AE28" s="285"/>
      <c r="AF28" s="285"/>
      <c r="AG28" s="285"/>
      <c r="AH28" s="286"/>
    </row>
    <row r="29" spans="1:34" ht="28.2" customHeight="1" x14ac:dyDescent="0.25">
      <c r="A29" s="198" t="str">
        <f>IF(NOT(OR(ISBLANK($U29),$U29="")),VLOOKUP($U29,'Leerdoelen,Kennisbasis,Toetsing'!$A$9:$D$23,3,FALSE),"")</f>
        <v/>
      </c>
      <c r="B29" s="198" t="str">
        <f>IF(NOT(OR(ISBLANK($A29),$A29="")),VLOOKUP($A29,Constanten!$A$3:$B$7,2,FALSE),"")</f>
        <v/>
      </c>
      <c r="C29" s="198" t="str">
        <f>IF(NOT($V29=""),VLOOKUP($V29,Constanten!$A$61:$I$65,2,FALSE),"")</f>
        <v/>
      </c>
      <c r="D29" s="198" t="str">
        <f>IF(NOT($V29=""),VLOOKUP($V29,Constanten!$A$61:$I$65,3,FALSE),"")</f>
        <v/>
      </c>
      <c r="E29" s="198" t="str">
        <f>IF(NOT($V29=""),VLOOKUP($V29,Constanten!$A$61:$I$65,4,FALSE),"")</f>
        <v/>
      </c>
      <c r="F29" s="198" t="str">
        <f>IF(NOT($V29=""),VLOOKUP($V29,Constanten!$A$61:$I$65,5,FALSE),"")</f>
        <v/>
      </c>
      <c r="G29" s="198" t="str">
        <f>IF(NOT($V29=""),VLOOKUP($V29,Constanten!$A$61:$I$65,6,FALSE),"")</f>
        <v/>
      </c>
      <c r="H29" s="198" t="str">
        <f>IF(NOT($V29=""),VLOOKUP($V29,Constanten!$A$61:$I$65,7,FALSE),"")</f>
        <v/>
      </c>
      <c r="I29" s="198" t="str">
        <f>IF(NOT($V29=""),VLOOKUP($V29,Constanten!$A$61:$I$65,8,FALSE),"")</f>
        <v/>
      </c>
      <c r="J29" s="198" t="str">
        <f>IF(NOT($V29=""),VLOOKUP($V29,Constanten!$A$61:$I$65,9,FALSE),"")</f>
        <v/>
      </c>
      <c r="K29" s="198" t="s">
        <v>112</v>
      </c>
      <c r="L29" s="199" t="b">
        <f>IF(NOT(ISBLANK($Z29)),VLOOKUP($Z29,Oordelen!$A$4:$O$9,15,FALSE))</f>
        <v>0</v>
      </c>
      <c r="M29" s="198">
        <f t="shared" si="0"/>
        <v>0</v>
      </c>
      <c r="N29" s="200">
        <f t="shared" si="4"/>
        <v>0</v>
      </c>
      <c r="O29" s="201">
        <f t="shared" si="5"/>
        <v>0</v>
      </c>
      <c r="P29" s="198"/>
      <c r="Q29" s="234"/>
      <c r="R29" s="185"/>
      <c r="S29" s="175"/>
      <c r="T29" s="183"/>
      <c r="U29" s="270"/>
      <c r="V29" s="268"/>
      <c r="W29" s="181"/>
      <c r="X29" s="186"/>
      <c r="Y29" s="187"/>
      <c r="Z29" s="271"/>
      <c r="AA29" s="273"/>
      <c r="AC29" s="284"/>
      <c r="AD29" s="285"/>
      <c r="AE29" s="285"/>
      <c r="AF29" s="285"/>
      <c r="AG29" s="285"/>
      <c r="AH29" s="286"/>
    </row>
    <row r="30" spans="1:34" ht="28.2" customHeight="1" x14ac:dyDescent="0.25">
      <c r="A30" s="198" t="str">
        <f>IF(NOT(OR(ISBLANK($U30),$U30="")),VLOOKUP($U30,'Leerdoelen,Kennisbasis,Toetsing'!$A$9:$D$23,3,FALSE),"")</f>
        <v/>
      </c>
      <c r="B30" s="198" t="str">
        <f>IF(NOT(OR(ISBLANK($A30),$A30="")),VLOOKUP($A30,Constanten!$A$3:$B$7,2,FALSE),"")</f>
        <v/>
      </c>
      <c r="C30" s="198" t="str">
        <f>IF(NOT($V30=""),VLOOKUP($V30,Constanten!$A$61:$I$65,2,FALSE),"")</f>
        <v/>
      </c>
      <c r="D30" s="198" t="str">
        <f>IF(NOT($V30=""),VLOOKUP($V30,Constanten!$A$61:$I$65,3,FALSE),"")</f>
        <v/>
      </c>
      <c r="E30" s="198" t="str">
        <f>IF(NOT($V30=""),VLOOKUP($V30,Constanten!$A$61:$I$65,4,FALSE),"")</f>
        <v/>
      </c>
      <c r="F30" s="198" t="str">
        <f>IF(NOT($V30=""),VLOOKUP($V30,Constanten!$A$61:$I$65,5,FALSE),"")</f>
        <v/>
      </c>
      <c r="G30" s="198" t="str">
        <f>IF(NOT($V30=""),VLOOKUP($V30,Constanten!$A$61:$I$65,6,FALSE),"")</f>
        <v/>
      </c>
      <c r="H30" s="198" t="str">
        <f>IF(NOT($V30=""),VLOOKUP($V30,Constanten!$A$61:$I$65,7,FALSE),"")</f>
        <v/>
      </c>
      <c r="I30" s="198" t="str">
        <f>IF(NOT($V30=""),VLOOKUP($V30,Constanten!$A$61:$I$65,8,FALSE),"")</f>
        <v/>
      </c>
      <c r="J30" s="198" t="str">
        <f>IF(NOT($V30=""),VLOOKUP($V30,Constanten!$A$61:$I$65,9,FALSE),"")</f>
        <v/>
      </c>
      <c r="K30" s="198" t="s">
        <v>112</v>
      </c>
      <c r="L30" s="199" t="b">
        <f>IF(NOT(ISBLANK($Z30)),VLOOKUP($Z30,Oordelen!$A$4:$O$9,15,FALSE))</f>
        <v>0</v>
      </c>
      <c r="M30" s="198">
        <f t="shared" si="0"/>
        <v>0</v>
      </c>
      <c r="N30" s="200">
        <f t="shared" si="4"/>
        <v>0</v>
      </c>
      <c r="O30" s="201">
        <f t="shared" si="5"/>
        <v>0</v>
      </c>
      <c r="P30" s="198"/>
      <c r="Q30" s="234"/>
      <c r="R30" s="185"/>
      <c r="S30" s="175"/>
      <c r="T30" s="183"/>
      <c r="U30" s="270"/>
      <c r="V30" s="268"/>
      <c r="W30" s="181"/>
      <c r="X30" s="186"/>
      <c r="Y30" s="187"/>
      <c r="Z30" s="271"/>
      <c r="AA30" s="273"/>
      <c r="AC30" s="284"/>
      <c r="AD30" s="285"/>
      <c r="AE30" s="285"/>
      <c r="AF30" s="285"/>
      <c r="AG30" s="285"/>
      <c r="AH30" s="286"/>
    </row>
    <row r="31" spans="1:34" ht="28.2" customHeight="1" x14ac:dyDescent="0.25">
      <c r="A31" s="198" t="str">
        <f>IF(NOT(OR(ISBLANK($U31),$U31="")),VLOOKUP($U31,'Leerdoelen,Kennisbasis,Toetsing'!$A$9:$D$23,3,FALSE),"")</f>
        <v/>
      </c>
      <c r="B31" s="198" t="str">
        <f>IF(NOT(OR(ISBLANK($A31),$A31="")),VLOOKUP($A31,Constanten!$A$3:$B$7,2,FALSE),"")</f>
        <v/>
      </c>
      <c r="C31" s="198" t="str">
        <f>IF(NOT($V31=""),VLOOKUP($V31,Constanten!$A$61:$I$65,2,FALSE),"")</f>
        <v/>
      </c>
      <c r="D31" s="198" t="str">
        <f>IF(NOT($V31=""),VLOOKUP($V31,Constanten!$A$61:$I$65,3,FALSE),"")</f>
        <v/>
      </c>
      <c r="E31" s="198" t="str">
        <f>IF(NOT($V31=""),VLOOKUP($V31,Constanten!$A$61:$I$65,4,FALSE),"")</f>
        <v/>
      </c>
      <c r="F31" s="198" t="str">
        <f>IF(NOT($V31=""),VLOOKUP($V31,Constanten!$A$61:$I$65,5,FALSE),"")</f>
        <v/>
      </c>
      <c r="G31" s="198" t="str">
        <f>IF(NOT($V31=""),VLOOKUP($V31,Constanten!$A$61:$I$65,6,FALSE),"")</f>
        <v/>
      </c>
      <c r="H31" s="198" t="str">
        <f>IF(NOT($V31=""),VLOOKUP($V31,Constanten!$A$61:$I$65,7,FALSE),"")</f>
        <v/>
      </c>
      <c r="I31" s="198" t="str">
        <f>IF(NOT($V31=""),VLOOKUP($V31,Constanten!$A$61:$I$65,8,FALSE),"")</f>
        <v/>
      </c>
      <c r="J31" s="198" t="str">
        <f>IF(NOT($V31=""),VLOOKUP($V31,Constanten!$A$61:$I$65,9,FALSE),"")</f>
        <v/>
      </c>
      <c r="K31" s="198" t="s">
        <v>112</v>
      </c>
      <c r="L31" s="199" t="b">
        <f>IF(NOT(ISBLANK($Z31)),VLOOKUP($Z31,Oordelen!$A$4:$O$9,15,FALSE))</f>
        <v>0</v>
      </c>
      <c r="M31" s="198">
        <f t="shared" si="0"/>
        <v>0</v>
      </c>
      <c r="N31" s="200">
        <f t="shared" si="4"/>
        <v>0</v>
      </c>
      <c r="O31" s="201">
        <f t="shared" si="5"/>
        <v>0</v>
      </c>
      <c r="P31" s="198"/>
      <c r="Q31" s="234"/>
      <c r="R31" s="185"/>
      <c r="S31" s="175"/>
      <c r="T31" s="183"/>
      <c r="U31" s="270"/>
      <c r="V31" s="268"/>
      <c r="W31" s="181"/>
      <c r="X31" s="186"/>
      <c r="Y31" s="187"/>
      <c r="Z31" s="271"/>
      <c r="AA31" s="273"/>
      <c r="AC31" s="284"/>
      <c r="AD31" s="285"/>
      <c r="AE31" s="285"/>
      <c r="AF31" s="285"/>
      <c r="AG31" s="285"/>
      <c r="AH31" s="286"/>
    </row>
    <row r="32" spans="1:34" ht="28.2" customHeight="1" x14ac:dyDescent="0.25">
      <c r="A32" s="198" t="str">
        <f>IF(NOT(OR(ISBLANK($U32),$U32="")),VLOOKUP($U32,'Leerdoelen,Kennisbasis,Toetsing'!$A$9:$D$23,3,FALSE),"")</f>
        <v/>
      </c>
      <c r="B32" s="198" t="str">
        <f>IF(NOT(OR(ISBLANK($A32),$A32="")),VLOOKUP($A32,Constanten!$A$3:$B$7,2,FALSE),"")</f>
        <v/>
      </c>
      <c r="C32" s="198" t="str">
        <f>IF(NOT($V32=""),VLOOKUP($V32,Constanten!$A$61:$I$65,2,FALSE),"")</f>
        <v/>
      </c>
      <c r="D32" s="198" t="str">
        <f>IF(NOT($V32=""),VLOOKUP($V32,Constanten!$A$61:$I$65,3,FALSE),"")</f>
        <v/>
      </c>
      <c r="E32" s="198" t="str">
        <f>IF(NOT($V32=""),VLOOKUP($V32,Constanten!$A$61:$I$65,4,FALSE),"")</f>
        <v/>
      </c>
      <c r="F32" s="198" t="str">
        <f>IF(NOT($V32=""),VLOOKUP($V32,Constanten!$A$61:$I$65,5,FALSE),"")</f>
        <v/>
      </c>
      <c r="G32" s="198" t="str">
        <f>IF(NOT($V32=""),VLOOKUP($V32,Constanten!$A$61:$I$65,6,FALSE),"")</f>
        <v/>
      </c>
      <c r="H32" s="198" t="str">
        <f>IF(NOT($V32=""),VLOOKUP($V32,Constanten!$A$61:$I$65,7,FALSE),"")</f>
        <v/>
      </c>
      <c r="I32" s="198" t="str">
        <f>IF(NOT($V32=""),VLOOKUP($V32,Constanten!$A$61:$I$65,8,FALSE),"")</f>
        <v/>
      </c>
      <c r="J32" s="198" t="str">
        <f>IF(NOT($V32=""),VLOOKUP($V32,Constanten!$A$61:$I$65,9,FALSE),"")</f>
        <v/>
      </c>
      <c r="K32" s="198" t="s">
        <v>112</v>
      </c>
      <c r="L32" s="199" t="b">
        <f>IF(NOT(ISBLANK($Z32)),VLOOKUP($Z32,Oordelen!$A$4:$O$9,15,FALSE))</f>
        <v>0</v>
      </c>
      <c r="M32" s="198">
        <f t="shared" si="0"/>
        <v>0</v>
      </c>
      <c r="N32" s="200">
        <f t="shared" si="4"/>
        <v>0</v>
      </c>
      <c r="O32" s="201">
        <f t="shared" si="5"/>
        <v>0</v>
      </c>
      <c r="P32" s="198"/>
      <c r="Q32" s="234"/>
      <c r="R32" s="185"/>
      <c r="S32" s="175"/>
      <c r="T32" s="183"/>
      <c r="U32" s="270"/>
      <c r="V32" s="268"/>
      <c r="W32" s="181"/>
      <c r="X32" s="186"/>
      <c r="Y32" s="187"/>
      <c r="Z32" s="271"/>
      <c r="AA32" s="273"/>
      <c r="AC32" s="284"/>
      <c r="AD32" s="285"/>
      <c r="AE32" s="285"/>
      <c r="AF32" s="285"/>
      <c r="AG32" s="285"/>
      <c r="AH32" s="286"/>
    </row>
    <row r="33" spans="1:34" ht="28.2" customHeight="1" x14ac:dyDescent="0.25">
      <c r="A33" s="198" t="str">
        <f>IF(NOT(OR(ISBLANK($U33),$U33="")),VLOOKUP($U33,'Leerdoelen,Kennisbasis,Toetsing'!$A$9:$D$23,3,FALSE),"")</f>
        <v/>
      </c>
      <c r="B33" s="198" t="str">
        <f>IF(NOT(OR(ISBLANK($A33),$A33="")),VLOOKUP($A33,Constanten!$A$3:$B$7,2,FALSE),"")</f>
        <v/>
      </c>
      <c r="C33" s="198" t="str">
        <f>IF(NOT($V33=""),VLOOKUP($V33,Constanten!$A$61:$I$65,2,FALSE),"")</f>
        <v/>
      </c>
      <c r="D33" s="198" t="str">
        <f>IF(NOT($V33=""),VLOOKUP($V33,Constanten!$A$61:$I$65,3,FALSE),"")</f>
        <v/>
      </c>
      <c r="E33" s="198" t="str">
        <f>IF(NOT($V33=""),VLOOKUP($V33,Constanten!$A$61:$I$65,4,FALSE),"")</f>
        <v/>
      </c>
      <c r="F33" s="198" t="str">
        <f>IF(NOT($V33=""),VLOOKUP($V33,Constanten!$A$61:$I$65,5,FALSE),"")</f>
        <v/>
      </c>
      <c r="G33" s="198" t="str">
        <f>IF(NOT($V33=""),VLOOKUP($V33,Constanten!$A$61:$I$65,6,FALSE),"")</f>
        <v/>
      </c>
      <c r="H33" s="198" t="str">
        <f>IF(NOT($V33=""),VLOOKUP($V33,Constanten!$A$61:$I$65,7,FALSE),"")</f>
        <v/>
      </c>
      <c r="I33" s="198" t="str">
        <f>IF(NOT($V33=""),VLOOKUP($V33,Constanten!$A$61:$I$65,8,FALSE),"")</f>
        <v/>
      </c>
      <c r="J33" s="198" t="str">
        <f>IF(NOT($V33=""),VLOOKUP($V33,Constanten!$A$61:$I$65,9,FALSE),"")</f>
        <v/>
      </c>
      <c r="K33" s="198" t="s">
        <v>112</v>
      </c>
      <c r="L33" s="199" t="b">
        <f>IF(NOT(ISBLANK($Z33)),VLOOKUP($Z33,Oordelen!$A$4:$O$9,15,FALSE))</f>
        <v>0</v>
      </c>
      <c r="M33" s="198">
        <f t="shared" si="0"/>
        <v>0</v>
      </c>
      <c r="N33" s="200">
        <f t="shared" si="4"/>
        <v>0</v>
      </c>
      <c r="O33" s="201">
        <f t="shared" si="5"/>
        <v>0</v>
      </c>
      <c r="P33" s="198"/>
      <c r="Q33" s="234"/>
      <c r="R33" s="185"/>
      <c r="S33" s="175"/>
      <c r="T33" s="183"/>
      <c r="U33" s="270"/>
      <c r="V33" s="268"/>
      <c r="W33" s="181"/>
      <c r="X33" s="186"/>
      <c r="Y33" s="187"/>
      <c r="Z33" s="271"/>
      <c r="AA33" s="273"/>
      <c r="AC33" s="284"/>
      <c r="AD33" s="285"/>
      <c r="AE33" s="285"/>
      <c r="AF33" s="285"/>
      <c r="AG33" s="285"/>
      <c r="AH33" s="286"/>
    </row>
    <row r="34" spans="1:34" ht="28.2" customHeight="1" x14ac:dyDescent="0.25">
      <c r="A34" s="198" t="str">
        <f>IF(NOT(OR(ISBLANK($U34),$U34="")),VLOOKUP($U34,'Leerdoelen,Kennisbasis,Toetsing'!$A$9:$D$23,3,FALSE),"")</f>
        <v/>
      </c>
      <c r="B34" s="198" t="str">
        <f>IF(NOT(OR(ISBLANK($A34),$A34="")),VLOOKUP($A34,Constanten!$A$3:$B$7,2,FALSE),"")</f>
        <v/>
      </c>
      <c r="C34" s="198" t="str">
        <f>IF(NOT($V34=""),VLOOKUP($V34,Constanten!$A$61:$I$65,2,FALSE),"")</f>
        <v/>
      </c>
      <c r="D34" s="198" t="str">
        <f>IF(NOT($V34=""),VLOOKUP($V34,Constanten!$A$61:$I$65,3,FALSE),"")</f>
        <v/>
      </c>
      <c r="E34" s="198" t="str">
        <f>IF(NOT($V34=""),VLOOKUP($V34,Constanten!$A$61:$I$65,4,FALSE),"")</f>
        <v/>
      </c>
      <c r="F34" s="198" t="str">
        <f>IF(NOT($V34=""),VLOOKUP($V34,Constanten!$A$61:$I$65,5,FALSE),"")</f>
        <v/>
      </c>
      <c r="G34" s="198" t="str">
        <f>IF(NOT($V34=""),VLOOKUP($V34,Constanten!$A$61:$I$65,6,FALSE),"")</f>
        <v/>
      </c>
      <c r="H34" s="198" t="str">
        <f>IF(NOT($V34=""),VLOOKUP($V34,Constanten!$A$61:$I$65,7,FALSE),"")</f>
        <v/>
      </c>
      <c r="I34" s="198" t="str">
        <f>IF(NOT($V34=""),VLOOKUP($V34,Constanten!$A$61:$I$65,8,FALSE),"")</f>
        <v/>
      </c>
      <c r="J34" s="198" t="str">
        <f>IF(NOT($V34=""),VLOOKUP($V34,Constanten!$A$61:$I$65,9,FALSE),"")</f>
        <v/>
      </c>
      <c r="K34" s="198" t="s">
        <v>112</v>
      </c>
      <c r="L34" s="199" t="b">
        <f>IF(NOT(ISBLANK($Z34)),VLOOKUP($Z34,Oordelen!$A$4:$O$9,15,FALSE))</f>
        <v>0</v>
      </c>
      <c r="M34" s="198">
        <f t="shared" si="0"/>
        <v>0</v>
      </c>
      <c r="N34" s="200">
        <f t="shared" si="4"/>
        <v>0</v>
      </c>
      <c r="O34" s="201">
        <f t="shared" si="5"/>
        <v>0</v>
      </c>
      <c r="P34" s="198"/>
      <c r="Q34" s="234"/>
      <c r="R34" s="185"/>
      <c r="S34" s="175"/>
      <c r="T34" s="183"/>
      <c r="U34" s="270"/>
      <c r="V34" s="268"/>
      <c r="W34" s="181"/>
      <c r="X34" s="186"/>
      <c r="Y34" s="187"/>
      <c r="Z34" s="271"/>
      <c r="AA34" s="273"/>
      <c r="AC34" s="284"/>
      <c r="AD34" s="285"/>
      <c r="AE34" s="285"/>
      <c r="AF34" s="285"/>
      <c r="AG34" s="285"/>
      <c r="AH34" s="286"/>
    </row>
    <row r="35" spans="1:34" ht="28.2" customHeight="1" thickBot="1" x14ac:dyDescent="0.3">
      <c r="A35" s="198" t="str">
        <f>IF(NOT(OR(ISBLANK($U35),$U35="")),VLOOKUP($U35,'Leerdoelen,Kennisbasis,Toetsing'!$A$9:$D$23,3,FALSE),"")</f>
        <v/>
      </c>
      <c r="B35" s="198" t="str">
        <f>IF(NOT(OR(ISBLANK($A35),$A35="")),VLOOKUP($A35,Constanten!$A$3:$B$7,2,FALSE),"")</f>
        <v/>
      </c>
      <c r="C35" s="198" t="str">
        <f>IF(NOT($V35=""),VLOOKUP($V35,Constanten!$A$61:$I$65,2,FALSE),"")</f>
        <v/>
      </c>
      <c r="D35" s="198" t="str">
        <f>IF(NOT($V35=""),VLOOKUP($V35,Constanten!$A$61:$I$65,3,FALSE),"")</f>
        <v/>
      </c>
      <c r="E35" s="198" t="str">
        <f>IF(NOT($V35=""),VLOOKUP($V35,Constanten!$A$61:$I$65,4,FALSE),"")</f>
        <v/>
      </c>
      <c r="F35" s="198" t="str">
        <f>IF(NOT($V35=""),VLOOKUP($V35,Constanten!$A$61:$I$65,5,FALSE),"")</f>
        <v/>
      </c>
      <c r="G35" s="198" t="str">
        <f>IF(NOT($V35=""),VLOOKUP($V35,Constanten!$A$61:$I$65,6,FALSE),"")</f>
        <v/>
      </c>
      <c r="H35" s="198" t="str">
        <f>IF(NOT($V35=""),VLOOKUP($V35,Constanten!$A$61:$I$65,7,FALSE),"")</f>
        <v/>
      </c>
      <c r="I35" s="198" t="str">
        <f>IF(NOT($V35=""),VLOOKUP($V35,Constanten!$A$61:$I$65,8,FALSE),"")</f>
        <v/>
      </c>
      <c r="J35" s="198" t="str">
        <f>IF(NOT($V35=""),VLOOKUP($V35,Constanten!$A$61:$I$65,9,FALSE),"")</f>
        <v/>
      </c>
      <c r="K35" s="198" t="s">
        <v>112</v>
      </c>
      <c r="L35" s="199" t="b">
        <f>IF(NOT(ISBLANK($Z35)),VLOOKUP($Z35,Oordelen!$A$4:$O$9,15,FALSE))</f>
        <v>0</v>
      </c>
      <c r="M35" s="198">
        <f t="shared" si="0"/>
        <v>0</v>
      </c>
      <c r="N35" s="200">
        <f>IF(NOT(ISBLANK(Z35)),T35,0)</f>
        <v>0</v>
      </c>
      <c r="O35" s="201">
        <f>IF(AND(ISNUMBER(L35),ISNUMBER(N35)), L35*N35,0)</f>
        <v>0</v>
      </c>
      <c r="P35" s="198"/>
      <c r="Q35" s="275"/>
      <c r="R35" s="188"/>
      <c r="S35" s="176"/>
      <c r="T35" s="276"/>
      <c r="U35" s="277"/>
      <c r="V35" s="278"/>
      <c r="W35" s="182"/>
      <c r="X35" s="189"/>
      <c r="Y35" s="190"/>
      <c r="Z35" s="91"/>
      <c r="AA35" s="279"/>
      <c r="AC35" s="287"/>
      <c r="AD35" s="288"/>
      <c r="AE35" s="288"/>
      <c r="AF35" s="288"/>
      <c r="AG35" s="288"/>
      <c r="AH35" s="289"/>
    </row>
    <row r="36" spans="1:34" ht="13.8" thickBot="1" x14ac:dyDescent="0.3">
      <c r="K36" s="30" t="s">
        <v>112</v>
      </c>
      <c r="L36" s="198"/>
      <c r="M36" s="198" t="b">
        <f>SUM(M11:M35)&gt;0</f>
        <v>0</v>
      </c>
      <c r="N36" s="202">
        <f>SUM(N11:N35)</f>
        <v>24</v>
      </c>
      <c r="O36" s="202">
        <f>SUM(O11:O35)</f>
        <v>264</v>
      </c>
      <c r="Q36" s="172"/>
      <c r="R36" s="172"/>
      <c r="S36" s="172"/>
      <c r="T36" s="293">
        <f>SUM(T11:T35)</f>
        <v>24</v>
      </c>
      <c r="U36" s="172"/>
      <c r="V36" s="172"/>
      <c r="W36" s="172"/>
      <c r="X36" s="172"/>
      <c r="Y36" s="294" t="s">
        <v>247</v>
      </c>
      <c r="Z36" s="295">
        <f>MAX(MIN(O37,10),1)</f>
        <v>10</v>
      </c>
      <c r="AA36" s="280" t="s">
        <v>294</v>
      </c>
      <c r="AC36" s="172"/>
      <c r="AD36" s="172"/>
      <c r="AE36" s="172"/>
      <c r="AF36" s="172"/>
      <c r="AG36" s="172"/>
      <c r="AH36" s="172"/>
    </row>
    <row r="37" spans="1:34" ht="13.8" thickBot="1" x14ac:dyDescent="0.3">
      <c r="K37" s="30" t="s">
        <v>112</v>
      </c>
      <c r="O37" s="203">
        <f>IF(M36,Constanten!B101,IF(N36&gt;0,O36/N36,""))</f>
        <v>11</v>
      </c>
      <c r="Y37" s="291" t="s">
        <v>248</v>
      </c>
      <c r="Z37" s="292"/>
      <c r="AA37" s="516"/>
    </row>
    <row r="38" spans="1:34" ht="13.8" thickBot="1" x14ac:dyDescent="0.3">
      <c r="K38" s="30" t="s">
        <v>112</v>
      </c>
      <c r="Y38" s="290" t="s">
        <v>195</v>
      </c>
      <c r="Z38" s="274">
        <f>IF(Z36&lt;&gt;"",MAX(MIN(Z36+Z37,10),1),"")</f>
        <v>10</v>
      </c>
      <c r="AA38" s="517"/>
    </row>
    <row r="39" spans="1:34" x14ac:dyDescent="0.25">
      <c r="AA39" s="517"/>
    </row>
    <row r="40" spans="1:34" x14ac:dyDescent="0.25">
      <c r="AA40" s="517"/>
    </row>
    <row r="41" spans="1:34" ht="13.8" thickBot="1" x14ac:dyDescent="0.3">
      <c r="AA41" s="518"/>
    </row>
  </sheetData>
  <mergeCells count="23">
    <mergeCell ref="R3:AA3"/>
    <mergeCell ref="AC9:AH9"/>
    <mergeCell ref="F8:F10"/>
    <mergeCell ref="G8:G10"/>
    <mergeCell ref="I8:I10"/>
    <mergeCell ref="Q9:R9"/>
    <mergeCell ref="S9:S10"/>
    <mergeCell ref="T9:T10"/>
    <mergeCell ref="H8:H10"/>
    <mergeCell ref="J8:J10"/>
    <mergeCell ref="R4:AA4"/>
    <mergeCell ref="AA9:AA10"/>
    <mergeCell ref="A8:A10"/>
    <mergeCell ref="B8:B10"/>
    <mergeCell ref="C8:C10"/>
    <mergeCell ref="D8:D10"/>
    <mergeCell ref="E8:E10"/>
    <mergeCell ref="AA37:AA41"/>
    <mergeCell ref="R6:AA6"/>
    <mergeCell ref="R7:S7"/>
    <mergeCell ref="U9:W9"/>
    <mergeCell ref="X9:Y9"/>
    <mergeCell ref="Z9:Z10"/>
  </mergeCells>
  <conditionalFormatting sqref="Q11:AA21 AC11:AH35">
    <cfRule type="expression" dxfId="7" priority="5">
      <formula>$B11="abrikoos"</formula>
    </cfRule>
    <cfRule type="expression" dxfId="6" priority="6">
      <formula>$B11="geel"</formula>
    </cfRule>
    <cfRule type="expression" dxfId="5" priority="7">
      <formula>$B11="groen"</formula>
    </cfRule>
    <cfRule type="expression" dxfId="4" priority="8">
      <formula>$B11="blauw"</formula>
    </cfRule>
  </conditionalFormatting>
  <conditionalFormatting sqref="Q22:AA35">
    <cfRule type="expression" dxfId="3" priority="1">
      <formula>$B22="abrikoos"</formula>
    </cfRule>
    <cfRule type="expression" dxfId="2" priority="2">
      <formula>$B22="geel"</formula>
    </cfRule>
    <cfRule type="expression" dxfId="1" priority="3">
      <formula>$B22="groen"</formula>
    </cfRule>
    <cfRule type="expression" dxfId="0" priority="4">
      <formula>$B22="blauw"</formula>
    </cfRule>
  </conditionalFormatting>
  <dataValidations count="1">
    <dataValidation type="list" allowBlank="1" showInputMessage="1" showErrorMessage="1" sqref="W11:W35">
      <formula1>$C11:$I11</formula1>
    </dataValidation>
  </dataValidations>
  <pageMargins left="0.7" right="0.7" top="0.75" bottom="0.75" header="0.3" footer="0.3"/>
  <pageSetup paperSize="9" scale="67" fitToHeight="0" orientation="landscape"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Oordelen!$A$4:$A$9</xm:f>
          </x14:formula1>
          <xm:sqref>Z11:Z35</xm:sqref>
        </x14:dataValidation>
        <x14:dataValidation type="list" allowBlank="1" showInputMessage="1" showErrorMessage="1">
          <x14:formula1>
            <xm:f>Constanten!$A$53:$A$54</xm:f>
          </x14:formula1>
          <xm:sqref>S11:S35</xm:sqref>
        </x14:dataValidation>
        <x14:dataValidation type="list" allowBlank="1" showInputMessage="1" showErrorMessage="1">
          <x14:formula1>
            <xm:f>Constanten!$A$61:$A$64</xm:f>
          </x14:formula1>
          <xm:sqref>V11:V35</xm:sqref>
        </x14:dataValidation>
        <x14:dataValidation type="list" allowBlank="1" showInputMessage="1" showErrorMessage="1">
          <x14:formula1>
            <xm:f>Constanten!$A$68:$A$97</xm:f>
          </x14:formula1>
          <xm:sqref>Q11:Q35</xm:sqref>
        </x14:dataValidation>
        <x14:dataValidation type="list" allowBlank="1" showInputMessage="1" showErrorMessage="1">
          <x14:formula1>
            <xm:f>'Leerdoelen,Kennisbasis,Toetsing'!$H$9:$H$23</xm:f>
          </x14:formula1>
          <xm:sqref>U11:U35</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4"/>
  <sheetViews>
    <sheetView topLeftCell="A7" workbookViewId="0">
      <selection activeCell="H105" sqref="H105"/>
    </sheetView>
  </sheetViews>
  <sheetFormatPr defaultColWidth="9.109375" defaultRowHeight="13.2" x14ac:dyDescent="0.25"/>
  <cols>
    <col min="1" max="1" width="25" style="30" bestFit="1" customWidth="1"/>
    <col min="2" max="2" width="16.109375" style="30" bestFit="1" customWidth="1"/>
    <col min="3" max="3" width="19.6640625" style="30" bestFit="1" customWidth="1"/>
    <col min="4" max="16384" width="9.109375" style="30"/>
  </cols>
  <sheetData>
    <row r="1" spans="1:3" x14ac:dyDescent="0.25">
      <c r="A1" s="543" t="s">
        <v>268</v>
      </c>
      <c r="B1" s="544"/>
    </row>
    <row r="2" spans="1:3" x14ac:dyDescent="0.25">
      <c r="A2" s="237" t="s">
        <v>115</v>
      </c>
      <c r="B2" s="238" t="s">
        <v>269</v>
      </c>
    </row>
    <row r="3" spans="1:3" x14ac:dyDescent="0.25">
      <c r="A3" s="214" t="s">
        <v>80</v>
      </c>
      <c r="B3" s="235" t="s">
        <v>202</v>
      </c>
    </row>
    <row r="4" spans="1:3" x14ac:dyDescent="0.25">
      <c r="A4" s="214" t="s">
        <v>157</v>
      </c>
      <c r="B4" s="235" t="s">
        <v>203</v>
      </c>
    </row>
    <row r="5" spans="1:3" x14ac:dyDescent="0.25">
      <c r="A5" s="214" t="s">
        <v>158</v>
      </c>
      <c r="B5" s="235" t="s">
        <v>204</v>
      </c>
    </row>
    <row r="6" spans="1:3" x14ac:dyDescent="0.25">
      <c r="A6" s="214" t="s">
        <v>159</v>
      </c>
      <c r="B6" s="235" t="s">
        <v>205</v>
      </c>
    </row>
    <row r="7" spans="1:3" ht="13.8" thickBot="1" x14ac:dyDescent="0.3">
      <c r="A7" s="216" t="s">
        <v>133</v>
      </c>
      <c r="B7" s="236" t="s">
        <v>201</v>
      </c>
    </row>
    <row r="8" spans="1:3" ht="13.8" thickBot="1" x14ac:dyDescent="0.3">
      <c r="A8" s="95"/>
      <c r="B8" s="95"/>
    </row>
    <row r="9" spans="1:3" x14ac:dyDescent="0.25">
      <c r="A9" s="253" t="s">
        <v>268</v>
      </c>
      <c r="B9" s="95"/>
    </row>
    <row r="10" spans="1:3" x14ac:dyDescent="0.25">
      <c r="A10" s="254" t="s">
        <v>155</v>
      </c>
      <c r="B10" s="95"/>
    </row>
    <row r="11" spans="1:3" x14ac:dyDescent="0.25">
      <c r="A11" s="211" t="s">
        <v>61</v>
      </c>
      <c r="B11" s="95"/>
    </row>
    <row r="12" spans="1:3" x14ac:dyDescent="0.25">
      <c r="A12" s="211" t="s">
        <v>111</v>
      </c>
      <c r="B12" s="95"/>
    </row>
    <row r="13" spans="1:3" ht="13.8" thickBot="1" x14ac:dyDescent="0.3">
      <c r="A13" s="212" t="s">
        <v>81</v>
      </c>
      <c r="B13" s="95"/>
    </row>
    <row r="14" spans="1:3" ht="13.8" thickBot="1" x14ac:dyDescent="0.3">
      <c r="A14" s="95"/>
      <c r="B14" s="95"/>
    </row>
    <row r="15" spans="1:3" x14ac:dyDescent="0.25">
      <c r="A15" s="543" t="s">
        <v>271</v>
      </c>
      <c r="B15" s="545"/>
      <c r="C15" s="544"/>
    </row>
    <row r="16" spans="1:3" x14ac:dyDescent="0.25">
      <c r="A16" s="250" t="s">
        <v>114</v>
      </c>
      <c r="B16" s="251" t="s">
        <v>113</v>
      </c>
      <c r="C16" s="252" t="s">
        <v>117</v>
      </c>
    </row>
    <row r="17" spans="1:3" x14ac:dyDescent="0.25">
      <c r="A17" s="244" t="s">
        <v>105</v>
      </c>
      <c r="B17" s="245" t="s">
        <v>110</v>
      </c>
      <c r="C17" s="246" t="s">
        <v>166</v>
      </c>
    </row>
    <row r="18" spans="1:3" x14ac:dyDescent="0.25">
      <c r="A18" s="244" t="s">
        <v>101</v>
      </c>
      <c r="B18" s="245" t="s">
        <v>109</v>
      </c>
      <c r="C18" s="246" t="s">
        <v>167</v>
      </c>
    </row>
    <row r="19" spans="1:3" x14ac:dyDescent="0.25">
      <c r="A19" s="244" t="s">
        <v>102</v>
      </c>
      <c r="B19" s="245" t="s">
        <v>108</v>
      </c>
      <c r="C19" s="246" t="s">
        <v>168</v>
      </c>
    </row>
    <row r="20" spans="1:3" x14ac:dyDescent="0.25">
      <c r="A20" s="244" t="s">
        <v>103</v>
      </c>
      <c r="B20" s="245" t="s">
        <v>107</v>
      </c>
      <c r="C20" s="246" t="s">
        <v>169</v>
      </c>
    </row>
    <row r="21" spans="1:3" x14ac:dyDescent="0.25">
      <c r="A21" s="244" t="s">
        <v>104</v>
      </c>
      <c r="B21" s="245" t="s">
        <v>106</v>
      </c>
      <c r="C21" s="246" t="s">
        <v>170</v>
      </c>
    </row>
    <row r="22" spans="1:3" ht="13.8" thickBot="1" x14ac:dyDescent="0.3">
      <c r="A22" s="247"/>
      <c r="B22" s="248"/>
      <c r="C22" s="249" t="s">
        <v>171</v>
      </c>
    </row>
    <row r="23" spans="1:3" ht="13.8" thickBot="1" x14ac:dyDescent="0.3"/>
    <row r="24" spans="1:3" x14ac:dyDescent="0.25">
      <c r="A24" s="546" t="s">
        <v>272</v>
      </c>
      <c r="B24" s="547"/>
    </row>
    <row r="25" spans="1:3" x14ac:dyDescent="0.25">
      <c r="A25" s="264" t="s">
        <v>276</v>
      </c>
      <c r="B25" s="238" t="s">
        <v>289</v>
      </c>
    </row>
    <row r="26" spans="1:3" x14ac:dyDescent="0.25">
      <c r="A26" s="262" t="s">
        <v>58</v>
      </c>
      <c r="B26" s="235" t="s">
        <v>65</v>
      </c>
    </row>
    <row r="27" spans="1:3" x14ac:dyDescent="0.25">
      <c r="A27" s="262" t="s">
        <v>60</v>
      </c>
      <c r="B27" s="235" t="s">
        <v>66</v>
      </c>
    </row>
    <row r="28" spans="1:3" x14ac:dyDescent="0.25">
      <c r="A28" s="262" t="s">
        <v>61</v>
      </c>
      <c r="B28" s="235" t="s">
        <v>67</v>
      </c>
    </row>
    <row r="29" spans="1:3" x14ac:dyDescent="0.25">
      <c r="A29" s="262" t="s">
        <v>62</v>
      </c>
      <c r="B29" s="235" t="s">
        <v>68</v>
      </c>
    </row>
    <row r="30" spans="1:3" x14ac:dyDescent="0.25">
      <c r="A30" s="262" t="s">
        <v>63</v>
      </c>
      <c r="B30" s="235" t="s">
        <v>69</v>
      </c>
    </row>
    <row r="31" spans="1:3" ht="13.8" thickBot="1" x14ac:dyDescent="0.3">
      <c r="A31" s="263" t="s">
        <v>64</v>
      </c>
      <c r="B31" s="236" t="s">
        <v>70</v>
      </c>
    </row>
    <row r="32" spans="1:3" ht="13.8" thickBot="1" x14ac:dyDescent="0.3"/>
    <row r="33" spans="1:1" x14ac:dyDescent="0.25">
      <c r="A33" s="255" t="s">
        <v>273</v>
      </c>
    </row>
    <row r="34" spans="1:1" x14ac:dyDescent="0.25">
      <c r="A34" s="208" t="s">
        <v>136</v>
      </c>
    </row>
    <row r="35" spans="1:1" x14ac:dyDescent="0.25">
      <c r="A35" s="208" t="s">
        <v>134</v>
      </c>
    </row>
    <row r="36" spans="1:1" ht="13.8" thickBot="1" x14ac:dyDescent="0.3">
      <c r="A36" s="209" t="s">
        <v>135</v>
      </c>
    </row>
    <row r="37" spans="1:1" ht="13.8" thickBot="1" x14ac:dyDescent="0.3"/>
    <row r="38" spans="1:1" x14ac:dyDescent="0.25">
      <c r="A38" s="210" t="s">
        <v>274</v>
      </c>
    </row>
    <row r="39" spans="1:1" x14ac:dyDescent="0.25">
      <c r="A39" s="208" t="s">
        <v>137</v>
      </c>
    </row>
    <row r="40" spans="1:1" x14ac:dyDescent="0.25">
      <c r="A40" s="208" t="s">
        <v>138</v>
      </c>
    </row>
    <row r="41" spans="1:1" x14ac:dyDescent="0.25">
      <c r="A41" s="208" t="s">
        <v>139</v>
      </c>
    </row>
    <row r="42" spans="1:1" x14ac:dyDescent="0.25">
      <c r="A42" s="208" t="s">
        <v>140</v>
      </c>
    </row>
    <row r="43" spans="1:1" x14ac:dyDescent="0.25">
      <c r="A43" s="208" t="s">
        <v>141</v>
      </c>
    </row>
    <row r="44" spans="1:1" x14ac:dyDescent="0.25">
      <c r="A44" s="208" t="s">
        <v>142</v>
      </c>
    </row>
    <row r="45" spans="1:1" x14ac:dyDescent="0.25">
      <c r="A45" s="208" t="s">
        <v>143</v>
      </c>
    </row>
    <row r="46" spans="1:1" x14ac:dyDescent="0.25">
      <c r="A46" s="208" t="s">
        <v>144</v>
      </c>
    </row>
    <row r="47" spans="1:1" x14ac:dyDescent="0.25">
      <c r="A47" s="208" t="s">
        <v>145</v>
      </c>
    </row>
    <row r="48" spans="1:1" x14ac:dyDescent="0.25">
      <c r="A48" s="208" t="s">
        <v>146</v>
      </c>
    </row>
    <row r="49" spans="1:9" ht="13.8" thickBot="1" x14ac:dyDescent="0.3">
      <c r="A49" s="209" t="s">
        <v>147</v>
      </c>
    </row>
    <row r="50" spans="1:9" ht="13.8" thickBot="1" x14ac:dyDescent="0.3"/>
    <row r="51" spans="1:9" x14ac:dyDescent="0.25">
      <c r="A51" s="543" t="s">
        <v>288</v>
      </c>
      <c r="B51" s="545"/>
      <c r="C51" s="545"/>
      <c r="D51" s="544"/>
    </row>
    <row r="52" spans="1:9" x14ac:dyDescent="0.25">
      <c r="A52" s="259" t="s">
        <v>276</v>
      </c>
      <c r="B52" s="260" t="s">
        <v>287</v>
      </c>
      <c r="C52" s="260" t="s">
        <v>277</v>
      </c>
      <c r="D52" s="261" t="s">
        <v>278</v>
      </c>
    </row>
    <row r="53" spans="1:9" x14ac:dyDescent="0.25">
      <c r="A53" s="240" t="s">
        <v>90</v>
      </c>
      <c r="B53" s="241" t="s">
        <v>90</v>
      </c>
      <c r="C53" s="241" t="s">
        <v>283</v>
      </c>
      <c r="D53" s="257" t="b">
        <f>TRUE</f>
        <v>1</v>
      </c>
    </row>
    <row r="54" spans="1:9" x14ac:dyDescent="0.25">
      <c r="A54" s="240" t="s">
        <v>92</v>
      </c>
      <c r="B54" s="241" t="s">
        <v>92</v>
      </c>
      <c r="C54" s="241" t="s">
        <v>284</v>
      </c>
      <c r="D54" s="257" t="b">
        <f>FALSE</f>
        <v>0</v>
      </c>
    </row>
    <row r="55" spans="1:9" x14ac:dyDescent="0.25">
      <c r="A55" s="240"/>
      <c r="B55" s="241" t="s">
        <v>280</v>
      </c>
      <c r="C55" s="241" t="s">
        <v>279</v>
      </c>
      <c r="D55" s="257" t="b">
        <f>TRUE</f>
        <v>1</v>
      </c>
    </row>
    <row r="56" spans="1:9" x14ac:dyDescent="0.25">
      <c r="A56" s="240"/>
      <c r="B56" s="241" t="s">
        <v>281</v>
      </c>
      <c r="C56" s="241" t="s">
        <v>282</v>
      </c>
      <c r="D56" s="257" t="b">
        <f>FALSE</f>
        <v>0</v>
      </c>
    </row>
    <row r="57" spans="1:9" x14ac:dyDescent="0.25">
      <c r="A57" s="240"/>
      <c r="B57" s="241"/>
      <c r="C57" s="241" t="s">
        <v>285</v>
      </c>
      <c r="D57" s="257" t="b">
        <f>TRUE</f>
        <v>1</v>
      </c>
    </row>
    <row r="58" spans="1:9" ht="13.8" thickBot="1" x14ac:dyDescent="0.3">
      <c r="A58" s="242"/>
      <c r="B58" s="243"/>
      <c r="C58" s="243" t="s">
        <v>286</v>
      </c>
      <c r="D58" s="258" t="b">
        <f>FALSE</f>
        <v>0</v>
      </c>
    </row>
    <row r="59" spans="1:9" ht="13.8" thickBot="1" x14ac:dyDescent="0.3"/>
    <row r="60" spans="1:9" x14ac:dyDescent="0.25">
      <c r="A60" s="228" t="s">
        <v>207</v>
      </c>
      <c r="B60" s="222" t="s">
        <v>223</v>
      </c>
      <c r="C60" s="222" t="s">
        <v>224</v>
      </c>
      <c r="D60" s="222" t="s">
        <v>225</v>
      </c>
      <c r="E60" s="222" t="s">
        <v>226</v>
      </c>
      <c r="F60" s="222" t="s">
        <v>227</v>
      </c>
      <c r="G60" s="222" t="s">
        <v>228</v>
      </c>
      <c r="H60" s="222" t="s">
        <v>260</v>
      </c>
      <c r="I60" s="223" t="s">
        <v>261</v>
      </c>
    </row>
    <row r="61" spans="1:9" ht="40.799999999999997" x14ac:dyDescent="0.25">
      <c r="A61" s="229" t="s">
        <v>208</v>
      </c>
      <c r="B61" s="224" t="s">
        <v>216</v>
      </c>
      <c r="C61" s="224" t="s">
        <v>215</v>
      </c>
      <c r="D61" s="224" t="s">
        <v>212</v>
      </c>
      <c r="E61" s="224" t="s">
        <v>213</v>
      </c>
      <c r="F61" s="224" t="s">
        <v>214</v>
      </c>
      <c r="G61" s="224" t="s">
        <v>217</v>
      </c>
      <c r="H61" s="224" t="str">
        <f>""</f>
        <v/>
      </c>
      <c r="I61" s="225" t="str">
        <f>""</f>
        <v/>
      </c>
    </row>
    <row r="62" spans="1:9" ht="20.399999999999999" x14ac:dyDescent="0.25">
      <c r="A62" s="229" t="s">
        <v>209</v>
      </c>
      <c r="B62" s="224" t="s">
        <v>218</v>
      </c>
      <c r="C62" s="224" t="s">
        <v>219</v>
      </c>
      <c r="D62" s="224" t="s">
        <v>220</v>
      </c>
      <c r="E62" s="224" t="s">
        <v>221</v>
      </c>
      <c r="F62" s="224" t="s">
        <v>222</v>
      </c>
      <c r="G62" s="224" t="str">
        <f>""</f>
        <v/>
      </c>
      <c r="H62" s="224" t="str">
        <f>""</f>
        <v/>
      </c>
      <c r="I62" s="225" t="str">
        <f>""</f>
        <v/>
      </c>
    </row>
    <row r="63" spans="1:9" x14ac:dyDescent="0.25">
      <c r="A63" s="229" t="s">
        <v>210</v>
      </c>
      <c r="B63" s="224" t="s">
        <v>229</v>
      </c>
      <c r="C63" s="224" t="s">
        <v>230</v>
      </c>
      <c r="D63" s="224" t="s">
        <v>231</v>
      </c>
      <c r="E63" s="224" t="s">
        <v>232</v>
      </c>
      <c r="F63" s="224" t="str">
        <f>""</f>
        <v/>
      </c>
      <c r="G63" s="224" t="str">
        <f>""</f>
        <v/>
      </c>
      <c r="H63" s="224" t="str">
        <f>""</f>
        <v/>
      </c>
      <c r="I63" s="225" t="str">
        <f>""</f>
        <v/>
      </c>
    </row>
    <row r="64" spans="1:9" ht="40.799999999999997" x14ac:dyDescent="0.25">
      <c r="A64" s="229" t="s">
        <v>211</v>
      </c>
      <c r="B64" s="224" t="s">
        <v>233</v>
      </c>
      <c r="C64" s="224" t="s">
        <v>234</v>
      </c>
      <c r="D64" s="224" t="s">
        <v>235</v>
      </c>
      <c r="E64" s="224" t="s">
        <v>236</v>
      </c>
      <c r="F64" s="224" t="s">
        <v>237</v>
      </c>
      <c r="G64" s="224" t="s">
        <v>238</v>
      </c>
      <c r="H64" s="224" t="str">
        <f>""</f>
        <v/>
      </c>
      <c r="I64" s="225" t="str">
        <f>""</f>
        <v/>
      </c>
    </row>
    <row r="65" spans="1:9" ht="13.8" thickBot="1" x14ac:dyDescent="0.3">
      <c r="A65" s="230" t="s">
        <v>267</v>
      </c>
      <c r="B65" s="226"/>
      <c r="C65" s="226"/>
      <c r="D65" s="226"/>
      <c r="E65" s="226"/>
      <c r="F65" s="226"/>
      <c r="G65" s="226"/>
      <c r="H65" s="226"/>
      <c r="I65" s="227"/>
    </row>
    <row r="66" spans="1:9" ht="13.8" thickBot="1" x14ac:dyDescent="0.3"/>
    <row r="67" spans="1:9" x14ac:dyDescent="0.25">
      <c r="A67" s="213" t="s">
        <v>262</v>
      </c>
    </row>
    <row r="68" spans="1:9" x14ac:dyDescent="0.25">
      <c r="A68" s="220" t="str">
        <f>Toetsmatrijs!DW7</f>
        <v>Samenwerken</v>
      </c>
    </row>
    <row r="69" spans="1:9" x14ac:dyDescent="0.25">
      <c r="A69" s="220" t="str">
        <f>Toetsmatrijs!DZ7</f>
        <v>Vergaderen</v>
      </c>
    </row>
    <row r="70" spans="1:9" x14ac:dyDescent="0.25">
      <c r="A70" s="220" t="str">
        <f>Toetsmatrijs!EC7</f>
        <v>Plannen</v>
      </c>
    </row>
    <row r="71" spans="1:9" x14ac:dyDescent="0.25">
      <c r="A71" s="220" t="e">
        <f>Toetsmatrijs!#REF!</f>
        <v>#REF!</v>
      </c>
    </row>
    <row r="72" spans="1:9" x14ac:dyDescent="0.25">
      <c r="A72" s="220" t="str">
        <f>Toetsmatrijs!EF7</f>
        <v>Ontwerpen</v>
      </c>
    </row>
    <row r="73" spans="1:9" x14ac:dyDescent="0.25">
      <c r="A73" s="220" t="str">
        <f>Toetsmatrijs!EI7</f>
        <v>Coderen</v>
      </c>
    </row>
    <row r="74" spans="1:9" x14ac:dyDescent="0.25">
      <c r="A74" s="220" t="e">
        <f>Toetsmatrijs!#REF!</f>
        <v>#REF!</v>
      </c>
    </row>
    <row r="75" spans="1:9" x14ac:dyDescent="0.25">
      <c r="A75" s="220" t="str">
        <f>Toetsmatrijs!EL7</f>
        <v>Evalueren</v>
      </c>
    </row>
    <row r="76" spans="1:9" x14ac:dyDescent="0.25">
      <c r="A76" s="220" t="str">
        <f>Toetsmatrijs!EO7</f>
        <v>#9</v>
      </c>
    </row>
    <row r="77" spans="1:9" x14ac:dyDescent="0.25">
      <c r="A77" s="220" t="str">
        <f>Toetsmatrijs!ER7</f>
        <v>#10</v>
      </c>
    </row>
    <row r="78" spans="1:9" x14ac:dyDescent="0.25">
      <c r="A78" s="220" t="str">
        <f>Toetsmatrijs!EU7</f>
        <v>#11</v>
      </c>
    </row>
    <row r="79" spans="1:9" x14ac:dyDescent="0.25">
      <c r="A79" s="220" t="str">
        <f>Toetsmatrijs!EX7</f>
        <v>#12</v>
      </c>
    </row>
    <row r="80" spans="1:9" x14ac:dyDescent="0.25">
      <c r="A80" s="220" t="str">
        <f>Toetsmatrijs!FA7</f>
        <v>#13</v>
      </c>
    </row>
    <row r="81" spans="1:1" x14ac:dyDescent="0.25">
      <c r="A81" s="220" t="str">
        <f>Toetsmatrijs!FD7</f>
        <v>#14</v>
      </c>
    </row>
    <row r="82" spans="1:1" x14ac:dyDescent="0.25">
      <c r="A82" s="220" t="str">
        <f>Toetsmatrijs!FG7</f>
        <v>#15</v>
      </c>
    </row>
    <row r="83" spans="1:1" x14ac:dyDescent="0.25">
      <c r="A83" s="220" t="str">
        <f>Toetsmatrijs!FJ7</f>
        <v>#16</v>
      </c>
    </row>
    <row r="84" spans="1:1" x14ac:dyDescent="0.25">
      <c r="A84" s="220" t="str">
        <f>Toetsmatrijs!FM7</f>
        <v>#17</v>
      </c>
    </row>
    <row r="85" spans="1:1" x14ac:dyDescent="0.25">
      <c r="A85" s="220" t="str">
        <f>Toetsmatrijs!FP7</f>
        <v>#18</v>
      </c>
    </row>
    <row r="86" spans="1:1" x14ac:dyDescent="0.25">
      <c r="A86" s="220" t="str">
        <f>Toetsmatrijs!FS7</f>
        <v>#19</v>
      </c>
    </row>
    <row r="87" spans="1:1" x14ac:dyDescent="0.25">
      <c r="A87" s="220" t="str">
        <f>Toetsmatrijs!FV7</f>
        <v>#20</v>
      </c>
    </row>
    <row r="88" spans="1:1" x14ac:dyDescent="0.25">
      <c r="A88" s="220" t="str">
        <f>Toetsmatrijs!FY7</f>
        <v>#21</v>
      </c>
    </row>
    <row r="89" spans="1:1" x14ac:dyDescent="0.25">
      <c r="A89" s="220" t="str">
        <f>Toetsmatrijs!GB7</f>
        <v>#22</v>
      </c>
    </row>
    <row r="90" spans="1:1" x14ac:dyDescent="0.25">
      <c r="A90" s="220" t="str">
        <f>Toetsmatrijs!GE7</f>
        <v>#23</v>
      </c>
    </row>
    <row r="91" spans="1:1" x14ac:dyDescent="0.25">
      <c r="A91" s="220" t="str">
        <f>Toetsmatrijs!GH7</f>
        <v>#24</v>
      </c>
    </row>
    <row r="92" spans="1:1" x14ac:dyDescent="0.25">
      <c r="A92" s="220" t="str">
        <f>Toetsmatrijs!GK7</f>
        <v>#25</v>
      </c>
    </row>
    <row r="93" spans="1:1" x14ac:dyDescent="0.25">
      <c r="A93" s="220" t="str">
        <f>Toetsmatrijs!GN7</f>
        <v>#26</v>
      </c>
    </row>
    <row r="94" spans="1:1" x14ac:dyDescent="0.25">
      <c r="A94" s="220" t="str">
        <f>Toetsmatrijs!GQ7</f>
        <v>#27</v>
      </c>
    </row>
    <row r="95" spans="1:1" x14ac:dyDescent="0.25">
      <c r="A95" s="220" t="str">
        <f>Toetsmatrijs!GT7</f>
        <v>#28</v>
      </c>
    </row>
    <row r="96" spans="1:1" x14ac:dyDescent="0.25">
      <c r="A96" s="220" t="str">
        <f>Toetsmatrijs!GW7</f>
        <v>#29</v>
      </c>
    </row>
    <row r="97" spans="1:4" ht="13.8" thickBot="1" x14ac:dyDescent="0.3">
      <c r="A97" s="221" t="str">
        <f>Toetsmatrijs!GZ7</f>
        <v>#30</v>
      </c>
    </row>
    <row r="98" spans="1:4" ht="13.8" thickBot="1" x14ac:dyDescent="0.3"/>
    <row r="99" spans="1:4" x14ac:dyDescent="0.25">
      <c r="A99" s="218" t="s">
        <v>254</v>
      </c>
      <c r="B99" s="219"/>
    </row>
    <row r="100" spans="1:4" x14ac:dyDescent="0.25">
      <c r="A100" s="214" t="s">
        <v>258</v>
      </c>
      <c r="B100" s="215" t="s">
        <v>178</v>
      </c>
    </row>
    <row r="101" spans="1:4" ht="13.8" thickBot="1" x14ac:dyDescent="0.3">
      <c r="A101" s="216" t="s">
        <v>259</v>
      </c>
      <c r="B101" s="217">
        <f>IF(NOT(ISBLANK($B$100)),VLOOKUP($B$100,Oordelen!$A$4:$O$9,15,FALSE))</f>
        <v>4</v>
      </c>
    </row>
    <row r="103" spans="1:4" x14ac:dyDescent="0.25">
      <c r="A103" s="30" t="s">
        <v>199</v>
      </c>
      <c r="D103" s="30" t="s">
        <v>266</v>
      </c>
    </row>
    <row r="104" spans="1:4" x14ac:dyDescent="0.25">
      <c r="A104" s="30" t="s">
        <v>265</v>
      </c>
    </row>
  </sheetData>
  <mergeCells count="4">
    <mergeCell ref="A1:B1"/>
    <mergeCell ref="A15:C15"/>
    <mergeCell ref="A51:D51"/>
    <mergeCell ref="A24:B24"/>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Oordelen!$A$4:$A$9</xm:f>
          </x14:formula1>
          <xm:sqref>B100</xm:sqref>
        </x14:dataValidation>
        <x14:dataValidation type="list" allowBlank="1" showInputMessage="1" showErrorMessage="1">
          <x14:formula1>
            <xm:f>'Leerdoelen,Kennisbasis,Toetsing'!#REF!</xm:f>
          </x14:formula1>
          <xm:sqref>D104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D7" sqref="D7:N7"/>
    </sheetView>
  </sheetViews>
  <sheetFormatPr defaultRowHeight="13.2" x14ac:dyDescent="0.25"/>
  <sheetData>
    <row r="1" spans="1:15" x14ac:dyDescent="0.25">
      <c r="A1" s="2" t="s">
        <v>181</v>
      </c>
    </row>
    <row r="2" spans="1:15" ht="13.8" thickBot="1" x14ac:dyDescent="0.3"/>
    <row r="3" spans="1:15" x14ac:dyDescent="0.25">
      <c r="A3" s="159" t="s">
        <v>189</v>
      </c>
      <c r="B3" s="553" t="s">
        <v>177</v>
      </c>
      <c r="C3" s="554"/>
      <c r="D3" s="551" t="s">
        <v>187</v>
      </c>
      <c r="E3" s="551"/>
      <c r="F3" s="551"/>
      <c r="G3" s="551"/>
      <c r="H3" s="551"/>
      <c r="I3" s="551"/>
      <c r="J3" s="551"/>
      <c r="K3" s="551"/>
      <c r="L3" s="551"/>
      <c r="M3" s="551"/>
      <c r="N3" s="551"/>
      <c r="O3" s="160" t="s">
        <v>188</v>
      </c>
    </row>
    <row r="4" spans="1:15" x14ac:dyDescent="0.25">
      <c r="A4" s="157" t="s">
        <v>81</v>
      </c>
      <c r="B4" s="555" t="s">
        <v>182</v>
      </c>
      <c r="C4" s="556"/>
      <c r="D4" s="550" t="s">
        <v>190</v>
      </c>
      <c r="E4" s="550"/>
      <c r="F4" s="550"/>
      <c r="G4" s="550"/>
      <c r="H4" s="550"/>
      <c r="I4" s="550"/>
      <c r="J4" s="550"/>
      <c r="K4" s="550"/>
      <c r="L4" s="550"/>
      <c r="M4" s="550"/>
      <c r="N4" s="550"/>
      <c r="O4" s="155">
        <v>2</v>
      </c>
    </row>
    <row r="5" spans="1:15" x14ac:dyDescent="0.25">
      <c r="A5" s="157" t="s">
        <v>178</v>
      </c>
      <c r="B5" s="555" t="s">
        <v>183</v>
      </c>
      <c r="C5" s="556"/>
      <c r="D5" s="550" t="s">
        <v>191</v>
      </c>
      <c r="E5" s="550"/>
      <c r="F5" s="550"/>
      <c r="G5" s="550"/>
      <c r="H5" s="550"/>
      <c r="I5" s="550"/>
      <c r="J5" s="550"/>
      <c r="K5" s="550"/>
      <c r="L5" s="550"/>
      <c r="M5" s="550"/>
      <c r="N5" s="550"/>
      <c r="O5" s="155">
        <v>4</v>
      </c>
    </row>
    <row r="6" spans="1:15" x14ac:dyDescent="0.25">
      <c r="A6" s="157" t="s">
        <v>179</v>
      </c>
      <c r="B6" s="555" t="s">
        <v>184</v>
      </c>
      <c r="C6" s="556"/>
      <c r="D6" s="550" t="s">
        <v>251</v>
      </c>
      <c r="E6" s="550"/>
      <c r="F6" s="550"/>
      <c r="G6" s="550"/>
      <c r="H6" s="550"/>
      <c r="I6" s="550"/>
      <c r="J6" s="550"/>
      <c r="K6" s="550"/>
      <c r="L6" s="550"/>
      <c r="M6" s="550"/>
      <c r="N6" s="550"/>
      <c r="O6" s="155">
        <v>5.5</v>
      </c>
    </row>
    <row r="7" spans="1:15" x14ac:dyDescent="0.25">
      <c r="A7" s="157" t="s">
        <v>180</v>
      </c>
      <c r="B7" s="555" t="s">
        <v>185</v>
      </c>
      <c r="C7" s="556"/>
      <c r="D7" s="550" t="s">
        <v>192</v>
      </c>
      <c r="E7" s="550"/>
      <c r="F7" s="550"/>
      <c r="G7" s="550"/>
      <c r="H7" s="550"/>
      <c r="I7" s="550"/>
      <c r="J7" s="550"/>
      <c r="K7" s="550"/>
      <c r="L7" s="550"/>
      <c r="M7" s="550"/>
      <c r="N7" s="550"/>
      <c r="O7" s="155">
        <v>6.5</v>
      </c>
    </row>
    <row r="8" spans="1:15" x14ac:dyDescent="0.25">
      <c r="A8" s="157" t="s">
        <v>125</v>
      </c>
      <c r="B8" s="555" t="s">
        <v>186</v>
      </c>
      <c r="C8" s="556"/>
      <c r="D8" s="550" t="s">
        <v>193</v>
      </c>
      <c r="E8" s="550"/>
      <c r="F8" s="550"/>
      <c r="G8" s="550"/>
      <c r="H8" s="550"/>
      <c r="I8" s="550"/>
      <c r="J8" s="550"/>
      <c r="K8" s="550"/>
      <c r="L8" s="550"/>
      <c r="M8" s="550"/>
      <c r="N8" s="550"/>
      <c r="O8" s="155">
        <v>8</v>
      </c>
    </row>
    <row r="9" spans="1:15" ht="13.8" thickBot="1" x14ac:dyDescent="0.3">
      <c r="A9" s="158" t="s">
        <v>249</v>
      </c>
      <c r="B9" s="548" t="s">
        <v>250</v>
      </c>
      <c r="C9" s="549"/>
      <c r="D9" s="552" t="s">
        <v>194</v>
      </c>
      <c r="E9" s="552"/>
      <c r="F9" s="552"/>
      <c r="G9" s="552"/>
      <c r="H9" s="552"/>
      <c r="I9" s="552"/>
      <c r="J9" s="552"/>
      <c r="K9" s="552"/>
      <c r="L9" s="552"/>
      <c r="M9" s="552"/>
      <c r="N9" s="552"/>
      <c r="O9" s="156">
        <v>11</v>
      </c>
    </row>
  </sheetData>
  <mergeCells count="14">
    <mergeCell ref="B9:C9"/>
    <mergeCell ref="D4:N4"/>
    <mergeCell ref="D5:N5"/>
    <mergeCell ref="D3:N3"/>
    <mergeCell ref="D6:N6"/>
    <mergeCell ref="D7:N7"/>
    <mergeCell ref="D8:N8"/>
    <mergeCell ref="D9:N9"/>
    <mergeCell ref="B3:C3"/>
    <mergeCell ref="B4:C4"/>
    <mergeCell ref="B5:C5"/>
    <mergeCell ref="B6:C6"/>
    <mergeCell ref="B7:C7"/>
    <mergeCell ref="B8:C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F6A123F2EA08A4689FB755E24CCA508" ma:contentTypeVersion="" ma:contentTypeDescription="Een nieuw document maken." ma:contentTypeScope="" ma:versionID="c708888c9e91d892cee57178770b6705">
  <xsd:schema xmlns:xsd="http://www.w3.org/2001/XMLSchema" xmlns:xs="http://www.w3.org/2001/XMLSchema" xmlns:p="http://schemas.microsoft.com/office/2006/metadata/properties" xmlns:ns2="9ab5e87a-ed8e-45a5-9793-059f67398425" targetNamespace="http://schemas.microsoft.com/office/2006/metadata/properties" ma:root="true" ma:fieldsID="e36a552b910c1cdf142adc90bba5ebe9" ns2:_="">
    <xsd:import namespace="9ab5e87a-ed8e-45a5-9793-059f67398425"/>
    <xsd:element name="properties">
      <xsd:complexType>
        <xsd:sequence>
          <xsd:element name="documentManagement">
            <xsd:complexType>
              <xsd:all>
                <xsd:element ref="ns2:Categorie" minOccurs="0"/>
                <xsd:element ref="ns2:Week" minOccurs="0"/>
                <xsd:element ref="ns2:Volgorde_x0020_Document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b5e87a-ed8e-45a5-9793-059f67398425" elementFormDefault="qualified">
    <xsd:import namespace="http://schemas.microsoft.com/office/2006/documentManagement/types"/>
    <xsd:import namespace="http://schemas.microsoft.com/office/infopath/2007/PartnerControls"/>
    <xsd:element name="Categorie" ma:index="8" nillable="true" ma:displayName="Categorie" ma:default="Extra" ma:description="Hier wordt de categorie vermeld waaronder het studiemateriaal valt" ma:format="Dropdown" ma:internalName="Categorie">
      <xsd:simpleType>
        <xsd:union memberTypes="dms:Text">
          <xsd:simpleType>
            <xsd:restriction base="dms:Choice">
              <xsd:enumeration value="Cursushandleiding"/>
              <xsd:enumeration value="Formulier"/>
              <xsd:enumeration value="FAQ"/>
              <xsd:enumeration value="Presentaties college"/>
              <xsd:enumeration value="Proeftentamen"/>
              <xsd:enumeration value="Extra"/>
            </xsd:restriction>
          </xsd:simpleType>
        </xsd:union>
      </xsd:simpleType>
    </xsd:element>
    <xsd:element name="Week" ma:index="9" nillable="true" ma:displayName="Week" ma:default="Geen week" ma:description="Alleen van belang als u het studiemateriaal wil groeperen per week." ma:format="Dropdown" ma:internalName="Week">
      <xsd:simpleType>
        <xsd:restriction base="dms:Choice">
          <xsd:enumeration value="Geen week"/>
          <xsd:enumeration value="Week 1"/>
          <xsd:enumeration value="Week 2"/>
          <xsd:enumeration value="Week 3"/>
          <xsd:enumeration value="Week 4"/>
          <xsd:enumeration value="Week 5"/>
          <xsd:enumeration value="Week 6"/>
          <xsd:enumeration value="Week 7"/>
          <xsd:enumeration value="Week 8"/>
          <xsd:enumeration value="Week 9"/>
          <xsd:enumeration value="Week 10"/>
        </xsd:restriction>
      </xsd:simpleType>
    </xsd:element>
    <xsd:element name="Volgorde_x0020_Documenten" ma:index="10" nillable="true" ma:displayName="Volgorde Documenten" ma:decimals="0" ma:default="9999" ma:description="Deze kolom biedt de mogelijkheid de volgorde van de documenten op deze lijst te bepalen" ma:internalName="Volgorde_x0020_Documenten"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Volgorde_x0020_Documenten xmlns="9ab5e87a-ed8e-45a5-9793-059f67398425">9999</Volgorde_x0020_Documenten>
    <Categorie xmlns="9ab5e87a-ed8e-45a5-9793-059f67398425">Extra</Categorie>
    <Week xmlns="9ab5e87a-ed8e-45a5-9793-059f67398425">Geen week</Week>
  </documentManagement>
</p:properties>
</file>

<file path=customXml/itemProps1.xml><?xml version="1.0" encoding="utf-8"?>
<ds:datastoreItem xmlns:ds="http://schemas.openxmlformats.org/officeDocument/2006/customXml" ds:itemID="{DBFCFB4B-EF3D-42C0-85B2-B96568681851}"/>
</file>

<file path=customXml/itemProps2.xml><?xml version="1.0" encoding="utf-8"?>
<ds:datastoreItem xmlns:ds="http://schemas.openxmlformats.org/officeDocument/2006/customXml" ds:itemID="{9370CF5A-703D-4DEC-A377-3D5572661CDB}"/>
</file>

<file path=customXml/itemProps3.xml><?xml version="1.0" encoding="utf-8"?>
<ds:datastoreItem xmlns:ds="http://schemas.openxmlformats.org/officeDocument/2006/customXml" ds:itemID="{9F50BF78-01C7-4FCE-9188-C8D1A06077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Cursusinfo (leerplanschema)</vt:lpstr>
      <vt:lpstr>Leerdoelen,Kennisbasis,Toetsing</vt:lpstr>
      <vt:lpstr>Toetsmatrijs</vt:lpstr>
      <vt:lpstr>Beoordelingsformulier</vt:lpstr>
      <vt:lpstr>Constanten</vt:lpstr>
      <vt:lpstr>Oordelen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joost@schalken.me</dc:creator>
  <cp:lastModifiedBy>Jan Zuurbier</cp:lastModifiedBy>
  <cp:lastPrinted>2016-04-18T14:16:26Z</cp:lastPrinted>
  <dcterms:created xsi:type="dcterms:W3CDTF">2014-03-12T13:27:58Z</dcterms:created>
  <dcterms:modified xsi:type="dcterms:W3CDTF">2018-01-26T20:34:41Z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0x010100CF6A123F2EA08A4689FB755E24CCA508</vt:lpwstr>
  </property>
</Properties>
</file>