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6" i="1" l="1"/>
  <c r="D105" i="1"/>
  <c r="B106" i="1"/>
  <c r="B105" i="1"/>
  <c r="C82" i="1"/>
  <c r="C81" i="1"/>
  <c r="B82" i="1"/>
  <c r="B81" i="1"/>
  <c r="I57" i="1"/>
  <c r="I56" i="1"/>
  <c r="I55" i="1"/>
  <c r="D57" i="1"/>
  <c r="C57" i="1"/>
  <c r="B57" i="1"/>
  <c r="K48" i="1"/>
  <c r="J49" i="1"/>
  <c r="J48" i="1"/>
  <c r="H50" i="1"/>
  <c r="H49" i="1"/>
  <c r="H56" i="1"/>
  <c r="H57" i="1"/>
  <c r="H55" i="1"/>
  <c r="G57" i="1"/>
  <c r="G56" i="1"/>
  <c r="G55" i="1"/>
  <c r="F56" i="1"/>
  <c r="F57" i="1"/>
  <c r="F55" i="1"/>
  <c r="F51" i="1"/>
  <c r="F50" i="1"/>
  <c r="F49" i="1"/>
  <c r="F48" i="1"/>
  <c r="I50" i="1"/>
  <c r="I4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59" i="1"/>
  <c r="I48" i="1"/>
  <c r="B61" i="1"/>
  <c r="B60" i="1"/>
  <c r="E36" i="1" a="1"/>
  <c r="K36" i="1" s="1"/>
  <c r="H36" i="1"/>
  <c r="I36" i="1"/>
  <c r="J36" i="1"/>
  <c r="X36" i="1"/>
  <c r="Y36" i="1"/>
  <c r="E37" i="1"/>
  <c r="T37" i="1"/>
  <c r="U37" i="1"/>
  <c r="O38" i="1"/>
  <c r="P38" i="1"/>
  <c r="R2" i="1"/>
  <c r="S2" i="1"/>
  <c r="N3" i="1"/>
  <c r="R4" i="1"/>
  <c r="S4" i="1"/>
  <c r="O8" i="1"/>
  <c r="P8" i="1"/>
  <c r="R8" i="1"/>
  <c r="S8" i="1"/>
  <c r="R10" i="1"/>
  <c r="S10" i="1"/>
  <c r="O12" i="1"/>
  <c r="P12" i="1"/>
  <c r="R12" i="1"/>
  <c r="S12" i="1"/>
  <c r="R16" i="1"/>
  <c r="S16" i="1"/>
  <c r="N17" i="1"/>
  <c r="R18" i="1"/>
  <c r="S18" i="1"/>
  <c r="R20" i="1"/>
  <c r="S20" i="1"/>
  <c r="N21" i="1"/>
  <c r="K6" i="1"/>
  <c r="K17" i="1"/>
  <c r="K18" i="1"/>
  <c r="K19" i="1"/>
  <c r="K20" i="1"/>
  <c r="K21" i="1"/>
  <c r="K22" i="1"/>
  <c r="C23" i="1"/>
  <c r="L4" i="1" s="1"/>
  <c r="D23" i="1"/>
  <c r="M2" i="1" s="1"/>
  <c r="E23" i="1"/>
  <c r="N4" i="1" s="1"/>
  <c r="F23" i="1"/>
  <c r="O3" i="1" s="1"/>
  <c r="G23" i="1"/>
  <c r="P3" i="1" s="1"/>
  <c r="H23" i="1"/>
  <c r="Q3" i="1" s="1"/>
  <c r="I23" i="1"/>
  <c r="R3" i="1" s="1"/>
  <c r="J23" i="1"/>
  <c r="S9" i="1" s="1"/>
  <c r="B23" i="1"/>
  <c r="K7" i="1" s="1"/>
  <c r="N8" i="1" l="1"/>
  <c r="S37" i="1"/>
  <c r="Q2" i="1"/>
  <c r="M38" i="1"/>
  <c r="F36" i="1"/>
  <c r="O11" i="1"/>
  <c r="G36" i="1"/>
  <c r="P16" i="1"/>
  <c r="N7" i="1"/>
  <c r="L38" i="1"/>
  <c r="Q37" i="1"/>
  <c r="O20" i="1"/>
  <c r="E36" i="1"/>
  <c r="N2" i="1"/>
  <c r="N23" i="1" s="1"/>
  <c r="W36" i="1"/>
  <c r="P20" i="1"/>
  <c r="P2" i="1"/>
  <c r="O6" i="1"/>
  <c r="N12" i="1"/>
  <c r="N38" i="1"/>
  <c r="Q16" i="1"/>
  <c r="R37" i="1"/>
  <c r="N16" i="1"/>
  <c r="N19" i="1"/>
  <c r="P10" i="1"/>
  <c r="H38" i="1"/>
  <c r="O10" i="1"/>
  <c r="Q36" i="1"/>
  <c r="Y37" i="1"/>
  <c r="Q20" i="1"/>
  <c r="O15" i="1"/>
  <c r="O5" i="1"/>
  <c r="Y38" i="1"/>
  <c r="N37" i="1"/>
  <c r="S36" i="1"/>
  <c r="N15" i="1"/>
  <c r="N5" i="1"/>
  <c r="X38" i="1"/>
  <c r="M37" i="1"/>
  <c r="W38" i="1"/>
  <c r="G38" i="1"/>
  <c r="Q18" i="1"/>
  <c r="Q4" i="1"/>
  <c r="E38" i="1"/>
  <c r="O36" i="1"/>
  <c r="N13" i="1"/>
  <c r="H37" i="1"/>
  <c r="O7" i="1"/>
  <c r="O16" i="1"/>
  <c r="O2" i="1"/>
  <c r="O23" i="1" s="1"/>
  <c r="K38" i="1"/>
  <c r="P37" i="1"/>
  <c r="U36" i="1"/>
  <c r="N20" i="1"/>
  <c r="N6" i="1"/>
  <c r="J38" i="1"/>
  <c r="O37" i="1"/>
  <c r="T36" i="1"/>
  <c r="O19" i="1"/>
  <c r="Q10" i="1"/>
  <c r="I38" i="1"/>
  <c r="R36" i="1"/>
  <c r="L37" i="1"/>
  <c r="N10" i="1"/>
  <c r="V38" i="1"/>
  <c r="K37" i="1"/>
  <c r="O13" i="1"/>
  <c r="P4" i="1"/>
  <c r="T38" i="1"/>
  <c r="I37" i="1"/>
  <c r="N36" i="1"/>
  <c r="N11" i="1"/>
  <c r="V36" i="1"/>
  <c r="O14" i="1"/>
  <c r="N14" i="1"/>
  <c r="F38" i="1"/>
  <c r="P36" i="1"/>
  <c r="O9" i="1"/>
  <c r="U38" i="1"/>
  <c r="J37" i="1"/>
  <c r="P18" i="1"/>
  <c r="N9" i="1"/>
  <c r="O22" i="1"/>
  <c r="O18" i="1"/>
  <c r="O4" i="1"/>
  <c r="S38" i="1"/>
  <c r="X37" i="1"/>
  <c r="M36" i="1"/>
  <c r="N22" i="1"/>
  <c r="N18" i="1"/>
  <c r="R38" i="1"/>
  <c r="W37" i="1"/>
  <c r="G37" i="1"/>
  <c r="L36" i="1"/>
  <c r="O21" i="1"/>
  <c r="O17" i="1"/>
  <c r="Q12" i="1"/>
  <c r="Q8" i="1"/>
  <c r="Q38" i="1"/>
  <c r="V37" i="1"/>
  <c r="F37" i="1"/>
  <c r="M22" i="1"/>
  <c r="M3" i="1"/>
  <c r="L3" i="1"/>
  <c r="L19" i="1"/>
  <c r="M8" i="1"/>
  <c r="M13" i="1"/>
  <c r="L8" i="1"/>
  <c r="M6" i="1"/>
  <c r="L22" i="1"/>
  <c r="M5" i="1"/>
  <c r="L11" i="1"/>
  <c r="M19" i="1"/>
  <c r="L14" i="1"/>
  <c r="L21" i="1"/>
  <c r="L5" i="1"/>
  <c r="K5" i="1"/>
  <c r="M7" i="1"/>
  <c r="M14" i="1"/>
  <c r="L6" i="1"/>
  <c r="M16" i="1"/>
  <c r="L16" i="1"/>
  <c r="K4" i="1"/>
  <c r="M18" i="1"/>
  <c r="M15" i="1"/>
  <c r="L15" i="1"/>
  <c r="L10" i="1"/>
  <c r="L7" i="1"/>
  <c r="S22" i="1"/>
  <c r="R14" i="1"/>
  <c r="R6" i="1"/>
  <c r="Q22" i="1"/>
  <c r="M20" i="1"/>
  <c r="M17" i="1"/>
  <c r="Q14" i="1"/>
  <c r="M12" i="1"/>
  <c r="M9" i="1"/>
  <c r="Q6" i="1"/>
  <c r="M4" i="1"/>
  <c r="M11" i="1"/>
  <c r="M21" i="1"/>
  <c r="L13" i="1"/>
  <c r="M10" i="1"/>
  <c r="K3" i="1"/>
  <c r="L18" i="1"/>
  <c r="L2" i="1"/>
  <c r="S14" i="1"/>
  <c r="S6" i="1"/>
  <c r="R22" i="1"/>
  <c r="P22" i="1"/>
  <c r="L20" i="1"/>
  <c r="L17" i="1"/>
  <c r="P14" i="1"/>
  <c r="L12" i="1"/>
  <c r="L9" i="1"/>
  <c r="P6" i="1"/>
  <c r="K14" i="1"/>
  <c r="K16" i="1"/>
  <c r="K10" i="1"/>
  <c r="S15" i="1"/>
  <c r="S5" i="1"/>
  <c r="K13" i="1"/>
  <c r="K12" i="1"/>
  <c r="K11" i="1"/>
  <c r="S19" i="1"/>
  <c r="S13" i="1"/>
  <c r="S7" i="1"/>
  <c r="S3" i="1"/>
  <c r="R17" i="1"/>
  <c r="S11" i="1"/>
  <c r="Q19" i="1"/>
  <c r="Q7" i="1"/>
  <c r="K15" i="1"/>
  <c r="S21" i="1"/>
  <c r="S17" i="1"/>
  <c r="K9" i="1"/>
  <c r="R21" i="1"/>
  <c r="R19" i="1"/>
  <c r="R15" i="1"/>
  <c r="R13" i="1"/>
  <c r="R11" i="1"/>
  <c r="R9" i="1"/>
  <c r="R7" i="1"/>
  <c r="R5" i="1"/>
  <c r="K8" i="1"/>
  <c r="Q21" i="1"/>
  <c r="Q17" i="1"/>
  <c r="Q15" i="1"/>
  <c r="Q13" i="1"/>
  <c r="Q11" i="1"/>
  <c r="Q9" i="1"/>
  <c r="Q5" i="1"/>
  <c r="K2" i="1"/>
  <c r="P21" i="1"/>
  <c r="P19" i="1"/>
  <c r="P17" i="1"/>
  <c r="P15" i="1"/>
  <c r="P13" i="1"/>
  <c r="P11" i="1"/>
  <c r="P9" i="1"/>
  <c r="P7" i="1"/>
  <c r="P5" i="1"/>
  <c r="E40" i="1" l="1" a="1"/>
  <c r="E44" i="1" a="1"/>
  <c r="Y6" i="1"/>
  <c r="W4" i="1"/>
  <c r="M23" i="1"/>
  <c r="Y8" i="1"/>
  <c r="X7" i="1"/>
  <c r="W5" i="1"/>
  <c r="X10" i="1"/>
  <c r="Z8" i="1"/>
  <c r="L23" i="1"/>
  <c r="X8" i="1"/>
  <c r="X5" i="1"/>
  <c r="E29" i="1" s="1"/>
  <c r="AB10" i="1"/>
  <c r="AA10" i="1"/>
  <c r="F30" i="1"/>
  <c r="W6" i="1"/>
  <c r="Y10" i="1"/>
  <c r="B29" i="1" s="1"/>
  <c r="S23" i="1"/>
  <c r="Z9" i="1"/>
  <c r="X6" i="1"/>
  <c r="E30" i="1" s="1"/>
  <c r="V10" i="1"/>
  <c r="V4" i="1"/>
  <c r="V3" i="1"/>
  <c r="K23" i="1"/>
  <c r="V9" i="1"/>
  <c r="C33" i="1" s="1"/>
  <c r="V8" i="1"/>
  <c r="V5" i="1"/>
  <c r="C29" i="1" s="1"/>
  <c r="V7" i="1"/>
  <c r="V6" i="1"/>
  <c r="C30" i="1" s="1"/>
  <c r="Z7" i="1"/>
  <c r="AA8" i="1"/>
  <c r="W8" i="1"/>
  <c r="Y7" i="1"/>
  <c r="P23" i="1"/>
  <c r="W7" i="1"/>
  <c r="W10" i="1"/>
  <c r="AA9" i="1"/>
  <c r="X9" i="1"/>
  <c r="R23" i="1"/>
  <c r="Y9" i="1"/>
  <c r="F33" i="1" s="1"/>
  <c r="Z10" i="1"/>
  <c r="AB9" i="1"/>
  <c r="AC10" i="1"/>
  <c r="Q23" i="1"/>
  <c r="W9" i="1"/>
  <c r="E44" i="1" l="1"/>
  <c r="E46" i="1"/>
  <c r="E45" i="1"/>
  <c r="F41" i="1"/>
  <c r="F40" i="1"/>
  <c r="G40" i="1"/>
  <c r="G42" i="1"/>
  <c r="E40" i="1"/>
  <c r="E41" i="1"/>
  <c r="E42" i="1"/>
  <c r="F42" i="1"/>
  <c r="G41" i="1"/>
  <c r="B31" i="1"/>
  <c r="B30" i="1"/>
  <c r="F31" i="1"/>
  <c r="B33" i="1"/>
  <c r="C31" i="1"/>
  <c r="I33" i="1"/>
  <c r="G33" i="1"/>
  <c r="G31" i="1"/>
  <c r="B32" i="1"/>
  <c r="B28" i="1"/>
  <c r="G32" i="1"/>
  <c r="E33" i="1"/>
  <c r="B26" i="1"/>
  <c r="C32" i="1"/>
  <c r="H33" i="1"/>
  <c r="C28" i="1"/>
  <c r="E32" i="1"/>
  <c r="F32" i="1"/>
  <c r="E31" i="1"/>
  <c r="H32" i="1"/>
  <c r="H40" i="1" l="1" a="1"/>
  <c r="H40" i="1" l="1"/>
  <c r="J42" i="1"/>
  <c r="I42" i="1"/>
  <c r="H42" i="1"/>
  <c r="I40" i="1"/>
  <c r="I41" i="1"/>
  <c r="H41" i="1"/>
  <c r="J40" i="1"/>
  <c r="J41" i="1"/>
  <c r="B59" i="1" l="1"/>
  <c r="G44" i="1" a="1"/>
  <c r="G44" i="1" l="1"/>
  <c r="G45" i="1"/>
  <c r="G46" i="1"/>
  <c r="A74" i="1" l="1"/>
  <c r="A78" i="1"/>
  <c r="A59" i="1"/>
  <c r="A71" i="1"/>
  <c r="A73" i="1"/>
  <c r="A75" i="1"/>
  <c r="A77" i="1"/>
  <c r="A79" i="1"/>
  <c r="A64" i="1"/>
  <c r="A67" i="1"/>
  <c r="A68" i="1"/>
  <c r="A70" i="1"/>
  <c r="A60" i="1"/>
  <c r="A76" i="1"/>
  <c r="A62" i="1"/>
  <c r="A65" i="1"/>
  <c r="A66" i="1"/>
  <c r="A61" i="1"/>
  <c r="A63" i="1"/>
  <c r="A69" i="1"/>
  <c r="A72" i="1"/>
</calcChain>
</file>

<file path=xl/sharedStrings.xml><?xml version="1.0" encoding="utf-8"?>
<sst xmlns="http://schemas.openxmlformats.org/spreadsheetml/2006/main" count="100" uniqueCount="66">
  <si>
    <t>Y</t>
  </si>
  <si>
    <t>X2</t>
  </si>
  <si>
    <t>X3</t>
  </si>
  <si>
    <t>X4</t>
  </si>
  <si>
    <t>X5</t>
  </si>
  <si>
    <t>X6</t>
  </si>
  <si>
    <t>X7</t>
  </si>
  <si>
    <t>X8</t>
  </si>
  <si>
    <t>Y (цен. Кварт, тыс. $)</t>
  </si>
  <si>
    <t>X3 (общ. Площадь кв. М^2)</t>
  </si>
  <si>
    <t>X2 (район)</t>
  </si>
  <si>
    <t>X4 (жилая Площадь кв. М^2)</t>
  </si>
  <si>
    <t>X5(Площадь кухни кв. М^2)</t>
  </si>
  <si>
    <t>X6 (тип дома, 1 - кирпичный)</t>
  </si>
  <si>
    <t>X7 (наличие балкона)</t>
  </si>
  <si>
    <t>X8(осталось месяцев)</t>
  </si>
  <si>
    <r>
      <t>X</t>
    </r>
    <r>
      <rPr>
        <vertAlign val="subscript"/>
        <sz val="12"/>
        <color theme="1"/>
        <rFont val="Times New Roman"/>
        <family val="1"/>
        <charset val="204"/>
      </rPr>
      <t xml:space="preserve">1 </t>
    </r>
    <r>
      <rPr>
        <i/>
        <vertAlign val="subscript"/>
        <sz val="14"/>
        <color theme="1"/>
        <rFont val="Times New Roman"/>
        <family val="1"/>
        <charset val="204"/>
      </rPr>
      <t>(число комнат)</t>
    </r>
  </si>
  <si>
    <t>факторные признаки</t>
  </si>
  <si>
    <t>X1</t>
  </si>
  <si>
    <t>среднее</t>
  </si>
  <si>
    <t>X1 откл</t>
  </si>
  <si>
    <t>X2 откл</t>
  </si>
  <si>
    <t>X3 откл</t>
  </si>
  <si>
    <t>X4 откл</t>
  </si>
  <si>
    <t>X5 откл</t>
  </si>
  <si>
    <t>X6 откл</t>
  </si>
  <si>
    <t>X7 откл</t>
  </si>
  <si>
    <t>X8 откл</t>
  </si>
  <si>
    <t>Y откл</t>
  </si>
  <si>
    <t>b0</t>
  </si>
  <si>
    <t>b3</t>
  </si>
  <si>
    <t>Регрессионная стат</t>
  </si>
  <si>
    <t>Множественный R</t>
  </si>
  <si>
    <t>R^2</t>
  </si>
  <si>
    <t>Нормированный R^2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</si>
  <si>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</si>
  <si>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</si>
  <si>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</si>
  <si>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</si>
  <si>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</si>
  <si>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</si>
  <si>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df</t>
  </si>
  <si>
    <t>SS</t>
  </si>
  <si>
    <t>MS</t>
  </si>
  <si>
    <t>F</t>
  </si>
  <si>
    <t>Коэффициенты модели</t>
  </si>
  <si>
    <t>Y-пересечение</t>
  </si>
  <si>
    <t>Общая площадь (X3)</t>
  </si>
  <si>
    <t>b4</t>
  </si>
  <si>
    <t>XT * X</t>
  </si>
  <si>
    <t>XT</t>
  </si>
  <si>
    <t>Жилая площадь (X4)</t>
  </si>
  <si>
    <t>Обратная (XT*X)</t>
  </si>
  <si>
    <t>XT * Y</t>
  </si>
  <si>
    <t>B вектор</t>
  </si>
  <si>
    <t>Коэффициенты</t>
  </si>
  <si>
    <t>t-статистика</t>
  </si>
  <si>
    <t>X0</t>
  </si>
  <si>
    <t>Y предск</t>
  </si>
  <si>
    <t>Стандартная ошибка sb</t>
  </si>
  <si>
    <t>S восп</t>
  </si>
  <si>
    <t>Y ср</t>
  </si>
  <si>
    <t>Эластичность</t>
  </si>
  <si>
    <t>X3 прогноз (общ. Площадь кв. М^2)</t>
  </si>
  <si>
    <t>X4 прогноз (жилая Площадь кв. М^2)</t>
  </si>
  <si>
    <t>Y  прогноз(цен. Кварт, тыс.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</si>
</sst>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2" fontId="0" fillId="0" borderId="0" xfId="0" applyNumberFormat="1"/>
    <xf numFmtId="0" fontId="6" fillId="0" borderId="0" xfId="0" applyFont="1"/>
    <xf numFmtId="2" fontId="6" fillId="0" borderId="0" xfId="0" applyNumberFormat="1" applyFont="1"/>
    <xf numFmtId="0" fontId="1" fillId="2" borderId="0" xfId="1"/>
    <xf numFmtId="2" fontId="1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Тренд для </a:t>
            </a:r>
            <a:r>
              <a:rPr lang="en-US"/>
              <a:t>X3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marker>
            <c:symbol val="none"/>
          </c:marker>
          <c:cat>
            <c:numRef>
              <c:f>Лист1!$A$84:$A$106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</c:numCache>
            </c:numRef>
          </c:cat>
          <c:val>
            <c:numRef>
              <c:f>Лист1!$B$36:$B$56</c:f>
              <c:numCache>
                <c:formatCode>General</c:formatCode>
                <c:ptCount val="21"/>
                <c:pt idx="0">
                  <c:v>39</c:v>
                </c:pt>
                <c:pt idx="1">
                  <c:v>68.400000000000006</c:v>
                </c:pt>
                <c:pt idx="2">
                  <c:v>34.799999999999997</c:v>
                </c:pt>
                <c:pt idx="3">
                  <c:v>39</c:v>
                </c:pt>
                <c:pt idx="4">
                  <c:v>54.7</c:v>
                </c:pt>
                <c:pt idx="5">
                  <c:v>74.7</c:v>
                </c:pt>
                <c:pt idx="6">
                  <c:v>71.7</c:v>
                </c:pt>
                <c:pt idx="7">
                  <c:v>74.5</c:v>
                </c:pt>
                <c:pt idx="8">
                  <c:v>137.69999999999999</c:v>
                </c:pt>
                <c:pt idx="9">
                  <c:v>37</c:v>
                </c:pt>
                <c:pt idx="10">
                  <c:v>69</c:v>
                </c:pt>
                <c:pt idx="11">
                  <c:v>40</c:v>
                </c:pt>
                <c:pt idx="12">
                  <c:v>69.099999999999994</c:v>
                </c:pt>
                <c:pt idx="13">
                  <c:v>68.099999999999994</c:v>
                </c:pt>
                <c:pt idx="14">
                  <c:v>75.3</c:v>
                </c:pt>
                <c:pt idx="15">
                  <c:v>83.7</c:v>
                </c:pt>
                <c:pt idx="16">
                  <c:v>48.7</c:v>
                </c:pt>
                <c:pt idx="17">
                  <c:v>39.9</c:v>
                </c:pt>
                <c:pt idx="18">
                  <c:v>68.599999999999994</c:v>
                </c:pt>
                <c:pt idx="19">
                  <c:v>39</c:v>
                </c:pt>
                <c:pt idx="20">
                  <c:v>48.6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57-43E9-A71E-A24CC15C6EC2}"/>
            </c:ext>
          </c:extLst>
        </c:ser>
        <c:ser>
          <c:idx val="3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Лист1!$A$84:$A$106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</c:numCache>
            </c:numRef>
          </c:cat>
          <c:val>
            <c:numRef>
              <c:f>Лист1!$B$36:$B$56</c:f>
              <c:numCache>
                <c:formatCode>General</c:formatCode>
                <c:ptCount val="21"/>
                <c:pt idx="0">
                  <c:v>39</c:v>
                </c:pt>
                <c:pt idx="1">
                  <c:v>68.400000000000006</c:v>
                </c:pt>
                <c:pt idx="2">
                  <c:v>34.799999999999997</c:v>
                </c:pt>
                <c:pt idx="3">
                  <c:v>39</c:v>
                </c:pt>
                <c:pt idx="4">
                  <c:v>54.7</c:v>
                </c:pt>
                <c:pt idx="5">
                  <c:v>74.7</c:v>
                </c:pt>
                <c:pt idx="6">
                  <c:v>71.7</c:v>
                </c:pt>
                <c:pt idx="7">
                  <c:v>74.5</c:v>
                </c:pt>
                <c:pt idx="8">
                  <c:v>137.69999999999999</c:v>
                </c:pt>
                <c:pt idx="9">
                  <c:v>37</c:v>
                </c:pt>
                <c:pt idx="10">
                  <c:v>69</c:v>
                </c:pt>
                <c:pt idx="11">
                  <c:v>40</c:v>
                </c:pt>
                <c:pt idx="12">
                  <c:v>69.099999999999994</c:v>
                </c:pt>
                <c:pt idx="13">
                  <c:v>68.099999999999994</c:v>
                </c:pt>
                <c:pt idx="14">
                  <c:v>75.3</c:v>
                </c:pt>
                <c:pt idx="15">
                  <c:v>83.7</c:v>
                </c:pt>
                <c:pt idx="16">
                  <c:v>48.7</c:v>
                </c:pt>
                <c:pt idx="17">
                  <c:v>39.9</c:v>
                </c:pt>
                <c:pt idx="18">
                  <c:v>68.599999999999994</c:v>
                </c:pt>
                <c:pt idx="19">
                  <c:v>39</c:v>
                </c:pt>
                <c:pt idx="20">
                  <c:v>48.6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57-43E9-A71E-A24CC15C6EC2}"/>
            </c:ext>
          </c:extLst>
        </c:ser>
        <c:ser>
          <c:idx val="1"/>
          <c:order val="2"/>
          <c:marker>
            <c:symbol val="none"/>
          </c:marker>
          <c:cat>
            <c:numRef>
              <c:f>Лист1!$A$84:$A$106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</c:numCache>
            </c:numRef>
          </c:cat>
          <c:val>
            <c:numRef>
              <c:f>Лист1!$B$36:$B$56</c:f>
              <c:numCache>
                <c:formatCode>General</c:formatCode>
                <c:ptCount val="21"/>
                <c:pt idx="0">
                  <c:v>39</c:v>
                </c:pt>
                <c:pt idx="1">
                  <c:v>68.400000000000006</c:v>
                </c:pt>
                <c:pt idx="2">
                  <c:v>34.799999999999997</c:v>
                </c:pt>
                <c:pt idx="3">
                  <c:v>39</c:v>
                </c:pt>
                <c:pt idx="4">
                  <c:v>54.7</c:v>
                </c:pt>
                <c:pt idx="5">
                  <c:v>74.7</c:v>
                </c:pt>
                <c:pt idx="6">
                  <c:v>71.7</c:v>
                </c:pt>
                <c:pt idx="7">
                  <c:v>74.5</c:v>
                </c:pt>
                <c:pt idx="8">
                  <c:v>137.69999999999999</c:v>
                </c:pt>
                <c:pt idx="9">
                  <c:v>37</c:v>
                </c:pt>
                <c:pt idx="10">
                  <c:v>69</c:v>
                </c:pt>
                <c:pt idx="11">
                  <c:v>40</c:v>
                </c:pt>
                <c:pt idx="12">
                  <c:v>69.099999999999994</c:v>
                </c:pt>
                <c:pt idx="13">
                  <c:v>68.099999999999994</c:v>
                </c:pt>
                <c:pt idx="14">
                  <c:v>75.3</c:v>
                </c:pt>
                <c:pt idx="15">
                  <c:v>83.7</c:v>
                </c:pt>
                <c:pt idx="16">
                  <c:v>48.7</c:v>
                </c:pt>
                <c:pt idx="17">
                  <c:v>39.9</c:v>
                </c:pt>
                <c:pt idx="18">
                  <c:v>68.599999999999994</c:v>
                </c:pt>
                <c:pt idx="19">
                  <c:v>39</c:v>
                </c:pt>
                <c:pt idx="20">
                  <c:v>48.6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57-43E9-A71E-A24CC15C6EC2}"/>
            </c:ext>
          </c:extLst>
        </c:ser>
        <c:ser>
          <c:idx val="0"/>
          <c:order val="3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/>
              <c:numFmt formatCode="General" sourceLinked="0"/>
            </c:trendlineLbl>
          </c:trendline>
          <c:cat>
            <c:numRef>
              <c:f>Лист1!$A$84:$A$106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</c:numCache>
            </c:numRef>
          </c:cat>
          <c:val>
            <c:numRef>
              <c:f>Лист1!$B$36:$B$56</c:f>
              <c:numCache>
                <c:formatCode>General</c:formatCode>
                <c:ptCount val="21"/>
                <c:pt idx="0">
                  <c:v>39</c:v>
                </c:pt>
                <c:pt idx="1">
                  <c:v>68.400000000000006</c:v>
                </c:pt>
                <c:pt idx="2">
                  <c:v>34.799999999999997</c:v>
                </c:pt>
                <c:pt idx="3">
                  <c:v>39</c:v>
                </c:pt>
                <c:pt idx="4">
                  <c:v>54.7</c:v>
                </c:pt>
                <c:pt idx="5">
                  <c:v>74.7</c:v>
                </c:pt>
                <c:pt idx="6">
                  <c:v>71.7</c:v>
                </c:pt>
                <c:pt idx="7">
                  <c:v>74.5</c:v>
                </c:pt>
                <c:pt idx="8">
                  <c:v>137.69999999999999</c:v>
                </c:pt>
                <c:pt idx="9">
                  <c:v>37</c:v>
                </c:pt>
                <c:pt idx="10">
                  <c:v>69</c:v>
                </c:pt>
                <c:pt idx="11">
                  <c:v>40</c:v>
                </c:pt>
                <c:pt idx="12">
                  <c:v>69.099999999999994</c:v>
                </c:pt>
                <c:pt idx="13">
                  <c:v>68.099999999999994</c:v>
                </c:pt>
                <c:pt idx="14">
                  <c:v>75.3</c:v>
                </c:pt>
                <c:pt idx="15">
                  <c:v>83.7</c:v>
                </c:pt>
                <c:pt idx="16">
                  <c:v>48.7</c:v>
                </c:pt>
                <c:pt idx="17">
                  <c:v>39.9</c:v>
                </c:pt>
                <c:pt idx="18">
                  <c:v>68.599999999999994</c:v>
                </c:pt>
                <c:pt idx="19">
                  <c:v>39</c:v>
                </c:pt>
                <c:pt idx="20">
                  <c:v>48.6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57-43E9-A71E-A24CC15C6EC2}"/>
            </c:ext>
          </c:extLst>
        </c:ser>
        <c:ser>
          <c:idx val="4"/>
          <c:order val="4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Лист1!$A$84:$A$106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</c:numCache>
            </c:numRef>
          </c:cat>
          <c:val>
            <c:numRef>
              <c:f>Лист1!$B$81:$B$82</c:f>
              <c:numCache>
                <c:formatCode>0.00</c:formatCode>
                <c:ptCount val="2"/>
                <c:pt idx="0">
                  <c:v>51.526699999999991</c:v>
                </c:pt>
                <c:pt idx="1">
                  <c:v>38.286399999999986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F57-43E9-A71E-A24CC15C6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917560"/>
        <c:axId val="479912968"/>
      </c:lineChart>
      <c:catAx>
        <c:axId val="479917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912968"/>
        <c:crosses val="autoZero"/>
        <c:auto val="1"/>
        <c:lblAlgn val="ctr"/>
        <c:lblOffset val="100"/>
        <c:noMultiLvlLbl val="0"/>
      </c:catAx>
      <c:valAx>
        <c:axId val="47991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9175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Прогноз для </a:t>
            </a:r>
            <a:r>
              <a:rPr lang="en-US"/>
              <a:t>X4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/>
              <c:numFmt formatCode="General" sourceLinked="0"/>
            </c:trendlineLbl>
          </c:trendline>
          <c:cat>
            <c:numRef>
              <c:f>Лист1!$A$2:$A$22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Лист1!$C$36:$C$56</c:f>
              <c:numCache>
                <c:formatCode>General</c:formatCode>
                <c:ptCount val="21"/>
                <c:pt idx="0">
                  <c:v>20</c:v>
                </c:pt>
                <c:pt idx="1">
                  <c:v>40.5</c:v>
                </c:pt>
                <c:pt idx="2">
                  <c:v>16</c:v>
                </c:pt>
                <c:pt idx="3">
                  <c:v>20</c:v>
                </c:pt>
                <c:pt idx="4">
                  <c:v>28</c:v>
                </c:pt>
                <c:pt idx="5">
                  <c:v>46.3</c:v>
                </c:pt>
                <c:pt idx="6">
                  <c:v>45.9</c:v>
                </c:pt>
                <c:pt idx="7">
                  <c:v>47.5</c:v>
                </c:pt>
                <c:pt idx="8">
                  <c:v>87.2</c:v>
                </c:pt>
                <c:pt idx="9">
                  <c:v>17.8</c:v>
                </c:pt>
                <c:pt idx="10">
                  <c:v>42.4</c:v>
                </c:pt>
                <c:pt idx="11">
                  <c:v>20</c:v>
                </c:pt>
                <c:pt idx="12">
                  <c:v>41.3</c:v>
                </c:pt>
                <c:pt idx="13">
                  <c:v>35.4</c:v>
                </c:pt>
                <c:pt idx="14">
                  <c:v>41.4</c:v>
                </c:pt>
                <c:pt idx="15">
                  <c:v>48.5</c:v>
                </c:pt>
                <c:pt idx="16">
                  <c:v>22.3</c:v>
                </c:pt>
                <c:pt idx="17">
                  <c:v>18</c:v>
                </c:pt>
                <c:pt idx="18">
                  <c:v>35.5</c:v>
                </c:pt>
                <c:pt idx="19">
                  <c:v>20</c:v>
                </c:pt>
                <c:pt idx="2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C2-4734-8DE9-B37BE4D6E399}"/>
            </c:ext>
          </c:extLst>
        </c:ser>
        <c:ser>
          <c:idx val="1"/>
          <c:order val="1"/>
          <c:marker>
            <c:symbol val="none"/>
          </c:marker>
          <c:val>
            <c:numRef>
              <c:f>Лист1!$C$81:$C$82</c:f>
              <c:numCache>
                <c:formatCode>0.00</c:formatCode>
                <c:ptCount val="2"/>
                <c:pt idx="0">
                  <c:v>29.187100000000001</c:v>
                </c:pt>
                <c:pt idx="1">
                  <c:v>18.557800000000007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C2-4734-8DE9-B37BE4D6E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917560"/>
        <c:axId val="479912968"/>
      </c:lineChart>
      <c:catAx>
        <c:axId val="479917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912968"/>
        <c:crosses val="autoZero"/>
        <c:auto val="1"/>
        <c:lblAlgn val="ctr"/>
        <c:lblOffset val="100"/>
        <c:noMultiLvlLbl val="0"/>
      </c:catAx>
      <c:valAx>
        <c:axId val="47991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9175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Прогноз для </a:t>
            </a:r>
            <a:r>
              <a:rPr lang="en-US"/>
              <a:t>X3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Лист1!$A$84:$A$106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</c:numCache>
            </c:numRef>
          </c:cat>
          <c:val>
            <c:numRef>
              <c:f>Лист1!$B$84:$B$106</c:f>
              <c:numCache>
                <c:formatCode>General</c:formatCode>
                <c:ptCount val="23"/>
                <c:pt idx="0">
                  <c:v>39</c:v>
                </c:pt>
                <c:pt idx="1">
                  <c:v>68.400000000000006</c:v>
                </c:pt>
                <c:pt idx="2">
                  <c:v>34.799999999999997</c:v>
                </c:pt>
                <c:pt idx="3">
                  <c:v>39</c:v>
                </c:pt>
                <c:pt idx="4">
                  <c:v>54.7</c:v>
                </c:pt>
                <c:pt idx="5">
                  <c:v>74.7</c:v>
                </c:pt>
                <c:pt idx="6">
                  <c:v>71.7</c:v>
                </c:pt>
                <c:pt idx="7">
                  <c:v>74.5</c:v>
                </c:pt>
                <c:pt idx="8">
                  <c:v>137.69999999999999</c:v>
                </c:pt>
                <c:pt idx="9">
                  <c:v>37</c:v>
                </c:pt>
                <c:pt idx="10">
                  <c:v>69</c:v>
                </c:pt>
                <c:pt idx="11">
                  <c:v>40</c:v>
                </c:pt>
                <c:pt idx="12">
                  <c:v>69.099999999999994</c:v>
                </c:pt>
                <c:pt idx="13">
                  <c:v>68.099999999999994</c:v>
                </c:pt>
                <c:pt idx="14">
                  <c:v>75.3</c:v>
                </c:pt>
                <c:pt idx="15">
                  <c:v>83.7</c:v>
                </c:pt>
                <c:pt idx="16">
                  <c:v>48.7</c:v>
                </c:pt>
                <c:pt idx="17">
                  <c:v>39.9</c:v>
                </c:pt>
                <c:pt idx="18">
                  <c:v>68.599999999999994</c:v>
                </c:pt>
                <c:pt idx="19">
                  <c:v>39</c:v>
                </c:pt>
                <c:pt idx="20">
                  <c:v>48.6</c:v>
                </c:pt>
                <c:pt idx="21">
                  <c:v>51.53</c:v>
                </c:pt>
                <c:pt idx="22">
                  <c:v>38.29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FD-4F43-A480-5C7A930F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989168"/>
        <c:axId val="579984576"/>
      </c:lineChart>
      <c:catAx>
        <c:axId val="57998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9984576"/>
        <c:crosses val="autoZero"/>
        <c:auto val="1"/>
        <c:lblAlgn val="ctr"/>
        <c:lblOffset val="100"/>
        <c:noMultiLvlLbl val="0"/>
      </c:catAx>
      <c:valAx>
        <c:axId val="5799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998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Прогноз для</a:t>
            </a:r>
            <a:r>
              <a:rPr lang="en-US" baseline="0"/>
              <a:t> X4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Лист1!$C$84:$C$106</c:f>
              <c:numCache>
                <c:formatCode>General</c:formatCode>
                <c:ptCount val="23"/>
                <c:pt idx="0">
                  <c:v>20</c:v>
                </c:pt>
                <c:pt idx="1">
                  <c:v>40.5</c:v>
                </c:pt>
                <c:pt idx="2">
                  <c:v>16</c:v>
                </c:pt>
                <c:pt idx="3">
                  <c:v>20</c:v>
                </c:pt>
                <c:pt idx="4">
                  <c:v>28</c:v>
                </c:pt>
                <c:pt idx="5">
                  <c:v>46.3</c:v>
                </c:pt>
                <c:pt idx="6">
                  <c:v>45.9</c:v>
                </c:pt>
                <c:pt idx="7">
                  <c:v>47.5</c:v>
                </c:pt>
                <c:pt idx="8">
                  <c:v>87.2</c:v>
                </c:pt>
                <c:pt idx="9">
                  <c:v>17.8</c:v>
                </c:pt>
                <c:pt idx="10">
                  <c:v>42.4</c:v>
                </c:pt>
                <c:pt idx="11">
                  <c:v>20</c:v>
                </c:pt>
                <c:pt idx="12">
                  <c:v>41.3</c:v>
                </c:pt>
                <c:pt idx="13">
                  <c:v>35.4</c:v>
                </c:pt>
                <c:pt idx="14">
                  <c:v>41.4</c:v>
                </c:pt>
                <c:pt idx="15">
                  <c:v>48.5</c:v>
                </c:pt>
                <c:pt idx="16">
                  <c:v>22.3</c:v>
                </c:pt>
                <c:pt idx="17">
                  <c:v>18</c:v>
                </c:pt>
                <c:pt idx="18">
                  <c:v>35.5</c:v>
                </c:pt>
                <c:pt idx="19">
                  <c:v>20</c:v>
                </c:pt>
                <c:pt idx="20">
                  <c:v>31</c:v>
                </c:pt>
                <c:pt idx="21">
                  <c:v>29.19</c:v>
                </c:pt>
                <c:pt idx="22">
                  <c:v>18.559999999999999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1-4C1F-8AFF-E32F7EC61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989168"/>
        <c:axId val="5799845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Лист1!$A$84:$A$106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19</c:v>
                      </c:pt>
                      <c:pt idx="10">
                        <c:v>20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  <c:pt idx="14">
                        <c:v>24</c:v>
                      </c:pt>
                      <c:pt idx="15">
                        <c:v>25</c:v>
                      </c:pt>
                      <c:pt idx="16">
                        <c:v>26</c:v>
                      </c:pt>
                      <c:pt idx="17">
                        <c:v>27</c:v>
                      </c:pt>
                      <c:pt idx="18">
                        <c:v>28</c:v>
                      </c:pt>
                      <c:pt idx="19">
                        <c:v>29</c:v>
                      </c:pt>
                      <c:pt idx="20">
                        <c:v>30</c:v>
                      </c:pt>
                      <c:pt idx="21">
                        <c:v>31</c:v>
                      </c:pt>
                      <c:pt idx="22">
                        <c:v>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Лист1!$B$84:$B$106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39</c:v>
                      </c:pt>
                      <c:pt idx="1">
                        <c:v>68.400000000000006</c:v>
                      </c:pt>
                      <c:pt idx="2">
                        <c:v>34.799999999999997</c:v>
                      </c:pt>
                      <c:pt idx="3">
                        <c:v>39</c:v>
                      </c:pt>
                      <c:pt idx="4">
                        <c:v>54.7</c:v>
                      </c:pt>
                      <c:pt idx="5">
                        <c:v>74.7</c:v>
                      </c:pt>
                      <c:pt idx="6">
                        <c:v>71.7</c:v>
                      </c:pt>
                      <c:pt idx="7">
                        <c:v>74.5</c:v>
                      </c:pt>
                      <c:pt idx="8">
                        <c:v>137.69999999999999</c:v>
                      </c:pt>
                      <c:pt idx="9">
                        <c:v>37</c:v>
                      </c:pt>
                      <c:pt idx="10">
                        <c:v>69</c:v>
                      </c:pt>
                      <c:pt idx="11">
                        <c:v>40</c:v>
                      </c:pt>
                      <c:pt idx="12">
                        <c:v>69.099999999999994</c:v>
                      </c:pt>
                      <c:pt idx="13">
                        <c:v>68.099999999999994</c:v>
                      </c:pt>
                      <c:pt idx="14">
                        <c:v>75.3</c:v>
                      </c:pt>
                      <c:pt idx="15">
                        <c:v>83.7</c:v>
                      </c:pt>
                      <c:pt idx="16">
                        <c:v>48.7</c:v>
                      </c:pt>
                      <c:pt idx="17">
                        <c:v>39.9</c:v>
                      </c:pt>
                      <c:pt idx="18">
                        <c:v>68.599999999999994</c:v>
                      </c:pt>
                      <c:pt idx="19">
                        <c:v>39</c:v>
                      </c:pt>
                      <c:pt idx="20">
                        <c:v>48.6</c:v>
                      </c:pt>
                      <c:pt idx="21">
                        <c:v>51.53</c:v>
                      </c:pt>
                      <c:pt idx="22">
                        <c:v>38.29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901-4C1F-8AFF-E32F7EC61767}"/>
                  </c:ext>
                </c:extLst>
              </c15:ser>
            </c15:filteredLineSeries>
          </c:ext>
        </c:extLst>
      </c:lineChart>
      <c:catAx>
        <c:axId val="57998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9984576"/>
        <c:crosses val="autoZero"/>
        <c:auto val="1"/>
        <c:lblAlgn val="ctr"/>
        <c:lblOffset val="100"/>
        <c:noMultiLvlLbl val="0"/>
      </c:catAx>
      <c:valAx>
        <c:axId val="5799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998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Прогноз</a:t>
            </a:r>
            <a:r>
              <a:rPr lang="ru-RU" baseline="0"/>
              <a:t> для </a:t>
            </a:r>
            <a:r>
              <a:rPr lang="en-US" baseline="0"/>
              <a:t>Y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Лист1!$A$84:$A$104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Лист1!$D$84:$D$106</c:f>
              <c:numCache>
                <c:formatCode>General</c:formatCode>
                <c:ptCount val="23"/>
                <c:pt idx="0">
                  <c:v>15.9</c:v>
                </c:pt>
                <c:pt idx="1">
                  <c:v>27</c:v>
                </c:pt>
                <c:pt idx="2">
                  <c:v>13.5</c:v>
                </c:pt>
                <c:pt idx="3">
                  <c:v>15.1</c:v>
                </c:pt>
                <c:pt idx="4">
                  <c:v>21.1</c:v>
                </c:pt>
                <c:pt idx="5">
                  <c:v>28.7</c:v>
                </c:pt>
                <c:pt idx="6">
                  <c:v>27.2</c:v>
                </c:pt>
                <c:pt idx="7">
                  <c:v>28.3</c:v>
                </c:pt>
                <c:pt idx="8">
                  <c:v>52.3</c:v>
                </c:pt>
                <c:pt idx="9">
                  <c:v>15.4</c:v>
                </c:pt>
                <c:pt idx="10">
                  <c:v>28.6</c:v>
                </c:pt>
                <c:pt idx="11">
                  <c:v>15.6</c:v>
                </c:pt>
                <c:pt idx="12">
                  <c:v>27.7</c:v>
                </c:pt>
                <c:pt idx="13">
                  <c:v>34.1</c:v>
                </c:pt>
                <c:pt idx="14">
                  <c:v>37.700000000000003</c:v>
                </c:pt>
                <c:pt idx="15">
                  <c:v>41.9</c:v>
                </c:pt>
                <c:pt idx="16">
                  <c:v>24.4</c:v>
                </c:pt>
                <c:pt idx="17">
                  <c:v>21.3</c:v>
                </c:pt>
                <c:pt idx="18">
                  <c:v>36.700000000000003</c:v>
                </c:pt>
                <c:pt idx="19">
                  <c:v>21.5</c:v>
                </c:pt>
                <c:pt idx="20">
                  <c:v>26.4</c:v>
                </c:pt>
                <c:pt idx="21" formatCode="0.00">
                  <c:v>22.159491105496286</c:v>
                </c:pt>
                <c:pt idx="22" formatCode="0.00">
                  <c:v>18.220002204769628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3-47DD-8D3D-3CFB7A247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994416"/>
        <c:axId val="579983264"/>
      </c:lineChart>
      <c:catAx>
        <c:axId val="57999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9983264"/>
        <c:crosses val="autoZero"/>
        <c:auto val="1"/>
        <c:lblAlgn val="ctr"/>
        <c:lblOffset val="100"/>
        <c:noMultiLvlLbl val="0"/>
      </c:catAx>
      <c:valAx>
        <c:axId val="57998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999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923925</xdr:colOff>
      <xdr:row>62</xdr:row>
      <xdr:rowOff>57150</xdr:rowOff>
    </xdr:from>
    <xdr:to>
      <xdr:col>8</xdr:col>
      <xdr:colOff>447675</xdr:colOff>
      <xdr:row>76</xdr:row>
      <xdr:rowOff>133350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704850</xdr:colOff>
      <xdr:row>62</xdr:row>
      <xdr:rowOff>114300</xdr:rowOff>
    </xdr:from>
    <xdr:to>
      <xdr:col>16</xdr:col>
      <xdr:colOff>542925</xdr:colOff>
      <xdr:row>77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352425</xdr:colOff>
      <xdr:row>77</xdr:row>
      <xdr:rowOff>47625</xdr:rowOff>
    </xdr:from>
    <xdr:to>
      <xdr:col>7</xdr:col>
      <xdr:colOff>552450</xdr:colOff>
      <xdr:row>91</xdr:row>
      <xdr:rowOff>38100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638175</xdr:colOff>
      <xdr:row>77</xdr:row>
      <xdr:rowOff>57150</xdr:rowOff>
    </xdr:from>
    <xdr:to>
      <xdr:col>12</xdr:col>
      <xdr:colOff>257175</xdr:colOff>
      <xdr:row>91</xdr:row>
      <xdr:rowOff>47625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495300</xdr:colOff>
      <xdr:row>92</xdr:row>
      <xdr:rowOff>66675</xdr:rowOff>
    </xdr:from>
    <xdr:to>
      <xdr:col>7</xdr:col>
      <xdr:colOff>695325</xdr:colOff>
      <xdr:row>106</xdr:row>
      <xdr:rowOff>28575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abSelected="1" topLeftCell="A76" workbookViewId="0">
      <selection activeCell="G93" sqref="G93"/>
    </sheetView>
  </sheetViews>
  <sheetFormatPr defaultRowHeight="15" x14ac:dyDescent="0.25"/>
  <cols>
    <col min="1" max="1" width="26.85546875" customWidth="1"/>
    <col min="2" max="2" width="34.140625" customWidth="1"/>
    <col min="3" max="3" width="39" customWidth="1"/>
    <col min="4" max="4" width="31.7109375" customWidth="1"/>
    <col min="5" max="5" width="22.85546875" customWidth="1"/>
    <col min="6" max="6" width="21" customWidth="1"/>
    <col min="7" max="7" width="21.7109375" customWidth="1"/>
    <col min="8" max="8" width="19.28515625" customWidth="1"/>
    <col min="9" max="9" width="15.140625" customWidth="1"/>
    <col min="10" max="10" width="15.42578125" customWidth="1"/>
    <col min="11" max="11" width="15.28515625" customWidth="1"/>
  </cols>
  <sheetData>
    <row r="1" spans="1:30" ht="20.25" x14ac:dyDescent="0.35">
      <c r="A1" s="1"/>
      <c r="B1" s="2" t="s">
        <v>16</v>
      </c>
      <c r="C1" s="2" t="s">
        <v>10</v>
      </c>
      <c r="D1" s="2" t="s">
        <v>9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V1" s="2" t="s">
        <v>18</v>
      </c>
      <c r="W1" s="2" t="s">
        <v>1</v>
      </c>
      <c r="X1" s="2" t="s">
        <v>2</v>
      </c>
      <c r="Y1" s="2" t="s">
        <v>3</v>
      </c>
      <c r="Z1" s="2" t="s">
        <v>4</v>
      </c>
      <c r="AA1" s="2" t="s">
        <v>5</v>
      </c>
      <c r="AB1" s="2" t="s">
        <v>6</v>
      </c>
      <c r="AC1" s="2" t="s">
        <v>7</v>
      </c>
      <c r="AD1" s="2" t="s">
        <v>0</v>
      </c>
    </row>
    <row r="2" spans="1:30" ht="15.75" x14ac:dyDescent="0.25">
      <c r="A2" s="1">
        <v>1</v>
      </c>
      <c r="B2" s="1">
        <v>1</v>
      </c>
      <c r="C2" s="1">
        <v>1</v>
      </c>
      <c r="D2" s="1">
        <v>39</v>
      </c>
      <c r="E2" s="1">
        <v>20</v>
      </c>
      <c r="F2" s="1">
        <v>8.1999999999999993</v>
      </c>
      <c r="G2" s="1">
        <v>0</v>
      </c>
      <c r="H2" s="1">
        <v>1</v>
      </c>
      <c r="I2" s="1">
        <v>0</v>
      </c>
      <c r="J2" s="1">
        <v>15.9</v>
      </c>
      <c r="K2" s="3">
        <f>B2-B$23</f>
        <v>-1.0476190476190474</v>
      </c>
      <c r="L2" s="3">
        <f t="shared" ref="L2:S17" si="0">C2-C$23</f>
        <v>0</v>
      </c>
      <c r="M2" s="3">
        <f t="shared" si="0"/>
        <v>-22.023809523809526</v>
      </c>
      <c r="N2" s="3">
        <f t="shared" si="0"/>
        <v>-14.523809523809526</v>
      </c>
      <c r="O2" s="3">
        <f t="shared" si="0"/>
        <v>-2.2904761904761912</v>
      </c>
      <c r="P2" s="3">
        <f t="shared" si="0"/>
        <v>-0.38095238095238093</v>
      </c>
      <c r="Q2" s="3">
        <f t="shared" si="0"/>
        <v>0.2857142857142857</v>
      </c>
      <c r="R2" s="3">
        <f t="shared" si="0"/>
        <v>-6.9523809523809526</v>
      </c>
      <c r="S2" s="3">
        <f t="shared" si="0"/>
        <v>-10.785714285714283</v>
      </c>
      <c r="U2" t="s">
        <v>18</v>
      </c>
      <c r="V2">
        <v>1</v>
      </c>
    </row>
    <row r="3" spans="1:30" ht="15.75" x14ac:dyDescent="0.25">
      <c r="A3" s="1">
        <v>2</v>
      </c>
      <c r="B3" s="1">
        <v>3</v>
      </c>
      <c r="C3" s="1">
        <v>1</v>
      </c>
      <c r="D3" s="1">
        <v>68.400000000000006</v>
      </c>
      <c r="E3" s="1">
        <v>40.5</v>
      </c>
      <c r="F3" s="1">
        <v>10.7</v>
      </c>
      <c r="G3" s="1">
        <v>0</v>
      </c>
      <c r="H3" s="1">
        <v>1</v>
      </c>
      <c r="I3" s="1">
        <v>0</v>
      </c>
      <c r="J3" s="1">
        <v>27</v>
      </c>
      <c r="K3" s="3">
        <f t="shared" ref="K3:K22" si="1">B3-B$23</f>
        <v>0.95238095238095255</v>
      </c>
      <c r="L3" s="3">
        <f t="shared" si="0"/>
        <v>0</v>
      </c>
      <c r="M3" s="3">
        <f t="shared" si="0"/>
        <v>7.3761904761904802</v>
      </c>
      <c r="N3" s="3">
        <f t="shared" si="0"/>
        <v>5.9761904761904745</v>
      </c>
      <c r="O3" s="3">
        <f t="shared" si="0"/>
        <v>0.20952380952380878</v>
      </c>
      <c r="P3" s="3">
        <f t="shared" si="0"/>
        <v>-0.38095238095238093</v>
      </c>
      <c r="Q3" s="3">
        <f t="shared" si="0"/>
        <v>0.2857142857142857</v>
      </c>
      <c r="R3" s="3">
        <f t="shared" si="0"/>
        <v>-6.9523809523809526</v>
      </c>
      <c r="S3" s="3">
        <f t="shared" si="0"/>
        <v>0.31428571428571672</v>
      </c>
      <c r="U3" t="s">
        <v>1</v>
      </c>
      <c r="V3">
        <f>SUMPRODUCT(K$2:K$22,L$2:L$22)</f>
        <v>0</v>
      </c>
      <c r="W3">
        <v>1</v>
      </c>
    </row>
    <row r="4" spans="1:30" ht="15.75" x14ac:dyDescent="0.25">
      <c r="A4" s="1">
        <v>3</v>
      </c>
      <c r="B4" s="1">
        <v>1</v>
      </c>
      <c r="C4" s="1">
        <v>1</v>
      </c>
      <c r="D4" s="1">
        <v>34.799999999999997</v>
      </c>
      <c r="E4" s="1">
        <v>16</v>
      </c>
      <c r="F4" s="1">
        <v>10.7</v>
      </c>
      <c r="G4" s="1">
        <v>0</v>
      </c>
      <c r="H4" s="1">
        <v>1</v>
      </c>
      <c r="I4" s="1">
        <v>12</v>
      </c>
      <c r="J4" s="1">
        <v>13.5</v>
      </c>
      <c r="K4" s="3">
        <f t="shared" si="1"/>
        <v>-1.0476190476190474</v>
      </c>
      <c r="L4" s="3">
        <f t="shared" si="0"/>
        <v>0</v>
      </c>
      <c r="M4" s="3">
        <f t="shared" si="0"/>
        <v>-26.223809523809528</v>
      </c>
      <c r="N4" s="3">
        <f t="shared" si="0"/>
        <v>-18.523809523809526</v>
      </c>
      <c r="O4" s="3">
        <f t="shared" si="0"/>
        <v>0.20952380952380878</v>
      </c>
      <c r="P4" s="3">
        <f t="shared" si="0"/>
        <v>-0.38095238095238093</v>
      </c>
      <c r="Q4" s="3">
        <f t="shared" si="0"/>
        <v>0.2857142857142857</v>
      </c>
      <c r="R4" s="3">
        <f t="shared" si="0"/>
        <v>5.0476190476190474</v>
      </c>
      <c r="S4" s="3">
        <f t="shared" si="0"/>
        <v>-13.185714285714283</v>
      </c>
      <c r="U4" t="s">
        <v>2</v>
      </c>
      <c r="V4">
        <f>SUMPRODUCT(K$2:K$22,M$2:M$22)</f>
        <v>408.0761904761905</v>
      </c>
      <c r="W4">
        <f>SUMPRODUCT(L$2:L$22,M$2:M$22)</f>
        <v>0</v>
      </c>
      <c r="X4">
        <v>1</v>
      </c>
    </row>
    <row r="5" spans="1:30" ht="15.75" x14ac:dyDescent="0.25">
      <c r="A5" s="1">
        <v>4</v>
      </c>
      <c r="B5" s="1">
        <v>1</v>
      </c>
      <c r="C5" s="1">
        <v>1</v>
      </c>
      <c r="D5" s="1">
        <v>39</v>
      </c>
      <c r="E5" s="1">
        <v>20</v>
      </c>
      <c r="F5" s="1">
        <v>8.5</v>
      </c>
      <c r="G5" s="1">
        <v>0</v>
      </c>
      <c r="H5" s="1">
        <v>1</v>
      </c>
      <c r="I5" s="1">
        <v>12</v>
      </c>
      <c r="J5" s="1">
        <v>15.1</v>
      </c>
      <c r="K5" s="3">
        <f t="shared" si="1"/>
        <v>-1.0476190476190474</v>
      </c>
      <c r="L5" s="3">
        <f t="shared" si="0"/>
        <v>0</v>
      </c>
      <c r="M5" s="3">
        <f t="shared" si="0"/>
        <v>-22.023809523809526</v>
      </c>
      <c r="N5" s="3">
        <f t="shared" si="0"/>
        <v>-14.523809523809526</v>
      </c>
      <c r="O5" s="3">
        <f t="shared" si="0"/>
        <v>-1.9904761904761905</v>
      </c>
      <c r="P5" s="3">
        <f t="shared" si="0"/>
        <v>-0.38095238095238093</v>
      </c>
      <c r="Q5" s="3">
        <f t="shared" si="0"/>
        <v>0.2857142857142857</v>
      </c>
      <c r="R5" s="3">
        <f t="shared" si="0"/>
        <v>5.0476190476190474</v>
      </c>
      <c r="S5" s="3">
        <f t="shared" si="0"/>
        <v>-11.585714285714284</v>
      </c>
      <c r="U5" t="s">
        <v>3</v>
      </c>
      <c r="V5">
        <f>SUMPRODUCT(K$2:K$22,N$2:N$22)</f>
        <v>298.17619047619053</v>
      </c>
      <c r="W5">
        <f>SUMPRODUCT(L$2:L$22,N$2:N$22)</f>
        <v>0</v>
      </c>
      <c r="X5">
        <f>SUMPRODUCT(M$2:M$22,N$2:N$22)</f>
        <v>7823.9180952380948</v>
      </c>
      <c r="Y5">
        <v>1</v>
      </c>
    </row>
    <row r="6" spans="1:30" ht="15.75" x14ac:dyDescent="0.25">
      <c r="A6" s="1">
        <v>5</v>
      </c>
      <c r="B6" s="1">
        <v>2</v>
      </c>
      <c r="C6" s="1">
        <v>1</v>
      </c>
      <c r="D6" s="1">
        <v>54.7</v>
      </c>
      <c r="E6" s="1">
        <v>28</v>
      </c>
      <c r="F6" s="1">
        <v>10.7</v>
      </c>
      <c r="G6" s="1">
        <v>0</v>
      </c>
      <c r="H6" s="1">
        <v>1</v>
      </c>
      <c r="I6" s="1">
        <v>12</v>
      </c>
      <c r="J6" s="1">
        <v>21.1</v>
      </c>
      <c r="K6" s="3">
        <f t="shared" si="1"/>
        <v>-4.761904761904745E-2</v>
      </c>
      <c r="L6" s="3">
        <f t="shared" si="0"/>
        <v>0</v>
      </c>
      <c r="M6" s="3">
        <f t="shared" si="0"/>
        <v>-6.3238095238095227</v>
      </c>
      <c r="N6" s="3">
        <f t="shared" si="0"/>
        <v>-6.5238095238095255</v>
      </c>
      <c r="O6" s="3">
        <f t="shared" si="0"/>
        <v>0.20952380952380878</v>
      </c>
      <c r="P6" s="3">
        <f t="shared" si="0"/>
        <v>-0.38095238095238093</v>
      </c>
      <c r="Q6" s="3">
        <f t="shared" si="0"/>
        <v>0.2857142857142857</v>
      </c>
      <c r="R6" s="3">
        <f t="shared" si="0"/>
        <v>5.0476190476190474</v>
      </c>
      <c r="S6" s="3">
        <f t="shared" si="0"/>
        <v>-5.5857142857142819</v>
      </c>
      <c r="U6" t="s">
        <v>4</v>
      </c>
      <c r="V6">
        <f>SUMPRODUCT(K$2:K$22,O$2:O$22)</f>
        <v>16.209523809523805</v>
      </c>
      <c r="W6">
        <f>SUMPRODUCT(L$2:L$22,O$2:O$22)</f>
        <v>0</v>
      </c>
      <c r="X6">
        <f>SUMPRODUCT(M$2:M$22,O2:O22)</f>
        <v>684.38476190476194</v>
      </c>
      <c r="Y6">
        <f>SUMPRODUCT(N$2:N$22,O2:O22)</f>
        <v>400.47476190476181</v>
      </c>
      <c r="Z6">
        <v>1</v>
      </c>
    </row>
    <row r="7" spans="1:30" ht="15.75" x14ac:dyDescent="0.25">
      <c r="A7" s="1">
        <v>6</v>
      </c>
      <c r="B7" s="1">
        <v>3</v>
      </c>
      <c r="C7" s="1">
        <v>1</v>
      </c>
      <c r="D7" s="1">
        <v>74.7</v>
      </c>
      <c r="E7" s="1">
        <v>46.3</v>
      </c>
      <c r="F7" s="1">
        <v>10.7</v>
      </c>
      <c r="G7" s="1">
        <v>0</v>
      </c>
      <c r="H7" s="1">
        <v>1</v>
      </c>
      <c r="I7" s="1">
        <v>12</v>
      </c>
      <c r="J7" s="1">
        <v>28.7</v>
      </c>
      <c r="K7" s="3">
        <f t="shared" si="1"/>
        <v>0.95238095238095255</v>
      </c>
      <c r="L7" s="3">
        <f t="shared" si="0"/>
        <v>0</v>
      </c>
      <c r="M7" s="3">
        <f t="shared" si="0"/>
        <v>13.676190476190477</v>
      </c>
      <c r="N7" s="3">
        <f t="shared" si="0"/>
        <v>11.776190476190472</v>
      </c>
      <c r="O7" s="3">
        <f t="shared" si="0"/>
        <v>0.20952380952380878</v>
      </c>
      <c r="P7" s="3">
        <f t="shared" si="0"/>
        <v>-0.38095238095238093</v>
      </c>
      <c r="Q7" s="3">
        <f t="shared" si="0"/>
        <v>0.2857142857142857</v>
      </c>
      <c r="R7" s="3">
        <f t="shared" si="0"/>
        <v>5.0476190476190474</v>
      </c>
      <c r="S7" s="3">
        <f t="shared" si="0"/>
        <v>2.014285714285716</v>
      </c>
      <c r="U7" t="s">
        <v>5</v>
      </c>
      <c r="V7">
        <f>SUMPRODUCT(K$2:K$22,P$2:P$22)</f>
        <v>-2.3809523809523809</v>
      </c>
      <c r="W7">
        <f>SUMPRODUCT(L$2:L$22,P$2:P$22)</f>
        <v>0</v>
      </c>
      <c r="X7">
        <f>SUMPRODUCT(M$2:M$22,P2:P22)</f>
        <v>-16.290476190476198</v>
      </c>
      <c r="Y7">
        <f>SUMPRODUCT(N$2:N$22,P2:P22)</f>
        <v>-24.090476190476185</v>
      </c>
      <c r="Z7">
        <f>SUMPRODUCT(O$2:O$22,P2:P22)</f>
        <v>7.9761904761904745</v>
      </c>
      <c r="AA7">
        <v>1</v>
      </c>
    </row>
    <row r="8" spans="1:30" ht="15.75" x14ac:dyDescent="0.25">
      <c r="A8" s="1">
        <v>7</v>
      </c>
      <c r="B8" s="1">
        <v>3</v>
      </c>
      <c r="C8" s="1">
        <v>1</v>
      </c>
      <c r="D8" s="1">
        <v>71.7</v>
      </c>
      <c r="E8" s="1">
        <v>45.9</v>
      </c>
      <c r="F8" s="1">
        <v>10.7</v>
      </c>
      <c r="G8" s="1">
        <v>0</v>
      </c>
      <c r="H8" s="1">
        <v>0</v>
      </c>
      <c r="I8" s="1">
        <v>0</v>
      </c>
      <c r="J8" s="1">
        <v>27.2</v>
      </c>
      <c r="K8" s="3">
        <f t="shared" si="1"/>
        <v>0.95238095238095255</v>
      </c>
      <c r="L8" s="3">
        <f t="shared" si="0"/>
        <v>0</v>
      </c>
      <c r="M8" s="3">
        <f t="shared" si="0"/>
        <v>10.676190476190477</v>
      </c>
      <c r="N8" s="3">
        <f t="shared" si="0"/>
        <v>11.376190476190473</v>
      </c>
      <c r="O8" s="3">
        <f t="shared" si="0"/>
        <v>0.20952380952380878</v>
      </c>
      <c r="P8" s="3">
        <f t="shared" si="0"/>
        <v>-0.38095238095238093</v>
      </c>
      <c r="Q8" s="3">
        <f t="shared" si="0"/>
        <v>-0.7142857142857143</v>
      </c>
      <c r="R8" s="3">
        <f t="shared" si="0"/>
        <v>-6.9523809523809526</v>
      </c>
      <c r="S8" s="3">
        <f t="shared" si="0"/>
        <v>0.51428571428571601</v>
      </c>
      <c r="U8" t="s">
        <v>6</v>
      </c>
      <c r="V8">
        <f>SUMPRODUCT(K$2:K$22,Q$2:Q$22)</f>
        <v>1.285714285714286</v>
      </c>
      <c r="W8">
        <f>SUMPRODUCT(L$2:L$22,Q$2:Q$22)</f>
        <v>0</v>
      </c>
      <c r="X8">
        <f>SUMPRODUCT(M$2:M$22,Q2:Q22)</f>
        <v>52.442857142857143</v>
      </c>
      <c r="Y8">
        <f>SUMPRODUCT(N$2:N$22,Q2:Q22)</f>
        <v>24.74285714285714</v>
      </c>
      <c r="Z8">
        <f>SUMPRODUCT(O$2:O$22,Q2:Q22)</f>
        <v>8.242857142857142</v>
      </c>
      <c r="AA8">
        <f>SUMPRODUCT(P$2:P$22,Q2:Q22)</f>
        <v>-0.71428571428571441</v>
      </c>
      <c r="AB8">
        <v>1</v>
      </c>
    </row>
    <row r="9" spans="1:30" ht="15.75" x14ac:dyDescent="0.25">
      <c r="A9" s="1">
        <v>8</v>
      </c>
      <c r="B9" s="1">
        <v>3</v>
      </c>
      <c r="C9" s="1">
        <v>1</v>
      </c>
      <c r="D9" s="1">
        <v>74.5</v>
      </c>
      <c r="E9" s="1">
        <v>47.5</v>
      </c>
      <c r="F9" s="1">
        <v>10.4</v>
      </c>
      <c r="G9" s="1">
        <v>0</v>
      </c>
      <c r="H9" s="1">
        <v>0</v>
      </c>
      <c r="I9" s="1">
        <v>0</v>
      </c>
      <c r="J9" s="1">
        <v>28.3</v>
      </c>
      <c r="K9" s="3">
        <f t="shared" si="1"/>
        <v>0.95238095238095255</v>
      </c>
      <c r="L9" s="3">
        <f t="shared" si="0"/>
        <v>0</v>
      </c>
      <c r="M9" s="3">
        <f t="shared" si="0"/>
        <v>13.476190476190474</v>
      </c>
      <c r="N9" s="3">
        <f t="shared" si="0"/>
        <v>12.976190476190474</v>
      </c>
      <c r="O9" s="3">
        <f t="shared" si="0"/>
        <v>-9.0476190476190155E-2</v>
      </c>
      <c r="P9" s="3">
        <f t="shared" si="0"/>
        <v>-0.38095238095238093</v>
      </c>
      <c r="Q9" s="3">
        <f t="shared" si="0"/>
        <v>-0.7142857142857143</v>
      </c>
      <c r="R9" s="3">
        <f t="shared" si="0"/>
        <v>-6.9523809523809526</v>
      </c>
      <c r="S9" s="3">
        <f t="shared" si="0"/>
        <v>1.6142857142857174</v>
      </c>
      <c r="U9" t="s">
        <v>7</v>
      </c>
      <c r="V9">
        <f>SUMPRODUCT(K$2:K$22,R$2:R$22)</f>
        <v>-18.952380952380949</v>
      </c>
      <c r="W9">
        <f>SUMPRODUCT(L$2:L$22,R$2:R$22)</f>
        <v>0</v>
      </c>
      <c r="X9">
        <f>SUMPRODUCT(M$2:M$22,R2:R22)</f>
        <v>186.12380952380937</v>
      </c>
      <c r="Y9">
        <f>SUMPRODUCT(N$2:N$22,R2:R22)</f>
        <v>-158.27619047619055</v>
      </c>
      <c r="Z9">
        <f>SUMPRODUCT(O$2:O$22,R2:R22)</f>
        <v>201.39047619047619</v>
      </c>
      <c r="AA9">
        <f>SUMPRODUCT(P$2:P$22,R2:R22)</f>
        <v>36.38095238095238</v>
      </c>
      <c r="AB9">
        <f>SUMPRODUCT(Q$2:Q$22,R2:R22)</f>
        <v>41.714285714285715</v>
      </c>
      <c r="AC9">
        <v>1</v>
      </c>
    </row>
    <row r="10" spans="1:30" ht="15.75" x14ac:dyDescent="0.25">
      <c r="A10" s="1">
        <v>9</v>
      </c>
      <c r="B10" s="1">
        <v>4</v>
      </c>
      <c r="C10" s="1">
        <v>1</v>
      </c>
      <c r="D10" s="1">
        <v>137.69999999999999</v>
      </c>
      <c r="E10" s="1">
        <v>87.2</v>
      </c>
      <c r="F10" s="1">
        <v>14.6</v>
      </c>
      <c r="G10" s="1">
        <v>0</v>
      </c>
      <c r="H10" s="1">
        <v>1</v>
      </c>
      <c r="I10" s="1">
        <v>0</v>
      </c>
      <c r="J10" s="1">
        <v>52.3</v>
      </c>
      <c r="K10" s="3">
        <f t="shared" si="1"/>
        <v>1.9523809523809526</v>
      </c>
      <c r="L10" s="3">
        <f t="shared" si="0"/>
        <v>0</v>
      </c>
      <c r="M10" s="3">
        <f t="shared" si="0"/>
        <v>76.67619047619047</v>
      </c>
      <c r="N10" s="3">
        <f t="shared" si="0"/>
        <v>52.676190476190477</v>
      </c>
      <c r="O10" s="3">
        <f t="shared" si="0"/>
        <v>4.1095238095238091</v>
      </c>
      <c r="P10" s="3">
        <f t="shared" si="0"/>
        <v>-0.38095238095238093</v>
      </c>
      <c r="Q10" s="3">
        <f t="shared" si="0"/>
        <v>0.2857142857142857</v>
      </c>
      <c r="R10" s="3">
        <f t="shared" si="0"/>
        <v>-6.9523809523809526</v>
      </c>
      <c r="S10" s="3">
        <f t="shared" si="0"/>
        <v>25.614285714285714</v>
      </c>
      <c r="U10" t="s">
        <v>0</v>
      </c>
      <c r="V10">
        <f>SUMPRODUCT(K$2:K$22,S$2:S$22)</f>
        <v>144.61428571428573</v>
      </c>
      <c r="W10">
        <f>SUMPRODUCT(L$2:L$22,S$2:S$22)</f>
        <v>0</v>
      </c>
      <c r="X10">
        <f>SUMPRODUCT(M$2:M$22,S2:S22)</f>
        <v>4312.847142857142</v>
      </c>
      <c r="Y10">
        <f>SUMPRODUCT(N$2:N$22,S2:S22)</f>
        <v>2876.867142857142</v>
      </c>
      <c r="Z10">
        <f>SUMPRODUCT(O$2:O$22,S2:S22)</f>
        <v>334.05714285714282</v>
      </c>
      <c r="AA10">
        <f>SUMPRODUCT(P$2:P$22,S2:S22)</f>
        <v>30.514285714285716</v>
      </c>
      <c r="AB10">
        <f>SUMPRODUCT(Q$2:Q$22,S2:S22)</f>
        <v>19.814285714285717</v>
      </c>
      <c r="AC10">
        <f>SUMPRODUCT(R$2:R$22,S2:S22)</f>
        <v>379.0857142857144</v>
      </c>
      <c r="AD10">
        <v>1</v>
      </c>
    </row>
    <row r="11" spans="1:30" ht="15.75" x14ac:dyDescent="0.25">
      <c r="A11" s="1">
        <v>19</v>
      </c>
      <c r="B11" s="1">
        <v>1</v>
      </c>
      <c r="C11" s="1">
        <v>1</v>
      </c>
      <c r="D11" s="1">
        <v>37</v>
      </c>
      <c r="E11" s="1">
        <v>17.8</v>
      </c>
      <c r="F11" s="1">
        <v>8.3000000000000007</v>
      </c>
      <c r="G11" s="1">
        <v>0</v>
      </c>
      <c r="H11" s="1">
        <v>1</v>
      </c>
      <c r="I11" s="1">
        <v>3</v>
      </c>
      <c r="J11" s="1">
        <v>15.4</v>
      </c>
      <c r="K11" s="3">
        <f t="shared" si="1"/>
        <v>-1.0476190476190474</v>
      </c>
      <c r="L11" s="3">
        <f t="shared" si="0"/>
        <v>0</v>
      </c>
      <c r="M11" s="3">
        <f t="shared" si="0"/>
        <v>-24.023809523809526</v>
      </c>
      <c r="N11" s="3">
        <f t="shared" si="0"/>
        <v>-16.723809523809525</v>
      </c>
      <c r="O11" s="3">
        <f t="shared" si="0"/>
        <v>-2.1904761904761898</v>
      </c>
      <c r="P11" s="3">
        <f t="shared" si="0"/>
        <v>-0.38095238095238093</v>
      </c>
      <c r="Q11" s="3">
        <f t="shared" si="0"/>
        <v>0.2857142857142857</v>
      </c>
      <c r="R11" s="3">
        <f t="shared" si="0"/>
        <v>-3.9523809523809526</v>
      </c>
      <c r="S11" s="3">
        <f t="shared" si="0"/>
        <v>-11.285714285714283</v>
      </c>
    </row>
    <row r="12" spans="1:30" ht="15.75" x14ac:dyDescent="0.25">
      <c r="A12" s="1">
        <v>20</v>
      </c>
      <c r="B12" s="1">
        <v>3</v>
      </c>
      <c r="C12" s="1">
        <v>1</v>
      </c>
      <c r="D12" s="1">
        <v>69</v>
      </c>
      <c r="E12" s="1">
        <v>42.4</v>
      </c>
      <c r="F12" s="1">
        <v>8.3000000000000007</v>
      </c>
      <c r="G12" s="1">
        <v>0</v>
      </c>
      <c r="H12" s="1">
        <v>1</v>
      </c>
      <c r="I12" s="1">
        <v>3</v>
      </c>
      <c r="J12" s="1">
        <v>28.6</v>
      </c>
      <c r="K12" s="3">
        <f t="shared" si="1"/>
        <v>0.95238095238095255</v>
      </c>
      <c r="L12" s="3">
        <f t="shared" si="0"/>
        <v>0</v>
      </c>
      <c r="M12" s="3">
        <f t="shared" si="0"/>
        <v>7.9761904761904745</v>
      </c>
      <c r="N12" s="3">
        <f t="shared" si="0"/>
        <v>7.8761904761904731</v>
      </c>
      <c r="O12" s="3">
        <f t="shared" si="0"/>
        <v>-2.1904761904761898</v>
      </c>
      <c r="P12" s="3">
        <f t="shared" si="0"/>
        <v>-0.38095238095238093</v>
      </c>
      <c r="Q12" s="3">
        <f t="shared" si="0"/>
        <v>0.2857142857142857</v>
      </c>
      <c r="R12" s="3">
        <f t="shared" si="0"/>
        <v>-3.9523809523809526</v>
      </c>
      <c r="S12" s="3">
        <f t="shared" si="0"/>
        <v>1.9142857142857181</v>
      </c>
    </row>
    <row r="13" spans="1:30" ht="15.75" x14ac:dyDescent="0.25">
      <c r="A13" s="1">
        <v>21</v>
      </c>
      <c r="B13" s="1">
        <v>1</v>
      </c>
      <c r="C13" s="1">
        <v>1</v>
      </c>
      <c r="D13" s="1">
        <v>40</v>
      </c>
      <c r="E13" s="1">
        <v>20</v>
      </c>
      <c r="F13" s="1">
        <v>8.3000000000000007</v>
      </c>
      <c r="G13" s="1">
        <v>0</v>
      </c>
      <c r="H13" s="1">
        <v>0</v>
      </c>
      <c r="I13" s="1">
        <v>0</v>
      </c>
      <c r="J13" s="1">
        <v>15.6</v>
      </c>
      <c r="K13" s="3">
        <f t="shared" si="1"/>
        <v>-1.0476190476190474</v>
      </c>
      <c r="L13" s="3">
        <f t="shared" si="0"/>
        <v>0</v>
      </c>
      <c r="M13" s="3">
        <f t="shared" si="0"/>
        <v>-21.023809523809526</v>
      </c>
      <c r="N13" s="3">
        <f t="shared" si="0"/>
        <v>-14.523809523809526</v>
      </c>
      <c r="O13" s="3">
        <f t="shared" si="0"/>
        <v>-2.1904761904761898</v>
      </c>
      <c r="P13" s="3">
        <f t="shared" si="0"/>
        <v>-0.38095238095238093</v>
      </c>
      <c r="Q13" s="3">
        <f t="shared" si="0"/>
        <v>-0.7142857142857143</v>
      </c>
      <c r="R13" s="3">
        <f t="shared" si="0"/>
        <v>-6.9523809523809526</v>
      </c>
      <c r="S13" s="3">
        <f t="shared" si="0"/>
        <v>-11.085714285714284</v>
      </c>
    </row>
    <row r="14" spans="1:30" ht="15.75" x14ac:dyDescent="0.25">
      <c r="A14" s="1">
        <v>22</v>
      </c>
      <c r="B14" s="1">
        <v>3</v>
      </c>
      <c r="C14" s="1">
        <v>1</v>
      </c>
      <c r="D14" s="1">
        <v>69.099999999999994</v>
      </c>
      <c r="E14" s="1">
        <v>41.3</v>
      </c>
      <c r="F14" s="1">
        <v>8.3000000000000007</v>
      </c>
      <c r="G14" s="1">
        <v>0</v>
      </c>
      <c r="H14" s="1">
        <v>1</v>
      </c>
      <c r="I14" s="1">
        <v>0</v>
      </c>
      <c r="J14" s="1">
        <v>27.7</v>
      </c>
      <c r="K14" s="3">
        <f t="shared" si="1"/>
        <v>0.95238095238095255</v>
      </c>
      <c r="L14" s="3">
        <f t="shared" si="0"/>
        <v>0</v>
      </c>
      <c r="M14" s="3">
        <f t="shared" si="0"/>
        <v>8.0761904761904688</v>
      </c>
      <c r="N14" s="3">
        <f t="shared" si="0"/>
        <v>6.7761904761904717</v>
      </c>
      <c r="O14" s="3">
        <f t="shared" si="0"/>
        <v>-2.1904761904761898</v>
      </c>
      <c r="P14" s="3">
        <f t="shared" si="0"/>
        <v>-0.38095238095238093</v>
      </c>
      <c r="Q14" s="3">
        <f t="shared" si="0"/>
        <v>0.2857142857142857</v>
      </c>
      <c r="R14" s="3">
        <f t="shared" si="0"/>
        <v>-6.9523809523809526</v>
      </c>
      <c r="S14" s="3">
        <f t="shared" si="0"/>
        <v>1.014285714285716</v>
      </c>
    </row>
    <row r="15" spans="1:30" ht="15.75" x14ac:dyDescent="0.25">
      <c r="A15" s="1">
        <v>23</v>
      </c>
      <c r="B15" s="1">
        <v>2</v>
      </c>
      <c r="C15" s="1">
        <v>1</v>
      </c>
      <c r="D15" s="1">
        <v>68.099999999999994</v>
      </c>
      <c r="E15" s="1">
        <v>35.4</v>
      </c>
      <c r="F15" s="1">
        <v>13</v>
      </c>
      <c r="G15" s="1">
        <v>1</v>
      </c>
      <c r="H15" s="1">
        <v>1</v>
      </c>
      <c r="I15" s="1">
        <v>20</v>
      </c>
      <c r="J15" s="1">
        <v>34.1</v>
      </c>
      <c r="K15" s="3">
        <f t="shared" si="1"/>
        <v>-4.761904761904745E-2</v>
      </c>
      <c r="L15" s="3">
        <f t="shared" si="0"/>
        <v>0</v>
      </c>
      <c r="M15" s="3">
        <f t="shared" si="0"/>
        <v>7.0761904761904688</v>
      </c>
      <c r="N15" s="3">
        <f t="shared" si="0"/>
        <v>0.87619047619047308</v>
      </c>
      <c r="O15" s="3">
        <f t="shared" si="0"/>
        <v>2.5095238095238095</v>
      </c>
      <c r="P15" s="3">
        <f t="shared" si="0"/>
        <v>0.61904761904761907</v>
      </c>
      <c r="Q15" s="3">
        <f t="shared" si="0"/>
        <v>0.2857142857142857</v>
      </c>
      <c r="R15" s="3">
        <f t="shared" si="0"/>
        <v>13.047619047619047</v>
      </c>
      <c r="S15" s="3">
        <f t="shared" si="0"/>
        <v>7.4142857142857181</v>
      </c>
    </row>
    <row r="16" spans="1:30" ht="15.75" x14ac:dyDescent="0.25">
      <c r="A16" s="1">
        <v>24</v>
      </c>
      <c r="B16" s="1">
        <v>2</v>
      </c>
      <c r="C16" s="1">
        <v>1</v>
      </c>
      <c r="D16" s="1">
        <v>75.3</v>
      </c>
      <c r="E16" s="1">
        <v>41.4</v>
      </c>
      <c r="F16" s="1">
        <v>12.1</v>
      </c>
      <c r="G16" s="1">
        <v>1</v>
      </c>
      <c r="H16" s="1">
        <v>1</v>
      </c>
      <c r="I16" s="1">
        <v>20</v>
      </c>
      <c r="J16" s="1">
        <v>37.700000000000003</v>
      </c>
      <c r="K16" s="3">
        <f t="shared" si="1"/>
        <v>-4.761904761904745E-2</v>
      </c>
      <c r="L16" s="3">
        <f t="shared" si="0"/>
        <v>0</v>
      </c>
      <c r="M16" s="3">
        <f t="shared" si="0"/>
        <v>14.276190476190472</v>
      </c>
      <c r="N16" s="3">
        <f t="shared" si="0"/>
        <v>6.8761904761904731</v>
      </c>
      <c r="O16" s="3">
        <f t="shared" si="0"/>
        <v>1.6095238095238091</v>
      </c>
      <c r="P16" s="3">
        <f t="shared" si="0"/>
        <v>0.61904761904761907</v>
      </c>
      <c r="Q16" s="3">
        <f t="shared" si="0"/>
        <v>0.2857142857142857</v>
      </c>
      <c r="R16" s="3">
        <f t="shared" si="0"/>
        <v>13.047619047619047</v>
      </c>
      <c r="S16" s="3">
        <f t="shared" si="0"/>
        <v>11.01428571428572</v>
      </c>
    </row>
    <row r="17" spans="1:19" ht="15.75" x14ac:dyDescent="0.25">
      <c r="A17" s="1">
        <v>25</v>
      </c>
      <c r="B17" s="1">
        <v>3</v>
      </c>
      <c r="C17" s="1">
        <v>1</v>
      </c>
      <c r="D17" s="1">
        <v>83.7</v>
      </c>
      <c r="E17" s="1">
        <v>48.5</v>
      </c>
      <c r="F17" s="1">
        <v>12.1</v>
      </c>
      <c r="G17" s="1">
        <v>1</v>
      </c>
      <c r="H17" s="1">
        <v>1</v>
      </c>
      <c r="I17" s="1">
        <v>20</v>
      </c>
      <c r="J17" s="1">
        <v>41.9</v>
      </c>
      <c r="K17" s="3">
        <f t="shared" si="1"/>
        <v>0.95238095238095255</v>
      </c>
      <c r="L17" s="3">
        <f t="shared" si="0"/>
        <v>0</v>
      </c>
      <c r="M17" s="3">
        <f t="shared" si="0"/>
        <v>22.676190476190477</v>
      </c>
      <c r="N17" s="3">
        <f t="shared" si="0"/>
        <v>13.976190476190474</v>
      </c>
      <c r="O17" s="3">
        <f t="shared" si="0"/>
        <v>1.6095238095238091</v>
      </c>
      <c r="P17" s="3">
        <f t="shared" si="0"/>
        <v>0.61904761904761907</v>
      </c>
      <c r="Q17" s="3">
        <f t="shared" si="0"/>
        <v>0.2857142857142857</v>
      </c>
      <c r="R17" s="3">
        <f t="shared" si="0"/>
        <v>13.047619047619047</v>
      </c>
      <c r="S17" s="3">
        <f t="shared" si="0"/>
        <v>15.214285714285715</v>
      </c>
    </row>
    <row r="18" spans="1:19" ht="15.75" x14ac:dyDescent="0.25">
      <c r="A18" s="1">
        <v>26</v>
      </c>
      <c r="B18" s="1">
        <v>1</v>
      </c>
      <c r="C18" s="1">
        <v>1</v>
      </c>
      <c r="D18" s="1">
        <v>48.7</v>
      </c>
      <c r="E18" s="1">
        <v>22.3</v>
      </c>
      <c r="F18" s="1">
        <v>12.4</v>
      </c>
      <c r="G18" s="1">
        <v>1</v>
      </c>
      <c r="H18" s="1">
        <v>1</v>
      </c>
      <c r="I18" s="1">
        <v>20</v>
      </c>
      <c r="J18" s="1">
        <v>24.4</v>
      </c>
      <c r="K18" s="3">
        <f t="shared" si="1"/>
        <v>-1.0476190476190474</v>
      </c>
      <c r="L18" s="3">
        <f t="shared" ref="L18:L22" si="2">C18-C$23</f>
        <v>0</v>
      </c>
      <c r="M18" s="3">
        <f t="shared" ref="M18:M22" si="3">D18-D$23</f>
        <v>-12.323809523809523</v>
      </c>
      <c r="N18" s="3">
        <f t="shared" ref="N18:N22" si="4">E18-E$23</f>
        <v>-12.223809523809525</v>
      </c>
      <c r="O18" s="3">
        <f t="shared" ref="O18:O22" si="5">F18-F$23</f>
        <v>1.9095238095238098</v>
      </c>
      <c r="P18" s="3">
        <f t="shared" ref="P18:P22" si="6">G18-G$23</f>
        <v>0.61904761904761907</v>
      </c>
      <c r="Q18" s="3">
        <f t="shared" ref="Q18:Q22" si="7">H18-H$23</f>
        <v>0.2857142857142857</v>
      </c>
      <c r="R18" s="3">
        <f t="shared" ref="R18:R22" si="8">I18-I$23</f>
        <v>13.047619047619047</v>
      </c>
      <c r="S18" s="3">
        <f t="shared" ref="S18:S22" si="9">J18-J$23</f>
        <v>-2.2857142857142847</v>
      </c>
    </row>
    <row r="19" spans="1:19" ht="15.75" x14ac:dyDescent="0.25">
      <c r="A19" s="1">
        <v>27</v>
      </c>
      <c r="B19" s="1">
        <v>1</v>
      </c>
      <c r="C19" s="1">
        <v>1</v>
      </c>
      <c r="D19" s="1">
        <v>39.9</v>
      </c>
      <c r="E19" s="1">
        <v>18</v>
      </c>
      <c r="F19" s="1">
        <v>8.1</v>
      </c>
      <c r="G19" s="1">
        <v>1</v>
      </c>
      <c r="H19" s="1">
        <v>0</v>
      </c>
      <c r="I19" s="1">
        <v>0</v>
      </c>
      <c r="J19" s="1">
        <v>21.3</v>
      </c>
      <c r="K19" s="3">
        <f t="shared" si="1"/>
        <v>-1.0476190476190474</v>
      </c>
      <c r="L19" s="3">
        <f t="shared" si="2"/>
        <v>0</v>
      </c>
      <c r="M19" s="3">
        <f t="shared" si="3"/>
        <v>-21.123809523809527</v>
      </c>
      <c r="N19" s="3">
        <f t="shared" si="4"/>
        <v>-16.523809523809526</v>
      </c>
      <c r="O19" s="3">
        <f t="shared" si="5"/>
        <v>-2.3904761904761909</v>
      </c>
      <c r="P19" s="3">
        <f t="shared" si="6"/>
        <v>0.61904761904761907</v>
      </c>
      <c r="Q19" s="3">
        <f t="shared" si="7"/>
        <v>-0.7142857142857143</v>
      </c>
      <c r="R19" s="3">
        <f t="shared" si="8"/>
        <v>-6.9523809523809526</v>
      </c>
      <c r="S19" s="3">
        <f t="shared" si="9"/>
        <v>-5.3857142857142826</v>
      </c>
    </row>
    <row r="20" spans="1:19" ht="15.75" x14ac:dyDescent="0.25">
      <c r="A20" s="1">
        <v>28</v>
      </c>
      <c r="B20" s="1">
        <v>2</v>
      </c>
      <c r="C20" s="1">
        <v>1</v>
      </c>
      <c r="D20" s="1">
        <v>68.599999999999994</v>
      </c>
      <c r="E20" s="1">
        <v>35.5</v>
      </c>
      <c r="F20" s="1">
        <v>17</v>
      </c>
      <c r="G20" s="1">
        <v>1</v>
      </c>
      <c r="H20" s="1">
        <v>1</v>
      </c>
      <c r="I20" s="1">
        <v>12</v>
      </c>
      <c r="J20" s="1">
        <v>36.700000000000003</v>
      </c>
      <c r="K20" s="3">
        <f t="shared" si="1"/>
        <v>-4.761904761904745E-2</v>
      </c>
      <c r="L20" s="3">
        <f t="shared" si="2"/>
        <v>0</v>
      </c>
      <c r="M20" s="3">
        <f t="shared" si="3"/>
        <v>7.5761904761904688</v>
      </c>
      <c r="N20" s="3">
        <f t="shared" si="4"/>
        <v>0.9761904761904745</v>
      </c>
      <c r="O20" s="3">
        <f t="shared" si="5"/>
        <v>6.5095238095238095</v>
      </c>
      <c r="P20" s="3">
        <f t="shared" si="6"/>
        <v>0.61904761904761907</v>
      </c>
      <c r="Q20" s="3">
        <f t="shared" si="7"/>
        <v>0.2857142857142857</v>
      </c>
      <c r="R20" s="3">
        <f t="shared" si="8"/>
        <v>5.0476190476190474</v>
      </c>
      <c r="S20" s="3">
        <f t="shared" si="9"/>
        <v>10.01428571428572</v>
      </c>
    </row>
    <row r="21" spans="1:19" ht="15.75" x14ac:dyDescent="0.25">
      <c r="A21" s="1">
        <v>29</v>
      </c>
      <c r="B21" s="1">
        <v>1</v>
      </c>
      <c r="C21" s="1">
        <v>1</v>
      </c>
      <c r="D21" s="1">
        <v>39</v>
      </c>
      <c r="E21" s="1">
        <v>20</v>
      </c>
      <c r="F21" s="1">
        <v>9.1999999999999993</v>
      </c>
      <c r="G21" s="1">
        <v>1</v>
      </c>
      <c r="H21" s="1">
        <v>0</v>
      </c>
      <c r="I21" s="1">
        <v>0</v>
      </c>
      <c r="J21" s="1">
        <v>21.5</v>
      </c>
      <c r="K21" s="3">
        <f t="shared" si="1"/>
        <v>-1.0476190476190474</v>
      </c>
      <c r="L21" s="3">
        <f t="shared" si="2"/>
        <v>0</v>
      </c>
      <c r="M21" s="3">
        <f t="shared" si="3"/>
        <v>-22.023809523809526</v>
      </c>
      <c r="N21" s="3">
        <f t="shared" si="4"/>
        <v>-14.523809523809526</v>
      </c>
      <c r="O21" s="3">
        <f t="shared" si="5"/>
        <v>-1.2904761904761912</v>
      </c>
      <c r="P21" s="3">
        <f t="shared" si="6"/>
        <v>0.61904761904761907</v>
      </c>
      <c r="Q21" s="3">
        <f t="shared" si="7"/>
        <v>-0.7142857142857143</v>
      </c>
      <c r="R21" s="3">
        <f t="shared" si="8"/>
        <v>-6.9523809523809526</v>
      </c>
      <c r="S21" s="3">
        <f t="shared" si="9"/>
        <v>-5.1857142857142833</v>
      </c>
    </row>
    <row r="22" spans="1:19" ht="15.75" x14ac:dyDescent="0.25">
      <c r="A22" s="1">
        <v>30</v>
      </c>
      <c r="B22" s="1">
        <v>2</v>
      </c>
      <c r="C22" s="1">
        <v>1</v>
      </c>
      <c r="D22" s="1">
        <v>48.6</v>
      </c>
      <c r="E22" s="1">
        <v>31</v>
      </c>
      <c r="F22" s="1">
        <v>8</v>
      </c>
      <c r="G22" s="1">
        <v>1</v>
      </c>
      <c r="H22" s="1">
        <v>0</v>
      </c>
      <c r="I22" s="1">
        <v>0</v>
      </c>
      <c r="J22" s="1">
        <v>26.4</v>
      </c>
      <c r="K22" s="3">
        <f t="shared" si="1"/>
        <v>-4.761904761904745E-2</v>
      </c>
      <c r="L22" s="3">
        <f t="shared" si="2"/>
        <v>0</v>
      </c>
      <c r="M22" s="3">
        <f t="shared" si="3"/>
        <v>-12.423809523809524</v>
      </c>
      <c r="N22" s="3">
        <f t="shared" si="4"/>
        <v>-3.5238095238095255</v>
      </c>
      <c r="O22" s="3">
        <f t="shared" si="5"/>
        <v>-2.4904761904761905</v>
      </c>
      <c r="P22" s="3">
        <f t="shared" si="6"/>
        <v>0.61904761904761907</v>
      </c>
      <c r="Q22" s="3">
        <f t="shared" si="7"/>
        <v>-0.7142857142857143</v>
      </c>
      <c r="R22" s="3">
        <f t="shared" si="8"/>
        <v>-6.9523809523809526</v>
      </c>
      <c r="S22" s="3">
        <f t="shared" si="9"/>
        <v>-0.2857142857142847</v>
      </c>
    </row>
    <row r="23" spans="1:19" x14ac:dyDescent="0.25">
      <c r="A23" t="s">
        <v>19</v>
      </c>
      <c r="B23" s="3">
        <f>AVERAGE(B2:B22)</f>
        <v>2.0476190476190474</v>
      </c>
      <c r="C23" s="3">
        <f t="shared" ref="C23:J23" si="10">AVERAGE(C2:C22)</f>
        <v>1</v>
      </c>
      <c r="D23" s="3">
        <f t="shared" si="10"/>
        <v>61.023809523809526</v>
      </c>
      <c r="E23" s="3">
        <f t="shared" si="10"/>
        <v>34.523809523809526</v>
      </c>
      <c r="F23" s="3">
        <f t="shared" si="10"/>
        <v>10.490476190476191</v>
      </c>
      <c r="G23" s="3">
        <f t="shared" si="10"/>
        <v>0.38095238095238093</v>
      </c>
      <c r="H23" s="3">
        <f t="shared" si="10"/>
        <v>0.7142857142857143</v>
      </c>
      <c r="I23" s="3">
        <f t="shared" si="10"/>
        <v>6.9523809523809526</v>
      </c>
      <c r="J23" s="3">
        <f t="shared" si="10"/>
        <v>26.685714285714283</v>
      </c>
      <c r="K23" s="3">
        <f>SUMSQ(K2:K22)</f>
        <v>18.952380952380945</v>
      </c>
      <c r="L23" s="3">
        <f t="shared" ref="L23:S23" si="11">SUMSQ(L2:L22)</f>
        <v>0</v>
      </c>
      <c r="M23" s="3">
        <f t="shared" si="11"/>
        <v>11325.018095238094</v>
      </c>
      <c r="N23" s="3">
        <f t="shared" si="11"/>
        <v>5543.2780952380963</v>
      </c>
      <c r="O23" s="3">
        <f t="shared" si="11"/>
        <v>116.59809523809521</v>
      </c>
      <c r="P23" s="3">
        <f t="shared" si="11"/>
        <v>4.9523809523809508</v>
      </c>
      <c r="Q23" s="3">
        <f t="shared" si="11"/>
        <v>4.2857142857142865</v>
      </c>
      <c r="R23" s="3">
        <f t="shared" si="11"/>
        <v>1322.9523809523803</v>
      </c>
      <c r="S23" s="3">
        <f t="shared" si="11"/>
        <v>1942.9457142857136</v>
      </c>
    </row>
    <row r="24" spans="1:19" x14ac:dyDescent="0.25">
      <c r="A24" t="s">
        <v>17</v>
      </c>
      <c r="B24" t="s">
        <v>0</v>
      </c>
      <c r="C24" t="s">
        <v>18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</row>
    <row r="25" spans="1:19" ht="15.75" x14ac:dyDescent="0.25">
      <c r="A25" t="s">
        <v>0</v>
      </c>
      <c r="B25" s="1">
        <v>1</v>
      </c>
    </row>
    <row r="26" spans="1:19" x14ac:dyDescent="0.25">
      <c r="A26" t="s">
        <v>18</v>
      </c>
      <c r="B26">
        <f>V10/SQRT(K23*S23)</f>
        <v>0.75361402956746626</v>
      </c>
      <c r="C26">
        <v>1</v>
      </c>
    </row>
    <row r="27" spans="1:19" x14ac:dyDescent="0.25">
      <c r="A27" t="s">
        <v>1</v>
      </c>
      <c r="B27">
        <v>0</v>
      </c>
      <c r="C27">
        <v>0</v>
      </c>
      <c r="D27">
        <v>1</v>
      </c>
    </row>
    <row r="28" spans="1:19" x14ac:dyDescent="0.25">
      <c r="A28" t="s">
        <v>2</v>
      </c>
      <c r="B28" s="4">
        <f>X10/SQRT(M23*S$23)</f>
        <v>0.91942070658309949</v>
      </c>
      <c r="C28">
        <f>V4/SQRT(K$23*M$23)</f>
        <v>0.88082557355790747</v>
      </c>
      <c r="D28">
        <v>0</v>
      </c>
      <c r="E28">
        <v>1</v>
      </c>
    </row>
    <row r="29" spans="1:19" x14ac:dyDescent="0.25">
      <c r="A29" t="s">
        <v>3</v>
      </c>
      <c r="B29" s="4">
        <f>Y10/SQRT(N$23*S$23)</f>
        <v>0.87660943239809863</v>
      </c>
      <c r="C29">
        <f>V5/SQRT(K$23*N$23)</f>
        <v>0.91993626535523065</v>
      </c>
      <c r="D29">
        <v>0</v>
      </c>
      <c r="E29">
        <f>X5/SQRT(M$23*N$23)</f>
        <v>0.98746454152628604</v>
      </c>
      <c r="F29">
        <v>1</v>
      </c>
    </row>
    <row r="30" spans="1:19" x14ac:dyDescent="0.25">
      <c r="A30" t="s">
        <v>4</v>
      </c>
      <c r="B30">
        <f>Z10/SQRT(O$23*S$23)</f>
        <v>0.70185064138748432</v>
      </c>
      <c r="C30">
        <f>V6/SQRT(K$23*O$23)</f>
        <v>0.34482015291768231</v>
      </c>
      <c r="D30">
        <v>0</v>
      </c>
      <c r="E30">
        <f>X6/SQRT(M$23*O$23)</f>
        <v>0.59557320575308614</v>
      </c>
      <c r="F30">
        <f>Y6/SQRT(N$23*O$23)</f>
        <v>0.49813389120680862</v>
      </c>
      <c r="G30">
        <v>1</v>
      </c>
    </row>
    <row r="31" spans="1:19" x14ac:dyDescent="0.25">
      <c r="A31" t="s">
        <v>5</v>
      </c>
      <c r="B31">
        <f>AA10/SQRT(P$23*S$23)</f>
        <v>0.31107553215947142</v>
      </c>
      <c r="C31">
        <f>V7/SQRT(K$23*P$23)</f>
        <v>-0.24576033969906308</v>
      </c>
      <c r="D31">
        <v>0</v>
      </c>
      <c r="E31">
        <f>X7/SQRT(M$23*P$23)</f>
        <v>-6.878714822614268E-2</v>
      </c>
      <c r="F31">
        <f>Y7/SQRT(N$23*P$23)</f>
        <v>-0.14539686047035444</v>
      </c>
      <c r="G31">
        <f>Z7/SQRT(O$23*P$23)</f>
        <v>0.33192714194353523</v>
      </c>
      <c r="H31">
        <v>1</v>
      </c>
    </row>
    <row r="32" spans="1:19" x14ac:dyDescent="0.25">
      <c r="A32" t="s">
        <v>6</v>
      </c>
      <c r="B32">
        <f>AB10/SQRT(Q$23*S$23)</f>
        <v>0.21713832351369194</v>
      </c>
      <c r="C32">
        <f>V8/SQRT(K$23*Q$23)</f>
        <v>0.14265959061335437</v>
      </c>
      <c r="D32">
        <v>0</v>
      </c>
      <c r="E32">
        <f>X8/SQRT(M$23*Q$23)</f>
        <v>0.23804292868788368</v>
      </c>
      <c r="F32">
        <f>Y8/SQRT(N$23*Q$23)</f>
        <v>0.16052951992220987</v>
      </c>
      <c r="G32">
        <f>Z8/SQRT(O$23*Q$23)</f>
        <v>0.3687401583872964</v>
      </c>
      <c r="H32">
        <f>AA8/SQRT(P$23*Q$23)</f>
        <v>-0.15504341823651061</v>
      </c>
      <c r="I32">
        <v>1</v>
      </c>
    </row>
    <row r="33" spans="1:30" x14ac:dyDescent="0.25">
      <c r="A33" t="s">
        <v>7</v>
      </c>
      <c r="B33">
        <f>AC10/SQRT(R$23*S$23)</f>
        <v>0.23644763750278736</v>
      </c>
      <c r="C33">
        <f>V9/SQRT(K$23*R$23)</f>
        <v>-0.11969052792507773</v>
      </c>
      <c r="D33">
        <v>0</v>
      </c>
      <c r="E33">
        <f>X9/SQRT(M$23*R$23)</f>
        <v>4.8085083499268717E-2</v>
      </c>
      <c r="F33">
        <f>Y9/SQRT(N$23*R$23)</f>
        <v>-5.8446720729745737E-2</v>
      </c>
      <c r="G33">
        <f>Z9/SQRT(O$23*R$23)</f>
        <v>0.51276821273625905</v>
      </c>
      <c r="H33">
        <f>AA9/SQRT(P$23*R$23)</f>
        <v>0.44946402376886502</v>
      </c>
      <c r="I33">
        <f>AB9/SQRT(Q$23*R$23)</f>
        <v>0.55398894450151659</v>
      </c>
      <c r="J33">
        <v>1</v>
      </c>
    </row>
    <row r="35" spans="1:30" ht="15.75" x14ac:dyDescent="0.25">
      <c r="A35" s="2" t="s">
        <v>57</v>
      </c>
      <c r="B35" s="2" t="s">
        <v>9</v>
      </c>
      <c r="C35" s="2" t="s">
        <v>11</v>
      </c>
      <c r="D35" s="2" t="s">
        <v>8</v>
      </c>
      <c r="E35" s="2" t="s">
        <v>50</v>
      </c>
    </row>
    <row r="36" spans="1:30" ht="15.75" x14ac:dyDescent="0.25">
      <c r="A36" s="1">
        <v>1</v>
      </c>
      <c r="B36" s="1">
        <v>39</v>
      </c>
      <c r="C36" s="1">
        <v>20</v>
      </c>
      <c r="D36" s="1">
        <v>15.9</v>
      </c>
      <c r="E36" s="3">
        <f t="array" ref="E36:Y38">TRANSPOSE(A36:C56)</f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/>
      <c r="AA36" s="3"/>
      <c r="AB36" s="3"/>
      <c r="AC36" s="3"/>
      <c r="AD36" s="3"/>
    </row>
    <row r="37" spans="1:30" ht="15.75" x14ac:dyDescent="0.25">
      <c r="A37" s="1">
        <v>1</v>
      </c>
      <c r="B37" s="1">
        <v>68.400000000000006</v>
      </c>
      <c r="C37" s="1">
        <v>40.5</v>
      </c>
      <c r="D37" s="1">
        <v>27</v>
      </c>
      <c r="E37" s="3">
        <v>39</v>
      </c>
      <c r="F37" s="3">
        <v>68.400000000000006</v>
      </c>
      <c r="G37" s="3">
        <v>34.799999999999997</v>
      </c>
      <c r="H37" s="3">
        <v>39</v>
      </c>
      <c r="I37" s="3">
        <v>54.7</v>
      </c>
      <c r="J37" s="3">
        <v>74.7</v>
      </c>
      <c r="K37" s="3">
        <v>71.7</v>
      </c>
      <c r="L37" s="3">
        <v>74.5</v>
      </c>
      <c r="M37" s="3">
        <v>137.69999999999999</v>
      </c>
      <c r="N37" s="3">
        <v>37</v>
      </c>
      <c r="O37" s="3">
        <v>69</v>
      </c>
      <c r="P37" s="3">
        <v>40</v>
      </c>
      <c r="Q37" s="3">
        <v>69.099999999999994</v>
      </c>
      <c r="R37" s="3">
        <v>68.099999999999994</v>
      </c>
      <c r="S37" s="3">
        <v>75.3</v>
      </c>
      <c r="T37" s="3">
        <v>83.7</v>
      </c>
      <c r="U37" s="3">
        <v>48.7</v>
      </c>
      <c r="V37" s="3">
        <v>39.9</v>
      </c>
      <c r="W37" s="3">
        <v>68.599999999999994</v>
      </c>
      <c r="X37" s="3">
        <v>39</v>
      </c>
      <c r="Y37" s="3">
        <v>48.6</v>
      </c>
      <c r="Z37" s="3"/>
      <c r="AA37" s="3"/>
      <c r="AB37" s="3"/>
      <c r="AC37" s="3"/>
      <c r="AD37" s="3"/>
    </row>
    <row r="38" spans="1:30" ht="15.75" x14ac:dyDescent="0.25">
      <c r="A38" s="1">
        <v>1</v>
      </c>
      <c r="B38" s="1">
        <v>34.799999999999997</v>
      </c>
      <c r="C38" s="1">
        <v>16</v>
      </c>
      <c r="D38" s="1">
        <v>13.5</v>
      </c>
      <c r="E38" s="3">
        <v>20</v>
      </c>
      <c r="F38">
        <v>40.5</v>
      </c>
      <c r="G38">
        <v>16</v>
      </c>
      <c r="H38">
        <v>20</v>
      </c>
      <c r="I38">
        <v>28</v>
      </c>
      <c r="J38">
        <v>46.3</v>
      </c>
      <c r="K38">
        <v>45.9</v>
      </c>
      <c r="L38">
        <v>47.5</v>
      </c>
      <c r="M38">
        <v>87.2</v>
      </c>
      <c r="N38">
        <v>17.8</v>
      </c>
      <c r="O38">
        <v>42.4</v>
      </c>
      <c r="P38">
        <v>20</v>
      </c>
      <c r="Q38">
        <v>41.3</v>
      </c>
      <c r="R38">
        <v>35.4</v>
      </c>
      <c r="S38">
        <v>41.4</v>
      </c>
      <c r="T38">
        <v>48.5</v>
      </c>
      <c r="U38">
        <v>22.3</v>
      </c>
      <c r="V38">
        <v>18</v>
      </c>
      <c r="W38">
        <v>35.5</v>
      </c>
      <c r="X38">
        <v>20</v>
      </c>
      <c r="Y38">
        <v>31</v>
      </c>
    </row>
    <row r="39" spans="1:30" ht="15.75" x14ac:dyDescent="0.25">
      <c r="A39" s="1">
        <v>1</v>
      </c>
      <c r="B39" s="1">
        <v>39</v>
      </c>
      <c r="C39" s="1">
        <v>20</v>
      </c>
      <c r="D39" s="1">
        <v>15.1</v>
      </c>
      <c r="E39" s="3" t="s">
        <v>49</v>
      </c>
      <c r="H39" t="s">
        <v>52</v>
      </c>
    </row>
    <row r="40" spans="1:30" ht="15.75" x14ac:dyDescent="0.25">
      <c r="A40" s="1">
        <v>1</v>
      </c>
      <c r="B40" s="1">
        <v>54.7</v>
      </c>
      <c r="C40" s="1">
        <v>28</v>
      </c>
      <c r="D40" s="1">
        <v>21.1</v>
      </c>
      <c r="E40" s="3">
        <f t="array" ref="E40:G42">MMULT(E36:Y38,A36:C56)</f>
        <v>21</v>
      </c>
      <c r="F40" s="3">
        <v>1281.5</v>
      </c>
      <c r="G40">
        <v>725</v>
      </c>
      <c r="H40">
        <f t="array" ref="H40:J42">MINVERSE(E40:G42)</f>
        <v>0.79849775134550816</v>
      </c>
      <c r="I40">
        <v>-4.3580028675975893E-2</v>
      </c>
      <c r="J40">
        <v>5.5281867544837777E-2</v>
      </c>
    </row>
    <row r="41" spans="1:30" ht="15.75" x14ac:dyDescent="0.25">
      <c r="A41" s="1">
        <v>1</v>
      </c>
      <c r="B41" s="1">
        <v>74.7</v>
      </c>
      <c r="C41" s="1">
        <v>46.3</v>
      </c>
      <c r="D41" s="1">
        <v>28.7</v>
      </c>
      <c r="E41" s="3">
        <v>1281.5</v>
      </c>
      <c r="F41" s="3">
        <v>89527.029999999984</v>
      </c>
      <c r="G41">
        <v>52066.179999999993</v>
      </c>
      <c r="H41">
        <v>-4.3580028675975935E-2</v>
      </c>
      <c r="I41">
        <v>3.5442266247288795E-3</v>
      </c>
      <c r="J41">
        <v>-5.0024080239925023E-3</v>
      </c>
      <c r="L41" t="s">
        <v>60</v>
      </c>
      <c r="M41" s="3">
        <v>1.1000000000000001</v>
      </c>
    </row>
    <row r="42" spans="1:30" ht="15.75" x14ac:dyDescent="0.25">
      <c r="A42" s="1">
        <v>1</v>
      </c>
      <c r="B42" s="1">
        <v>71.7</v>
      </c>
      <c r="C42" s="1">
        <v>45.9</v>
      </c>
      <c r="D42" s="1">
        <v>27.2</v>
      </c>
      <c r="E42" s="3">
        <v>725</v>
      </c>
      <c r="F42" s="3">
        <v>52066.179999999993</v>
      </c>
      <c r="G42">
        <v>30573.039999999997</v>
      </c>
      <c r="H42">
        <v>5.5281867544837916E-2</v>
      </c>
      <c r="I42">
        <v>-5.002408023992504E-3</v>
      </c>
      <c r="J42">
        <v>7.2409195369721345E-3</v>
      </c>
    </row>
    <row r="43" spans="1:30" ht="15.75" x14ac:dyDescent="0.25">
      <c r="A43" s="1">
        <v>1</v>
      </c>
      <c r="B43" s="1">
        <v>74.5</v>
      </c>
      <c r="C43" s="1">
        <v>47.5</v>
      </c>
      <c r="D43" s="1">
        <v>28.3</v>
      </c>
      <c r="E43" s="3" t="s">
        <v>53</v>
      </c>
      <c r="F43" s="3"/>
      <c r="G43" t="s">
        <v>54</v>
      </c>
    </row>
    <row r="44" spans="1:30" ht="15.75" x14ac:dyDescent="0.25">
      <c r="A44" s="1">
        <v>1</v>
      </c>
      <c r="B44" s="1">
        <v>137.69999999999999</v>
      </c>
      <c r="C44" s="1">
        <v>87.2</v>
      </c>
      <c r="D44" s="1">
        <v>52.3</v>
      </c>
      <c r="E44" s="3">
        <f t="array" ref="E44:E46">MMULT(E36:Y38,D36:D56)</f>
        <v>560.4</v>
      </c>
      <c r="F44" s="3"/>
      <c r="G44" s="3">
        <f t="array" ref="G44:G46">MMULT(H40:J42,E44:E46)</f>
        <v>-2.2296995395774957</v>
      </c>
      <c r="H44" t="s">
        <v>29</v>
      </c>
    </row>
    <row r="45" spans="1:30" ht="15.75" x14ac:dyDescent="0.25">
      <c r="A45" s="1">
        <v>1</v>
      </c>
      <c r="B45" s="1">
        <v>37</v>
      </c>
      <c r="C45" s="1">
        <v>17.8</v>
      </c>
      <c r="D45" s="1">
        <v>15.4</v>
      </c>
      <c r="E45" s="3">
        <v>38510.590000000004</v>
      </c>
      <c r="F45" s="3"/>
      <c r="G45" s="3">
        <v>0.89444439271120757</v>
      </c>
      <c r="H45" t="s">
        <v>30</v>
      </c>
    </row>
    <row r="46" spans="1:30" ht="15.75" x14ac:dyDescent="0.25">
      <c r="A46" s="1">
        <v>1</v>
      </c>
      <c r="B46" s="1">
        <v>69</v>
      </c>
      <c r="C46" s="1">
        <v>42.4</v>
      </c>
      <c r="D46" s="1">
        <v>28.6</v>
      </c>
      <c r="E46" s="3">
        <v>22224.010000000002</v>
      </c>
      <c r="F46" s="3"/>
      <c r="G46" s="3">
        <v>-0.74345765369423589</v>
      </c>
      <c r="H46" t="s">
        <v>48</v>
      </c>
    </row>
    <row r="47" spans="1:30" ht="15.75" x14ac:dyDescent="0.25">
      <c r="A47" s="1">
        <v>1</v>
      </c>
      <c r="B47" s="1">
        <v>40</v>
      </c>
      <c r="C47" s="1">
        <v>20</v>
      </c>
      <c r="D47" s="1">
        <v>15.6</v>
      </c>
      <c r="E47" t="s">
        <v>31</v>
      </c>
      <c r="G47" t="s">
        <v>37</v>
      </c>
      <c r="H47" t="s">
        <v>41</v>
      </c>
      <c r="I47" t="s">
        <v>42</v>
      </c>
      <c r="J47" t="s">
        <v>43</v>
      </c>
      <c r="K47" t="s">
        <v>44</v>
      </c>
    </row>
    <row r="48" spans="1:30" ht="15.75" x14ac:dyDescent="0.25">
      <c r="A48" s="1">
        <v>1</v>
      </c>
      <c r="B48" s="1">
        <v>69.099999999999994</v>
      </c>
      <c r="C48" s="1">
        <v>41.3</v>
      </c>
      <c r="D48" s="1">
        <v>27.7</v>
      </c>
      <c r="E48" t="s">
        <v>32</v>
      </c>
      <c r="F48" s="3">
        <f>CORREL(D36:D56, A59:A79)</f>
        <v>0.9405436032558413</v>
      </c>
      <c r="G48" t="s">
        <v>38</v>
      </c>
      <c r="H48">
        <v>2</v>
      </c>
      <c r="I48" s="3">
        <f>SUMXMY2(A59:A79,D36:D56)</f>
        <v>224.17266675518351</v>
      </c>
      <c r="J48" s="3">
        <f>I48/H48</f>
        <v>112.08633337759176</v>
      </c>
      <c r="K48" s="5">
        <f>J48/J49</f>
        <v>1.0383995733706675</v>
      </c>
    </row>
    <row r="49" spans="1:10" ht="15.75" x14ac:dyDescent="0.25">
      <c r="A49" s="1">
        <v>1</v>
      </c>
      <c r="B49" s="1">
        <v>68.099999999999994</v>
      </c>
      <c r="C49" s="1">
        <v>35.4</v>
      </c>
      <c r="D49" s="1">
        <v>34.1</v>
      </c>
      <c r="E49" t="s">
        <v>33</v>
      </c>
      <c r="F49" s="3">
        <f>F48*F48</f>
        <v>0.88462226962548141</v>
      </c>
      <c r="G49" t="s">
        <v>39</v>
      </c>
      <c r="H49">
        <f>21 -2 -1</f>
        <v>18</v>
      </c>
      <c r="I49" s="3">
        <f>SUMXMY2(D36:D56, D59:D79)</f>
        <v>1942.9457142857136</v>
      </c>
      <c r="J49" s="3">
        <f t="shared" ref="J49:J50" si="12">I49/H49</f>
        <v>107.94142857142853</v>
      </c>
    </row>
    <row r="50" spans="1:10" ht="15.75" x14ac:dyDescent="0.25">
      <c r="A50" s="1">
        <v>1</v>
      </c>
      <c r="B50" s="1">
        <v>75.3</v>
      </c>
      <c r="C50" s="1">
        <v>41.4</v>
      </c>
      <c r="D50" s="1">
        <v>37.700000000000003</v>
      </c>
      <c r="E50" t="s">
        <v>34</v>
      </c>
      <c r="F50" s="3">
        <f>SQRT(1 - (((1 - F49)*(21 - 1))/(21 - 2 - 1)))</f>
        <v>0.93370365845170089</v>
      </c>
      <c r="G50" t="s">
        <v>40</v>
      </c>
      <c r="H50">
        <f xml:space="preserve"> 21 -1</f>
        <v>20</v>
      </c>
      <c r="I50" s="3">
        <f>I48/I49</f>
        <v>0.11537773037451859</v>
      </c>
      <c r="J50" s="3"/>
    </row>
    <row r="51" spans="1:10" ht="15.75" x14ac:dyDescent="0.25">
      <c r="A51" s="1">
        <v>1</v>
      </c>
      <c r="B51" s="1">
        <v>83.7</v>
      </c>
      <c r="C51" s="1">
        <v>48.5</v>
      </c>
      <c r="D51" s="1">
        <v>41.9</v>
      </c>
      <c r="E51" t="s">
        <v>35</v>
      </c>
      <c r="F51" s="3">
        <f>SQRT(I49/(22 - 2 - 1))</f>
        <v>10.112383534650951</v>
      </c>
    </row>
    <row r="52" spans="1:10" ht="15.75" x14ac:dyDescent="0.25">
      <c r="A52" s="1">
        <v>1</v>
      </c>
      <c r="B52" s="1">
        <v>48.7</v>
      </c>
      <c r="C52" s="1">
        <v>22.3</v>
      </c>
      <c r="D52" s="1">
        <v>24.4</v>
      </c>
      <c r="E52" t="s">
        <v>36</v>
      </c>
      <c r="F52" s="3">
        <v>21</v>
      </c>
    </row>
    <row r="53" spans="1:10" ht="15.75" x14ac:dyDescent="0.25">
      <c r="A53" s="1">
        <v>1</v>
      </c>
      <c r="B53" s="1">
        <v>39.9</v>
      </c>
      <c r="C53" s="1">
        <v>18</v>
      </c>
      <c r="D53" s="1">
        <v>21.3</v>
      </c>
    </row>
    <row r="54" spans="1:10" ht="15.75" x14ac:dyDescent="0.25">
      <c r="A54" s="1">
        <v>1</v>
      </c>
      <c r="B54" s="1">
        <v>68.599999999999994</v>
      </c>
      <c r="C54" s="1">
        <v>35.5</v>
      </c>
      <c r="D54" s="1">
        <v>36.700000000000003</v>
      </c>
      <c r="E54" t="s">
        <v>45</v>
      </c>
      <c r="F54" t="s">
        <v>55</v>
      </c>
      <c r="G54" t="s">
        <v>35</v>
      </c>
      <c r="H54" t="s">
        <v>56</v>
      </c>
      <c r="I54" t="s">
        <v>62</v>
      </c>
    </row>
    <row r="55" spans="1:10" ht="15.75" x14ac:dyDescent="0.25">
      <c r="A55" s="1">
        <v>1</v>
      </c>
      <c r="B55" s="1">
        <v>39</v>
      </c>
      <c r="C55" s="1">
        <v>20</v>
      </c>
      <c r="D55" s="1">
        <v>21.5</v>
      </c>
      <c r="E55" t="s">
        <v>46</v>
      </c>
      <c r="F55" s="3">
        <f>G44</f>
        <v>-2.2296995395774957</v>
      </c>
      <c r="G55" s="3">
        <f>F$51*SQRT(H40)</f>
        <v>9.036294605771289</v>
      </c>
      <c r="H55" s="3">
        <f>F55/G55</f>
        <v>-0.24674931892475419</v>
      </c>
      <c r="I55" s="3">
        <f xml:space="preserve"> F55 * (1 /D$57)</f>
        <v>-8.355405126896398E-2</v>
      </c>
    </row>
    <row r="56" spans="1:10" ht="15.75" x14ac:dyDescent="0.25">
      <c r="A56" s="1">
        <v>1</v>
      </c>
      <c r="B56" s="1">
        <v>48.6</v>
      </c>
      <c r="C56" s="1">
        <v>31</v>
      </c>
      <c r="D56" s="1">
        <v>26.4</v>
      </c>
      <c r="E56" t="s">
        <v>47</v>
      </c>
      <c r="F56" s="3">
        <f t="shared" ref="F56:F57" si="13">G45</f>
        <v>0.89444439271120757</v>
      </c>
      <c r="G56" s="3">
        <f>F$51*SQRT(I41)</f>
        <v>0.6020246511378039</v>
      </c>
      <c r="H56" s="3">
        <f t="shared" ref="H56:H57" si="14">F56/G56</f>
        <v>1.4857271891121757</v>
      </c>
      <c r="I56" s="3">
        <f xml:space="preserve"> F56 * (B57 /D$57)</f>
        <v>2.0453791742673317</v>
      </c>
    </row>
    <row r="57" spans="1:10" x14ac:dyDescent="0.25">
      <c r="A57" t="s">
        <v>19</v>
      </c>
      <c r="B57" s="3">
        <f>AVERAGE(B36:B56)</f>
        <v>61.023809523809526</v>
      </c>
      <c r="C57" s="3">
        <f>AVERAGE(C36:C56)</f>
        <v>34.523809523809526</v>
      </c>
      <c r="D57" s="3">
        <f>AVERAGE(D36:D56)</f>
        <v>26.685714285714283</v>
      </c>
      <c r="E57" t="s">
        <v>51</v>
      </c>
      <c r="F57" s="3">
        <f t="shared" si="13"/>
        <v>-0.74345765369423589</v>
      </c>
      <c r="G57" s="3">
        <f>F$51*SQRT(J42)</f>
        <v>0.86049904681581812</v>
      </c>
      <c r="H57" s="3">
        <f t="shared" si="14"/>
        <v>-0.8639842849859265</v>
      </c>
      <c r="I57" s="3">
        <f xml:space="preserve"> F57 * (C57 /D$57)</f>
        <v>-0.96182512299843159</v>
      </c>
    </row>
    <row r="58" spans="1:10" x14ac:dyDescent="0.25">
      <c r="A58" t="s">
        <v>58</v>
      </c>
      <c r="B58" t="s">
        <v>59</v>
      </c>
      <c r="D58" t="s">
        <v>61</v>
      </c>
      <c r="E58" s="3"/>
      <c r="F58" s="3"/>
    </row>
    <row r="59" spans="1:10" x14ac:dyDescent="0.25">
      <c r="A59" s="3">
        <f>G$44 + B36*G$45 + C36*G$46</f>
        <v>17.784478702274882</v>
      </c>
      <c r="B59" s="3">
        <f>SQRT(H40/M$41)</f>
        <v>0.85200178795454096</v>
      </c>
      <c r="C59" s="3"/>
      <c r="D59" s="3">
        <f>AVERAGE(D$36:D$56)</f>
        <v>26.685714285714283</v>
      </c>
      <c r="E59" s="3"/>
      <c r="F59" s="3"/>
    </row>
    <row r="60" spans="1:10" x14ac:dyDescent="0.25">
      <c r="A60" s="3">
        <f t="shared" ref="A60:A79" si="15">G$44 + B37*G$45 + C37*G$46</f>
        <v>28.840261947252557</v>
      </c>
      <c r="B60" s="3">
        <f>SQRT(I41/M$41)</f>
        <v>5.6762876991031566E-2</v>
      </c>
      <c r="C60" s="3"/>
      <c r="D60" s="3">
        <f t="shared" ref="D60:D79" si="16">AVERAGE(D$36:D$56)</f>
        <v>26.685714285714283</v>
      </c>
      <c r="E60" s="3"/>
      <c r="F60" s="3"/>
    </row>
    <row r="61" spans="1:10" x14ac:dyDescent="0.25">
      <c r="A61" s="3">
        <f t="shared" si="15"/>
        <v>17.001642867664749</v>
      </c>
      <c r="B61" s="3">
        <f>SQRT(J42/M$41)</f>
        <v>8.1133557326916961E-2</v>
      </c>
      <c r="C61" s="3"/>
      <c r="D61" s="3">
        <f t="shared" si="16"/>
        <v>26.685714285714283</v>
      </c>
      <c r="E61" s="3"/>
    </row>
    <row r="62" spans="1:10" x14ac:dyDescent="0.25">
      <c r="A62" s="3">
        <f t="shared" si="15"/>
        <v>17.784478702274882</v>
      </c>
      <c r="B62" s="3"/>
      <c r="D62" s="3">
        <f t="shared" si="16"/>
        <v>26.685714285714283</v>
      </c>
      <c r="E62" s="3"/>
    </row>
    <row r="63" spans="1:10" x14ac:dyDescent="0.25">
      <c r="A63" s="3">
        <f t="shared" si="15"/>
        <v>25.879594438286958</v>
      </c>
      <c r="B63" s="3"/>
      <c r="D63" s="3">
        <f t="shared" si="16"/>
        <v>26.685714285714283</v>
      </c>
      <c r="E63" s="3"/>
    </row>
    <row r="64" spans="1:10" x14ac:dyDescent="0.25">
      <c r="A64" s="3">
        <f t="shared" si="15"/>
        <v>30.163207229906597</v>
      </c>
      <c r="D64" s="3">
        <f t="shared" si="16"/>
        <v>26.685714285714283</v>
      </c>
      <c r="E64" s="3"/>
    </row>
    <row r="65" spans="1:4" x14ac:dyDescent="0.25">
      <c r="A65" s="3">
        <f t="shared" si="15"/>
        <v>27.777257113250663</v>
      </c>
      <c r="D65" s="3">
        <f t="shared" si="16"/>
        <v>26.685714285714283</v>
      </c>
    </row>
    <row r="66" spans="1:4" x14ac:dyDescent="0.25">
      <c r="A66" s="3">
        <f t="shared" si="15"/>
        <v>29.092169166931257</v>
      </c>
      <c r="D66" s="3">
        <f t="shared" si="16"/>
        <v>26.685714285714283</v>
      </c>
    </row>
    <row r="67" spans="1:4" x14ac:dyDescent="0.25">
      <c r="A67" s="3">
        <f t="shared" si="15"/>
        <v>56.10578593461841</v>
      </c>
      <c r="D67" s="3">
        <f t="shared" si="16"/>
        <v>26.685714285714283</v>
      </c>
    </row>
    <row r="68" spans="1:4" x14ac:dyDescent="0.25">
      <c r="A68" s="3">
        <f t="shared" si="15"/>
        <v>17.631196754979783</v>
      </c>
      <c r="D68" s="3">
        <f t="shared" si="16"/>
        <v>26.685714285714283</v>
      </c>
    </row>
    <row r="69" spans="1:4" x14ac:dyDescent="0.25">
      <c r="A69" s="3">
        <f t="shared" si="15"/>
        <v>27.964359040860227</v>
      </c>
      <c r="D69" s="3">
        <f t="shared" si="16"/>
        <v>26.685714285714283</v>
      </c>
    </row>
    <row r="70" spans="1:4" x14ac:dyDescent="0.25">
      <c r="A70" s="3">
        <f t="shared" si="15"/>
        <v>18.678923094986089</v>
      </c>
      <c r="D70" s="3">
        <f t="shared" si="16"/>
        <v>26.685714285714283</v>
      </c>
    </row>
    <row r="71" spans="1:4" x14ac:dyDescent="0.25">
      <c r="A71" s="3">
        <f t="shared" si="15"/>
        <v>28.871606899194997</v>
      </c>
      <c r="D71" s="3">
        <f t="shared" si="16"/>
        <v>26.685714285714283</v>
      </c>
    </row>
    <row r="72" spans="1:4" x14ac:dyDescent="0.25">
      <c r="A72" s="3">
        <f t="shared" si="15"/>
        <v>32.363562663279779</v>
      </c>
      <c r="D72" s="3">
        <f t="shared" si="16"/>
        <v>26.685714285714283</v>
      </c>
    </row>
    <row r="73" spans="1:4" x14ac:dyDescent="0.25">
      <c r="A73" s="3">
        <f t="shared" si="15"/>
        <v>34.34281636863507</v>
      </c>
      <c r="D73" s="3">
        <f t="shared" si="16"/>
        <v>26.685714285714283</v>
      </c>
    </row>
    <row r="74" spans="1:4" x14ac:dyDescent="0.25">
      <c r="A74" s="3">
        <f t="shared" si="15"/>
        <v>36.577599926180142</v>
      </c>
      <c r="D74" s="3">
        <f t="shared" si="16"/>
        <v>26.685714285714283</v>
      </c>
    </row>
    <row r="75" spans="1:4" x14ac:dyDescent="0.25">
      <c r="A75" s="3">
        <f t="shared" si="15"/>
        <v>24.750636708076858</v>
      </c>
      <c r="B75" s="3"/>
      <c r="D75" s="3">
        <f t="shared" si="16"/>
        <v>26.685714285714283</v>
      </c>
    </row>
    <row r="76" spans="1:4" x14ac:dyDescent="0.25">
      <c r="A76" s="3">
        <f t="shared" si="15"/>
        <v>20.076393963103442</v>
      </c>
      <c r="B76" s="3"/>
      <c r="D76" s="3">
        <f t="shared" si="16"/>
        <v>26.685714285714283</v>
      </c>
    </row>
    <row r="77" spans="1:4" x14ac:dyDescent="0.25">
      <c r="A77" s="3">
        <f t="shared" si="15"/>
        <v>32.736439094265961</v>
      </c>
      <c r="B77" s="3"/>
      <c r="D77" s="3">
        <f t="shared" si="16"/>
        <v>26.685714285714283</v>
      </c>
    </row>
    <row r="78" spans="1:4" x14ac:dyDescent="0.25">
      <c r="A78" s="3">
        <f t="shared" si="15"/>
        <v>17.784478702274882</v>
      </c>
      <c r="B78" s="3"/>
      <c r="D78" s="3">
        <f t="shared" si="16"/>
        <v>26.685714285714283</v>
      </c>
    </row>
    <row r="79" spans="1:4" x14ac:dyDescent="0.25">
      <c r="A79" s="3">
        <f t="shared" si="15"/>
        <v>18.193110681665878</v>
      </c>
      <c r="B79" s="3"/>
      <c r="D79" s="3">
        <f t="shared" si="16"/>
        <v>26.685714285714283</v>
      </c>
    </row>
    <row r="80" spans="1:4" x14ac:dyDescent="0.25">
      <c r="B80" t="s">
        <v>9</v>
      </c>
      <c r="C80" t="s">
        <v>11</v>
      </c>
    </row>
    <row r="81" spans="1:4" x14ac:dyDescent="0.25">
      <c r="A81">
        <v>1</v>
      </c>
      <c r="B81" s="3">
        <f>0.0002 * POWER(A81, 6) - 0.011 * POWER(A81, 5)+ 0.3032*POWER(A81, 4) - 4.0397*POWER(A81, 3) + 26.02*POWER(A81, 2) - 67.242*POWER(A81, 1) + 96.496</f>
        <v>51.526699999999991</v>
      </c>
      <c r="C81" s="3">
        <f>0.0001 *POWER(A81,6) - 0.0083*POWER(A81,5)+ 0.2297*POWER(A81,4) - 3.0714*POWER(A81,3) + 19.911*POWER(A81,2) - 52.057*POWER(A81,1) + 64.183</f>
        <v>29.187100000000001</v>
      </c>
    </row>
    <row r="82" spans="1:4" x14ac:dyDescent="0.25">
      <c r="A82">
        <v>2</v>
      </c>
      <c r="B82" s="3">
        <f>0.0002 * POWER(A82, 6) - 0.011 * POWER(A82, 5)+ 0.3032*POWER(A82, 4) - 4.0397*POWER(A82, 3) + 26.02*POWER(A82, 2) - 67.242*POWER(A82, 1) + 96.496</f>
        <v>38.286399999999986</v>
      </c>
      <c r="C82" s="3">
        <f>0.0001 *POWER(A82,6) - 0.0083*POWER(A82,5)+ 0.2297*POWER(A82,4) - 3.0714*POWER(A82,3) + 19.911*POWER(A82,2) - 52.057*POWER(A82,1) + 64.183</f>
        <v>18.557800000000007</v>
      </c>
    </row>
    <row r="83" spans="1:4" ht="15.75" x14ac:dyDescent="0.25">
      <c r="B83" s="2" t="s">
        <v>63</v>
      </c>
      <c r="C83" s="2" t="s">
        <v>64</v>
      </c>
      <c r="D83" s="2" t="s">
        <v>65</v>
      </c>
    </row>
    <row r="84" spans="1:4" ht="15.75" x14ac:dyDescent="0.25">
      <c r="A84">
        <v>1</v>
      </c>
      <c r="B84" s="1">
        <v>39</v>
      </c>
      <c r="C84" s="1">
        <v>20</v>
      </c>
      <c r="D84" s="1">
        <v>15.9</v>
      </c>
    </row>
    <row r="85" spans="1:4" ht="15.75" x14ac:dyDescent="0.25">
      <c r="A85">
        <v>2</v>
      </c>
      <c r="B85" s="1">
        <v>68.400000000000006</v>
      </c>
      <c r="C85" s="1">
        <v>40.5</v>
      </c>
      <c r="D85" s="1">
        <v>27</v>
      </c>
    </row>
    <row r="86" spans="1:4" ht="15.75" x14ac:dyDescent="0.25">
      <c r="A86">
        <v>3</v>
      </c>
      <c r="B86" s="1">
        <v>34.799999999999997</v>
      </c>
      <c r="C86" s="1">
        <v>16</v>
      </c>
      <c r="D86" s="1">
        <v>13.5</v>
      </c>
    </row>
    <row r="87" spans="1:4" ht="15.75" x14ac:dyDescent="0.25">
      <c r="A87">
        <v>4</v>
      </c>
      <c r="B87" s="1">
        <v>39</v>
      </c>
      <c r="C87" s="1">
        <v>20</v>
      </c>
      <c r="D87" s="1">
        <v>15.1</v>
      </c>
    </row>
    <row r="88" spans="1:4" ht="15.75" x14ac:dyDescent="0.25">
      <c r="A88">
        <v>5</v>
      </c>
      <c r="B88" s="1">
        <v>54.7</v>
      </c>
      <c r="C88" s="1">
        <v>28</v>
      </c>
      <c r="D88" s="1">
        <v>21.1</v>
      </c>
    </row>
    <row r="89" spans="1:4" ht="15.75" x14ac:dyDescent="0.25">
      <c r="A89">
        <v>6</v>
      </c>
      <c r="B89" s="1">
        <v>74.7</v>
      </c>
      <c r="C89" s="1">
        <v>46.3</v>
      </c>
      <c r="D89" s="1">
        <v>28.7</v>
      </c>
    </row>
    <row r="90" spans="1:4" ht="15.75" x14ac:dyDescent="0.25">
      <c r="A90">
        <v>7</v>
      </c>
      <c r="B90" s="1">
        <v>71.7</v>
      </c>
      <c r="C90" s="1">
        <v>45.9</v>
      </c>
      <c r="D90" s="1">
        <v>27.2</v>
      </c>
    </row>
    <row r="91" spans="1:4" ht="15.75" x14ac:dyDescent="0.25">
      <c r="A91">
        <v>8</v>
      </c>
      <c r="B91" s="1">
        <v>74.5</v>
      </c>
      <c r="C91" s="1">
        <v>47.5</v>
      </c>
      <c r="D91" s="1">
        <v>28.3</v>
      </c>
    </row>
    <row r="92" spans="1:4" ht="15.75" x14ac:dyDescent="0.25">
      <c r="A92">
        <v>9</v>
      </c>
      <c r="B92" s="1">
        <v>137.69999999999999</v>
      </c>
      <c r="C92" s="1">
        <v>87.2</v>
      </c>
      <c r="D92" s="1">
        <v>52.3</v>
      </c>
    </row>
    <row r="93" spans="1:4" ht="15.75" x14ac:dyDescent="0.25">
      <c r="A93">
        <v>19</v>
      </c>
      <c r="B93" s="1">
        <v>37</v>
      </c>
      <c r="C93" s="1">
        <v>17.8</v>
      </c>
      <c r="D93" s="1">
        <v>15.4</v>
      </c>
    </row>
    <row r="94" spans="1:4" ht="15.75" x14ac:dyDescent="0.25">
      <c r="A94">
        <v>20</v>
      </c>
      <c r="B94" s="1">
        <v>69</v>
      </c>
      <c r="C94" s="1">
        <v>42.4</v>
      </c>
      <c r="D94" s="1">
        <v>28.6</v>
      </c>
    </row>
    <row r="95" spans="1:4" ht="15.75" x14ac:dyDescent="0.25">
      <c r="A95">
        <v>21</v>
      </c>
      <c r="B95" s="1">
        <v>40</v>
      </c>
      <c r="C95" s="1">
        <v>20</v>
      </c>
      <c r="D95" s="1">
        <v>15.6</v>
      </c>
    </row>
    <row r="96" spans="1:4" ht="15.75" x14ac:dyDescent="0.25">
      <c r="A96">
        <v>22</v>
      </c>
      <c r="B96" s="1">
        <v>69.099999999999994</v>
      </c>
      <c r="C96" s="1">
        <v>41.3</v>
      </c>
      <c r="D96" s="1">
        <v>27.7</v>
      </c>
    </row>
    <row r="97" spans="1:4" ht="15.75" x14ac:dyDescent="0.25">
      <c r="A97">
        <v>23</v>
      </c>
      <c r="B97" s="1">
        <v>68.099999999999994</v>
      </c>
      <c r="C97" s="1">
        <v>35.4</v>
      </c>
      <c r="D97" s="1">
        <v>34.1</v>
      </c>
    </row>
    <row r="98" spans="1:4" ht="15.75" x14ac:dyDescent="0.25">
      <c r="A98">
        <v>24</v>
      </c>
      <c r="B98" s="1">
        <v>75.3</v>
      </c>
      <c r="C98" s="1">
        <v>41.4</v>
      </c>
      <c r="D98" s="1">
        <v>37.700000000000003</v>
      </c>
    </row>
    <row r="99" spans="1:4" ht="15.75" x14ac:dyDescent="0.25">
      <c r="A99">
        <v>25</v>
      </c>
      <c r="B99" s="1">
        <v>83.7</v>
      </c>
      <c r="C99" s="1">
        <v>48.5</v>
      </c>
      <c r="D99" s="1">
        <v>41.9</v>
      </c>
    </row>
    <row r="100" spans="1:4" ht="15.75" x14ac:dyDescent="0.25">
      <c r="A100">
        <v>26</v>
      </c>
      <c r="B100" s="1">
        <v>48.7</v>
      </c>
      <c r="C100" s="1">
        <v>22.3</v>
      </c>
      <c r="D100" s="1">
        <v>24.4</v>
      </c>
    </row>
    <row r="101" spans="1:4" ht="15.75" x14ac:dyDescent="0.25">
      <c r="A101">
        <v>27</v>
      </c>
      <c r="B101" s="1">
        <v>39.9</v>
      </c>
      <c r="C101" s="1">
        <v>18</v>
      </c>
      <c r="D101" s="1">
        <v>21.3</v>
      </c>
    </row>
    <row r="102" spans="1:4" ht="15.75" x14ac:dyDescent="0.25">
      <c r="A102">
        <v>28</v>
      </c>
      <c r="B102" s="1">
        <v>68.599999999999994</v>
      </c>
      <c r="C102" s="1">
        <v>35.5</v>
      </c>
      <c r="D102" s="1">
        <v>36.700000000000003</v>
      </c>
    </row>
    <row r="103" spans="1:4" ht="15.75" x14ac:dyDescent="0.25">
      <c r="A103">
        <v>29</v>
      </c>
      <c r="B103" s="1">
        <v>39</v>
      </c>
      <c r="C103" s="1">
        <v>20</v>
      </c>
      <c r="D103" s="1">
        <v>21.5</v>
      </c>
    </row>
    <row r="104" spans="1:4" ht="15.75" x14ac:dyDescent="0.25">
      <c r="A104">
        <v>30</v>
      </c>
      <c r="B104" s="1">
        <v>48.6</v>
      </c>
      <c r="C104" s="1">
        <v>31</v>
      </c>
      <c r="D104" s="1">
        <v>26.4</v>
      </c>
    </row>
    <row r="105" spans="1:4" x14ac:dyDescent="0.25">
      <c r="A105">
        <v>31</v>
      </c>
      <c r="B105" s="6">
        <f>51.53</f>
        <v>51.53</v>
      </c>
      <c r="C105" s="6">
        <v>29.19</v>
      </c>
      <c r="D105" s="7">
        <f>F$55+B105*F$56+C105*F$57</f>
        <v>22.159491105496286</v>
      </c>
    </row>
    <row r="106" spans="1:4" x14ac:dyDescent="0.25">
      <c r="A106">
        <v>32</v>
      </c>
      <c r="B106" s="6">
        <f>38.29</f>
        <v>38.29</v>
      </c>
      <c r="C106" s="6">
        <v>18.559999999999999</v>
      </c>
      <c r="D106" s="7">
        <f>F$55+B106*F$56+C106*F$57</f>
        <v>18.220002204769628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2025-04-06T12:48:06Z</dcterms:modified>
</cp:coreProperties>
</file>